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BCAF5282-7CF7-447C-9AF9-C8A638A5DF3F}" xr6:coauthVersionLast="47" xr6:coauthVersionMax="47" xr10:uidLastSave="{00000000-0000-0000-0000-000000000000}"/>
  <workbookProtection workbookAlgorithmName="SHA-512" workbookHashValue="HQ5PRbSxUsbgp05mNrJ7yZCJ8YotY8gVRKrDbxP4FQwwv+qlvZa3k0tKz4VHHKZj0eZkvtKqFbqqy9+Xqw+3Uw==" workbookSaltValue="965QAz3JyN6SuUv1vepdkw==" workbookSpinCount="100000" lockStructure="1"/>
  <bookViews>
    <workbookView xWindow="-120" yWindow="-120" windowWidth="29040" windowHeight="17520" tabRatio="778" firstSheet="13" activeTab="13" xr2:uid="{00000000-000D-0000-FFFF-FFFF00000000}"/>
  </bookViews>
  <sheets>
    <sheet name="CourseDetails" sheetId="24" state="hidden" r:id="rId1"/>
    <sheet name="Handbook" sheetId="3" state="hidden" r:id="rId2"/>
    <sheet name="Structures" sheetId="8" state="hidden" r:id="rId3"/>
    <sheet name="Availabilities" sheetId="9" state="hidden" r:id="rId4"/>
    <sheet name="Unitsets" sheetId="2" state="hidden" r:id="rId5"/>
    <sheet name="Planner OM-Teach (ECE)" sheetId="5" state="hidden" r:id="rId6"/>
    <sheet name="Planner OM-Teach (Prim)" sheetId="17" state="hidden" r:id="rId7"/>
    <sheet name="Planner OM-EDUC" sheetId="12" state="hidden" r:id="rId8"/>
    <sheet name="Planner OM-APLING" sheetId="13" state="hidden" r:id="rId9"/>
    <sheet name="Planner OC-TESOL" sheetId="14" state="hidden" r:id="rId10"/>
    <sheet name="Planner OC-EDUC" sheetId="23" state="hidden" r:id="rId11"/>
    <sheet name="Planner OC-EDHE" sheetId="18" state="hidden" r:id="rId12"/>
    <sheet name="Unitsets Secondary &amp; GD" sheetId="11" state="hidden" r:id="rId13"/>
    <sheet name="Planner OM-Teach (Sec)" sheetId="10" r:id="rId14"/>
    <sheet name="Planner OG-EDUC (Prim)" sheetId="15" state="hidden" r:id="rId15"/>
    <sheet name="Planner OG-EDUC (Sec)" sheetId="16" state="hidden" r:id="rId16"/>
  </sheets>
  <definedNames>
    <definedName name="_xlnm._FilterDatabase" localSheetId="1"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1">'Planner OC-EDHE'!$A$3:$L$17</definedName>
    <definedName name="_xlnm.Print_Area" localSheetId="10">'Planner OC-EDUC'!$A$3:$L$35</definedName>
    <definedName name="_xlnm.Print_Area" localSheetId="9">'Planner OC-TESOL'!$A$3:$L$23</definedName>
    <definedName name="_xlnm.Print_Area" localSheetId="14">'Planner OG-EDUC (Prim)'!$A$3:$L$24</definedName>
    <definedName name="_xlnm.Print_Area" localSheetId="15">'Planner OG-EDUC (Sec)'!$A$3:$L$31</definedName>
    <definedName name="_xlnm.Print_Area" localSheetId="8">'Planner OM-APLING'!$A$3:$L$23</definedName>
    <definedName name="_xlnm.Print_Area" localSheetId="7">'Planner OM-EDUC'!$A$3:$L$36</definedName>
    <definedName name="_xlnm.Print_Area" localSheetId="5">'Planner OM-Teach (ECE)'!$A$3:$L$38</definedName>
    <definedName name="_xlnm.Print_Area" localSheetId="6">'Planner OM-Teach (Prim)'!$A$3:$L$36</definedName>
    <definedName name="_xlnm.Print_Area" localSheetId="13">'Planner OM-Teach (Sec)'!$A$1:$L$48</definedName>
    <definedName name="RangeCourseNotesOCEDUC">Unitsets!$C$85:$D$88</definedName>
    <definedName name="RangeTeachingAreas">'Unitsets Secondary &amp; GD'!$I$22:$P$28</definedName>
    <definedName name="RangeUnitsetsECEPR">Unitsets!$C$3:$R$21</definedName>
    <definedName name="RangeUnitsetsOCEDHE">Unitsets!$C$58:$J$62</definedName>
    <definedName name="RangeUnitsetsOCEDUC">Unitsets!$C$65:$AH$82</definedName>
    <definedName name="RangeUnitsetsOGEDUC">'Unitsets Secondary &amp; GD'!$I$31:$X$39</definedName>
    <definedName name="RangeUnitsetsOGEDUCAcc">'Unitsets Secondary &amp; GD'!$I$42:$X$50</definedName>
    <definedName name="RangeUnitsetsOMEDUC">Unitsets!$C$24:$AH$41</definedName>
    <definedName name="RangeUnitsetsSec">'Unitsets Secondary &amp; GD'!$I$3:$P$19</definedName>
    <definedName name="RangeUnitsetsTESOL">Unitsets!$C$44:$R$55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E6" i="8"/>
  <c r="E7" i="8"/>
  <c r="D225" i="8"/>
  <c r="D206" i="8"/>
  <c r="D184" i="8"/>
  <c r="D185" i="8"/>
  <c r="D158" i="8"/>
  <c r="D160" i="8"/>
  <c r="D161" i="8"/>
  <c r="D162" i="8"/>
  <c r="D153" i="8"/>
  <c r="D154" i="8"/>
  <c r="D120" i="8"/>
  <c r="D128" i="8"/>
  <c r="D129" i="8"/>
  <c r="D130" i="8"/>
  <c r="D100" i="8"/>
  <c r="D43" i="8"/>
  <c r="D12" i="8"/>
  <c r="D13" i="8"/>
  <c r="D17" i="8"/>
  <c r="D20" i="8"/>
  <c r="D21" i="8"/>
  <c r="C228" i="8"/>
  <c r="D228" i="8" s="1"/>
  <c r="C229" i="8"/>
  <c r="D229" i="8" s="1"/>
  <c r="C230" i="8"/>
  <c r="D230" i="8" s="1"/>
  <c r="C231" i="8"/>
  <c r="D231" i="8" s="1"/>
  <c r="C222" i="8"/>
  <c r="D222" i="8" s="1"/>
  <c r="C223" i="8"/>
  <c r="D223" i="8" s="1"/>
  <c r="C224" i="8"/>
  <c r="D224" i="8" s="1"/>
  <c r="C225" i="8"/>
  <c r="C205" i="8"/>
  <c r="D205" i="8" s="1"/>
  <c r="C206" i="8"/>
  <c r="C207" i="8"/>
  <c r="D207" i="8" s="1"/>
  <c r="C208" i="8"/>
  <c r="D208" i="8" s="1"/>
  <c r="C209" i="8"/>
  <c r="D209" i="8" s="1"/>
  <c r="C210" i="8"/>
  <c r="D210" i="8" s="1"/>
  <c r="C211" i="8"/>
  <c r="D211" i="8" s="1"/>
  <c r="C212" i="8"/>
  <c r="D212" i="8" s="1"/>
  <c r="C213" i="8"/>
  <c r="D213" i="8" s="1"/>
  <c r="C214" i="8"/>
  <c r="D214" i="8" s="1"/>
  <c r="C215" i="8"/>
  <c r="D215" i="8" s="1"/>
  <c r="C216" i="8"/>
  <c r="D216" i="8" s="1"/>
  <c r="C217" i="8"/>
  <c r="D217" i="8" s="1"/>
  <c r="C218" i="8"/>
  <c r="D218" i="8" s="1"/>
  <c r="C189" i="8"/>
  <c r="D189" i="8" s="1"/>
  <c r="C190" i="8"/>
  <c r="D190" i="8" s="1"/>
  <c r="C191" i="8"/>
  <c r="D191" i="8" s="1"/>
  <c r="C192" i="8"/>
  <c r="D192" i="8" s="1"/>
  <c r="C193" i="8"/>
  <c r="D193" i="8" s="1"/>
  <c r="C194" i="8"/>
  <c r="D194" i="8" s="1"/>
  <c r="C195" i="8"/>
  <c r="D195" i="8" s="1"/>
  <c r="C196" i="8"/>
  <c r="D196" i="8" s="1"/>
  <c r="C197" i="8"/>
  <c r="D197" i="8" s="1"/>
  <c r="C198" i="8"/>
  <c r="D198" i="8" s="1"/>
  <c r="C199" i="8"/>
  <c r="D199" i="8" s="1"/>
  <c r="C200" i="8"/>
  <c r="D200" i="8" s="1"/>
  <c r="C201" i="8"/>
  <c r="D201" i="8" s="1"/>
  <c r="C202" i="8"/>
  <c r="D202" i="8" s="1"/>
  <c r="C167" i="8"/>
  <c r="D167" i="8" s="1"/>
  <c r="C168" i="8"/>
  <c r="D168" i="8" s="1"/>
  <c r="C169" i="8"/>
  <c r="D169" i="8" s="1"/>
  <c r="C170" i="8"/>
  <c r="D170" i="8" s="1"/>
  <c r="C171" i="8"/>
  <c r="D171" i="8" s="1"/>
  <c r="C172" i="8"/>
  <c r="D172" i="8" s="1"/>
  <c r="C173" i="8"/>
  <c r="D173" i="8" s="1"/>
  <c r="C174" i="8"/>
  <c r="D174" i="8" s="1"/>
  <c r="C175" i="8"/>
  <c r="D175" i="8" s="1"/>
  <c r="C176" i="8"/>
  <c r="D176" i="8" s="1"/>
  <c r="C177" i="8"/>
  <c r="D177" i="8" s="1"/>
  <c r="C178" i="8"/>
  <c r="D178" i="8" s="1"/>
  <c r="C179" i="8"/>
  <c r="D179" i="8" s="1"/>
  <c r="C180" i="8"/>
  <c r="D180" i="8" s="1"/>
  <c r="C181" i="8"/>
  <c r="D181" i="8" s="1"/>
  <c r="C182" i="8"/>
  <c r="D182" i="8" s="1"/>
  <c r="C183" i="8"/>
  <c r="D183" i="8" s="1"/>
  <c r="C184" i="8"/>
  <c r="C185" i="8"/>
  <c r="C157" i="8"/>
  <c r="D157" i="8" s="1"/>
  <c r="C158" i="8"/>
  <c r="C159" i="8"/>
  <c r="D159" i="8" s="1"/>
  <c r="C160" i="8"/>
  <c r="C161" i="8"/>
  <c r="C162" i="8"/>
  <c r="C163" i="8"/>
  <c r="D163" i="8" s="1"/>
  <c r="C164" i="8"/>
  <c r="D164" i="8" s="1"/>
  <c r="C152" i="8"/>
  <c r="D152" i="8" s="1"/>
  <c r="C145" i="8"/>
  <c r="D145" i="8" s="1"/>
  <c r="C146" i="8"/>
  <c r="D146" i="8" s="1"/>
  <c r="C147" i="8"/>
  <c r="D147" i="8" s="1"/>
  <c r="C148" i="8"/>
  <c r="D148" i="8" s="1"/>
  <c r="C139" i="8"/>
  <c r="D139" i="8" s="1"/>
  <c r="C140" i="8"/>
  <c r="D140" i="8" s="1"/>
  <c r="C141" i="8"/>
  <c r="D141" i="8" s="1"/>
  <c r="C142" i="8"/>
  <c r="D142" i="8" s="1"/>
  <c r="C133" i="8"/>
  <c r="D133" i="8" s="1"/>
  <c r="C134" i="8"/>
  <c r="D134" i="8" s="1"/>
  <c r="C135" i="8"/>
  <c r="D135" i="8" s="1"/>
  <c r="C136" i="8"/>
  <c r="D136" i="8" s="1"/>
  <c r="C116" i="8"/>
  <c r="D116" i="8" s="1"/>
  <c r="C117" i="8"/>
  <c r="D117" i="8" s="1"/>
  <c r="C118" i="8"/>
  <c r="D118" i="8" s="1"/>
  <c r="C119" i="8"/>
  <c r="D119" i="8" s="1"/>
  <c r="C120" i="8"/>
  <c r="C121" i="8"/>
  <c r="D121" i="8" s="1"/>
  <c r="C122" i="8"/>
  <c r="D122" i="8" s="1"/>
  <c r="C123" i="8"/>
  <c r="D123" i="8" s="1"/>
  <c r="C124" i="8"/>
  <c r="D124" i="8" s="1"/>
  <c r="C125" i="8"/>
  <c r="D125" i="8" s="1"/>
  <c r="C126" i="8"/>
  <c r="D126" i="8" s="1"/>
  <c r="C127" i="8"/>
  <c r="D127" i="8" s="1"/>
  <c r="C115" i="8"/>
  <c r="D115" i="8" s="1"/>
  <c r="C106" i="8"/>
  <c r="D106" i="8" s="1"/>
  <c r="C107" i="8"/>
  <c r="D107" i="8" s="1"/>
  <c r="C108" i="8"/>
  <c r="D108" i="8" s="1"/>
  <c r="C109" i="8"/>
  <c r="D109" i="8" s="1"/>
  <c r="C110" i="8"/>
  <c r="D110" i="8" s="1"/>
  <c r="C111" i="8"/>
  <c r="D111" i="8" s="1"/>
  <c r="C99" i="8"/>
  <c r="D99" i="8" s="1"/>
  <c r="C100" i="8"/>
  <c r="C101" i="8"/>
  <c r="D101" i="8" s="1"/>
  <c r="C102" i="8"/>
  <c r="D102" i="8" s="1"/>
  <c r="C103" i="8"/>
  <c r="D103" i="8" s="1"/>
  <c r="C98" i="8"/>
  <c r="D98" i="8" s="1"/>
  <c r="C89" i="8"/>
  <c r="D89" i="8" s="1"/>
  <c r="C90" i="8"/>
  <c r="D90" i="8" s="1"/>
  <c r="C91" i="8"/>
  <c r="D91" i="8" s="1"/>
  <c r="C92" i="8"/>
  <c r="D92" i="8" s="1"/>
  <c r="C93" i="8"/>
  <c r="D93" i="8" s="1"/>
  <c r="C94" i="8"/>
  <c r="D94" i="8" s="1"/>
  <c r="C95" i="8"/>
  <c r="D95"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70" i="8"/>
  <c r="D70" i="8" s="1"/>
  <c r="C71" i="8"/>
  <c r="D71" i="8" s="1"/>
  <c r="C72" i="8"/>
  <c r="D72" i="8" s="1"/>
  <c r="C73" i="8"/>
  <c r="D73" i="8" s="1"/>
  <c r="C74" i="8"/>
  <c r="D74" i="8" s="1"/>
  <c r="C75" i="8"/>
  <c r="D75" i="8" s="1"/>
  <c r="C76" i="8"/>
  <c r="D76" i="8" s="1"/>
  <c r="C77" i="8"/>
  <c r="D77" i="8" s="1"/>
  <c r="C78" i="8"/>
  <c r="D78" i="8" s="1"/>
  <c r="C79" i="8"/>
  <c r="D79" i="8" s="1"/>
  <c r="C80" i="8"/>
  <c r="D80" i="8" s="1"/>
  <c r="C81" i="8"/>
  <c r="D81" i="8" s="1"/>
  <c r="C82" i="8"/>
  <c r="D82" i="8" s="1"/>
  <c r="C83" i="8"/>
  <c r="D83" i="8" s="1"/>
  <c r="C84" i="8"/>
  <c r="D84" i="8" s="1"/>
  <c r="C85" i="8"/>
  <c r="D85" i="8" s="1"/>
  <c r="C46" i="8"/>
  <c r="D46" i="8" s="1"/>
  <c r="C11" i="8"/>
  <c r="D11" i="8" s="1"/>
  <c r="C12" i="8"/>
  <c r="C13" i="8"/>
  <c r="C14" i="8"/>
  <c r="D14" i="8" s="1"/>
  <c r="C15" i="8"/>
  <c r="D15" i="8" s="1"/>
  <c r="C16" i="8"/>
  <c r="D16" i="8" s="1"/>
  <c r="C17" i="8"/>
  <c r="C18" i="8"/>
  <c r="D18" i="8" s="1"/>
  <c r="C19" i="8"/>
  <c r="D19" i="8" s="1"/>
  <c r="C20" i="8"/>
  <c r="C21" i="8"/>
  <c r="C22" i="8"/>
  <c r="D22" i="8" s="1"/>
  <c r="C23" i="8"/>
  <c r="D23" i="8" s="1"/>
  <c r="C24" i="8"/>
  <c r="D24" i="8" s="1"/>
  <c r="C25" i="8"/>
  <c r="D25"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C10" i="8"/>
  <c r="D10" i="8" s="1"/>
  <c r="D5" i="8"/>
  <c r="D6" i="8"/>
  <c r="D7" i="8"/>
  <c r="C4" i="8"/>
  <c r="D4" i="8" s="1"/>
  <c r="F73" i="2" l="1"/>
  <c r="H73" i="2" s="1"/>
  <c r="J73" i="2" s="1"/>
  <c r="F72" i="2"/>
  <c r="H72" i="2" s="1"/>
  <c r="J72" i="2" s="1"/>
  <c r="F71" i="2"/>
  <c r="H71" i="2" s="1"/>
  <c r="J71" i="2" s="1"/>
  <c r="F70" i="2"/>
  <c r="H70" i="2" s="1"/>
  <c r="J70" i="2" s="1"/>
  <c r="AD69" i="2"/>
  <c r="AF69" i="2" s="1"/>
  <c r="AH69" i="2" s="1"/>
  <c r="AD68" i="2"/>
  <c r="AF68" i="2" s="1"/>
  <c r="AH68" i="2" s="1"/>
  <c r="AD67" i="2"/>
  <c r="AF67" i="2" s="1"/>
  <c r="AH67" i="2" s="1"/>
  <c r="AD66" i="2"/>
  <c r="AF66" i="2" s="1"/>
  <c r="AH66" i="2" s="1"/>
  <c r="AD71" i="2"/>
  <c r="AF71" i="2" s="1"/>
  <c r="AH71" i="2" s="1"/>
  <c r="AD72" i="2"/>
  <c r="AF72" i="2" s="1"/>
  <c r="AH72" i="2" s="1"/>
  <c r="AD73" i="2"/>
  <c r="AF73" i="2" s="1"/>
  <c r="AH73" i="2" s="1"/>
  <c r="AD74" i="2"/>
  <c r="AF74" i="2" s="1"/>
  <c r="AH74" i="2" s="1"/>
  <c r="AD75" i="2"/>
  <c r="AF75" i="2" s="1"/>
  <c r="AH75" i="2" s="1"/>
  <c r="AD76" i="2"/>
  <c r="AF76" i="2" s="1"/>
  <c r="AH76" i="2" s="1"/>
  <c r="AD77" i="2"/>
  <c r="AF77" i="2" s="1"/>
  <c r="AH77" i="2" s="1"/>
  <c r="AD78" i="2"/>
  <c r="AF78" i="2" s="1"/>
  <c r="AH78" i="2" s="1"/>
  <c r="AD79" i="2"/>
  <c r="AF79" i="2" s="1"/>
  <c r="AH79" i="2" s="1"/>
  <c r="AD80" i="2"/>
  <c r="AF80" i="2" s="1"/>
  <c r="AH80" i="2" s="1"/>
  <c r="AD81" i="2"/>
  <c r="AF81" i="2" s="1"/>
  <c r="AH81" i="2" s="1"/>
  <c r="AD82" i="2"/>
  <c r="AF82" i="2" s="1"/>
  <c r="AH82" i="2" s="1"/>
  <c r="AD70" i="2"/>
  <c r="AF70" i="2" s="1"/>
  <c r="AH70" i="2" s="1"/>
  <c r="V74" i="2"/>
  <c r="X74" i="2" s="1"/>
  <c r="Z74" i="2" s="1"/>
  <c r="V75" i="2"/>
  <c r="X75" i="2" s="1"/>
  <c r="Z75" i="2" s="1"/>
  <c r="V73" i="2"/>
  <c r="X73" i="2" s="1"/>
  <c r="Z73" i="2" s="1"/>
  <c r="V72" i="2"/>
  <c r="X72" i="2" s="1"/>
  <c r="Z72" i="2" s="1"/>
  <c r="V71" i="2"/>
  <c r="X71" i="2" s="1"/>
  <c r="Z71" i="2" s="1"/>
  <c r="V70" i="2"/>
  <c r="X70" i="2" s="1"/>
  <c r="Z70" i="2" s="1"/>
  <c r="Z69" i="2"/>
  <c r="Z68" i="2"/>
  <c r="Z67" i="2"/>
  <c r="Z66" i="2"/>
  <c r="X69" i="2"/>
  <c r="X68" i="2"/>
  <c r="X67" i="2"/>
  <c r="X66" i="2"/>
  <c r="N73" i="2"/>
  <c r="P73" i="2" s="1"/>
  <c r="R73" i="2" s="1"/>
  <c r="N72" i="2"/>
  <c r="P72" i="2" s="1"/>
  <c r="R72" i="2" s="1"/>
  <c r="N71" i="2"/>
  <c r="P71" i="2" s="1"/>
  <c r="R71" i="2" s="1"/>
  <c r="N70" i="2"/>
  <c r="P70" i="2" s="1"/>
  <c r="R70" i="2" s="1"/>
  <c r="R69" i="2"/>
  <c r="R68" i="2"/>
  <c r="R67" i="2"/>
  <c r="R66" i="2"/>
  <c r="P69" i="2"/>
  <c r="P68" i="2"/>
  <c r="P67" i="2"/>
  <c r="P66" i="2"/>
  <c r="J69" i="2"/>
  <c r="J68" i="2"/>
  <c r="J67" i="2"/>
  <c r="J66" i="2"/>
  <c r="H66" i="2"/>
  <c r="H67" i="2"/>
  <c r="H68" i="2"/>
  <c r="H69" i="2"/>
  <c r="G6" i="23"/>
  <c r="B8" i="23" s="1"/>
  <c r="L6" i="23"/>
  <c r="A11" i="23" s="1"/>
  <c r="L18" i="23"/>
  <c r="K18" i="23"/>
  <c r="J18" i="23"/>
  <c r="I18" i="23"/>
  <c r="H18" i="23"/>
  <c r="H17" i="23"/>
  <c r="G7" i="23"/>
  <c r="G5" i="23"/>
  <c r="A25" i="23" l="1"/>
  <c r="A20" i="23"/>
  <c r="B20" i="23" s="1"/>
  <c r="A30" i="23"/>
  <c r="D30" i="23" s="1"/>
  <c r="A21" i="23"/>
  <c r="A22" i="23"/>
  <c r="G22" i="23" s="1"/>
  <c r="A23" i="23"/>
  <c r="D23" i="23" s="1"/>
  <c r="A24" i="23"/>
  <c r="A26" i="23"/>
  <c r="D26" i="23" s="1"/>
  <c r="A27" i="23"/>
  <c r="C27" i="23" s="1"/>
  <c r="A28" i="23"/>
  <c r="B28" i="23" s="1"/>
  <c r="A29" i="23"/>
  <c r="G29" i="23" s="1"/>
  <c r="A31" i="23"/>
  <c r="A19" i="23"/>
  <c r="A12" i="23"/>
  <c r="A14" i="23"/>
  <c r="A15" i="23"/>
  <c r="G85" i="3"/>
  <c r="H85" i="3"/>
  <c r="I85" i="3"/>
  <c r="J85" i="3"/>
  <c r="F28" i="23" l="1"/>
  <c r="G28" i="23"/>
  <c r="D28" i="23"/>
  <c r="C28" i="23"/>
  <c r="B27" i="23"/>
  <c r="G27" i="23"/>
  <c r="G20" i="23"/>
  <c r="D27" i="23"/>
  <c r="D24" i="23"/>
  <c r="F27" i="23"/>
  <c r="F24" i="23"/>
  <c r="C22" i="23"/>
  <c r="B24" i="23"/>
  <c r="C24" i="23"/>
  <c r="G24" i="23"/>
  <c r="F29" i="23"/>
  <c r="B29" i="23"/>
  <c r="F26" i="23"/>
  <c r="C26" i="23"/>
  <c r="C20" i="23"/>
  <c r="F20" i="23"/>
  <c r="B23" i="23"/>
  <c r="D20" i="23"/>
  <c r="B26" i="23"/>
  <c r="G23" i="23"/>
  <c r="F23" i="23"/>
  <c r="G26" i="23"/>
  <c r="C23" i="23"/>
  <c r="D25" i="23"/>
  <c r="B25" i="23"/>
  <c r="C29" i="23"/>
  <c r="D29" i="23"/>
  <c r="G31" i="23"/>
  <c r="B22" i="23"/>
  <c r="C30" i="23"/>
  <c r="D31" i="23"/>
  <c r="F30" i="23"/>
  <c r="G25" i="23"/>
  <c r="C31" i="23"/>
  <c r="D22" i="23"/>
  <c r="D21" i="23"/>
  <c r="C21" i="23"/>
  <c r="G30" i="23"/>
  <c r="B21" i="23"/>
  <c r="F25" i="23"/>
  <c r="F31" i="23"/>
  <c r="B31" i="23"/>
  <c r="G21" i="23"/>
  <c r="F22" i="23"/>
  <c r="C25" i="23"/>
  <c r="B30" i="23"/>
  <c r="F21" i="23"/>
  <c r="B14" i="23"/>
  <c r="G14" i="23"/>
  <c r="F14" i="23"/>
  <c r="E14" i="23"/>
  <c r="E15" i="23" s="1"/>
  <c r="C14" i="23"/>
  <c r="D14" i="23"/>
  <c r="G19" i="23"/>
  <c r="F19" i="23"/>
  <c r="D19" i="23"/>
  <c r="C19" i="23"/>
  <c r="B19" i="23"/>
  <c r="G11" i="23"/>
  <c r="F11" i="23"/>
  <c r="E11" i="23"/>
  <c r="E12" i="23" s="1"/>
  <c r="D11" i="23"/>
  <c r="C11" i="23"/>
  <c r="B11" i="23"/>
  <c r="D12" i="23"/>
  <c r="C12" i="23"/>
  <c r="B12" i="23"/>
  <c r="F12" i="23"/>
  <c r="G12" i="23"/>
  <c r="G15" i="23"/>
  <c r="F15" i="23"/>
  <c r="D15" i="23"/>
  <c r="C15" i="23"/>
  <c r="B15" i="23"/>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16"/>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L33" i="5" l="1"/>
  <c r="K33" i="5"/>
  <c r="J33" i="5"/>
  <c r="I33" i="5"/>
  <c r="H33" i="5"/>
  <c r="L21" i="5"/>
  <c r="K21" i="5"/>
  <c r="J21" i="5"/>
  <c r="I21" i="5"/>
  <c r="H21" i="5"/>
  <c r="J62" i="2" l="1"/>
  <c r="J61" i="2"/>
  <c r="J60" i="2"/>
  <c r="J59" i="2"/>
  <c r="H62" i="2"/>
  <c r="H61" i="2"/>
  <c r="H60" i="2"/>
  <c r="H59" i="2"/>
  <c r="L5" i="18" l="1"/>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81" i="3"/>
  <c r="I81" i="3"/>
  <c r="J81" i="3"/>
  <c r="G80" i="3"/>
  <c r="H80" i="3"/>
  <c r="I80" i="3"/>
  <c r="J80" i="3"/>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6" i="23" s="1"/>
  <c r="J11" i="3"/>
  <c r="J12" i="3"/>
  <c r="J13" i="3"/>
  <c r="J14" i="3"/>
  <c r="J15" i="3"/>
  <c r="J16" i="3"/>
  <c r="J17" i="3"/>
  <c r="K9" i="18" s="1"/>
  <c r="J18" i="3"/>
  <c r="K12" i="18" s="1"/>
  <c r="J19" i="3"/>
  <c r="K10" i="18" s="1"/>
  <c r="J20" i="3"/>
  <c r="K13" i="18" s="1"/>
  <c r="J21" i="3"/>
  <c r="J22" i="3"/>
  <c r="K14" i="17" s="1"/>
  <c r="J23" i="3"/>
  <c r="J24" i="3"/>
  <c r="K17" i="17" s="1"/>
  <c r="J26" i="3"/>
  <c r="J27" i="3"/>
  <c r="K25" i="23" s="1"/>
  <c r="J28" i="3"/>
  <c r="K29" i="17" s="1"/>
  <c r="J29" i="3"/>
  <c r="J30" i="3"/>
  <c r="J31" i="3"/>
  <c r="J32" i="3"/>
  <c r="K19" i="23" s="1"/>
  <c r="J33" i="3"/>
  <c r="J34" i="3"/>
  <c r="J35" i="3"/>
  <c r="J36" i="3"/>
  <c r="J37" i="3"/>
  <c r="J38" i="3"/>
  <c r="J39" i="3"/>
  <c r="J40" i="3"/>
  <c r="J41" i="3"/>
  <c r="J42" i="3"/>
  <c r="J43" i="3"/>
  <c r="J44" i="3"/>
  <c r="J45" i="3"/>
  <c r="J46" i="3"/>
  <c r="J47" i="3"/>
  <c r="J48" i="3"/>
  <c r="J49" i="3"/>
  <c r="J50" i="3"/>
  <c r="K29" i="23" s="1"/>
  <c r="J51" i="3"/>
  <c r="J52" i="3"/>
  <c r="J53" i="3"/>
  <c r="J54" i="3"/>
  <c r="J55" i="3"/>
  <c r="J56" i="3"/>
  <c r="J57" i="3"/>
  <c r="K11" i="17" s="1"/>
  <c r="J58" i="3"/>
  <c r="K24"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I11" i="3"/>
  <c r="I12" i="3"/>
  <c r="I13" i="3"/>
  <c r="I14" i="3"/>
  <c r="I15" i="3"/>
  <c r="I16" i="3"/>
  <c r="I17" i="3"/>
  <c r="J9" i="18" s="1"/>
  <c r="I18" i="3"/>
  <c r="J12" i="18" s="1"/>
  <c r="I19" i="3"/>
  <c r="J10" i="18" s="1"/>
  <c r="I20" i="3"/>
  <c r="J13" i="18" s="1"/>
  <c r="I21" i="3"/>
  <c r="I22" i="3"/>
  <c r="J14" i="17" s="1"/>
  <c r="I23" i="3"/>
  <c r="I24" i="3"/>
  <c r="J17" i="17" s="1"/>
  <c r="I26" i="3"/>
  <c r="I27" i="3"/>
  <c r="J25" i="23" s="1"/>
  <c r="I28" i="3"/>
  <c r="J29" i="17" s="1"/>
  <c r="I29" i="3"/>
  <c r="I30" i="3"/>
  <c r="I31" i="3"/>
  <c r="I32" i="3"/>
  <c r="J19" i="23" s="1"/>
  <c r="I33" i="3"/>
  <c r="I34" i="3"/>
  <c r="I35" i="3"/>
  <c r="I36" i="3"/>
  <c r="I37" i="3"/>
  <c r="I38" i="3"/>
  <c r="I39" i="3"/>
  <c r="I40" i="3"/>
  <c r="I41" i="3"/>
  <c r="I42" i="3"/>
  <c r="I43" i="3"/>
  <c r="I44" i="3"/>
  <c r="I45" i="3"/>
  <c r="I46" i="3"/>
  <c r="I47" i="3"/>
  <c r="I48" i="3"/>
  <c r="I49" i="3"/>
  <c r="I50" i="3"/>
  <c r="J29" i="23" s="1"/>
  <c r="I51" i="3"/>
  <c r="I52" i="3"/>
  <c r="I53" i="3"/>
  <c r="I54" i="3"/>
  <c r="I55" i="3"/>
  <c r="I56" i="3"/>
  <c r="I57" i="3"/>
  <c r="J11" i="17" s="1"/>
  <c r="I58" i="3"/>
  <c r="J24"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H11" i="3"/>
  <c r="H12" i="3"/>
  <c r="I27" i="23" s="1"/>
  <c r="H13" i="3"/>
  <c r="I28" i="23" s="1"/>
  <c r="H14" i="3"/>
  <c r="H15" i="3"/>
  <c r="H16" i="3"/>
  <c r="H17" i="3"/>
  <c r="I9" i="18" s="1"/>
  <c r="H18" i="3"/>
  <c r="I12" i="18" s="1"/>
  <c r="H19" i="3"/>
  <c r="I10" i="18" s="1"/>
  <c r="H20" i="3"/>
  <c r="I13" i="18" s="1"/>
  <c r="H21" i="3"/>
  <c r="H22" i="3"/>
  <c r="I14" i="17" s="1"/>
  <c r="H23" i="3"/>
  <c r="H24" i="3"/>
  <c r="I17" i="17" s="1"/>
  <c r="H26" i="3"/>
  <c r="H27" i="3"/>
  <c r="I25" i="23" s="1"/>
  <c r="H28" i="3"/>
  <c r="I29" i="17" s="1"/>
  <c r="H29" i="3"/>
  <c r="H30" i="3"/>
  <c r="H31" i="3"/>
  <c r="H32" i="3"/>
  <c r="I19" i="23" s="1"/>
  <c r="H33" i="3"/>
  <c r="H34" i="3"/>
  <c r="H35" i="3"/>
  <c r="H36" i="3"/>
  <c r="H37" i="3"/>
  <c r="H38" i="3"/>
  <c r="H39" i="3"/>
  <c r="H40" i="3"/>
  <c r="H41" i="3"/>
  <c r="H42" i="3"/>
  <c r="H43" i="3"/>
  <c r="H44" i="3"/>
  <c r="H45" i="3"/>
  <c r="H46" i="3"/>
  <c r="H47" i="3"/>
  <c r="H48" i="3"/>
  <c r="H49" i="3"/>
  <c r="H50" i="3"/>
  <c r="I29" i="23" s="1"/>
  <c r="H51" i="3"/>
  <c r="H52" i="3"/>
  <c r="H53" i="3"/>
  <c r="H54" i="3"/>
  <c r="H55" i="3"/>
  <c r="H56" i="3"/>
  <c r="H57" i="3"/>
  <c r="I11" i="17" s="1"/>
  <c r="H58" i="3"/>
  <c r="I24"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G11" i="3"/>
  <c r="G12" i="3"/>
  <c r="H27" i="23" s="1"/>
  <c r="G13" i="3"/>
  <c r="H28" i="23" s="1"/>
  <c r="G14" i="3"/>
  <c r="G15" i="3"/>
  <c r="G16" i="3"/>
  <c r="G17" i="3"/>
  <c r="H9" i="18" s="1"/>
  <c r="G18" i="3"/>
  <c r="H12" i="18" s="1"/>
  <c r="G19" i="3"/>
  <c r="H10" i="18" s="1"/>
  <c r="G20" i="3"/>
  <c r="H13" i="18" s="1"/>
  <c r="G21" i="3"/>
  <c r="G22" i="3"/>
  <c r="H14" i="17" s="1"/>
  <c r="G23" i="3"/>
  <c r="G24" i="3"/>
  <c r="H17" i="17" s="1"/>
  <c r="G26" i="3"/>
  <c r="G27" i="3"/>
  <c r="H25" i="23" s="1"/>
  <c r="G28" i="3"/>
  <c r="H29" i="17" s="1"/>
  <c r="G29" i="3"/>
  <c r="G30" i="3"/>
  <c r="G31" i="3"/>
  <c r="G32" i="3"/>
  <c r="H19" i="23" s="1"/>
  <c r="G33" i="3"/>
  <c r="G34" i="3"/>
  <c r="G35" i="3"/>
  <c r="G36" i="3"/>
  <c r="G37" i="3"/>
  <c r="G38" i="3"/>
  <c r="G39" i="3"/>
  <c r="G40" i="3"/>
  <c r="G41" i="3"/>
  <c r="G42" i="3"/>
  <c r="G43" i="3"/>
  <c r="G44" i="3"/>
  <c r="G45" i="3"/>
  <c r="G46" i="3"/>
  <c r="G47" i="3"/>
  <c r="G48" i="3"/>
  <c r="G49" i="3"/>
  <c r="G50" i="3"/>
  <c r="H29" i="23" s="1"/>
  <c r="G51" i="3"/>
  <c r="G52" i="3"/>
  <c r="G53" i="3"/>
  <c r="G54" i="3"/>
  <c r="G55" i="3"/>
  <c r="G56" i="3"/>
  <c r="G57" i="3"/>
  <c r="H11" i="17" s="1"/>
  <c r="G58" i="3"/>
  <c r="H24"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I26" i="23" l="1"/>
  <c r="K28" i="23"/>
  <c r="K27" i="23"/>
  <c r="J28" i="23"/>
  <c r="J27" i="23"/>
  <c r="H26" i="23"/>
  <c r="J26" i="23"/>
  <c r="H14" i="23"/>
  <c r="H11" i="23"/>
  <c r="H12" i="23"/>
  <c r="H15" i="23"/>
  <c r="H16" i="17"/>
  <c r="H23" i="23"/>
  <c r="H28" i="17"/>
  <c r="H22" i="23"/>
  <c r="H13" i="17"/>
  <c r="H21" i="23"/>
  <c r="H10" i="17"/>
  <c r="H20" i="23"/>
  <c r="H20" i="17"/>
  <c r="H22" i="17"/>
  <c r="H26" i="17"/>
  <c r="H31" i="23"/>
  <c r="H19" i="17"/>
  <c r="H30" i="23"/>
  <c r="I14" i="23"/>
  <c r="I11" i="23"/>
  <c r="I12" i="23"/>
  <c r="I15" i="23"/>
  <c r="I16" i="17"/>
  <c r="I23" i="23"/>
  <c r="I28" i="17"/>
  <c r="I22" i="23"/>
  <c r="I13" i="17"/>
  <c r="I21" i="23"/>
  <c r="I10" i="17"/>
  <c r="I20" i="23"/>
  <c r="I20" i="17"/>
  <c r="I22" i="17"/>
  <c r="I26" i="17"/>
  <c r="I31" i="23"/>
  <c r="I19" i="17"/>
  <c r="I30" i="23"/>
  <c r="J14" i="23"/>
  <c r="J11" i="23"/>
  <c r="J12" i="23"/>
  <c r="J15" i="23"/>
  <c r="J16" i="17"/>
  <c r="J23" i="23"/>
  <c r="J28" i="17"/>
  <c r="J22" i="23"/>
  <c r="J13" i="17"/>
  <c r="J21" i="23"/>
  <c r="J10" i="17"/>
  <c r="J20" i="23"/>
  <c r="J20" i="17"/>
  <c r="J22" i="17"/>
  <c r="J26" i="17"/>
  <c r="J31" i="23"/>
  <c r="J19" i="17"/>
  <c r="J30" i="23"/>
  <c r="K14" i="23"/>
  <c r="K11" i="23"/>
  <c r="K12" i="23"/>
  <c r="K15" i="23"/>
  <c r="K16" i="17"/>
  <c r="K23" i="23"/>
  <c r="K28" i="17"/>
  <c r="K22" i="23"/>
  <c r="K13" i="17"/>
  <c r="K21" i="23"/>
  <c r="K10" i="17"/>
  <c r="K20" i="23"/>
  <c r="K20" i="17"/>
  <c r="K22" i="17"/>
  <c r="K26" i="17"/>
  <c r="K31" i="23"/>
  <c r="K19" i="17"/>
  <c r="K30" i="23"/>
  <c r="H27" i="16"/>
  <c r="J26" i="16"/>
  <c r="K26" i="16"/>
  <c r="J27" i="16"/>
  <c r="I27" i="16"/>
  <c r="H26" i="16"/>
  <c r="K27" i="16"/>
  <c r="I26" i="16"/>
  <c r="H18" i="16"/>
  <c r="H14" i="16"/>
  <c r="H12" i="16"/>
  <c r="H11" i="16"/>
  <c r="I18" i="16"/>
  <c r="I14" i="16"/>
  <c r="I12" i="16"/>
  <c r="I11" i="16"/>
  <c r="J18" i="16"/>
  <c r="J14" i="16"/>
  <c r="J12" i="16"/>
  <c r="J11" i="16"/>
  <c r="K18" i="16"/>
  <c r="K14" i="16"/>
  <c r="K12" i="16"/>
  <c r="K11" i="16"/>
  <c r="H13" i="15"/>
  <c r="J19" i="15"/>
  <c r="K11" i="15"/>
  <c r="K14" i="15"/>
  <c r="H10" i="15"/>
  <c r="I16" i="15"/>
  <c r="K13" i="15"/>
  <c r="H14" i="15"/>
  <c r="J10" i="15"/>
  <c r="H19" i="15"/>
  <c r="I11" i="15"/>
  <c r="I14" i="15"/>
  <c r="K10" i="15"/>
  <c r="J13" i="15"/>
  <c r="H11" i="15"/>
  <c r="K16" i="15"/>
  <c r="I13" i="15"/>
  <c r="K19" i="15"/>
  <c r="H16" i="15"/>
  <c r="I10" i="15"/>
  <c r="J16" i="15"/>
  <c r="I19" i="15"/>
  <c r="J11" i="15"/>
  <c r="J14" i="15"/>
  <c r="H17" i="16"/>
  <c r="H17" i="15"/>
  <c r="K17" i="16"/>
  <c r="K17" i="15"/>
  <c r="I20" i="15"/>
  <c r="I20" i="16"/>
  <c r="I17" i="15"/>
  <c r="I17" i="16"/>
  <c r="J20" i="16"/>
  <c r="J20" i="15"/>
  <c r="H20" i="16"/>
  <c r="H20" i="15"/>
  <c r="J17" i="16"/>
  <c r="J17" i="15"/>
  <c r="K20" i="16"/>
  <c r="K20" i="15"/>
  <c r="L5" i="14"/>
  <c r="G5" i="14"/>
  <c r="J48" i="2" l="1"/>
  <c r="J47" i="2"/>
  <c r="J46" i="2"/>
  <c r="J45" i="2"/>
  <c r="H48" i="2"/>
  <c r="A13" i="14" s="1"/>
  <c r="H47" i="2"/>
  <c r="A12" i="14" s="1"/>
  <c r="H46" i="2"/>
  <c r="A10" i="14" s="1"/>
  <c r="H45" i="2"/>
  <c r="A9" i="14" s="1"/>
  <c r="F55" i="2"/>
  <c r="H55" i="2" s="1"/>
  <c r="J55" i="2" s="1"/>
  <c r="F54" i="2"/>
  <c r="H54" i="2" s="1"/>
  <c r="J54" i="2" s="1"/>
  <c r="F53" i="2"/>
  <c r="H53" i="2" s="1"/>
  <c r="J53"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E28" i="8" l="1"/>
  <c r="E29" i="8"/>
  <c r="E30" i="8"/>
  <c r="E31" i="8"/>
  <c r="E32" i="8"/>
  <c r="E35" i="8"/>
  <c r="E36" i="8"/>
  <c r="E39" i="8"/>
  <c r="E40" i="8"/>
  <c r="E41" i="8"/>
  <c r="E42" i="8"/>
  <c r="E10" i="8"/>
  <c r="E11" i="8"/>
  <c r="E12" i="8"/>
  <c r="E13" i="8"/>
  <c r="E14" i="8"/>
  <c r="E15" i="8"/>
  <c r="E18" i="8"/>
  <c r="E16" i="8"/>
  <c r="E17" i="8"/>
  <c r="E19" i="8"/>
  <c r="E20" i="8"/>
  <c r="E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<sst xmlns="http://schemas.openxmlformats.org/spreadsheetml/2006/main" count="3763" uniqueCount="645">
  <si>
    <t>Postgraduate Teaching</t>
  </si>
  <si>
    <t>TableCourses</t>
  </si>
  <si>
    <t>Choose your Course</t>
  </si>
  <si>
    <t>UDC</t>
  </si>
  <si>
    <t>SM Version</t>
  </si>
  <si>
    <t>SM Effective Date</t>
  </si>
  <si>
    <t>Akari Iteration</t>
  </si>
  <si>
    <t>Akari Effective Date</t>
  </si>
  <si>
    <t>Credit Points</t>
  </si>
  <si>
    <t>SM Availabilities</t>
  </si>
  <si>
    <t>Notes</t>
  </si>
  <si>
    <t>Graduate Certificate in Education (OpenUnis CSP)</t>
  </si>
  <si>
    <t>OC-EDUCS1</t>
  </si>
  <si>
    <t>v.1</t>
  </si>
  <si>
    <t>100 credit points required</t>
  </si>
  <si>
    <t>SP1; SP2; SP3; SP4</t>
  </si>
  <si>
    <t>Graduate Certificate in Education (OpenUnis)</t>
  </si>
  <si>
    <t>OC-EDUC</t>
  </si>
  <si>
    <t>Graduate Certificate in Higher Education Innovative Learning and Teaching (OpenUnis CSP)</t>
  </si>
  <si>
    <t>OC-EDHE1</t>
  </si>
  <si>
    <t>Graduate Certificate in Higher Education Innovative Learning and Teaching (OpenUnis)</t>
  </si>
  <si>
    <t>OC-EDHE</t>
  </si>
  <si>
    <t>Graduate Certificate in Teaching English to Speakers of Other Languages (TESOL) (OpenUnis CSP)</t>
  </si>
  <si>
    <t>OC-TESOL1</t>
  </si>
  <si>
    <t>Graduate Certificate in Teaching English to Speakers of Other Languages (TESOL) (OpenUnis)</t>
  </si>
  <si>
    <t>OC-TESOL</t>
  </si>
  <si>
    <t>v.2</t>
  </si>
  <si>
    <t>Graduate Diploma in Education (OpenUnis)</t>
  </si>
  <si>
    <t>OG-EDUC</t>
  </si>
  <si>
    <t>200 credit points required</t>
  </si>
  <si>
    <t>SP1 only</t>
  </si>
  <si>
    <t>Graduate Diploma in Education (OpenUnis CSP)</t>
  </si>
  <si>
    <t>OG-EDUC1</t>
  </si>
  <si>
    <t>Master of Arts (Applied Linguistics) (OpenUnis)</t>
  </si>
  <si>
    <t>OM-APLING</t>
  </si>
  <si>
    <t>Master of Education (OpenUnis)</t>
  </si>
  <si>
    <t>OM-EDUC</t>
  </si>
  <si>
    <t>Master of Teaching (OpenUnis)</t>
  </si>
  <si>
    <t>OM-TEACH1</t>
  </si>
  <si>
    <t>400 credit points required</t>
  </si>
  <si>
    <t>OW-TEACH1</t>
  </si>
  <si>
    <t>TableMajorsMTeach</t>
  </si>
  <si>
    <t>Choose your Major</t>
  </si>
  <si>
    <t>Early Childhood Education Major (MTeach OpenUnis)</t>
  </si>
  <si>
    <t>OUMP-TCHEC</t>
  </si>
  <si>
    <t>Primary Education Major (MTeach OpenUnis)</t>
  </si>
  <si>
    <t>OUMP-TCHPE</t>
  </si>
  <si>
    <t>Secondary Education Major (MTeach OpenUnis)</t>
  </si>
  <si>
    <t>OUMP-TCHSE</t>
  </si>
  <si>
    <t>v.3</t>
  </si>
  <si>
    <t>TableMajorsGradDip</t>
  </si>
  <si>
    <t>Primary Education Major (GradDipEdu OpenUnis)</t>
  </si>
  <si>
    <t>OUMP-EDUPR</t>
  </si>
  <si>
    <t>Secondary Education Major (GradDipEdu OpenUnis)</t>
  </si>
  <si>
    <t>OUMP-EDUSC</t>
  </si>
  <si>
    <t>TableSpecialisationsOMEDUC</t>
  </si>
  <si>
    <t>Choose your MEd Specialisation (drop-down list)</t>
  </si>
  <si>
    <t>No Specialisation - study 4 Option subjects</t>
  </si>
  <si>
    <t>OSEP-None</t>
  </si>
  <si>
    <t>Cultural and Linguistic Diversity Specialisation (MEd OpenUnis)</t>
  </si>
  <si>
    <t>OSEP-CULIN</t>
  </si>
  <si>
    <t>Innovative Learning and Teaching Specialisation (MEd OpenUnis)</t>
  </si>
  <si>
    <t>OSEP-LNTCH</t>
  </si>
  <si>
    <t>Innovative STEM Education Specialisation (MEd OpenUnis)</t>
  </si>
  <si>
    <t>OSEP-STEME</t>
  </si>
  <si>
    <t>TableFocusOCEDUC</t>
  </si>
  <si>
    <t>Choose your Focus Area (drop-down list)</t>
  </si>
  <si>
    <t>Introduction to Learning and Teaching Principles</t>
  </si>
  <si>
    <t>FOC-LTP</t>
  </si>
  <si>
    <t>Introduction to Early Childhood Education</t>
  </si>
  <si>
    <t>FOC-ECE</t>
  </si>
  <si>
    <t>Introduction to Primary Education</t>
  </si>
  <si>
    <t>FOC-PRI</t>
  </si>
  <si>
    <t>Customise your degree</t>
  </si>
  <si>
    <t>FOC-CYD</t>
  </si>
  <si>
    <t>TableStudyPeriods</t>
  </si>
  <si>
    <t>Choose your commencing study period (drop-down list)</t>
  </si>
  <si>
    <t>START</t>
  </si>
  <si>
    <t>Next</t>
  </si>
  <si>
    <t>Next2</t>
  </si>
  <si>
    <t>Next3</t>
  </si>
  <si>
    <t>Study Period 1 (February - May)</t>
  </si>
  <si>
    <t>SP1</t>
  </si>
  <si>
    <t>SP2</t>
  </si>
  <si>
    <t>SP3</t>
  </si>
  <si>
    <t>SP4</t>
  </si>
  <si>
    <t>Study Period 2 (May - August)</t>
  </si>
  <si>
    <t>Study Period 3 (August - November)</t>
  </si>
  <si>
    <t>Study Period 4 (November - February)</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</si>
  <si>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</si>
  <si>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</si>
  <si>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</si>
  <si>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</si>
  <si>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</si>
  <si>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</si>
  <si>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</si>
  <si>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</si>
  <si>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</si>
  <si>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Ver</t>
  </si>
  <si>
    <t>OUA Cd</t>
  </si>
  <si>
    <t>Title</t>
  </si>
  <si>
    <t>Credits</t>
  </si>
  <si>
    <t>Pre-reqs (11/11/2025)</t>
  </si>
  <si>
    <t>-</t>
  </si>
  <si>
    <t>Please note this is a Double (50CP) subject</t>
  </si>
  <si>
    <t>--</t>
  </si>
  <si>
    <t>Not relevant to this study sequence</t>
  </si>
  <si>
    <t>---</t>
  </si>
  <si>
    <t>No unit available</t>
  </si>
  <si>
    <t>AC-TESOL</t>
  </si>
  <si>
    <t>Study either TESOL501 or TESOL505 (see below)</t>
  </si>
  <si>
    <t>See below</t>
  </si>
  <si>
    <t>EDEC5012</t>
  </si>
  <si>
    <t>MTEC506</t>
  </si>
  <si>
    <t>Numeracy for Birth to 4 Year-Olds</t>
  </si>
  <si>
    <t>Nil</t>
  </si>
  <si>
    <t>EDEC5013</t>
  </si>
  <si>
    <t>MTEC501</t>
  </si>
  <si>
    <t>Early Childhood Professional Experience 1: Planning and Documentation</t>
  </si>
  <si>
    <t>MTPS500</t>
  </si>
  <si>
    <t>EDEC5015</t>
  </si>
  <si>
    <t>MTEC502</t>
  </si>
  <si>
    <t>Early Childhood Professional Experience 2: Planning for Writing, Assessment and Reporting</t>
  </si>
  <si>
    <t>MTEC501* + MTC510</t>
  </si>
  <si>
    <t>S1 has MTEC501 Concurrent, Akari does not.</t>
  </si>
  <si>
    <t>EDEC5016</t>
  </si>
  <si>
    <t>MTEC503</t>
  </si>
  <si>
    <t>Numeracy for 5 to 8 Year-Olds</t>
  </si>
  <si>
    <t>EDEC5017</t>
  </si>
  <si>
    <t>MTEC507</t>
  </si>
  <si>
    <t>Family and Community Contexts</t>
  </si>
  <si>
    <t>EDEC5018</t>
  </si>
  <si>
    <t>MTEC509</t>
  </si>
  <si>
    <t>Creative and Media Arts in Early Childhood</t>
  </si>
  <si>
    <t>EDEC5019</t>
  </si>
  <si>
    <t>MTEC508</t>
  </si>
  <si>
    <t>Humanities and Science in Early Childhood</t>
  </si>
  <si>
    <t>EDEC5020</t>
  </si>
  <si>
    <t>MTEC504</t>
  </si>
  <si>
    <t>Health, Safety and Physical Education in Early Childhood</t>
  </si>
  <si>
    <t>EDEC6002</t>
  </si>
  <si>
    <t>MTEC600</t>
  </si>
  <si>
    <t>Early Literacies and Play-Based Pedagogies</t>
  </si>
  <si>
    <t>EDEC6004</t>
  </si>
  <si>
    <t>MTEC610</t>
  </si>
  <si>
    <t>Philosophy, Management and Leadership in Early Childhood Education and Care</t>
  </si>
  <si>
    <t>EDHE5001</t>
  </si>
  <si>
    <t xml:space="preserve">EDHE501 </t>
  </si>
  <si>
    <t>The Learning Cycle: Design and Curriculum</t>
  </si>
  <si>
    <t>EDHE5002</t>
  </si>
  <si>
    <t xml:space="preserve">EDHE502 </t>
  </si>
  <si>
    <t>Design Thinking and Educational Innovation</t>
  </si>
  <si>
    <t>EDHE5004</t>
  </si>
  <si>
    <t xml:space="preserve">EDHE504 </t>
  </si>
  <si>
    <t>Research for the Scholarship of Learning and Teaching</t>
  </si>
  <si>
    <t>EDHE5005</t>
  </si>
  <si>
    <t xml:space="preserve">EDHE505 </t>
  </si>
  <si>
    <t>Teaching Portfolio</t>
  </si>
  <si>
    <t>EDPR5010</t>
  </si>
  <si>
    <t>MTP501</t>
  </si>
  <si>
    <t>Teaching Number, Algebra and Probability in the Primary Years</t>
  </si>
  <si>
    <t>EDPR5011</t>
  </si>
  <si>
    <t>MTP502</t>
  </si>
  <si>
    <t>Primary Professional Experience 1: Planning for Writing</t>
  </si>
  <si>
    <t>EDPR5012</t>
  </si>
  <si>
    <t>MTP505</t>
  </si>
  <si>
    <t>Teaching Science in the Primary Years</t>
  </si>
  <si>
    <t>EDPR5013</t>
  </si>
  <si>
    <t>MTP506</t>
  </si>
  <si>
    <t>Primary Professional Experience 2: Assessment and Reporting</t>
  </si>
  <si>
    <t>EDPR5015</t>
  </si>
  <si>
    <t>MTP508</t>
  </si>
  <si>
    <t>Statistics For Educators</t>
  </si>
  <si>
    <t>EDPR5016</t>
  </si>
  <si>
    <t>MTP509</t>
  </si>
  <si>
    <t>Teaching Arts in the Primary Years</t>
  </si>
  <si>
    <t>EDPR5017</t>
  </si>
  <si>
    <t>MTP504</t>
  </si>
  <si>
    <t>Teaching Humanities and Social Sciences in the Primary Years</t>
  </si>
  <si>
    <t>EDPR6001</t>
  </si>
  <si>
    <t>MTP600</t>
  </si>
  <si>
    <t>Extending English in the Primary Years</t>
  </si>
  <si>
    <t>EDSC5037</t>
  </si>
  <si>
    <t>MTS500</t>
  </si>
  <si>
    <t>Teaching in the Secondary School</t>
  </si>
  <si>
    <t>EDSC5038</t>
  </si>
  <si>
    <t>MTS501</t>
  </si>
  <si>
    <t>Literacy and Numeracy across the Curriculum</t>
  </si>
  <si>
    <t>EDSC5039</t>
  </si>
  <si>
    <t>MTS502</t>
  </si>
  <si>
    <t>Secondary Professional Experience 1: Planning</t>
  </si>
  <si>
    <t>EDSC5040</t>
  </si>
  <si>
    <t>MTS503</t>
  </si>
  <si>
    <t>Managing the Learning Environment</t>
  </si>
  <si>
    <t>EDSC5041</t>
  </si>
  <si>
    <t>MTS506</t>
  </si>
  <si>
    <t>Curriculum and Instruction Lower Secondary: The Arts</t>
  </si>
  <si>
    <t>EDSC5042</t>
  </si>
  <si>
    <t>MTS507</t>
  </si>
  <si>
    <t>Curriculum and Instruction Lower Secondary: English</t>
  </si>
  <si>
    <t>EDSC5043</t>
  </si>
  <si>
    <t>MTS508</t>
  </si>
  <si>
    <t>Curriculum and Instruction Lower Secondary: Humanities and Social Sciences</t>
  </si>
  <si>
    <t>EDSC5044</t>
  </si>
  <si>
    <t>MTS509</t>
  </si>
  <si>
    <t>Curriculum and Instruction Lower Secondary: Mathematics</t>
  </si>
  <si>
    <t>EDSC5045</t>
  </si>
  <si>
    <t>MTS510</t>
  </si>
  <si>
    <t>Curriculum and Instruction Lower Secondary: Science</t>
  </si>
  <si>
    <t>EDSC5046</t>
  </si>
  <si>
    <t>MTS511</t>
  </si>
  <si>
    <t>Curriculum and Instruction Senior Secondary: The Arts</t>
  </si>
  <si>
    <t>EDSC5048</t>
  </si>
  <si>
    <t>MTS513</t>
  </si>
  <si>
    <t>Curriculum and Instruction Senior Secondary: Humanities and Social Sciences</t>
  </si>
  <si>
    <t>EDSC5049</t>
  </si>
  <si>
    <t>MTS514</t>
  </si>
  <si>
    <t>Curriculum and Instruction Senior Secondary: Mathematics</t>
  </si>
  <si>
    <t>EDSC5050</t>
  </si>
  <si>
    <t>MTS515</t>
  </si>
  <si>
    <t>Curriculum and Instruction Senior Secondary: Science</t>
  </si>
  <si>
    <t>EDSC5051</t>
  </si>
  <si>
    <t>MTS504</t>
  </si>
  <si>
    <t>Secondary Professional Experience 2: Assessment and Reporting</t>
  </si>
  <si>
    <t>EDSC5054</t>
  </si>
  <si>
    <t>MTS512</t>
  </si>
  <si>
    <t>Curriculum and Instruction Senior Secondary: English</t>
  </si>
  <si>
    <t>EDSC5056</t>
  </si>
  <si>
    <t>MTS516</t>
  </si>
  <si>
    <t>Curriculum and Instruction Lower Secondary: Health and Physical Education</t>
  </si>
  <si>
    <t>EDSC5058</t>
  </si>
  <si>
    <t>MTS517</t>
  </si>
  <si>
    <t>Curriculum and Instruction Senior Secondary: Health and Physical Education</t>
  </si>
  <si>
    <t>EDSC5060</t>
  </si>
  <si>
    <t>MTS520</t>
  </si>
  <si>
    <t>Integrated Practice in the Secondary School</t>
  </si>
  <si>
    <t>EDSC6001</t>
  </si>
  <si>
    <t>MTS600</t>
  </si>
  <si>
    <t>Research-Based Inquiry to Enhance Practice</t>
  </si>
  <si>
    <t>EDUC5012</t>
  </si>
  <si>
    <t>Theories of Development and Learning</t>
  </si>
  <si>
    <t>EDUC5013</t>
  </si>
  <si>
    <t>MTP503</t>
  </si>
  <si>
    <t>Developing Positive Learning Environments</t>
  </si>
  <si>
    <t>EDUC5014</t>
  </si>
  <si>
    <t>MTPS501</t>
  </si>
  <si>
    <t>Pedagogies for Diversity</t>
  </si>
  <si>
    <t>EDUC5017</t>
  </si>
  <si>
    <t>MTPS504</t>
  </si>
  <si>
    <t>Creative Technologies</t>
  </si>
  <si>
    <t>EDUC5020</t>
  </si>
  <si>
    <t>TESOL503</t>
  </si>
  <si>
    <t>Introduction to Language</t>
  </si>
  <si>
    <t>EDUC5022</t>
  </si>
  <si>
    <t>TESOL501</t>
  </si>
  <si>
    <t>Materials Design and Assessment</t>
  </si>
  <si>
    <t>EDUC5024</t>
  </si>
  <si>
    <t>TESOL502</t>
  </si>
  <si>
    <t>Teaching English to Speakers of Other Languages Methodologies</t>
  </si>
  <si>
    <t>EDUC5026</t>
  </si>
  <si>
    <t>TESOL504</t>
  </si>
  <si>
    <t>Transcultural Communication</t>
  </si>
  <si>
    <t>EDUC5029</t>
  </si>
  <si>
    <t>TESOL505</t>
  </si>
  <si>
    <t>Language Teaching Practice</t>
  </si>
  <si>
    <t>EDUC5032</t>
  </si>
  <si>
    <t>MTC510</t>
  </si>
  <si>
    <t>Introduction to English: Reading</t>
  </si>
  <si>
    <t>EDUC5034</t>
  </si>
  <si>
    <t>MTC520</t>
  </si>
  <si>
    <t>Mentoring, Coaching and Tutoring</t>
  </si>
  <si>
    <t>EDUC6026</t>
  </si>
  <si>
    <t>EDML501</t>
  </si>
  <si>
    <t>Language Teaching Methodologies</t>
  </si>
  <si>
    <t>EDUC6028</t>
  </si>
  <si>
    <t>EDML503</t>
  </si>
  <si>
    <t>Language Teaching Course Design and Assessment</t>
  </si>
  <si>
    <t>EDUC6034</t>
  </si>
  <si>
    <t>EDMC500</t>
  </si>
  <si>
    <t>Perspectives on Educational Research</t>
  </si>
  <si>
    <t>EDUC6036</t>
  </si>
  <si>
    <t>EDMC502</t>
  </si>
  <si>
    <t>Negotiated Capstone Project</t>
  </si>
  <si>
    <t>EDMC500 or EDML550</t>
  </si>
  <si>
    <t>EDUC6042</t>
  </si>
  <si>
    <t>EDML540</t>
  </si>
  <si>
    <t>Special Topics in Applied Linguistics</t>
  </si>
  <si>
    <t>EDUC6043</t>
  </si>
  <si>
    <t>EDML550</t>
  </si>
  <si>
    <t>Research Methods in Applied Linguistics</t>
  </si>
  <si>
    <t>EDUC6047</t>
  </si>
  <si>
    <t>EDMC600</t>
  </si>
  <si>
    <t>Education in the Post-Truth Era</t>
  </si>
  <si>
    <t>EDUC6049</t>
  </si>
  <si>
    <t>EDMS610</t>
  </si>
  <si>
    <t>Designing STEM Integration</t>
  </si>
  <si>
    <t>EDUC6051</t>
  </si>
  <si>
    <t>EDMP600</t>
  </si>
  <si>
    <t>Education for a Future: Learning for Sustainability</t>
  </si>
  <si>
    <t>EDUC6053</t>
  </si>
  <si>
    <t>EDMP610</t>
  </si>
  <si>
    <t>Emerging Technologies and the Future of Learning</t>
  </si>
  <si>
    <t>EDUC6055</t>
  </si>
  <si>
    <t>EDMP620</t>
  </si>
  <si>
    <t>Empowering Learners Through Social Justice Leadership</t>
  </si>
  <si>
    <t>EDUC6057</t>
  </si>
  <si>
    <t>EDML600</t>
  </si>
  <si>
    <t>Leading Learning in Multilingual Contexts</t>
  </si>
  <si>
    <t>EDUC6059</t>
  </si>
  <si>
    <t>EDMP630</t>
  </si>
  <si>
    <t>Pedagogies for Learner and Community Diversity</t>
  </si>
  <si>
    <t>EDUC6061</t>
  </si>
  <si>
    <t>EDMS600</t>
  </si>
  <si>
    <t>Becoming a Leader of STEM Education</t>
  </si>
  <si>
    <t>EDUC6063</t>
  </si>
  <si>
    <t>MTC600</t>
  </si>
  <si>
    <t>Professional Experience 3: Using Data to Inform Teaching and Learning</t>
  </si>
  <si>
    <t>MTEC502 or MTP506 or MTS504</t>
  </si>
  <si>
    <t>EDUC6065</t>
  </si>
  <si>
    <t>MTC610</t>
  </si>
  <si>
    <t>Professional Experience 4: Transition into the Profession</t>
  </si>
  <si>
    <t>EDUC6067</t>
  </si>
  <si>
    <t>MTC620</t>
  </si>
  <si>
    <t>Schooling and Australian Society</t>
  </si>
  <si>
    <t>First Teaching Area Subjects</t>
  </si>
  <si>
    <t>Select optional units (see option list) to the value of:</t>
  </si>
  <si>
    <t>FTA</t>
  </si>
  <si>
    <t>First Teaching Area subjects (study Lower before Senior)</t>
  </si>
  <si>
    <t>FTAL</t>
  </si>
  <si>
    <t>First Teaching Area LOWER subject (see below)</t>
  </si>
  <si>
    <t>FTAS</t>
  </si>
  <si>
    <t>First Teaching Area SENIOR subject (see below)</t>
  </si>
  <si>
    <t>GDTAL</t>
  </si>
  <si>
    <t>Teaching Area LOWER subject (see below)</t>
  </si>
  <si>
    <t>GDTAS</t>
  </si>
  <si>
    <t>Teaching Area SENIOR subject (see below)</t>
  </si>
  <si>
    <t>LING6008</t>
  </si>
  <si>
    <t>EDML502</t>
  </si>
  <si>
    <t>Language in Society</t>
  </si>
  <si>
    <t>LING6009</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</si>
  <si>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</si>
  <si>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</si>
  <si>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</si>
  <si>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</si>
  <si>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</si>
  <si>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</si>
  <si>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</si>
  <si>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</si>
  <si>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</si>
  <si>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</si>
  <si>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SpecElec</t>
  </si>
  <si>
    <t>Study a Specified Elective from the list below</t>
  </si>
  <si>
    <t>STA</t>
  </si>
  <si>
    <t>Second Teaching Area subjects (study Lower before Senior OR MTC520 before MTS520)</t>
  </si>
  <si>
    <t>STAL</t>
  </si>
  <si>
    <t>Second Teaching Area LOWER subject (see below)</t>
  </si>
  <si>
    <t>STAS</t>
  </si>
  <si>
    <t>Second Teaching Area SENIOR subject (see below)</t>
  </si>
  <si>
    <t>Structures downloaded from S1 (check instructions before copy/pasting into tables)</t>
  </si>
  <si>
    <t>Downloaded:</t>
  </si>
  <si>
    <t>Master of Teaching (Open Unis)</t>
  </si>
  <si>
    <t>Version</t>
  </si>
  <si>
    <t>OUA Code</t>
  </si>
  <si>
    <t>Unit Title</t>
  </si>
  <si>
    <t>CPs</t>
  </si>
  <si>
    <t>No.</t>
  </si>
  <si>
    <t>Component Type</t>
  </si>
  <si>
    <t>Year Level</t>
  </si>
  <si>
    <t>Study Period</t>
  </si>
  <si>
    <t>Study Package Code</t>
  </si>
  <si>
    <t>Structure Line</t>
  </si>
  <si>
    <t>Effective</t>
  </si>
  <si>
    <t>Discont.</t>
  </si>
  <si>
    <t>Column1</t>
  </si>
  <si>
    <t>Column2</t>
  </si>
  <si>
    <t>AltCore</t>
  </si>
  <si>
    <t>NA</t>
  </si>
  <si>
    <t>Major</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</si>
  <si>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</si>
  <si>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</si>
  <si>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</si>
  <si>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</si>
  <si>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</si>
  <si>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</si>
  <si>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</si>
  <si>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</si>
  <si>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</si>
  <si>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</si>
  <si>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</si>
  <si>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</si>
  <si>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</si>
  <si>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</si>
  <si>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</si>
  <si>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</si>
  <si>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</si>
  <si>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</si>
  <si>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</si>
  <si>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</si>
  <si>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</si>
  <si>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</si>
  <si>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</si>
  <si>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</si>
  <si>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</si>
  <si>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</si>
  <si>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</si>
  <si>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</si>
  <si>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</si>
  <si>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</si>
  <si>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</si>
  <si>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</si>
  <si>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</si>
  <si>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</si>
  <si>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Select the First Teaching Area Subjects</t>
  </si>
  <si>
    <t>MTS600 Research-Based Inquiry to Enhance Practice</t>
  </si>
  <si>
    <t>Select the Second Teaching Area Subjects</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</si>
  <si>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</si>
  <si>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</si>
  <si>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</si>
  <si>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</si>
  <si>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</si>
  <si>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</si>
  <si>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</si>
  <si>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</si>
  <si>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</si>
  <si>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</si>
  <si>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</si>
  <si>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</si>
  <si>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</si>
  <si>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</si>
  <si>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</si>
  <si>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</si>
  <si>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</si>
  <si>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</si>
  <si>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</si>
  <si>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</si>
  <si>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</si>
  <si>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</si>
  <si>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</si>
  <si>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</si>
  <si>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</si>
  <si>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</si>
  <si>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</si>
  <si>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</si>
  <si>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</si>
  <si>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</si>
  <si>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</si>
  <si>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</si>
  <si>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</si>
  <si>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</si>
  <si>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</si>
  <si>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</si>
  <si>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Choose a Major</t>
  </si>
  <si>
    <t>OpenUnis SP 1</t>
  </si>
  <si>
    <t>OpenUnis SP 2</t>
  </si>
  <si>
    <t>OpenUnis SP 3</t>
  </si>
  <si>
    <t>OpenUnis SP 4</t>
  </si>
  <si>
    <t>Opt-EDUSC</t>
  </si>
  <si>
    <t>Choose your optional units</t>
  </si>
  <si>
    <t>Choose 100 credit points of optional units</t>
  </si>
  <si>
    <t>EDHE501 The Learning Cycle: Design and Curriculum</t>
  </si>
  <si>
    <t>EDHE502 Design Thinking and Educational Innovation</t>
  </si>
  <si>
    <t>EDHE504 Research for the Scholarship of Learning and Teaching</t>
  </si>
  <si>
    <t>EDHE505 Teaching Portfolio</t>
  </si>
  <si>
    <t>Row Labels</t>
  </si>
  <si>
    <t>Previous</t>
  </si>
  <si>
    <t>ECE</t>
  </si>
  <si>
    <t>Primary</t>
  </si>
  <si>
    <t>RangeUnitsetsECEPR</t>
  </si>
  <si>
    <t>OUMP-TCHECSP1</t>
  </si>
  <si>
    <t>OUMP-TCHECSP2</t>
  </si>
  <si>
    <t>OUMP-TCHECSP3</t>
  </si>
  <si>
    <t>OUMP-TCHECSP4</t>
  </si>
  <si>
    <t>OUMP-TCHPESP1</t>
  </si>
  <si>
    <t>OUMP-TCHPESP2</t>
  </si>
  <si>
    <t>OUMP-TCHPESP3</t>
  </si>
  <si>
    <t>OUMP-TCHPESP4</t>
  </si>
  <si>
    <t>Y1SP1</t>
  </si>
  <si>
    <t>Y1SP2</t>
  </si>
  <si>
    <t>Y1SP3</t>
  </si>
  <si>
    <t>Y1SP4</t>
  </si>
  <si>
    <t>Y2SP1</t>
  </si>
  <si>
    <t>Y2SP2</t>
  </si>
  <si>
    <t>Y2SP3</t>
  </si>
  <si>
    <t>Y2SP4</t>
  </si>
  <si>
    <t>Y3SP1</t>
  </si>
  <si>
    <t>Y3SP2</t>
  </si>
  <si>
    <t>Y3SP3</t>
  </si>
  <si>
    <t>Y3SP4</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</si>
  <si>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</si>
  <si>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</si>
  <si>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</si>
  <si>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</si>
  <si>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</si>
  <si>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</si>
  <si>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</si>
  <si>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</si>
  <si>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</si>
  <si>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</si>
  <si>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</si>
  <si>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</si>
  <si>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</si>
  <si>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</si>
  <si>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</si>
  <si>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</si>
  <si>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</si>
  <si>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</si>
  <si>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Y1SSP2</t>
  </si>
  <si>
    <t>Y1SSP3</t>
  </si>
  <si>
    <t>Y1SSP4</t>
  </si>
  <si>
    <t>Option1</t>
  </si>
  <si>
    <t>Option2</t>
  </si>
  <si>
    <t>Option3</t>
  </si>
  <si>
    <t>Option4</t>
  </si>
  <si>
    <t>Option5</t>
  </si>
  <si>
    <t>Option6</t>
  </si>
  <si>
    <t>Option7</t>
  </si>
  <si>
    <t>Option8</t>
  </si>
  <si>
    <t>Option9</t>
  </si>
  <si>
    <t>RangeUnitsetsTESOL</t>
  </si>
  <si>
    <t>OC-TESOLSP1</t>
  </si>
  <si>
    <t>OC-TESOLSP2</t>
  </si>
  <si>
    <t>OC-TESOLSP3</t>
  </si>
  <si>
    <t>OC-TESOLSP4</t>
  </si>
  <si>
    <t>OM-APLINGSP1</t>
  </si>
  <si>
    <t>OM-APLINGSP2</t>
  </si>
  <si>
    <t>OM-APLINGSP3</t>
  </si>
  <si>
    <t>OM-APLINGSP4</t>
  </si>
  <si>
    <t>AltCore1</t>
  </si>
  <si>
    <t>AltCore2</t>
  </si>
  <si>
    <t>AltCore3</t>
  </si>
  <si>
    <t>RangeUnitsetsOCEDHE</t>
  </si>
  <si>
    <t>OC-EDHESP1</t>
  </si>
  <si>
    <t>OC-EDHESP2</t>
  </si>
  <si>
    <t>OC-EDHESP3</t>
  </si>
  <si>
    <t>OC-EDHESP4</t>
  </si>
  <si>
    <t>RangeUnitsetsOCEDUC</t>
  </si>
  <si>
    <t>FOC-LTPSP1</t>
  </si>
  <si>
    <t>FOC-LTPSP2</t>
  </si>
  <si>
    <t>FOC-LTPSP3</t>
  </si>
  <si>
    <t>FOC-LTPSP4</t>
  </si>
  <si>
    <t>FOC-ECESP1</t>
  </si>
  <si>
    <t>FOC-ECESP2</t>
  </si>
  <si>
    <t>FOC-ECESP3</t>
  </si>
  <si>
    <t>FOC-ECESP4</t>
  </si>
  <si>
    <t>FOC-PRISP1</t>
  </si>
  <si>
    <t>FOC-PRISP2</t>
  </si>
  <si>
    <t>FOC-PRISP3</t>
  </si>
  <si>
    <t>FOC-PRISP4</t>
  </si>
  <si>
    <t>FOC-CYDSP1</t>
  </si>
  <si>
    <t>FOC-CYDSP2</t>
  </si>
  <si>
    <t>FOC-CYDSP3</t>
  </si>
  <si>
    <t>FOC-CYDSP4</t>
  </si>
  <si>
    <t>Options</t>
  </si>
  <si>
    <t>RangeCourseNotesOCEDUC</t>
  </si>
  <si>
    <t>Content focus: Foundations of learning and teaching. Explore theories of learning and development which underpin learning design; investigate the features of environments that facilitate learning and the role of technologies in effective learning and teaching; develop an appreciation of learner diversity and discover teaching approaches that cater for differences.
Student profile: You have a qualification in a discipline other than Education and want to develop your capabilities as an educator in your existing work context or discipline area.</t>
  </si>
  <si>
    <t>Content focus: Foundations of learning and teaching for young children (aged birth to 8 years). Explore fundamental educational principles with a focus on the early childhood context.
Student profile: You have qualification in a discipline other than Education and are interested in the education of young children. You may be considering pursuing a career as an early childhood educator in a school or early learning centre. If you are considering applying for entry to Master of Teaching (Early Childhood Education) you should choose this Content Focus and enrol in the study sequence shown in this enrolment planner.</t>
  </si>
  <si>
    <t>Content focus: Foundations of learning and teaching for children (aged 5 to 12 years). Explore fundamental educational principles with a focus on the primary school context.
Student profile: You have qualification in a discipline other than Education and are interested in the education of children. You may be considering pursuing a career as a primary school teacher. If you are considering applying for entry to Master of Teaching (Primary Education) you should choose this Content Focus and enrol in the study sequence shown in this enrolment planner.</t>
  </si>
  <si>
    <t xml:space="preserve">Students may fully customise their degree by selecting from the complete list of available subjects. </t>
  </si>
  <si>
    <t>Pre-reqs</t>
  </si>
  <si>
    <t>Availabilities</t>
  </si>
  <si>
    <t>Progress Notes</t>
  </si>
  <si>
    <r>
      <t>Curtin University</t>
    </r>
    <r>
      <rPr>
        <sz val="11"/>
        <color theme="0"/>
        <rFont val="Arial"/>
        <family val="2"/>
      </rPr>
      <t xml:space="preserve">
School of Education</t>
    </r>
  </si>
  <si>
    <t>2026 Full-Time Enrolment Planner</t>
  </si>
  <si>
    <t>Course:</t>
  </si>
  <si>
    <t>Course version:</t>
  </si>
  <si>
    <t>Major:</t>
  </si>
  <si>
    <t>Major version:</t>
  </si>
  <si>
    <t>Commencing:</t>
  </si>
  <si>
    <t>Credits to Complete:</t>
  </si>
  <si>
    <t>2026 Availabilities</t>
  </si>
  <si>
    <t>Year 1</t>
  </si>
  <si>
    <t>Pre Requisite(s)</t>
  </si>
  <si>
    <t>CP</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</si>
  <si>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</si>
  <si>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</si>
  <si>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</si>
  <si>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</si>
  <si>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</si>
  <si>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</si>
  <si>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</si>
  <si>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Specialisation:</t>
  </si>
  <si>
    <t>Specialisation version:</t>
  </si>
  <si>
    <t>Specified Electives</t>
  </si>
  <si>
    <t>Alternate Core Subjects</t>
  </si>
  <si>
    <t>Content Focus:</t>
  </si>
  <si>
    <t>Course Notes:</t>
  </si>
  <si>
    <t>Specified Elective Subjects</t>
  </si>
  <si>
    <t>Progress</t>
  </si>
  <si>
    <t>Master of Teaching &amp; Graduate Diploma in Education</t>
  </si>
  <si>
    <t>RangeUnitsetsSec</t>
  </si>
  <si>
    <t>OUMP-TCHSESP1</t>
  </si>
  <si>
    <t>OUMP-TCHSESP2</t>
  </si>
  <si>
    <t>OUMP-TCHSESP3</t>
  </si>
  <si>
    <t>OUMP-TCHSESP4</t>
  </si>
  <si>
    <t>DropDownLists</t>
  </si>
  <si>
    <t>TableFirstTeachingArea</t>
  </si>
  <si>
    <t>First Teaching Area</t>
  </si>
  <si>
    <t>Choose your First Approved Teaching Area (drop-down list)</t>
  </si>
  <si>
    <t>Code</t>
  </si>
  <si>
    <t>The Arts</t>
  </si>
  <si>
    <t>FTAArts</t>
  </si>
  <si>
    <t xml:space="preserve">English </t>
  </si>
  <si>
    <t>FTAEnglish</t>
  </si>
  <si>
    <t>Health and Physical Education (HPE)</t>
  </si>
  <si>
    <t>FTAHPE</t>
  </si>
  <si>
    <t>Humanities and Social Sciences (HASS)</t>
  </si>
  <si>
    <t>FTAHASS</t>
  </si>
  <si>
    <t>Mathematics</t>
  </si>
  <si>
    <t>FTAMaths</t>
  </si>
  <si>
    <t>Science</t>
  </si>
  <si>
    <t>FTAScience</t>
  </si>
  <si>
    <t>Choose your Second Approved Teaching Area (drop-down list)</t>
  </si>
  <si>
    <t>The Arts only (no second teaching area)</t>
  </si>
  <si>
    <t>TableSecondTeachingArea</t>
  </si>
  <si>
    <t>Teaching Area</t>
  </si>
  <si>
    <t>FTAOnly</t>
  </si>
  <si>
    <t>English only (no second teaching area)</t>
  </si>
  <si>
    <t>HPE only (no second teaching area)</t>
  </si>
  <si>
    <t>RangeTeachingAreas</t>
  </si>
  <si>
    <t>HASS only (no second teaching area)</t>
  </si>
  <si>
    <t>FTALower</t>
  </si>
  <si>
    <t>Mathematics only (no second teaching area)</t>
  </si>
  <si>
    <t>FTASenior</t>
  </si>
  <si>
    <t>Science only (no second teaching area)</t>
  </si>
  <si>
    <t>STALower</t>
  </si>
  <si>
    <t>STASenior</t>
  </si>
  <si>
    <t>TableOGEDUCTeachingArea</t>
  </si>
  <si>
    <t>Choose your Approved Teaching Area (drop-down list)</t>
  </si>
  <si>
    <t>RangeUnitsetsOGEDUC</t>
  </si>
  <si>
    <t>OUMP-EDUPRSP1</t>
  </si>
  <si>
    <t>OUMP-EDUPRSP2</t>
  </si>
  <si>
    <t>OUMP-EDUPRSP3</t>
  </si>
  <si>
    <t>OUMP-EDUPRSP4</t>
  </si>
  <si>
    <t>OUMP-EDUSCSP1</t>
  </si>
  <si>
    <t>OUMP-EDUSCSP2</t>
  </si>
  <si>
    <t>OUMP-EDUSCSP3</t>
  </si>
  <si>
    <t>OUMP-EDUSCSP4</t>
  </si>
  <si>
    <t>RangeUnitsetsOGEDUCAcc</t>
  </si>
  <si>
    <t>First Teaching Area:</t>
  </si>
  <si>
    <t>Second Teaching Area:</t>
  </si>
  <si>
    <t>Teaching Area Subjects</t>
  </si>
  <si>
    <t>Teaching Area:</t>
  </si>
  <si>
    <t>Teaching Area subjects (study Lower before Senior)</t>
  </si>
  <si>
    <t>Master of Teaching (OpenUnis CSP)</t>
  </si>
  <si>
    <t>Checking course availabilities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</si>
</sst>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
      <b/>
      <sz val="11"/>
      <color rgb="FFFF0000"/>
      <name val="Calibri"/>
      <family val="2"/>
      <scheme val="minor"/>
    </font>
    <font>
      <sz val="8"/>
      <color theme="0" tint="-0.249977111117893"/>
      <name val="Arial"/>
      <family val="2"/>
    </font>
    <font>
      <sz val="11"/>
      <color rgb="FF000000"/>
      <name val="Calibri"/>
      <family val="2"/>
      <scheme val="minor"/>
    </font>
    <font>
      <b/>
      <i/>
      <sz val="12"/>
      <name val="Calibri"/>
      <family val="2"/>
      <scheme val="minor"/>
    </font>
    <font>
      <b/>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
      <left/>
      <right/>
      <top style="thin">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8" fillId="12" borderId="0" applyNumberFormat="0" applyBorder="0" applyAlignment="0" applyProtection="0"/>
  </cellStyleXfs>
  <cellXfs count="390">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0" fillId="0" borderId="20"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19"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19"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44" fillId="2" borderId="0" xfId="1" applyFont="1" applyFill="1" applyAlignment="1">
      <alignment vertical="center"/>
    </xf>
    <xf numFmtId="0" fontId="45" fillId="2" borderId="0" xfId="1" applyFont="1" applyFill="1" applyAlignment="1">
      <alignment vertical="center"/>
    </xf>
    <xf numFmtId="0" fontId="23" fillId="8" borderId="21" xfId="1" applyFont="1" applyFill="1" applyBorder="1" applyAlignment="1">
      <alignment horizontal="left" vertical="center"/>
    </xf>
    <xf numFmtId="0" fontId="18" fillId="0" borderId="0" xfId="1" applyFont="1" applyAlignment="1">
      <alignment horizontal="center"/>
    </xf>
    <xf numFmtId="0" fontId="18" fillId="0" borderId="0" xfId="1" applyFont="1"/>
    <xf numFmtId="0" fontId="46" fillId="0" borderId="0" xfId="1" applyFont="1" applyAlignment="1">
      <alignment horizontal="center"/>
    </xf>
    <xf numFmtId="0" fontId="23" fillId="8" borderId="0" xfId="1" applyFont="1" applyFill="1" applyAlignment="1">
      <alignment horizontal="left" vertical="center"/>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8"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49" fillId="2" borderId="0" xfId="1" applyFont="1" applyFill="1" applyAlignment="1">
      <alignment vertical="center"/>
    </xf>
    <xf numFmtId="0" fontId="2" fillId="3" borderId="22"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50"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1" fillId="0" borderId="0" xfId="0" applyFont="1" applyAlignment="1" applyProtection="1">
      <alignment horizontal="left"/>
      <protection locked="0"/>
    </xf>
    <xf numFmtId="0" fontId="51"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2" fillId="7" borderId="0" xfId="1" applyFont="1" applyFill="1" applyAlignment="1">
      <alignment horizontal="left" vertical="center" readingOrder="1"/>
    </xf>
    <xf numFmtId="0" fontId="9" fillId="0" borderId="0" xfId="1" applyFont="1"/>
    <xf numFmtId="0" fontId="53" fillId="0" borderId="6" xfId="0" applyFont="1" applyBorder="1" applyAlignment="1" applyProtection="1">
      <alignment horizontal="center" vertical="center"/>
      <protection locked="0"/>
    </xf>
    <xf numFmtId="0" fontId="53" fillId="0" borderId="7" xfId="0" quotePrefix="1"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0" fillId="0" borderId="0" xfId="0" applyAlignment="1">
      <alignment wrapText="1"/>
    </xf>
    <xf numFmtId="14" fontId="55" fillId="0" borderId="0" xfId="0" applyNumberFormat="1" applyFont="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6" fillId="0" borderId="0" xfId="1" applyFont="1" applyAlignment="1">
      <alignment horizontal="right" vertical="center"/>
    </xf>
    <xf numFmtId="14" fontId="36" fillId="2" borderId="0" xfId="1" applyNumberFormat="1" applyFont="1" applyFill="1" applyAlignment="1">
      <alignment horizontal="right" vertical="center"/>
    </xf>
    <xf numFmtId="0" fontId="53" fillId="0" borderId="7" xfId="0" applyFont="1" applyBorder="1" applyAlignment="1" applyProtection="1">
      <alignment horizontal="center" vertical="center"/>
      <protection locked="0"/>
    </xf>
    <xf numFmtId="0" fontId="44" fillId="9" borderId="0" xfId="1" applyFont="1" applyFill="1" applyAlignment="1">
      <alignment vertical="center"/>
    </xf>
    <xf numFmtId="0" fontId="19" fillId="11" borderId="13" xfId="1" applyFont="1" applyFill="1" applyBorder="1" applyAlignment="1">
      <alignment vertical="center"/>
    </xf>
    <xf numFmtId="0" fontId="19" fillId="11" borderId="14" xfId="1" applyFont="1" applyFill="1" applyBorder="1" applyAlignment="1">
      <alignment vertical="center"/>
    </xf>
    <xf numFmtId="0" fontId="54" fillId="11" borderId="14" xfId="1" applyFont="1" applyFill="1" applyBorder="1" applyAlignment="1">
      <alignment horizontal="right" vertical="center"/>
    </xf>
    <xf numFmtId="0" fontId="54"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7"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14" fontId="60" fillId="0" borderId="0" xfId="0" applyNumberFormat="1" applyFont="1"/>
    <xf numFmtId="14" fontId="58" fillId="12" borderId="0" xfId="3" applyNumberFormat="1" applyAlignment="1">
      <alignment horizontal="center"/>
    </xf>
    <xf numFmtId="0" fontId="23" fillId="8" borderId="25" xfId="1" applyFont="1" applyFill="1" applyBorder="1" applyAlignment="1">
      <alignment horizontal="center" vertical="center" wrapText="1"/>
    </xf>
    <xf numFmtId="0" fontId="23" fillId="8"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43" fillId="11" borderId="29" xfId="1" applyFont="1" applyFill="1" applyBorder="1" applyAlignment="1">
      <alignment horizontal="center" vertical="center" wrapText="1"/>
    </xf>
    <xf numFmtId="0" fontId="43" fillId="11"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0" borderId="27" xfId="1" applyFont="1" applyBorder="1" applyAlignment="1">
      <alignment horizontal="center" vertical="center" wrapText="1"/>
    </xf>
    <xf numFmtId="0" fontId="22" fillId="0" borderId="28" xfId="1" applyFont="1" applyBorder="1" applyAlignment="1">
      <alignment horizontal="center" vertical="center" wrapText="1"/>
    </xf>
    <xf numFmtId="0" fontId="22" fillId="0" borderId="32" xfId="1" applyFont="1" applyBorder="1" applyAlignment="1">
      <alignment horizontal="center" vertical="center" wrapText="1"/>
    </xf>
    <xf numFmtId="0" fontId="22" fillId="2" borderId="32" xfId="1" applyFont="1" applyFill="1" applyBorder="1" applyAlignment="1">
      <alignment horizontal="center" vertical="center" wrapText="1"/>
    </xf>
    <xf numFmtId="0" fontId="43" fillId="4" borderId="29" xfId="1" applyFont="1" applyFill="1" applyBorder="1" applyAlignment="1">
      <alignment horizontal="center" vertical="center" wrapText="1"/>
    </xf>
    <xf numFmtId="0" fontId="43" fillId="4" borderId="30" xfId="1" applyFont="1" applyFill="1" applyBorder="1" applyAlignment="1">
      <alignment horizontal="center" vertical="center" wrapText="1"/>
    </xf>
    <xf numFmtId="0" fontId="43" fillId="11" borderId="33" xfId="1" applyFont="1" applyFill="1" applyBorder="1" applyAlignment="1">
      <alignment horizontal="center" vertical="center" wrapText="1"/>
    </xf>
    <xf numFmtId="0" fontId="22" fillId="9" borderId="27" xfId="1" applyFont="1" applyFill="1" applyBorder="1" applyAlignment="1">
      <alignment horizontal="center" vertical="center" wrapText="1"/>
    </xf>
    <xf numFmtId="0" fontId="22" fillId="9" borderId="2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61"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59" fillId="6" borderId="0" xfId="0" applyFont="1" applyFill="1"/>
    <xf numFmtId="0" fontId="10" fillId="10" borderId="0" xfId="0" applyFont="1" applyFill="1"/>
    <xf numFmtId="0" fontId="20" fillId="2" borderId="1" xfId="1" applyFont="1" applyFill="1" applyBorder="1" applyAlignment="1">
      <alignment horizontal="right" vertical="center"/>
    </xf>
    <xf numFmtId="0" fontId="22" fillId="2" borderId="34" xfId="1" applyFont="1" applyFill="1" applyBorder="1" applyAlignment="1">
      <alignment horizontal="centerContinuous" vertical="center" wrapText="1"/>
    </xf>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62" fillId="7" borderId="0" xfId="1" applyFont="1" applyFill="1" applyAlignment="1">
      <alignment horizontal="right" vertical="center"/>
    </xf>
    <xf numFmtId="0" fontId="45" fillId="2" borderId="34" xfId="1" applyFont="1" applyFill="1" applyBorder="1" applyAlignment="1">
      <alignment horizontal="centerContinuous" vertical="center" wrapText="1"/>
    </xf>
    <xf numFmtId="0" fontId="20" fillId="2" borderId="34" xfId="1" applyFont="1" applyFill="1" applyBorder="1" applyAlignment="1">
      <alignment horizontal="centerContinuous" vertical="center" wrapText="1"/>
    </xf>
    <xf numFmtId="0" fontId="22" fillId="0" borderId="34" xfId="1" applyFont="1" applyBorder="1" applyAlignment="1" applyProtection="1">
      <alignment horizontal="centerContinuous" vertical="top" wrapText="1"/>
      <protection locked="0"/>
    </xf>
    <xf numFmtId="0" fontId="22" fillId="0" borderId="2" xfId="1" applyFont="1" applyBorder="1" applyAlignment="1" applyProtection="1">
      <alignment horizontal="centerContinuous" vertical="top" wrapText="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36" fillId="2" borderId="0" xfId="1" applyFont="1" applyFill="1" applyAlignment="1">
      <alignment vertical="center"/>
    </xf>
    <xf numFmtId="0" fontId="63" fillId="0" borderId="4"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6" xfId="0" quotePrefix="1" applyFont="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7" xfId="0" quotePrefix="1" applyFont="1" applyBorder="1" applyAlignment="1" applyProtection="1">
      <alignment horizontal="center" vertical="center"/>
      <protection locked="0"/>
    </xf>
    <xf numFmtId="14" fontId="0" fillId="0" borderId="0" xfId="0" applyNumberForma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14" fontId="8" fillId="13" borderId="0" xfId="0" applyNumberFormat="1" applyFont="1" applyFill="1" applyAlignment="1" applyProtection="1">
      <alignment horizontal="center"/>
      <protection locked="0"/>
    </xf>
    <xf numFmtId="0" fontId="59" fillId="0" borderId="0" xfId="0" applyFont="1" applyAlignment="1" applyProtection="1">
      <alignment horizontal="center"/>
      <protection locked="0"/>
    </xf>
    <xf numFmtId="0" fontId="8" fillId="13" borderId="0" xfId="0" applyFont="1" applyFill="1" applyAlignment="1" applyProtection="1">
      <alignment horizontal="center"/>
      <protection locked="0"/>
    </xf>
    <xf numFmtId="14" fontId="59" fillId="0" borderId="0" xfId="0" applyNumberFormat="1" applyFont="1" applyAlignment="1" applyProtection="1">
      <alignment horizontal="center"/>
      <protection locked="0"/>
    </xf>
    <xf numFmtId="0" fontId="65" fillId="0" borderId="0" xfId="0" applyFont="1"/>
    <xf numFmtId="0" fontId="65" fillId="0" borderId="0" xfId="0" applyFont="1" applyAlignment="1">
      <alignment horizontal="left"/>
    </xf>
    <xf numFmtId="0" fontId="65" fillId="0" borderId="0" xfId="0" applyFont="1" applyAlignment="1">
      <alignment horizontal="center"/>
    </xf>
    <xf numFmtId="0" fontId="65" fillId="0" borderId="0" xfId="0" applyFont="1" applyAlignment="1">
      <alignment horizontal="right"/>
    </xf>
    <xf numFmtId="0" fontId="66" fillId="0" borderId="0" xfId="0" applyFont="1" applyAlignment="1">
      <alignment horizontal="right"/>
    </xf>
    <xf numFmtId="14" fontId="66" fillId="0" borderId="0" xfId="0" applyNumberFormat="1" applyFont="1"/>
    <xf numFmtId="0" fontId="66" fillId="0" borderId="0" xfId="0" applyFont="1"/>
    <xf numFmtId="0" fontId="8" fillId="6" borderId="0" xfId="0" applyFont="1" applyFill="1"/>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9" fillId="0" borderId="0" xfId="1" applyFont="1" applyAlignment="1" applyProtection="1">
      <alignment horizontal="center"/>
    </xf>
    <xf numFmtId="0" fontId="18"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4" fillId="11" borderId="14" xfId="1" applyFont="1" applyFill="1" applyBorder="1" applyAlignment="1" applyProtection="1">
      <alignment horizontal="right" vertical="center"/>
    </xf>
    <xf numFmtId="0" fontId="54"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0" fontId="49" fillId="2" borderId="0" xfId="1" applyFont="1" applyFill="1" applyAlignment="1" applyProtection="1">
      <alignment vertical="center"/>
    </xf>
    <xf numFmtId="14" fontId="22" fillId="2" borderId="0" xfId="1" applyNumberFormat="1" applyFont="1" applyFill="1" applyAlignment="1" applyProtection="1">
      <alignment vertical="center"/>
    </xf>
    <xf numFmtId="0" fontId="44" fillId="2" borderId="0" xfId="1" applyFont="1" applyFill="1" applyAlignment="1" applyProtection="1">
      <alignment vertical="center"/>
    </xf>
    <xf numFmtId="14" fontId="36" fillId="2" borderId="0" xfId="1" applyNumberFormat="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15"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25" xfId="1" applyFont="1" applyFill="1" applyBorder="1" applyAlignment="1" applyProtection="1">
      <alignment horizontal="center" vertical="center" wrapText="1"/>
    </xf>
    <xf numFmtId="0" fontId="23" fillId="8" borderId="26"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3" fillId="11" borderId="29" xfId="1" applyFont="1" applyFill="1" applyBorder="1" applyAlignment="1" applyProtection="1">
      <alignment horizontal="center" vertical="center" wrapText="1"/>
    </xf>
    <xf numFmtId="0" fontId="43" fillId="11" borderId="30" xfId="1" applyFont="1" applyFill="1" applyBorder="1" applyAlignment="1" applyProtection="1">
      <alignment horizontal="center" vertical="center" wrapText="1"/>
    </xf>
    <xf numFmtId="0" fontId="43" fillId="11" borderId="33" xfId="1" applyFont="1" applyFill="1" applyBorder="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24" fillId="2" borderId="0" xfId="1" applyFont="1" applyFill="1" applyAlignment="1" applyProtection="1">
      <alignment horizontal="center" vertical="center"/>
    </xf>
    <xf numFmtId="0" fontId="22" fillId="0" borderId="17" xfId="1" applyFont="1" applyBorder="1" applyAlignment="1" applyProtection="1">
      <alignment vertical="center" wrapText="1"/>
    </xf>
    <xf numFmtId="0" fontId="31" fillId="2" borderId="0" xfId="1" applyFont="1" applyFill="1" applyAlignment="1" applyProtection="1">
      <alignment horizontal="left" vertical="center" wrapText="1"/>
    </xf>
    <xf numFmtId="0" fontId="32" fillId="2" borderId="0" xfId="1" applyFont="1" applyFill="1" applyAlignment="1" applyProtection="1">
      <alignment horizontal="left" vertical="center" wrapText="1"/>
    </xf>
    <xf numFmtId="0" fontId="33" fillId="2" borderId="0" xfId="1" applyFont="1" applyFill="1" applyAlignment="1" applyProtection="1">
      <alignment vertical="center"/>
    </xf>
    <xf numFmtId="0" fontId="50" fillId="7" borderId="0" xfId="1" applyFont="1" applyFill="1" applyAlignment="1" applyProtection="1">
      <alignment horizontal="left" vertical="center" readingOrder="1"/>
    </xf>
    <xf numFmtId="0" fontId="36" fillId="7" borderId="0" xfId="1" applyFont="1" applyFill="1" applyAlignment="1" applyProtection="1">
      <alignment horizontal="left" vertical="center" readingOrder="1"/>
    </xf>
    <xf numFmtId="0" fontId="21" fillId="7" borderId="0" xfId="1" applyFont="1" applyFill="1" applyAlignment="1" applyProtection="1">
      <alignment horizontal="left" vertical="center" readingOrder="1"/>
    </xf>
    <xf numFmtId="0" fontId="40" fillId="7" borderId="0" xfId="1" applyFont="1" applyFill="1" applyAlignment="1" applyProtection="1">
      <alignment horizontal="center" vertical="center" readingOrder="1"/>
    </xf>
    <xf numFmtId="0" fontId="23" fillId="7" borderId="19" xfId="1" applyFont="1" applyFill="1" applyBorder="1" applyAlignment="1" applyProtection="1">
      <alignment vertical="center" readingOrder="1"/>
    </xf>
    <xf numFmtId="0" fontId="23" fillId="7" borderId="0" xfId="1" applyFont="1" applyFill="1" applyAlignment="1" applyProtection="1">
      <alignment vertical="center" readingOrder="1"/>
    </xf>
    <xf numFmtId="0" fontId="40" fillId="7" borderId="0" xfId="1" applyFont="1" applyFill="1" applyAlignment="1" applyProtection="1">
      <alignment vertical="center" readingOrder="1"/>
    </xf>
    <xf numFmtId="0" fontId="40" fillId="7" borderId="15" xfId="1" applyFont="1" applyFill="1" applyBorder="1" applyAlignment="1" applyProtection="1">
      <alignment vertical="center" readingOrder="1"/>
    </xf>
    <xf numFmtId="0" fontId="64" fillId="7" borderId="0" xfId="1" applyFont="1" applyFill="1" applyProtection="1"/>
    <xf numFmtId="0" fontId="1" fillId="0" borderId="0" xfId="1" applyAlignment="1" applyProtection="1">
      <alignment horizontal="center" vertical="top"/>
    </xf>
    <xf numFmtId="0" fontId="26" fillId="0" borderId="0" xfId="1" applyFont="1" applyAlignment="1" applyProtection="1">
      <alignment horizontal="left" vertical="top" wrapText="1"/>
    </xf>
    <xf numFmtId="0" fontId="35" fillId="9" borderId="16" xfId="1" applyFont="1" applyFill="1" applyBorder="1" applyAlignment="1" applyProtection="1">
      <alignment horizontal="center" vertical="center"/>
    </xf>
    <xf numFmtId="0" fontId="35" fillId="9" borderId="17" xfId="1" applyFont="1" applyFill="1" applyBorder="1" applyAlignment="1" applyProtection="1">
      <alignment horizontal="left" vertical="center"/>
    </xf>
    <xf numFmtId="0" fontId="35" fillId="9" borderId="17" xfId="1" applyFont="1" applyFill="1" applyBorder="1" applyAlignment="1" applyProtection="1">
      <alignment horizontal="center" vertical="center"/>
    </xf>
    <xf numFmtId="0" fontId="35" fillId="9" borderId="17" xfId="1" applyFont="1" applyFill="1" applyBorder="1" applyAlignment="1" applyProtection="1">
      <alignment vertical="center"/>
    </xf>
    <xf numFmtId="0" fontId="35" fillId="9" borderId="17" xfId="1" applyFont="1" applyFill="1" applyBorder="1" applyAlignment="1" applyProtection="1">
      <alignment vertical="center" wrapText="1"/>
    </xf>
    <xf numFmtId="0" fontId="35" fillId="9" borderId="17" xfId="1" applyFont="1" applyFill="1" applyBorder="1" applyAlignment="1" applyProtection="1">
      <alignment horizontal="center" vertical="center" wrapText="1"/>
    </xf>
    <xf numFmtId="0" fontId="22" fillId="9" borderId="27" xfId="1" applyFont="1" applyFill="1" applyBorder="1" applyAlignment="1" applyProtection="1">
      <alignment horizontal="center" vertical="center" wrapText="1"/>
    </xf>
    <xf numFmtId="0" fontId="22" fillId="9" borderId="28" xfId="1" applyFont="1" applyFill="1" applyBorder="1" applyAlignment="1" applyProtection="1">
      <alignment horizontal="center" vertical="center" wrapText="1"/>
    </xf>
    <xf numFmtId="0" fontId="22" fillId="9" borderId="32" xfId="1" applyFont="1" applyFill="1" applyBorder="1" applyAlignment="1" applyProtection="1">
      <alignment horizontal="center" vertical="center" wrapText="1"/>
    </xf>
    <xf numFmtId="0" fontId="26" fillId="9" borderId="0" xfId="1" applyFont="1" applyFill="1" applyAlignment="1" applyProtection="1">
      <alignment horizontal="left" vertical="top" wrapText="1"/>
    </xf>
    <xf numFmtId="0" fontId="35" fillId="0" borderId="16" xfId="1" applyFont="1" applyBorder="1" applyAlignment="1" applyProtection="1">
      <alignment horizontal="center" vertical="center"/>
    </xf>
    <xf numFmtId="0" fontId="35" fillId="0" borderId="17" xfId="1" applyFont="1" applyBorder="1" applyAlignment="1" applyProtection="1">
      <alignment horizontal="left" vertical="center"/>
    </xf>
    <xf numFmtId="0" fontId="35" fillId="0" borderId="17" xfId="1" applyFont="1" applyBorder="1" applyAlignment="1" applyProtection="1">
      <alignment horizontal="center" vertical="center"/>
    </xf>
    <xf numFmtId="0" fontId="35" fillId="0" borderId="17" xfId="1" applyFont="1" applyBorder="1" applyAlignment="1" applyProtection="1">
      <alignment vertical="center"/>
    </xf>
    <xf numFmtId="0" fontId="35" fillId="0" borderId="17" xfId="1" applyFont="1" applyBorder="1" applyAlignment="1" applyProtection="1">
      <alignment vertical="center" wrapText="1"/>
    </xf>
    <xf numFmtId="0" fontId="35" fillId="0" borderId="17" xfId="1" applyFont="1" applyBorder="1" applyAlignment="1" applyProtection="1">
      <alignment horizontal="center" vertical="center" wrapText="1"/>
    </xf>
    <xf numFmtId="0" fontId="35" fillId="5" borderId="16" xfId="1" applyFont="1" applyFill="1" applyBorder="1" applyAlignment="1" applyProtection="1">
      <alignment horizontal="center" vertical="center"/>
    </xf>
    <xf numFmtId="0" fontId="35" fillId="5" borderId="17" xfId="1" applyFont="1" applyFill="1" applyBorder="1" applyAlignment="1" applyProtection="1">
      <alignment horizontal="left" vertical="center"/>
    </xf>
    <xf numFmtId="0" fontId="35" fillId="5" borderId="17" xfId="1" applyFont="1" applyFill="1" applyBorder="1" applyAlignment="1" applyProtection="1">
      <alignment horizontal="center" vertical="center"/>
    </xf>
    <xf numFmtId="0" fontId="35" fillId="5" borderId="17" xfId="1" applyFont="1" applyFill="1" applyBorder="1" applyAlignment="1" applyProtection="1">
      <alignment vertical="center"/>
    </xf>
    <xf numFmtId="0" fontId="35" fillId="5" borderId="17" xfId="1" applyFont="1" applyFill="1" applyBorder="1" applyAlignment="1" applyProtection="1">
      <alignment vertical="center" wrapText="1"/>
    </xf>
    <xf numFmtId="0" fontId="35" fillId="5" borderId="17" xfId="1" applyFont="1" applyFill="1" applyBorder="1" applyAlignment="1" applyProtection="1">
      <alignment horizontal="center" vertical="center" wrapText="1"/>
    </xf>
    <xf numFmtId="0" fontId="22" fillId="5" borderId="27" xfId="1" applyFont="1" applyFill="1" applyBorder="1" applyAlignment="1" applyProtection="1">
      <alignment horizontal="center" vertical="center" wrapText="1"/>
    </xf>
    <xf numFmtId="0" fontId="22" fillId="5" borderId="28" xfId="1" applyFont="1" applyFill="1" applyBorder="1" applyAlignment="1" applyProtection="1">
      <alignment horizontal="center" vertical="center" wrapText="1"/>
    </xf>
    <xf numFmtId="0" fontId="22" fillId="5" borderId="32" xfId="1" applyFont="1" applyFill="1" applyBorder="1" applyAlignment="1" applyProtection="1">
      <alignment horizontal="center" vertical="center" wrapText="1"/>
    </xf>
    <xf numFmtId="0" fontId="26" fillId="5" borderId="0" xfId="1" applyFont="1" applyFill="1" applyAlignment="1" applyProtection="1">
      <alignment horizontal="left" vertical="top" wrapText="1"/>
    </xf>
    <xf numFmtId="0" fontId="35" fillId="0" borderId="0" xfId="1" applyFont="1" applyAlignment="1" applyProtection="1">
      <alignment horizontal="center" vertical="center"/>
    </xf>
    <xf numFmtId="0" fontId="35" fillId="0" borderId="0" xfId="1" applyFont="1" applyAlignment="1" applyProtection="1">
      <alignment horizontal="left" vertical="center"/>
    </xf>
    <xf numFmtId="0" fontId="35" fillId="0" borderId="0" xfId="1" applyFont="1" applyAlignment="1" applyProtection="1">
      <alignment vertical="center"/>
    </xf>
    <xf numFmtId="0" fontId="35" fillId="0" borderId="0" xfId="1" applyFont="1" applyAlignment="1" applyProtection="1">
      <alignment vertical="center" wrapText="1"/>
    </xf>
    <xf numFmtId="0" fontId="35" fillId="0" borderId="0" xfId="1" applyFont="1" applyAlignment="1" applyProtection="1">
      <alignment horizontal="center"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horizontal="right" vertical="center"/>
    </xf>
    <xf numFmtId="0" fontId="44" fillId="9" borderId="0" xfId="1" applyFont="1" applyFill="1" applyAlignment="1" applyProtection="1">
      <alignment vertical="center"/>
      <protection locked="0"/>
    </xf>
    <xf numFmtId="0" fontId="44" fillId="5" borderId="0" xfId="1" applyFont="1" applyFill="1" applyAlignment="1" applyProtection="1">
      <alignment vertical="center"/>
      <protection locked="0"/>
    </xf>
    <xf numFmtId="0" fontId="45" fillId="2" borderId="0" xfId="1" applyFont="1" applyFill="1" applyAlignment="1" applyProtection="1">
      <alignment vertical="center"/>
      <protection locked="0"/>
    </xf>
    <xf numFmtId="0" fontId="22" fillId="5" borderId="18"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ellStyle name="Normal 2" xfId="1" xr:uid="{00000000-0005-0000-0000-000003000000}"/>
  </cellStyles>
  <dxfs count="391">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protection locked="0" hidden="0"/>
    </dxf>
    <dxf>
      <font>
        <strike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27678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27678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266701</xdr:colOff>
      <xdr:row>25</xdr:row>
      <xdr:rowOff>148591</xdr:rowOff>
    </xdr:from>
    <xdr:to>
      <xdr:col>21</xdr:col>
      <xdr:colOff>381002</xdr:colOff>
      <xdr:row>26</xdr:row>
      <xdr:rowOff>143271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20701" y="58350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a:t>
          </a:r>
          <a:r>
            <a:rPr lang="en-AU" sz="1100" b="0">
              <a:solidFill>
                <a:schemeClr val="dk1"/>
              </a:solidFill>
              <a:effectLst/>
              <a:latin typeface="+mn-lt"/>
              <a:ea typeface="+mn-ea"/>
              <a:cs typeface="+mn-cs"/>
            </a:rPr>
            <a:t>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57758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82226" y="590549"/>
          <a:ext cx="5634990" cy="577581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Content Focus</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This planner shows the </a:t>
          </a:r>
          <a:r>
            <a:rPr lang="en-AU" sz="1100" b="1" u="sng">
              <a:solidFill>
                <a:sysClr val="windowText" lastClr="000000"/>
              </a:solidFill>
              <a:effectLst/>
              <a:latin typeface="+mn-lt"/>
              <a:ea typeface="+mn-ea"/>
              <a:cs typeface="+mn-cs"/>
            </a:rPr>
            <a:t>recommende</a:t>
          </a:r>
          <a:r>
            <a:rPr lang="en-AU" sz="1100" b="1" u="sng" baseline="0">
              <a:solidFill>
                <a:sysClr val="windowText" lastClr="000000"/>
              </a:solidFill>
              <a:effectLst/>
              <a:latin typeface="+mn-lt"/>
              <a:ea typeface="+mn-ea"/>
              <a:cs typeface="+mn-cs"/>
            </a:rPr>
            <a:t>d</a:t>
          </a:r>
          <a:r>
            <a:rPr lang="en-AU" sz="1100" b="0" baseline="0">
              <a:solidFill>
                <a:sysClr val="windowText" lastClr="000000"/>
              </a:solidFill>
              <a:effectLst/>
              <a:latin typeface="+mn-lt"/>
              <a:ea typeface="+mn-ea"/>
              <a:cs typeface="+mn-cs"/>
            </a:rPr>
            <a:t> sequence of </a:t>
          </a:r>
          <a:r>
            <a:rPr lang="en-AU" sz="1100" b="1" i="1" baseline="0">
              <a:solidFill>
                <a:sysClr val="windowText" lastClr="000000"/>
              </a:solidFill>
              <a:effectLst/>
              <a:latin typeface="+mn-lt"/>
              <a:ea typeface="+mn-ea"/>
              <a:cs typeface="+mn-cs"/>
            </a:rPr>
            <a:t>full-time study </a:t>
          </a:r>
          <a:r>
            <a:rPr lang="en-AU" sz="1100" b="0" baseline="0">
              <a:solidFill>
                <a:sysClr val="windowText" lastClr="000000"/>
              </a:solidFill>
              <a:effectLst/>
              <a:latin typeface="+mn-lt"/>
              <a:ea typeface="+mn-ea"/>
              <a:cs typeface="+mn-cs"/>
            </a:rPr>
            <a:t>based on your study period of commencement. The standard full-time study load is </a:t>
          </a:r>
          <a:r>
            <a:rPr lang="en-AU" sz="1100" b="1" i="1" baseline="0">
              <a:solidFill>
                <a:sysClr val="windowText" lastClr="000000"/>
              </a:solidFill>
              <a:effectLst/>
              <a:latin typeface="+mn-lt"/>
              <a:ea typeface="+mn-ea"/>
              <a:cs typeface="+mn-cs"/>
            </a:rPr>
            <a:t>50 credit points </a:t>
          </a:r>
          <a:r>
            <a:rPr lang="en-AU" sz="1100" b="0" baseline="0">
              <a:solidFill>
                <a:sysClr val="windowText" lastClr="000000"/>
              </a:solidFill>
              <a:effectLst/>
              <a:latin typeface="+mn-lt"/>
              <a:ea typeface="+mn-ea"/>
              <a:cs typeface="+mn-cs"/>
            </a:rPr>
            <a:t>per study period. </a:t>
          </a:r>
          <a:endParaRPr lang="en-AU">
            <a:solidFill>
              <a:sysClr val="windowText" lastClr="000000"/>
            </a:solidFill>
            <a:effectLst/>
          </a:endParaRPr>
        </a:p>
        <a:p>
          <a:r>
            <a:rPr lang="en-AU" sz="1100" b="0" baseline="0">
              <a:solidFill>
                <a:sysClr val="windowText" lastClr="000000"/>
              </a:solidFill>
              <a:effectLst/>
              <a:latin typeface="+mn-lt"/>
              <a:ea typeface="+mn-ea"/>
              <a:cs typeface="+mn-cs"/>
            </a:rPr>
            <a:t>Students are strongly advised to follow the recommended sequence of study as shown in this Planner.</a:t>
          </a:r>
        </a:p>
        <a:p>
          <a:endParaRPr lang="en-AU" sz="1100" b="0" baseline="0">
            <a:solidFill>
              <a:sysClr val="windowText" lastClr="000000"/>
            </a:solidFill>
            <a:effectLst/>
            <a:latin typeface="+mn-lt"/>
            <a:ea typeface="+mn-ea"/>
            <a:cs typeface="+mn-cs"/>
          </a:endParaRPr>
        </a:p>
        <a:p>
          <a:pPr eaLnBrk="1" fontAlgn="auto" latinLnBrk="0" hangingPunct="1"/>
          <a:r>
            <a:rPr lang="en-AU" sz="1100" b="1">
              <a:solidFill>
                <a:sysClr val="windowText" lastClr="000000"/>
              </a:solidFill>
              <a:effectLst/>
              <a:latin typeface="+mn-lt"/>
              <a:ea typeface="+mn-ea"/>
              <a:cs typeface="+mn-cs"/>
            </a:rPr>
            <a:t>Content Focus</a:t>
          </a:r>
          <a:endParaRPr lang="en-AU">
            <a:solidFill>
              <a:sysClr val="windowText" lastClr="000000"/>
            </a:solidFill>
            <a:effectLst/>
          </a:endParaRPr>
        </a:p>
        <a:p>
          <a:pPr eaLnBrk="1" fontAlgn="auto" latinLnBrk="0" hangingPunct="1"/>
          <a:r>
            <a:rPr lang="en-AU" sz="1100">
              <a:solidFill>
                <a:sysClr val="windowText" lastClr="000000"/>
              </a:solidFill>
              <a:effectLst/>
              <a:latin typeface="+mn-lt"/>
              <a:ea typeface="+mn-ea"/>
              <a:cs typeface="+mn-cs"/>
            </a:rPr>
            <a:t>By selecting c</a:t>
          </a:r>
          <a:r>
            <a:rPr lang="en-AU" sz="1100">
              <a:solidFill>
                <a:schemeClr val="dk1"/>
              </a:solidFill>
              <a:effectLst/>
              <a:latin typeface="+mn-lt"/>
              <a:ea typeface="+mn-ea"/>
              <a:cs typeface="+mn-cs"/>
            </a:rPr>
            <a:t>ourse content with a specific area of educational focus you will be well-placed to utilise this Graduate Certificate as the basis for further study in education. You can choose from one of the pre-selected groups of subjects which have been carefully designed for:</a:t>
          </a:r>
          <a:endParaRPr lang="en-AU">
            <a:effectLst/>
          </a:endParaRPr>
        </a:p>
        <a:p>
          <a:pPr eaLnBrk="1" fontAlgn="auto" latinLnBrk="0" hangingPunct="1"/>
          <a:r>
            <a:rPr lang="en-AU" sz="1100">
              <a:solidFill>
                <a:schemeClr val="dk1"/>
              </a:solidFill>
              <a:effectLst/>
              <a:latin typeface="+mn-lt"/>
              <a:ea typeface="+mn-ea"/>
              <a:cs typeface="+mn-cs"/>
            </a:rPr>
            <a:t>i)</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Content focus - providing course content in a particular area of educational focus; </a:t>
          </a:r>
          <a:endParaRPr lang="en-AU">
            <a:effectLst/>
          </a:endParaRPr>
        </a:p>
        <a:p>
          <a:pPr eaLnBrk="1" fontAlgn="auto" latinLnBrk="0" hangingPunct="1"/>
          <a:r>
            <a:rPr lang="en-AU" sz="1100">
              <a:solidFill>
                <a:schemeClr val="dk1"/>
              </a:solidFill>
              <a:effectLst/>
              <a:latin typeface="+mn-lt"/>
              <a:ea typeface="+mn-ea"/>
              <a:cs typeface="+mn-cs"/>
            </a:rPr>
            <a:t>ii) Student profile - learning is targeted for students with similar educational background and/or experience</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Subjects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a:t>
          </a:r>
        </a:p>
        <a:p>
          <a:pPr eaLnBrk="1" fontAlgn="auto" latinLnBrk="0" hangingPunct="1"/>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subject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82050"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availability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238126</xdr:colOff>
      <xdr:row>30</xdr:row>
      <xdr:rowOff>5716</xdr:rowOff>
    </xdr:from>
    <xdr:to>
      <xdr:col>21</xdr:col>
      <xdr:colOff>352427</xdr:colOff>
      <xdr:row>31</xdr:row>
      <xdr:rowOff>396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563601" y="66255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41565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25126" y="619126"/>
          <a:ext cx="5634990" cy="541565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285751</xdr:colOff>
      <xdr:row>21</xdr:row>
      <xdr:rowOff>186691</xdr:rowOff>
    </xdr:from>
    <xdr:to>
      <xdr:col>21</xdr:col>
      <xdr:colOff>400052</xdr:colOff>
      <xdr:row>22</xdr:row>
      <xdr:rowOff>181371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9751" y="47682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16" totalsRowShown="0" headerRowDxfId="390" dataDxfId="389">
  <autoFilter ref="A4:I16" xr:uid="{00000000-0009-0000-0100-000003000000}"/>
  <sortState xmlns:xlrd2="http://schemas.microsoft.com/office/spreadsheetml/2017/richdata2" ref="A8:F17">
    <sortCondition ref="A7:A17"/>
  </sortState>
  <tableColumns count="9">
    <tableColumn id="3" xr3:uid="{00000000-0010-0000-0000-000003000000}" name="Choose your Course" dataDxfId="388"/>
    <tableColumn id="1" xr3:uid="{00000000-0010-0000-0000-000001000000}" name="UDC" dataDxfId="387"/>
    <tableColumn id="2" xr3:uid="{00000000-0010-0000-0000-000002000000}" name="SM Version" dataDxfId="386"/>
    <tableColumn id="5" xr3:uid="{00000000-0010-0000-0000-000005000000}" name="SM Effective Date" dataDxfId="385"/>
    <tableColumn id="4" xr3:uid="{00000000-0010-0000-0000-000004000000}" name="Akari Iteration" dataDxfId="384"/>
    <tableColumn id="6" xr3:uid="{00000000-0010-0000-0000-000006000000}" name="Akari Effective Date" dataDxfId="383"/>
    <tableColumn id="8" xr3:uid="{00000000-0010-0000-0000-000008000000}" name="Credit Points" dataDxfId="382"/>
    <tableColumn id="7" xr3:uid="{00000000-0010-0000-0000-000007000000}" name="SM Availabilities" dataDxfId="381"/>
    <tableColumn id="9" xr3:uid="{7C6FCDD6-C1CD-466C-8FAD-6B2FA54985B9}" name="Not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79">
      <calculatedColumnFormula>TableOUMPTCHPE[[#This Row],[Study Package Code]]</calculatedColumnFormula>
    </tableColumn>
    <tableColumn id="10" xr3:uid="{00000000-0010-0000-0C00-00000A000000}" name="Version" dataDxfId="278">
      <calculatedColumnFormula>TableOUMPTCHPE[[#This Row],[Ver]]</calculatedColumnFormula>
    </tableColumn>
    <tableColumn id="11" xr3:uid="{00000000-0010-0000-0C00-00000B000000}" name="OUA Code" dataDxfId="277">
      <calculatedColumnFormula>IF(TableOUMPTCHPE[[#This Row],[Ver]]&gt;0,_xlfn.TEXTBEFORE(TableOUMPTCHPE[[#This Row],[Structure Line]]," "),"")</calculatedColumnFormula>
    </tableColumn>
    <tableColumn id="12" xr3:uid="{00000000-0010-0000-0C00-00000C000000}" name="Unit Title" dataDxfId="276">
      <calculatedColumnFormula>IF(TableOUMPTCHPE[[#This Row],[OUA Code]]&lt;&gt;"",_xlfn.TEXTAFTER(TableOUMPTCHPE[[#This Row],[Structure Line]]," "),TableOUMPTCHPE[[#This Row],[Structure Line]])</calculatedColumnFormula>
    </tableColumn>
    <tableColumn id="13" xr3:uid="{00000000-0010-0000-0C00-00000D000000}" name="CPs" dataDxfId="275">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4"/>
    <tableColumn id="15" xr3:uid="{00000000-0010-0000-0C00-00000F000000}" name="Discont." dataDxfId="27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2">
      <calculatedColumnFormula>TableOUMPTCHSE[[#This Row],[Study Package Code]]</calculatedColumnFormula>
    </tableColumn>
    <tableColumn id="10" xr3:uid="{00000000-0010-0000-0D00-00000A000000}" name="Version" dataDxfId="271">
      <calculatedColumnFormula>TableOUMPTCHSE[[#This Row],[Ver]]</calculatedColumnFormula>
    </tableColumn>
    <tableColumn id="11" xr3:uid="{00000000-0010-0000-0D00-00000B000000}" name="OUA Code" dataDxfId="270">
      <calculatedColumnFormula>IF(TableOUMPTCHSE[[#This Row],[Ver]]&gt;0,_xlfn.TEXTBEFORE(TableOUMPTCHSE[[#This Row],[Structure Line]]," "),"")</calculatedColumnFormula>
    </tableColumn>
    <tableColumn id="12" xr3:uid="{00000000-0010-0000-0D00-00000C000000}" name="Unit Title" dataDxfId="269">
      <calculatedColumnFormula>IF(TableOUMPTCHSE[[#This Row],[OUA Code]]&lt;&gt;"",_xlfn.TEXTAFTER(TableOUMPTCHSE[[#This Row],[Structure Line]]," "),TableOUMPTCHSE[[#This Row],[Structure Line]])</calculatedColumnFormula>
    </tableColumn>
    <tableColumn id="13" xr3:uid="{00000000-0010-0000-0D00-00000D000000}" name="CPs" dataDxfId="268">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67"/>
    <tableColumn id="15" xr3:uid="{00000000-0010-0000-0D00-00000F000000}" name="Discont." dataDxfId="26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65">
      <calculatedColumnFormula>TableOMAPLING[[#This Row],[Study Package Code]]</calculatedColumnFormula>
    </tableColumn>
    <tableColumn id="10" xr3:uid="{00000000-0010-0000-0E00-00000A000000}" name="Version" dataDxfId="264">
      <calculatedColumnFormula>TableOMAPLING[[#This Row],[Ver]]</calculatedColumnFormula>
    </tableColumn>
    <tableColumn id="11" xr3:uid="{00000000-0010-0000-0E00-00000B000000}" name="OUA Code" dataDxfId="263">
      <calculatedColumnFormula>IF(TableOMAPLING[[#This Row],[Ver]]&gt;0,_xlfn.TEXTBEFORE(TableOMAPLING[[#This Row],[Structure Line]]," "),"")</calculatedColumnFormula>
    </tableColumn>
    <tableColumn id="12" xr3:uid="{00000000-0010-0000-0E00-00000C000000}" name="Unit Title" dataDxfId="262">
      <calculatedColumnFormula>IF(TableOMAPLING[[#This Row],[OUA Code]]&lt;&gt;"",_xlfn.TEXTAFTER(TableOMAPLING[[#This Row],[Structure Line]]," "),TableOMAPLING[[#This Row],[Structure Line]])</calculatedColumnFormula>
    </tableColumn>
    <tableColumn id="13" xr3:uid="{00000000-0010-0000-0E00-00000D000000}" name="CPs" dataDxfId="261">
      <calculatedColumnFormula>TableOMAPLING[[#This Row],[Credit Points]]</calculatedColumnFormula>
    </tableColumn>
    <tableColumn id="1" xr3:uid="{00000000-0010-0000-0E00-000001000000}" name="No." dataDxfId="260"/>
    <tableColumn id="2" xr3:uid="{00000000-0010-0000-0E00-000002000000}" name="Component Type" dataDxfId="259"/>
    <tableColumn id="3" xr3:uid="{00000000-0010-0000-0E00-000003000000}" name="Year Level" dataDxfId="258"/>
    <tableColumn id="4" xr3:uid="{00000000-0010-0000-0E00-000004000000}" name="Study Period" dataDxfId="257"/>
    <tableColumn id="5" xr3:uid="{00000000-0010-0000-0E00-000005000000}" name="Study Package Code" dataDxfId="256"/>
    <tableColumn id="6" xr3:uid="{00000000-0010-0000-0E00-000006000000}" name="Ver" dataDxfId="255"/>
    <tableColumn id="7" xr3:uid="{00000000-0010-0000-0E00-000007000000}" name="Structure Line" dataDxfId="254"/>
    <tableColumn id="8" xr3:uid="{00000000-0010-0000-0E00-000008000000}" name="Credit Points" dataDxfId="253"/>
    <tableColumn id="14" xr3:uid="{00000000-0010-0000-0E00-00000E000000}" name="Effective" dataDxfId="252"/>
    <tableColumn id="15" xr3:uid="{00000000-0010-0000-0E00-00000F000000}" name="Discont." dataDxfId="25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0">
      <calculatedColumnFormula>TableOCTESOL1[[#This Row],[Study Package Code]]</calculatedColumnFormula>
    </tableColumn>
    <tableColumn id="10" xr3:uid="{00000000-0010-0000-0F00-00000A000000}" name="Version" dataDxfId="249">
      <calculatedColumnFormula>TableOCTESOL1[[#This Row],[Ver]]</calculatedColumnFormula>
    </tableColumn>
    <tableColumn id="11" xr3:uid="{00000000-0010-0000-0F00-00000B000000}" name="OUA Code" dataDxfId="248">
      <calculatedColumnFormula>IF(TableOCTESOL1[[#This Row],[Ver]]&gt;0,_xlfn.TEXTBEFORE(TableOCTESOL1[[#This Row],[Structure Line]]," "),"")</calculatedColumnFormula>
    </tableColumn>
    <tableColumn id="12" xr3:uid="{00000000-0010-0000-0F00-00000C000000}" name="Unit Title" dataDxfId="247">
      <calculatedColumnFormula>IF(TableOCTESOL1[[#This Row],[OUA Code]]&lt;&gt;"",_xlfn.TEXTAFTER(TableOCTESOL1[[#This Row],[Structure Line]]," "),TableOCTESOL1[[#This Row],[Structure Line]])</calculatedColumnFormula>
    </tableColumn>
    <tableColumn id="13" xr3:uid="{00000000-0010-0000-0F00-00000D000000}" name="CPs" dataDxfId="246">
      <calculatedColumnFormula>TableOCTESOL1[[#This Row],[Credit Points]]</calculatedColumnFormula>
    </tableColumn>
    <tableColumn id="1" xr3:uid="{00000000-0010-0000-0F00-000001000000}" name="No." dataDxfId="245"/>
    <tableColumn id="2" xr3:uid="{00000000-0010-0000-0F00-000002000000}" name="Component Type" dataDxfId="244"/>
    <tableColumn id="3" xr3:uid="{00000000-0010-0000-0F00-000003000000}" name="Year Level" dataDxfId="243"/>
    <tableColumn id="4" xr3:uid="{00000000-0010-0000-0F00-000004000000}" name="Study Period" dataDxfId="242"/>
    <tableColumn id="5" xr3:uid="{00000000-0010-0000-0F00-000005000000}" name="Study Package Code" dataDxfId="241"/>
    <tableColumn id="6" xr3:uid="{00000000-0010-0000-0F00-000006000000}" name="Ver" dataDxfId="240"/>
    <tableColumn id="7" xr3:uid="{00000000-0010-0000-0F00-000007000000}" name="Structure Line" dataDxfId="239"/>
    <tableColumn id="8" xr3:uid="{00000000-0010-0000-0F00-000008000000}" name="Credit Points" dataDxfId="238"/>
    <tableColumn id="14" xr3:uid="{00000000-0010-0000-0F00-00000E000000}" name="Effective" dataDxfId="237"/>
    <tableColumn id="15" xr3:uid="{00000000-0010-0000-0F00-00000F000000}" name="Discont." dataDxfId="2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35">
      <calculatedColumnFormula>TableOCTESOL[[#This Row],[Study Package Code]]</calculatedColumnFormula>
    </tableColumn>
    <tableColumn id="10" xr3:uid="{00000000-0010-0000-1000-00000A000000}" name="Version" dataDxfId="234">
      <calculatedColumnFormula>TableOCTESOL[[#This Row],[Ver]]</calculatedColumnFormula>
    </tableColumn>
    <tableColumn id="11" xr3:uid="{00000000-0010-0000-1000-00000B000000}" name="OUA Code" dataDxfId="233">
      <calculatedColumnFormula>IF(TableOCTESOL[[#This Row],[Ver]]&gt;0,_xlfn.TEXTBEFORE(TableOCTESOL[[#This Row],[Structure Line]]," "),"")</calculatedColumnFormula>
    </tableColumn>
    <tableColumn id="12" xr3:uid="{00000000-0010-0000-1000-00000C000000}" name="Unit Title" dataDxfId="232">
      <calculatedColumnFormula>IF(TableOCTESOL[[#This Row],[OUA Code]]&lt;&gt;"",_xlfn.TEXTAFTER(TableOCTESOL[[#This Row],[Structure Line]]," "),TableOCTESOL[[#This Row],[Structure Line]])</calculatedColumnFormula>
    </tableColumn>
    <tableColumn id="13" xr3:uid="{00000000-0010-0000-1000-00000D000000}" name="CPs" dataDxfId="231">
      <calculatedColumnFormula>TableOCTESOL[[#This Row],[Credit Points]]</calculatedColumnFormula>
    </tableColumn>
    <tableColumn id="1" xr3:uid="{00000000-0010-0000-1000-000001000000}" name="No." dataDxfId="230"/>
    <tableColumn id="2" xr3:uid="{00000000-0010-0000-1000-000002000000}" name="Component Type" dataDxfId="229"/>
    <tableColumn id="3" xr3:uid="{00000000-0010-0000-1000-000003000000}" name="Year Level" dataDxfId="228"/>
    <tableColumn id="4" xr3:uid="{00000000-0010-0000-1000-000004000000}" name="Study Period" dataDxfId="227"/>
    <tableColumn id="5" xr3:uid="{00000000-0010-0000-1000-000005000000}" name="Study Package Code" dataDxfId="226"/>
    <tableColumn id="6" xr3:uid="{00000000-0010-0000-1000-000006000000}" name="Ver" dataDxfId="225"/>
    <tableColumn id="7" xr3:uid="{00000000-0010-0000-1000-000007000000}" name="Structure Line" dataDxfId="224"/>
    <tableColumn id="8" xr3:uid="{00000000-0010-0000-1000-000008000000}" name="Credit Points" dataDxfId="223"/>
    <tableColumn id="14" xr3:uid="{00000000-0010-0000-1000-00000E000000}" name="Effective" dataDxfId="222"/>
    <tableColumn id="15" xr3:uid="{00000000-0010-0000-1000-00000F000000}" name="Discont." dataDxfId="22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0">
      <calculatedColumnFormula>TableOMEDUC[[#This Row],[Study Package Code]]</calculatedColumnFormula>
    </tableColumn>
    <tableColumn id="10" xr3:uid="{00000000-0010-0000-1100-00000A000000}" name="Version" dataDxfId="219">
      <calculatedColumnFormula>TableOMEDUC[[#This Row],[Ver]]</calculatedColumnFormula>
    </tableColumn>
    <tableColumn id="11" xr3:uid="{00000000-0010-0000-1100-00000B000000}" name="OUA Code" dataDxfId="218">
      <calculatedColumnFormula>IF(TableOMEDUC[[#This Row],[Ver]]&gt;0,_xlfn.TEXTBEFORE(TableOMEDUC[[#This Row],[Structure Line]]," "),"")</calculatedColumnFormula>
    </tableColumn>
    <tableColumn id="12" xr3:uid="{00000000-0010-0000-1100-00000C000000}" name="Unit Title" dataDxfId="217">
      <calculatedColumnFormula>IF(TableOMEDUC[[#This Row],[OUA Code]]&lt;&gt;"",_xlfn.TEXTAFTER(TableOMEDUC[[#This Row],[Structure Line]]," "),TableOMEDUC[[#This Row],[Structure Line]])</calculatedColumnFormula>
    </tableColumn>
    <tableColumn id="13" xr3:uid="{00000000-0010-0000-1100-00000D000000}" name="CPs" dataDxfId="216">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15"/>
    <tableColumn id="15" xr3:uid="{00000000-0010-0000-1100-00000F000000}" name="Discont." dataDxfId="21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3">
      <calculatedColumnFormula>TableOSEPCULIN[[#This Row],[Study Package Code]]</calculatedColumnFormula>
    </tableColumn>
    <tableColumn id="10" xr3:uid="{00000000-0010-0000-1200-00000A000000}" name="Version" dataDxfId="212">
      <calculatedColumnFormula>TableOSEPCULIN[[#This Row],[Ver]]</calculatedColumnFormula>
    </tableColumn>
    <tableColumn id="11" xr3:uid="{00000000-0010-0000-1200-00000B000000}" name="OUA Code" dataDxfId="211">
      <calculatedColumnFormula>IF(TableOSEPCULIN[[#This Row],[Ver]]&gt;0,_xlfn.TEXTBEFORE(TableOSEPCULIN[[#This Row],[Structure Line]]," "),"")</calculatedColumnFormula>
    </tableColumn>
    <tableColumn id="12" xr3:uid="{00000000-0010-0000-1200-00000C000000}" name="Unit Title" dataDxfId="210">
      <calculatedColumnFormula>IF(TableOSEPCULIN[[#This Row],[OUA Code]]&lt;&gt;"",_xlfn.TEXTAFTER(TableOSEPCULIN[[#This Row],[Structure Line]]," "),TableOSEPCULIN[[#This Row],[Structure Line]])</calculatedColumnFormula>
    </tableColumn>
    <tableColumn id="13" xr3:uid="{00000000-0010-0000-1200-00000D000000}" name="CPs" dataDxfId="209">
      <calculatedColumnFormula>TableOSEPCULIN[[#This Row],[Credit Points]]</calculatedColumnFormula>
    </tableColumn>
    <tableColumn id="1" xr3:uid="{00000000-0010-0000-1200-000001000000}" name="No." dataDxfId="208"/>
    <tableColumn id="2" xr3:uid="{00000000-0010-0000-1200-000002000000}" name="Component Type" dataDxfId="207"/>
    <tableColumn id="3" xr3:uid="{00000000-0010-0000-1200-000003000000}" name="Year Level" dataDxfId="206"/>
    <tableColumn id="4" xr3:uid="{00000000-0010-0000-1200-000004000000}" name="Study Period" dataDxfId="205"/>
    <tableColumn id="5" xr3:uid="{00000000-0010-0000-1200-000005000000}" name="Study Package Code" dataDxfId="204"/>
    <tableColumn id="6" xr3:uid="{00000000-0010-0000-1200-000006000000}" name="Ver" dataDxfId="203"/>
    <tableColumn id="7" xr3:uid="{00000000-0010-0000-1200-000007000000}" name="Structure Line" dataDxfId="202"/>
    <tableColumn id="8" xr3:uid="{00000000-0010-0000-1200-000008000000}" name="Credit Points" dataDxfId="201"/>
    <tableColumn id="14" xr3:uid="{00000000-0010-0000-1200-00000E000000}" name="Effective" dataDxfId="200"/>
    <tableColumn id="15" xr3:uid="{00000000-0010-0000-1200-00000F000000}" name="Discont." dataDxfId="19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198">
      <calculatedColumnFormula>TableOSEPLNTCH[[#This Row],[Study Package Code]]</calculatedColumnFormula>
    </tableColumn>
    <tableColumn id="10" xr3:uid="{00000000-0010-0000-1300-00000A000000}" name="Version" dataDxfId="197">
      <calculatedColumnFormula>TableOSEPLNTCH[[#This Row],[Ver]]</calculatedColumnFormula>
    </tableColumn>
    <tableColumn id="11" xr3:uid="{00000000-0010-0000-1300-00000B000000}" name="OUA Code" dataDxfId="196">
      <calculatedColumnFormula>IF(TableOSEPLNTCH[[#This Row],[Ver]]&gt;0,_xlfn.TEXTBEFORE(TableOSEPLNTCH[[#This Row],[Structure Line]]," "),"")</calculatedColumnFormula>
    </tableColumn>
    <tableColumn id="12" xr3:uid="{00000000-0010-0000-1300-00000C000000}" name="Unit Title" dataDxfId="195">
      <calculatedColumnFormula>IF(TableOSEPLNTCH[[#This Row],[OUA Code]]&lt;&gt;"",_xlfn.TEXTAFTER(TableOSEPLNTCH[[#This Row],[Structure Line]]," "),TableOSEPLNTCH[[#This Row],[Structure Line]])</calculatedColumnFormula>
    </tableColumn>
    <tableColumn id="13" xr3:uid="{00000000-0010-0000-1300-00000D000000}" name="CPs" dataDxfId="194">
      <calculatedColumnFormula>TableOSEPLNTCH[[#This Row],[Credit Points]]</calculatedColumnFormula>
    </tableColumn>
    <tableColumn id="1" xr3:uid="{00000000-0010-0000-1300-000001000000}" name="No." dataDxfId="193"/>
    <tableColumn id="2" xr3:uid="{00000000-0010-0000-1300-000002000000}" name="Component Type" dataDxfId="192"/>
    <tableColumn id="3" xr3:uid="{00000000-0010-0000-1300-000003000000}" name="Year Level" dataDxfId="191"/>
    <tableColumn id="4" xr3:uid="{00000000-0010-0000-1300-000004000000}" name="Study Period" dataDxfId="190"/>
    <tableColumn id="5" xr3:uid="{00000000-0010-0000-1300-000005000000}" name="Study Package Code" dataDxfId="189"/>
    <tableColumn id="6" xr3:uid="{00000000-0010-0000-1300-000006000000}" name="Ver" dataDxfId="188"/>
    <tableColumn id="7" xr3:uid="{00000000-0010-0000-1300-000007000000}" name="Structure Line" dataDxfId="187"/>
    <tableColumn id="8" xr3:uid="{00000000-0010-0000-1300-000008000000}" name="Credit Points" dataDxfId="186"/>
    <tableColumn id="14" xr3:uid="{00000000-0010-0000-1300-00000E000000}" name="Effective" dataDxfId="185"/>
    <tableColumn id="15" xr3:uid="{00000000-0010-0000-1300-00000F000000}" name="Discont." dataDxfId="18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3">
      <calculatedColumnFormula>TableOSEPSTEME[[#This Row],[Study Package Code]]</calculatedColumnFormula>
    </tableColumn>
    <tableColumn id="10" xr3:uid="{00000000-0010-0000-1400-00000A000000}" name="Version" dataDxfId="182">
      <calculatedColumnFormula>TableOSEPSTEME[[#This Row],[Ver]]</calculatedColumnFormula>
    </tableColumn>
    <tableColumn id="11" xr3:uid="{00000000-0010-0000-1400-00000B000000}" name="OUA Code" dataDxfId="181">
      <calculatedColumnFormula>IF(TableOSEPSTEME[[#This Row],[Ver]]&gt;0,_xlfn.TEXTBEFORE(TableOSEPSTEME[[#This Row],[Structure Line]]," "),"")</calculatedColumnFormula>
    </tableColumn>
    <tableColumn id="12" xr3:uid="{00000000-0010-0000-1400-00000C000000}" name="Unit Title" dataDxfId="180">
      <calculatedColumnFormula>IF(TableOSEPSTEME[[#This Row],[OUA Code]]&lt;&gt;"",_xlfn.TEXTAFTER(TableOSEPSTEME[[#This Row],[Structure Line]]," "),TableOSEPSTEME[[#This Row],[Structure Line]])</calculatedColumnFormula>
    </tableColumn>
    <tableColumn id="13" xr3:uid="{00000000-0010-0000-1400-00000D000000}" name="CPs" dataDxfId="179">
      <calculatedColumnFormula>TableOSEPSTEME[[#This Row],[Credit Points]]</calculatedColumnFormula>
    </tableColumn>
    <tableColumn id="1" xr3:uid="{00000000-0010-0000-1400-000001000000}" name="No." dataDxfId="178"/>
    <tableColumn id="2" xr3:uid="{00000000-0010-0000-1400-000002000000}" name="Component Type" dataDxfId="177"/>
    <tableColumn id="3" xr3:uid="{00000000-0010-0000-1400-000003000000}" name="Year Level" dataDxfId="176"/>
    <tableColumn id="4" xr3:uid="{00000000-0010-0000-1400-000004000000}" name="Study Period" dataDxfId="175"/>
    <tableColumn id="5" xr3:uid="{00000000-0010-0000-1400-000005000000}" name="Study Package Code" dataDxfId="174"/>
    <tableColumn id="6" xr3:uid="{00000000-0010-0000-1400-000006000000}" name="Ver" dataDxfId="173"/>
    <tableColumn id="7" xr3:uid="{00000000-0010-0000-1400-000007000000}" name="Structure Line" dataDxfId="172"/>
    <tableColumn id="8" xr3:uid="{00000000-0010-0000-1400-000008000000}" name="Credit Points" dataDxfId="171"/>
    <tableColumn id="14" xr3:uid="{00000000-0010-0000-1400-00000E000000}" name="Effective" dataDxfId="170"/>
    <tableColumn id="15" xr3:uid="{00000000-0010-0000-1400-00000F000000}" name="Discont." dataDxfId="16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68">
      <calculatedColumnFormula>TableOCEDUCS1[[#This Row],[Study Package Code]]</calculatedColumnFormula>
    </tableColumn>
    <tableColumn id="10" xr3:uid="{00000000-0010-0000-1500-00000A000000}" name="Version" dataDxfId="167">
      <calculatedColumnFormula>TableOCEDUCS1[[#This Row],[Ver]]</calculatedColumnFormula>
    </tableColumn>
    <tableColumn id="11" xr3:uid="{00000000-0010-0000-1500-00000B000000}" name="OUA Code" dataDxfId="166">
      <calculatedColumnFormula>IF(TableOCEDUCS1[[#This Row],[Ver]]&gt;0,_xlfn.TEXTBEFORE(TableOCEDUCS1[[#This Row],[Structure Line]]," "),"")</calculatedColumnFormula>
    </tableColumn>
    <tableColumn id="12" xr3:uid="{00000000-0010-0000-1500-00000C000000}" name="Unit Title" dataDxfId="165">
      <calculatedColumnFormula>IF(TableOCEDUCS1[[#This Row],[OUA Code]]&lt;&gt;"",_xlfn.TEXTAFTER(TableOCEDUCS1[[#This Row],[Structure Line]]," "),TableOCEDUCS1[[#This Row],[Structure Line]])</calculatedColumnFormula>
    </tableColumn>
    <tableColumn id="13" xr3:uid="{00000000-0010-0000-1500-00000D000000}" name="CPs" dataDxfId="164">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3"/>
    <tableColumn id="15" xr3:uid="{00000000-0010-0000-1500-00000F000000}" name="Discont." dataDxfId="16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30:H34" totalsRowShown="0" headerRowDxfId="379" dataDxfId="378">
  <autoFilter ref="A30:H34" xr:uid="{00000000-0009-0000-0100-000010000000}"/>
  <tableColumns count="8">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 id="8" xr3:uid="{80BCDA36-80ED-49EF-B92E-DED76244F201}" name="Notes" dataDxfId="37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1">
      <calculatedColumnFormula>TableOCEDUC[[#This Row],[Study Package Code]]</calculatedColumnFormula>
    </tableColumn>
    <tableColumn id="10" xr3:uid="{00000000-0010-0000-1600-00000A000000}" name="Version" dataDxfId="160">
      <calculatedColumnFormula>TableOCEDUC[[#This Row],[Ver]]</calculatedColumnFormula>
    </tableColumn>
    <tableColumn id="11" xr3:uid="{00000000-0010-0000-1600-00000B000000}" name="OUA Code" dataDxfId="159">
      <calculatedColumnFormula>IF(TableOCEDUC[[#This Row],[Ver]]&gt;0,_xlfn.TEXTBEFORE(TableOCEDUC[[#This Row],[Structure Line]]," "),"")</calculatedColumnFormula>
    </tableColumn>
    <tableColumn id="12" xr3:uid="{00000000-0010-0000-1600-00000C000000}" name="Unit Title" dataDxfId="158">
      <calculatedColumnFormula>IF(TableOCEDUC[[#This Row],[OUA Code]]&lt;&gt;"",_xlfn.TEXTAFTER(TableOCEDUC[[#This Row],[Structure Line]]," "),TableOCEDUC[[#This Row],[Structure Line]])</calculatedColumnFormula>
    </tableColumn>
    <tableColumn id="13" xr3:uid="{00000000-0010-0000-1600-00000D000000}" name="CPs" dataDxfId="157">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56"/>
    <tableColumn id="15" xr3:uid="{00000000-0010-0000-1600-00000F000000}" name="Discont." dataDxfId="15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4">
      <calculatedColumnFormula>TableOCEDHE1[[#This Row],[Study Package Code]]</calculatedColumnFormula>
    </tableColumn>
    <tableColumn id="10" xr3:uid="{00000000-0010-0000-1700-00000A000000}" name="Version" dataDxfId="153">
      <calculatedColumnFormula>TableOCEDHE1[[#This Row],[Ver]]</calculatedColumnFormula>
    </tableColumn>
    <tableColumn id="11" xr3:uid="{00000000-0010-0000-1700-00000B000000}" name="OUA Code" dataDxfId="152">
      <calculatedColumnFormula>IF(TableOCEDHE1[[#This Row],[Ver]]&gt;0,_xlfn.TEXTBEFORE(TableOCEDHE1[[#This Row],[Structure Line]]," "),"")</calculatedColumnFormula>
    </tableColumn>
    <tableColumn id="12" xr3:uid="{00000000-0010-0000-1700-00000C000000}" name="Unit Title" dataDxfId="151">
      <calculatedColumnFormula>IF(TableOCEDHE1[[#This Row],[OUA Code]]&lt;&gt;"",_xlfn.TEXTAFTER(TableOCEDHE1[[#This Row],[Structure Line]]," "),TableOCEDHE1[[#This Row],[Structure Line]])</calculatedColumnFormula>
    </tableColumn>
    <tableColumn id="13" xr3:uid="{00000000-0010-0000-1700-00000D000000}" name="CPs" dataDxfId="150">
      <calculatedColumnFormula>TableOCEDHE1[[#This Row],[Credit Points]]</calculatedColumnFormula>
    </tableColumn>
    <tableColumn id="1" xr3:uid="{00000000-0010-0000-1700-000001000000}" name="No." dataDxfId="149"/>
    <tableColumn id="2" xr3:uid="{00000000-0010-0000-1700-000002000000}" name="Component Type" dataDxfId="148"/>
    <tableColumn id="3" xr3:uid="{00000000-0010-0000-1700-000003000000}" name="Year Level" dataDxfId="147"/>
    <tableColumn id="4" xr3:uid="{00000000-0010-0000-1700-000004000000}" name="Study Period" dataDxfId="146"/>
    <tableColumn id="5" xr3:uid="{00000000-0010-0000-1700-000005000000}" name="Study Package Code" dataDxfId="145"/>
    <tableColumn id="6" xr3:uid="{00000000-0010-0000-1700-000006000000}" name="Ver" dataDxfId="144"/>
    <tableColumn id="7" xr3:uid="{00000000-0010-0000-1700-000007000000}" name="Structure Line" dataDxfId="143"/>
    <tableColumn id="8" xr3:uid="{00000000-0010-0000-1700-000008000000}" name="Credit Points" dataDxfId="142"/>
    <tableColumn id="14" xr3:uid="{00000000-0010-0000-1700-00000E000000}" name="Effective" dataDxfId="141"/>
    <tableColumn id="15" xr3:uid="{00000000-0010-0000-1700-00000F000000}" name="Discont." dataDxfId="14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39">
      <calculatedColumnFormula>TableOCEDHE[[#This Row],[Study Package Code]]</calculatedColumnFormula>
    </tableColumn>
    <tableColumn id="10" xr3:uid="{00000000-0010-0000-1800-00000A000000}" name="Version" dataDxfId="138">
      <calculatedColumnFormula>TableOCEDHE[[#This Row],[Ver]]</calculatedColumnFormula>
    </tableColumn>
    <tableColumn id="11" xr3:uid="{00000000-0010-0000-1800-00000B000000}" name="OUA Code" dataDxfId="137">
      <calculatedColumnFormula>IF(TableOCEDHE[[#This Row],[Ver]]&gt;0,_xlfn.TEXTBEFORE(TableOCEDHE[[#This Row],[Structure Line]]," "),"")</calculatedColumnFormula>
    </tableColumn>
    <tableColumn id="12" xr3:uid="{00000000-0010-0000-1800-00000C000000}" name="Unit Title" dataDxfId="136">
      <calculatedColumnFormula>IF(TableOCEDHE[[#This Row],[OUA Code]]&lt;&gt;"",_xlfn.TEXTAFTER(TableOCEDHE[[#This Row],[Structure Line]]," "),TableOCEDHE[[#This Row],[Structure Line]])</calculatedColumnFormula>
    </tableColumn>
    <tableColumn id="13" xr3:uid="{00000000-0010-0000-1800-00000D000000}" name="CPs" dataDxfId="135">
      <calculatedColumnFormula>TableOCEDHE[[#This Row],[Credit Points]]</calculatedColumnFormula>
    </tableColumn>
    <tableColumn id="1" xr3:uid="{00000000-0010-0000-1800-000001000000}" name="No." dataDxfId="134"/>
    <tableColumn id="2" xr3:uid="{00000000-0010-0000-1800-000002000000}" name="Component Type" dataDxfId="133"/>
    <tableColumn id="3" xr3:uid="{00000000-0010-0000-1800-000003000000}" name="Year Level" dataDxfId="132"/>
    <tableColumn id="4" xr3:uid="{00000000-0010-0000-1800-000004000000}" name="Study Period" dataDxfId="131"/>
    <tableColumn id="5" xr3:uid="{00000000-0010-0000-1800-000005000000}" name="Study Package Code" dataDxfId="130"/>
    <tableColumn id="6" xr3:uid="{00000000-0010-0000-1800-000006000000}" name="Ver" dataDxfId="129"/>
    <tableColumn id="7" xr3:uid="{00000000-0010-0000-1800-000007000000}" name="Structure Line" dataDxfId="128"/>
    <tableColumn id="8" xr3:uid="{00000000-0010-0000-1800-000008000000}" name="Credit Points" dataDxfId="127"/>
    <tableColumn id="14" xr3:uid="{00000000-0010-0000-1800-00000E000000}" name="Effective" dataDxfId="126"/>
    <tableColumn id="15" xr3:uid="{00000000-0010-0000-1800-00000F000000}" name="Discont." dataDxfId="125"/>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69" dataDxfId="368">
  <autoFilter ref="A44:E48" xr:uid="{00000000-0009-0000-0100-000004000000}"/>
  <tableColumns count="5">
    <tableColumn id="1" xr3:uid="{00000000-0010-0000-0200-000001000000}" name="Choose your commencing study period (drop-down list)" dataDxfId="367"/>
    <tableColumn id="2" xr3:uid="{00000000-0010-0000-0200-000002000000}" name="START" dataDxfId="366"/>
    <tableColumn id="3" xr3:uid="{00000000-0010-0000-0200-000003000000}" name="Next" dataDxfId="365"/>
    <tableColumn id="4" xr3:uid="{00000000-0010-0000-0200-000004000000}" name="Next2" dataDxfId="364"/>
    <tableColumn id="5" xr3:uid="{00000000-0010-0000-0200-000005000000}" name="Next3" dataDxfId="363"/>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4">
      <calculatedColumnFormula>TableOGEDUC[[#This Row],[Study Package Code]]</calculatedColumnFormula>
    </tableColumn>
    <tableColumn id="10" xr3:uid="{00000000-0010-0000-2800-00000A000000}" name="Version" dataDxfId="123">
      <calculatedColumnFormula>TableOGEDUC[[#This Row],[Ver]]</calculatedColumnFormula>
    </tableColumn>
    <tableColumn id="11" xr3:uid="{00000000-0010-0000-2800-00000B000000}" name="OUA Code" dataDxfId="122">
      <calculatedColumnFormula>IF(TableOGEDUC[[#This Row],[Ver]]&gt;0,_xlfn.TEXTBEFORE(TableOGEDUC[[#This Row],[Structure Line]]," "),"")</calculatedColumnFormula>
    </tableColumn>
    <tableColumn id="12" xr3:uid="{00000000-0010-0000-2800-00000C000000}" name="Unit Title" dataDxfId="121">
      <calculatedColumnFormula>IF(TableOGEDUC[[#This Row],[OUA Code]]&lt;&gt;"",_xlfn.TEXTAFTER(TableOGEDUC[[#This Row],[Structure Line]]," "),TableOGEDUC[[#This Row],[Structure Line]])</calculatedColumnFormula>
    </tableColumn>
    <tableColumn id="13" xr3:uid="{00000000-0010-0000-2800-00000D000000}" name="CPs" dataDxfId="120">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19"/>
    <tableColumn id="15" xr3:uid="{00000000-0010-0000-2800-00000F000000}" name="Discont." dataDxfId="118"/>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9:H22" totalsRowShown="0" headerRowDxfId="362" dataDxfId="361">
  <autoFilter ref="A19:H22" xr:uid="{00000000-0009-0000-0100-000005000000}"/>
  <tableColumns count="8">
    <tableColumn id="1" xr3:uid="{00000000-0010-0000-0300-000001000000}" name="Choose your Major" dataDxfId="360"/>
    <tableColumn id="2" xr3:uid="{00000000-0010-0000-0300-000002000000}" name="UDC" dataDxfId="359"/>
    <tableColumn id="3" xr3:uid="{00000000-0010-0000-0300-000003000000}" name="SM Version" dataDxfId="358"/>
    <tableColumn id="4" xr3:uid="{00000000-0010-0000-0300-000004000000}" name="SM Effective Date" dataDxfId="357"/>
    <tableColumn id="5" xr3:uid="{00000000-0010-0000-0300-000005000000}" name="Akari Iteration" dataDxfId="356"/>
    <tableColumn id="6" xr3:uid="{00000000-0010-0000-0300-000006000000}" name="Akari Effective Date" dataDxfId="355"/>
    <tableColumn id="7" xr3:uid="{00000000-0010-0000-0300-000007000000}" name="Credit Points" dataDxfId="354"/>
    <tableColumn id="8" xr3:uid="{33945AF1-D8F7-4707-9D0F-B6BACF44EFEF}" name="Notes" dataDxfId="353"/>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17">
      <calculatedColumnFormula>TableOUMPEDUPR[[#This Row],[Study Package Code]]</calculatedColumnFormula>
    </tableColumn>
    <tableColumn id="10" xr3:uid="{00000000-0010-0000-2A00-00000A000000}" name="Version" dataDxfId="116">
      <calculatedColumnFormula>TableOUMPEDUPR[[#This Row],[Ver]]</calculatedColumnFormula>
    </tableColumn>
    <tableColumn id="11" xr3:uid="{00000000-0010-0000-2A00-00000B000000}" name="OUA Code" dataDxfId="115">
      <calculatedColumnFormula>IF(TableOUMPEDUPR[[#This Row],[Ver]]&gt;0,_xlfn.TEXTBEFORE(TableOUMPEDUPR[[#This Row],[Structure Line]]," "),"")</calculatedColumnFormula>
    </tableColumn>
    <tableColumn id="12" xr3:uid="{00000000-0010-0000-2A00-00000C000000}" name="Unit Title" dataDxfId="114">
      <calculatedColumnFormula>IF(TableOUMPEDUPR[[#This Row],[OUA Code]]&lt;&gt;"",_xlfn.TEXTAFTER(TableOUMPEDUPR[[#This Row],[Structure Line]]," "),TableOUMPEDUPR[[#This Row],[Structure Line]])</calculatedColumnFormula>
    </tableColumn>
    <tableColumn id="13" xr3:uid="{00000000-0010-0000-2A00-00000D000000}" name="CPs" dataDxfId="113">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2"/>
    <tableColumn id="15" xr3:uid="{00000000-0010-0000-2A00-00000F000000}" name="Discont." dataDxfId="11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0">
      <calculatedColumnFormula>TableOUMPEDUSC[[#This Row],[Study Package Code]]</calculatedColumnFormula>
    </tableColumn>
    <tableColumn id="10" xr3:uid="{00000000-0010-0000-2C00-00000A000000}" name="Version" dataDxfId="109">
      <calculatedColumnFormula>TableOUMPEDUSC[[#This Row],[Ver]]</calculatedColumnFormula>
    </tableColumn>
    <tableColumn id="11" xr3:uid="{00000000-0010-0000-2C00-00000B000000}" name="OUA Code" dataDxfId="108">
      <calculatedColumnFormula>IF(TableOUMPEDUSC[[#This Row],[Ver]]&gt;0,_xlfn.TEXTBEFORE(TableOUMPEDUSC[[#This Row],[Structure Line]]," "),"")</calculatedColumnFormula>
    </tableColumn>
    <tableColumn id="12" xr3:uid="{00000000-0010-0000-2C00-00000C000000}" name="Unit Title" dataDxfId="107">
      <calculatedColumnFormula>IF(TableOUMPEDUSC[[#This Row],[OUA Code]]&lt;&gt;"",_xlfn.TEXTAFTER(TableOUMPEDUSC[[#This Row],[Structure Line]]," "),TableOUMPEDUSC[[#This Row],[Structure Line]])</calculatedColumnFormula>
    </tableColumn>
    <tableColumn id="13" xr3:uid="{00000000-0010-0000-2C00-00000D000000}" name="CPs" dataDxfId="106">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05"/>
    <tableColumn id="15" xr3:uid="{00000000-0010-0000-2C00-00000F000000}" name="Discont." dataDxfId="104"/>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3:E74" totalsRowShown="0">
  <autoFilter ref="A3:E74" xr:uid="{00000000-0009-0000-0100-00000D000000}"/>
  <tableColumns count="5">
    <tableColumn id="1" xr3:uid="{00000000-0010-0000-2E00-000001000000}" name="Row Labels"/>
    <tableColumn id="2" xr3:uid="{00000000-0010-0000-2E00-000002000000}" name="OpenUnis SP 1" dataDxfId="103"/>
    <tableColumn id="3" xr3:uid="{00000000-0010-0000-2E00-000003000000}" name="OpenUnis SP 2" dataDxfId="102"/>
    <tableColumn id="6" xr3:uid="{00000000-0010-0000-2E00-000006000000}" name="OpenUnis SP 3" dataDxfId="101"/>
    <tableColumn id="7" xr3:uid="{00000000-0010-0000-2E00-000007000000}" name="OpenUnis SP 4" dataDxfId="100"/>
  </tableColumns>
  <tableStyleInfo name="TableStyleLight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5:H27" totalsRowShown="0" headerRowDxfId="352" dataDxfId="351">
  <autoFilter ref="A25:H27" xr:uid="{00000000-0009-0000-0100-000029000000}"/>
  <tableColumns count="8">
    <tableColumn id="1" xr3:uid="{00000000-0010-0000-0400-000001000000}" name="Choose your Major" dataDxfId="350"/>
    <tableColumn id="2" xr3:uid="{00000000-0010-0000-0400-000002000000}" name="UDC" dataDxfId="349"/>
    <tableColumn id="3" xr3:uid="{00000000-0010-0000-0400-000003000000}" name="SM Version" dataDxfId="348"/>
    <tableColumn id="4" xr3:uid="{00000000-0010-0000-0400-000004000000}" name="SM Effective Date" dataDxfId="347"/>
    <tableColumn id="5" xr3:uid="{00000000-0010-0000-0400-000005000000}" name="Akari Iteration" dataDxfId="346"/>
    <tableColumn id="6" xr3:uid="{00000000-0010-0000-0400-000006000000}" name="Akari Effective Date" dataDxfId="345"/>
    <tableColumn id="7" xr3:uid="{00000000-0010-0000-0400-000007000000}" name="Credit Points" dataDxfId="344"/>
    <tableColumn id="8" xr3:uid="{175FC22A-DFEE-49BF-BAAF-C85A4AF8357A}" name="Notes" dataDxfId="34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7:H41" totalsRowShown="0" headerRowDxfId="342" dataDxfId="341">
  <autoFilter ref="A37:H41" xr:uid="{00000000-0009-0000-0100-00002F000000}"/>
  <tableColumns count="8">
    <tableColumn id="1" xr3:uid="{00000000-0010-0000-0500-000001000000}" name="Choose your Focus Area (drop-down list)" dataDxfId="340"/>
    <tableColumn id="2" xr3:uid="{00000000-0010-0000-0500-000002000000}" name="UDC" dataDxfId="339"/>
    <tableColumn id="3" xr3:uid="{00000000-0010-0000-0500-000003000000}" name="SM Version" dataDxfId="338"/>
    <tableColumn id="4" xr3:uid="{00000000-0010-0000-0500-000004000000}" name="SM Effective Date" dataDxfId="337"/>
    <tableColumn id="5" xr3:uid="{00000000-0010-0000-0500-000005000000}" name="Akari Iteration" dataDxfId="336"/>
    <tableColumn id="6" xr3:uid="{00000000-0010-0000-0500-000006000000}" name="Akari Effective Date" dataDxfId="335"/>
    <tableColumn id="7" xr3:uid="{00000000-0010-0000-0500-000007000000}" name="Credit Points" dataDxfId="334"/>
    <tableColumn id="8" xr3:uid="{223F4388-EF1E-4CBD-AB8F-189A811A7B0C}" name="Notes" dataDxfId="33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2" dataDxfId="331">
  <autoFilter ref="A2:AC99" xr:uid="{00000000-0009-0000-0100-000002000000}"/>
  <sortState xmlns:xlrd2="http://schemas.microsoft.com/office/spreadsheetml/2017/richdata2" ref="A3:AC99">
    <sortCondition ref="A2:A99"/>
  </sortState>
  <tableColumns count="29">
    <tableColumn id="1" xr3:uid="{00000000-0010-0000-0900-000001000000}" name="UDC" dataDxfId="330"/>
    <tableColumn id="2" xr3:uid="{00000000-0010-0000-0900-000002000000}" name="Ver" dataDxfId="329"/>
    <tableColumn id="3" xr3:uid="{00000000-0010-0000-0900-000003000000}" name="OUA Cd" dataDxfId="328"/>
    <tableColumn id="4" xr3:uid="{00000000-0010-0000-0900-000004000000}" name="Title" dataDxfId="327"/>
    <tableColumn id="5" xr3:uid="{00000000-0010-0000-0900-000005000000}" name="Credits" dataDxfId="326"/>
    <tableColumn id="6" xr3:uid="{00000000-0010-0000-0900-000006000000}" name="Pre-reqs (11/11/2025)" dataDxfId="325"/>
    <tableColumn id="12" xr3:uid="{00000000-0010-0000-0900-00000C000000}" name="SP1" dataDxfId="324">
      <calculatedColumnFormula>IFERROR(IF(VLOOKUP(TableHandbook[[#This Row],[UDC]],TableAvailabilities[],2,FALSE)&gt;0,"Y",""),"")</calculatedColumnFormula>
    </tableColumn>
    <tableColumn id="17" xr3:uid="{00000000-0010-0000-0900-000011000000}" name="SP2" dataDxfId="323">
      <calculatedColumnFormula>IFERROR(IF(VLOOKUP(TableHandbook[[#This Row],[UDC]],TableAvailabilities[],3,FALSE)&gt;0,"Y",""),"")</calculatedColumnFormula>
    </tableColumn>
    <tableColumn id="18" xr3:uid="{00000000-0010-0000-0900-000012000000}" name="SP3" dataDxfId="322">
      <calculatedColumnFormula>IFERROR(IF(VLOOKUP(TableHandbook[[#This Row],[UDC]],TableAvailabilities[],4,FALSE)&gt;0,"Y",""),"")</calculatedColumnFormula>
    </tableColumn>
    <tableColumn id="7" xr3:uid="{00000000-0010-0000-0900-000007000000}" name="SP4" dataDxfId="321">
      <calculatedColumnFormula>IFERROR(IF(VLOOKUP(TableHandbook[[#This Row],[UDC]],TableAvailabilities[],5,FALSE)&gt;0,"Y",""),"")</calculatedColumnFormula>
    </tableColumn>
    <tableColumn id="16" xr3:uid="{00000000-0010-0000-0900-000010000000}" name="Notes" dataDxfId="320"/>
    <tableColumn id="8" xr3:uid="{00000000-0010-0000-0900-000008000000}" name="OM-TEACH1" dataDxfId="319">
      <calculatedColumnFormula>IFERROR(VLOOKUP(TableHandbook[[#This Row],[UDC]],TableOMTEACH1[],7,FALSE),"")</calculatedColumnFormula>
    </tableColumn>
    <tableColumn id="9" xr3:uid="{00000000-0010-0000-0900-000009000000}" name="OUMP-TCHEC" dataDxfId="318">
      <calculatedColumnFormula>IFERROR(VLOOKUP(TableHandbook[[#This Row],[UDC]],TableOUMPTCHEC[],7,FALSE),"")</calculatedColumnFormula>
    </tableColumn>
    <tableColumn id="10" xr3:uid="{00000000-0010-0000-0900-00000A000000}" name="OUMP-TCHPE" dataDxfId="317">
      <calculatedColumnFormula>IFERROR(VLOOKUP(TableHandbook[[#This Row],[UDC]],TableOUMPTCHPE[],7,FALSE),"")</calculatedColumnFormula>
    </tableColumn>
    <tableColumn id="20" xr3:uid="{00000000-0010-0000-0900-000014000000}" name="OUMP-TCHSE" dataDxfId="316">
      <calculatedColumnFormula>IFERROR(VLOOKUP(TableHandbook[[#This Row],[UDC]],TableOUMPTCHSE[],7,FALSE),"")</calculatedColumnFormula>
    </tableColumn>
    <tableColumn id="11" xr3:uid="{00000000-0010-0000-0900-00000B000000}" name="OC-TESOL1" dataDxfId="315">
      <calculatedColumnFormula>IFERROR(VLOOKUP(TableHandbook[[#This Row],[UDC]],TableOCTESOL1[],7,FALSE),"")</calculatedColumnFormula>
    </tableColumn>
    <tableColumn id="13" xr3:uid="{00000000-0010-0000-0900-00000D000000}" name="OC-TESOL" dataDxfId="314">
      <calculatedColumnFormula>IFERROR(VLOOKUP(TableHandbook[[#This Row],[UDC]],TableOCTESOL[],7,FALSE),"")</calculatedColumnFormula>
    </tableColumn>
    <tableColumn id="14" xr3:uid="{00000000-0010-0000-0900-00000E000000}" name="OM-APLING" dataDxfId="313">
      <calculatedColumnFormula>IFERROR(VLOOKUP(TableHandbook[[#This Row],[UDC]],TableOMAPLING[],7,FALSE),"")</calculatedColumnFormula>
    </tableColumn>
    <tableColumn id="15" xr3:uid="{00000000-0010-0000-0900-00000F000000}" name="OC-EDHE1" dataDxfId="312">
      <calculatedColumnFormula>IFERROR(VLOOKUP(TableHandbook[[#This Row],[UDC]],TableOCEDHE1[],7,FALSE),"")</calculatedColumnFormula>
    </tableColumn>
    <tableColumn id="19" xr3:uid="{00000000-0010-0000-0900-000013000000}" name="OC-EDHE" dataDxfId="311">
      <calculatedColumnFormula>IFERROR(VLOOKUP(TableHandbook[[#This Row],[UDC]],TableOCEDHE[],7,FALSE),"")</calculatedColumnFormula>
    </tableColumn>
    <tableColumn id="21" xr3:uid="{00000000-0010-0000-0900-000015000000}" name="OC-EDUCS1" dataDxfId="310">
      <calculatedColumnFormula>IFERROR(VLOOKUP(TableHandbook[[#This Row],[UDC]],TableOCEDUCS1[],7,FALSE),"")</calculatedColumnFormula>
    </tableColumn>
    <tableColumn id="22" xr3:uid="{00000000-0010-0000-0900-000016000000}" name="OC-EDUC" dataDxfId="309">
      <calculatedColumnFormula>IFERROR(VLOOKUP(TableHandbook[[#This Row],[UDC]],TableOCEDUC[],7,FALSE),"")</calculatedColumnFormula>
    </tableColumn>
    <tableColumn id="27" xr3:uid="{00000000-0010-0000-0900-00001B000000}" name="OG-EDUC" dataDxfId="308">
      <calculatedColumnFormula>IFERROR(VLOOKUP(TableHandbook[[#This Row],[UDC]],TableOGEDUC[],7,FALSE),"")</calculatedColumnFormula>
    </tableColumn>
    <tableColumn id="30" xr3:uid="{00000000-0010-0000-0900-00001E000000}" name="OUMP-EDUPR" dataDxfId="307">
      <calculatedColumnFormula>IFERROR(VLOOKUP(TableHandbook[[#This Row],[UDC]],TableOUMPEDUPR[],7,FALSE),"")</calculatedColumnFormula>
    </tableColumn>
    <tableColumn id="31" xr3:uid="{00000000-0010-0000-0900-00001F000000}" name="OUMP-EDUSC" dataDxfId="306">
      <calculatedColumnFormula>IFERROR(VLOOKUP(TableHandbook[[#This Row],[UDC]],TableOUMPEDUSC[],7,FALSE),"")</calculatedColumnFormula>
    </tableColumn>
    <tableColumn id="23" xr3:uid="{00000000-0010-0000-0900-000017000000}" name="OM-EDUC" dataDxfId="305">
      <calculatedColumnFormula>IFERROR(VLOOKUP(TableHandbook[[#This Row],[UDC]],TableOMEDUC[],7,FALSE),"")</calculatedColumnFormula>
    </tableColumn>
    <tableColumn id="24" xr3:uid="{00000000-0010-0000-0900-000018000000}" name="OSEP-CULIN" dataDxfId="304">
      <calculatedColumnFormula>IFERROR(VLOOKUP(TableHandbook[[#This Row],[UDC]],TableOSEPCULIN[],7,FALSE),"")</calculatedColumnFormula>
    </tableColumn>
    <tableColumn id="25" xr3:uid="{00000000-0010-0000-0900-000019000000}" name="OSEP-LNTCH" dataDxfId="303">
      <calculatedColumnFormula>IFERROR(VLOOKUP(TableHandbook[[#This Row],[UDC]],TableOSEPLNTCH[],7,FALSE),"")</calculatedColumnFormula>
    </tableColumn>
    <tableColumn id="26" xr3:uid="{00000000-0010-0000-0900-00001A000000}" name="OSEP-STEME" dataDxfId="302">
      <calculatedColumnFormula>IFERROR(VLOOKUP(TableHandbook[[#This Row],[UDC]],TableOSEPSTEME[],7,FALSE),"")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1">
      <calculatedColumnFormula>TableOMTEACH1[[#This Row],[Study Package Code]]</calculatedColumnFormula>
    </tableColumn>
    <tableColumn id="16" xr3:uid="{00000000-0010-0000-0A00-000010000000}" name="Version" dataDxfId="300">
      <calculatedColumnFormula>TableOMTEACH1[[#This Row],[Ver]]</calculatedColumnFormula>
    </tableColumn>
    <tableColumn id="17" xr3:uid="{00000000-0010-0000-0A00-000011000000}" name="OUA Code" dataDxfId="299">
      <calculatedColumnFormula>IF(TableOMTEACH1[[#This Row],[Ver]]&gt;0,_xlfn.TEXTBEFORE(TableOMTEACH1[[#This Row],[Structure Line]]," "),"")</calculatedColumnFormula>
    </tableColumn>
    <tableColumn id="18" xr3:uid="{00000000-0010-0000-0A00-000012000000}" name="Unit Title" dataDxfId="298">
      <calculatedColumnFormula>IF(TableOMTEACH1[[#This Row],[OUA Code]]&lt;&gt;"",_xlfn.TEXTAFTER(TableOMTEACH1[[#This Row],[Structure Line]]," "),TableOMTEACH1[[#This Row],[Structure Line]])</calculatedColumnFormula>
    </tableColumn>
    <tableColumn id="19" xr3:uid="{00000000-0010-0000-0A00-000013000000}" name="CPs" dataDxfId="297">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296"/>
    <tableColumn id="10" xr3:uid="{00000000-0010-0000-0A00-00000A000000}" name="Discont." dataDxfId="29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4">
      <calculatedColumnFormula>TableOUMPTCHEC[[#This Row],[Study Package Code]]</calculatedColumnFormula>
    </tableColumn>
    <tableColumn id="10" xr3:uid="{00000000-0010-0000-0B00-00000A000000}" name="Version" dataDxfId="293">
      <calculatedColumnFormula>TableOUMPTCHEC[[#This Row],[Ver]]</calculatedColumnFormula>
    </tableColumn>
    <tableColumn id="11" xr3:uid="{00000000-0010-0000-0B00-00000B000000}" name="OUA Code" dataDxfId="292">
      <calculatedColumnFormula>IF(TableOUMPTCHEC[[#This Row],[Ver]]&gt;0,_xlfn.TEXTBEFORE(TableOUMPTCHEC[[#This Row],[Structure Line]]," "),"")</calculatedColumnFormula>
    </tableColumn>
    <tableColumn id="12" xr3:uid="{00000000-0010-0000-0B00-00000C000000}" name="Unit Title" dataDxfId="291">
      <calculatedColumnFormula>IF(TableOUMPTCHEC[[#This Row],[OUA Code]]&lt;&gt;"",_xlfn.TEXTAFTER(TableOUMPTCHEC[[#This Row],[Structure Line]]," "),TableOUMPTCHEC[[#This Row],[Structure Line]])</calculatedColumnFormula>
    </tableColumn>
    <tableColumn id="13" xr3:uid="{00000000-0010-0000-0B00-00000D000000}" name="CPs" dataDxfId="290">
      <calculatedColumnFormula>TableOUMPTCHEC[[#This Row],[Credit Points]]</calculatedColumnFormula>
    </tableColumn>
    <tableColumn id="1" xr3:uid="{00000000-0010-0000-0B00-000001000000}" name="No." dataDxfId="289"/>
    <tableColumn id="2" xr3:uid="{00000000-0010-0000-0B00-000002000000}" name="Component Type" dataDxfId="288"/>
    <tableColumn id="3" xr3:uid="{00000000-0010-0000-0B00-000003000000}" name="Year Level" dataDxfId="287"/>
    <tableColumn id="4" xr3:uid="{00000000-0010-0000-0B00-000004000000}" name="Study Period" dataDxfId="286"/>
    <tableColumn id="5" xr3:uid="{00000000-0010-0000-0B00-000005000000}" name="Study Package Code" dataDxfId="285"/>
    <tableColumn id="6" xr3:uid="{00000000-0010-0000-0B00-000006000000}" name="Ver" dataDxfId="284"/>
    <tableColumn id="7" xr3:uid="{00000000-0010-0000-0B00-000007000000}" name="Structure Line" dataDxfId="283"/>
    <tableColumn id="8" xr3:uid="{00000000-0010-0000-0B00-000008000000}" name="Credit Points" dataDxfId="282"/>
    <tableColumn id="14" xr3:uid="{00000000-0010-0000-0B00-00000E000000}" name="Effective" dataDxfId="281"/>
    <tableColumn id="15" xr3:uid="{00000000-0010-0000-0B00-00000F000000}" name="Discont." dataDxfId="2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2.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79D8-080A-447D-BF50-069B7837DA8E}">
  <dimension ref="A1:I62"/>
  <sheetViews>
    <sheetView topLeftCell="A28" workbookViewId="0">
      <selection activeCell="B60" sqref="B60"/>
    </sheetView>
  </sheetViews>
  <sheetFormatPr defaultRowHeight="15.75" x14ac:dyDescent="0.25"/>
  <cols>
    <col min="1" max="1" width="75" style="66" bestFit="1" customWidth="1"/>
    <col min="2" max="2" width="11.875" style="154" bestFit="1" customWidth="1"/>
    <col min="3" max="3" width="13.875" style="154" bestFit="1" customWidth="1"/>
    <col min="4" max="4" width="18.875" style="154" bestFit="1" customWidth="1"/>
    <col min="5" max="5" width="16.125" style="154" bestFit="1" customWidth="1"/>
    <col min="6" max="6" width="20.5" style="154" bestFit="1" customWidth="1"/>
    <col min="7" max="7" width="19.375" style="154" bestFit="1" customWidth="1"/>
    <col min="8" max="8" width="16.5" style="154" bestFit="1" customWidth="1"/>
    <col min="9" max="9" width="9.25" style="154" bestFit="1" customWidth="1"/>
  </cols>
  <sheetData>
    <row r="1" spans="1:9" x14ac:dyDescent="0.25">
      <c r="A1" s="62" t="s">
        <v>0</v>
      </c>
      <c r="B1" s="153"/>
      <c r="C1" s="153"/>
      <c r="D1" s="153"/>
    </row>
    <row r="3" spans="1:9" x14ac:dyDescent="0.25">
      <c r="A3" s="151" t="s">
        <v>1</v>
      </c>
      <c r="H3"/>
    </row>
    <row r="4" spans="1:9" x14ac:dyDescent="0.25">
      <c r="A4" s="63" t="s">
        <v>2</v>
      </c>
      <c r="B4" s="154" t="s">
        <v>3</v>
      </c>
      <c r="C4" s="154" t="s">
        <v>4</v>
      </c>
      <c r="D4" s="154" t="s">
        <v>5</v>
      </c>
      <c r="E4" s="154" t="s">
        <v>6</v>
      </c>
      <c r="F4" s="154" t="s">
        <v>7</v>
      </c>
      <c r="G4" s="154" t="s">
        <v>8</v>
      </c>
      <c r="H4" s="63" t="s">
        <v>9</v>
      </c>
      <c r="I4" s="154" t="s">
        <v>10</v>
      </c>
    </row>
    <row r="5" spans="1:9" x14ac:dyDescent="0.25">
      <c r="A5" s="66" t="s">
        <v>11</v>
      </c>
      <c r="B5" s="255" t="s">
        <v>12</v>
      </c>
      <c r="C5" s="255" t="s">
        <v>13</v>
      </c>
      <c r="D5" s="257">
        <v>44197</v>
      </c>
      <c r="E5" s="255">
        <v>2</v>
      </c>
      <c r="F5" s="257">
        <v>44562</v>
      </c>
      <c r="G5" s="154" t="s">
        <v>14</v>
      </c>
      <c r="H5" s="255" t="s">
        <v>15</v>
      </c>
      <c r="I5" s="64"/>
    </row>
    <row r="6" spans="1:9" x14ac:dyDescent="0.25">
      <c r="A6" s="66" t="s">
        <v>16</v>
      </c>
      <c r="B6" s="255" t="s">
        <v>17</v>
      </c>
      <c r="C6" s="255" t="s">
        <v>13</v>
      </c>
      <c r="D6" s="257">
        <v>44197</v>
      </c>
      <c r="E6" s="255">
        <v>3</v>
      </c>
      <c r="F6" s="257">
        <v>44562</v>
      </c>
      <c r="G6" s="154" t="s">
        <v>14</v>
      </c>
      <c r="H6" s="255" t="s">
        <v>15</v>
      </c>
      <c r="I6" s="64"/>
    </row>
    <row r="7" spans="1:9" x14ac:dyDescent="0.25">
      <c r="A7" s="66" t="s">
        <v>18</v>
      </c>
      <c r="B7" s="255" t="s">
        <v>19</v>
      </c>
      <c r="C7" s="255" t="s">
        <v>13</v>
      </c>
      <c r="D7" s="257">
        <v>44197</v>
      </c>
      <c r="E7" s="255">
        <v>1</v>
      </c>
      <c r="F7" s="257">
        <v>44197</v>
      </c>
      <c r="G7" s="154" t="s">
        <v>14</v>
      </c>
      <c r="H7" s="255" t="s">
        <v>15</v>
      </c>
      <c r="I7" s="64"/>
    </row>
    <row r="8" spans="1:9" x14ac:dyDescent="0.25">
      <c r="A8" s="66" t="s">
        <v>20</v>
      </c>
      <c r="B8" s="255" t="s">
        <v>21</v>
      </c>
      <c r="C8" s="255" t="s">
        <v>13</v>
      </c>
      <c r="D8" s="257">
        <v>43466</v>
      </c>
      <c r="E8" s="255">
        <v>2</v>
      </c>
      <c r="F8" s="257">
        <v>44197</v>
      </c>
      <c r="G8" s="154" t="s">
        <v>14</v>
      </c>
      <c r="H8" s="255" t="s">
        <v>15</v>
      </c>
      <c r="I8" s="64"/>
    </row>
    <row r="9" spans="1:9" x14ac:dyDescent="0.25">
      <c r="A9" s="66" t="s">
        <v>22</v>
      </c>
      <c r="B9" s="255" t="s">
        <v>23</v>
      </c>
      <c r="C9" s="255" t="s">
        <v>13</v>
      </c>
      <c r="D9" s="257">
        <v>44197</v>
      </c>
      <c r="E9" s="255">
        <v>1</v>
      </c>
      <c r="F9" s="257">
        <v>44197</v>
      </c>
      <c r="G9" s="154" t="s">
        <v>14</v>
      </c>
      <c r="H9" s="255" t="s">
        <v>15</v>
      </c>
      <c r="I9" s="64"/>
    </row>
    <row r="10" spans="1:9" x14ac:dyDescent="0.25">
      <c r="A10" s="66" t="s">
        <v>24</v>
      </c>
      <c r="B10" s="255" t="s">
        <v>25</v>
      </c>
      <c r="C10" s="255" t="s">
        <v>26</v>
      </c>
      <c r="D10" s="257">
        <v>42736</v>
      </c>
      <c r="E10" s="255">
        <v>3</v>
      </c>
      <c r="F10" s="257">
        <v>43831</v>
      </c>
      <c r="G10" s="154" t="s">
        <v>14</v>
      </c>
      <c r="H10" s="255" t="s">
        <v>15</v>
      </c>
      <c r="I10" s="64"/>
    </row>
    <row r="11" spans="1:9" x14ac:dyDescent="0.25">
      <c r="A11" s="66" t="s">
        <v>27</v>
      </c>
      <c r="B11" s="255" t="s">
        <v>28</v>
      </c>
      <c r="C11" s="255" t="s">
        <v>13</v>
      </c>
      <c r="D11" s="257">
        <v>45292</v>
      </c>
      <c r="E11" s="255">
        <v>1</v>
      </c>
      <c r="F11" s="257">
        <v>45292</v>
      </c>
      <c r="G11" s="154" t="s">
        <v>29</v>
      </c>
      <c r="H11" s="255" t="s">
        <v>30</v>
      </c>
      <c r="I11" s="64"/>
    </row>
    <row r="12" spans="1:9" x14ac:dyDescent="0.25">
      <c r="A12" s="66" t="s">
        <v>31</v>
      </c>
      <c r="B12" s="255" t="s">
        <v>32</v>
      </c>
      <c r="C12" s="255" t="s">
        <v>13</v>
      </c>
      <c r="D12" s="257">
        <v>45292</v>
      </c>
      <c r="E12" s="255">
        <v>1</v>
      </c>
      <c r="F12" s="257">
        <v>45292</v>
      </c>
      <c r="G12" s="154" t="s">
        <v>29</v>
      </c>
      <c r="H12" s="255" t="s">
        <v>30</v>
      </c>
      <c r="I12" s="64"/>
    </row>
    <row r="13" spans="1:9" x14ac:dyDescent="0.25">
      <c r="A13" s="66" t="s">
        <v>33</v>
      </c>
      <c r="B13" s="255" t="s">
        <v>34</v>
      </c>
      <c r="C13" s="255" t="s">
        <v>13</v>
      </c>
      <c r="D13" s="257">
        <v>43647</v>
      </c>
      <c r="E13" s="255">
        <v>1</v>
      </c>
      <c r="F13" s="257">
        <v>43647</v>
      </c>
      <c r="G13" s="154" t="s">
        <v>29</v>
      </c>
      <c r="H13" s="255" t="s">
        <v>15</v>
      </c>
      <c r="I13" s="64"/>
    </row>
    <row r="14" spans="1:9" x14ac:dyDescent="0.25">
      <c r="A14" s="66" t="s">
        <v>35</v>
      </c>
      <c r="B14" s="255" t="s">
        <v>36</v>
      </c>
      <c r="C14" s="255" t="s">
        <v>26</v>
      </c>
      <c r="D14" s="257">
        <v>44562</v>
      </c>
      <c r="E14" s="255">
        <v>2</v>
      </c>
      <c r="F14" s="257">
        <v>44562</v>
      </c>
      <c r="G14" s="154" t="s">
        <v>29</v>
      </c>
      <c r="H14" s="255" t="s">
        <v>15</v>
      </c>
      <c r="I14" s="64"/>
    </row>
    <row r="15" spans="1:9" x14ac:dyDescent="0.25">
      <c r="A15" s="66" t="s">
        <v>37</v>
      </c>
      <c r="B15" s="255" t="s">
        <v>38</v>
      </c>
      <c r="C15" s="255" t="s">
        <v>26</v>
      </c>
      <c r="D15" s="257">
        <v>44562</v>
      </c>
      <c r="E15" s="255">
        <v>5</v>
      </c>
      <c r="F15" s="257">
        <v>45474</v>
      </c>
      <c r="G15" s="154" t="s">
        <v>39</v>
      </c>
      <c r="H15" s="255" t="s">
        <v>15</v>
      </c>
      <c r="I15" s="64"/>
    </row>
    <row r="16" spans="1:9" x14ac:dyDescent="0.25">
      <c r="A16" s="63" t="s">
        <v>643</v>
      </c>
      <c r="B16" s="256" t="s">
        <v>40</v>
      </c>
      <c r="C16" s="256" t="s">
        <v>26</v>
      </c>
      <c r="D16" s="254">
        <v>44562</v>
      </c>
      <c r="E16" s="256">
        <v>4</v>
      </c>
      <c r="F16" s="254">
        <v>45474</v>
      </c>
      <c r="G16" s="154" t="s">
        <v>39</v>
      </c>
      <c r="H16" s="255" t="s">
        <v>15</v>
      </c>
      <c r="I16" s="64"/>
    </row>
    <row r="17" spans="1:9" x14ac:dyDescent="0.25">
      <c r="H17"/>
      <c r="I17"/>
    </row>
    <row r="18" spans="1:9" x14ac:dyDescent="0.25">
      <c r="A18" s="151" t="s">
        <v>41</v>
      </c>
      <c r="I18"/>
    </row>
    <row r="19" spans="1:9" x14ac:dyDescent="0.25">
      <c r="A19" s="80" t="s">
        <v>42</v>
      </c>
      <c r="B19" s="155" t="s">
        <v>3</v>
      </c>
      <c r="C19" s="154" t="s">
        <v>4</v>
      </c>
      <c r="D19" s="154" t="s">
        <v>5</v>
      </c>
      <c r="E19" s="154" t="s">
        <v>6</v>
      </c>
      <c r="F19" s="154" t="s">
        <v>7</v>
      </c>
      <c r="G19" s="154" t="s">
        <v>8</v>
      </c>
      <c r="H19" s="154" t="s">
        <v>10</v>
      </c>
      <c r="I19"/>
    </row>
    <row r="20" spans="1:9" x14ac:dyDescent="0.25">
      <c r="A20" s="77" t="s">
        <v>43</v>
      </c>
      <c r="B20" s="255" t="s">
        <v>44</v>
      </c>
      <c r="C20" s="255" t="s">
        <v>26</v>
      </c>
      <c r="D20" s="257">
        <v>44562</v>
      </c>
      <c r="E20" s="255">
        <v>5</v>
      </c>
      <c r="F20" s="257">
        <v>45474</v>
      </c>
      <c r="G20" s="228" t="s">
        <v>39</v>
      </c>
      <c r="H20" s="76"/>
      <c r="I20"/>
    </row>
    <row r="21" spans="1:9" x14ac:dyDescent="0.25">
      <c r="A21" s="77" t="s">
        <v>45</v>
      </c>
      <c r="B21" s="255" t="s">
        <v>46</v>
      </c>
      <c r="C21" s="255" t="s">
        <v>26</v>
      </c>
      <c r="D21" s="257">
        <v>44562</v>
      </c>
      <c r="E21" s="255">
        <v>6</v>
      </c>
      <c r="F21" s="257">
        <v>45474</v>
      </c>
      <c r="G21" s="228" t="s">
        <v>39</v>
      </c>
      <c r="H21" s="76"/>
    </row>
    <row r="22" spans="1:9" x14ac:dyDescent="0.25">
      <c r="A22" s="77" t="s">
        <v>47</v>
      </c>
      <c r="B22" s="255" t="s">
        <v>48</v>
      </c>
      <c r="C22" s="255" t="s">
        <v>49</v>
      </c>
      <c r="D22" s="257">
        <v>44562</v>
      </c>
      <c r="E22" s="255">
        <v>6</v>
      </c>
      <c r="F22" s="257">
        <v>45474</v>
      </c>
      <c r="G22" s="228" t="s">
        <v>39</v>
      </c>
      <c r="H22" s="76"/>
    </row>
    <row r="23" spans="1:9" x14ac:dyDescent="0.25">
      <c r="A23" s="80"/>
      <c r="B23" s="155"/>
    </row>
    <row r="24" spans="1:9" x14ac:dyDescent="0.25">
      <c r="A24" s="151" t="s">
        <v>50</v>
      </c>
    </row>
    <row r="25" spans="1:9" x14ac:dyDescent="0.25">
      <c r="A25" s="80" t="s">
        <v>42</v>
      </c>
      <c r="B25" s="155" t="s">
        <v>3</v>
      </c>
      <c r="C25" s="154" t="s">
        <v>4</v>
      </c>
      <c r="D25" s="154" t="s">
        <v>5</v>
      </c>
      <c r="E25" s="154" t="s">
        <v>6</v>
      </c>
      <c r="F25" s="154" t="s">
        <v>7</v>
      </c>
      <c r="G25" s="207" t="s">
        <v>8</v>
      </c>
      <c r="H25" s="154" t="s">
        <v>10</v>
      </c>
    </row>
    <row r="26" spans="1:9" x14ac:dyDescent="0.25">
      <c r="A26" s="77" t="s">
        <v>51</v>
      </c>
      <c r="B26" s="255" t="s">
        <v>52</v>
      </c>
      <c r="C26" s="255" t="s">
        <v>13</v>
      </c>
      <c r="D26" s="257">
        <v>45292</v>
      </c>
      <c r="E26" s="255">
        <v>1</v>
      </c>
      <c r="F26" s="257">
        <v>45292</v>
      </c>
      <c r="G26" s="228" t="s">
        <v>29</v>
      </c>
      <c r="H26" s="76"/>
    </row>
    <row r="27" spans="1:9" x14ac:dyDescent="0.25">
      <c r="A27" s="77" t="s">
        <v>53</v>
      </c>
      <c r="B27" s="255" t="s">
        <v>54</v>
      </c>
      <c r="C27" s="255" t="s">
        <v>13</v>
      </c>
      <c r="D27" s="257">
        <v>45292</v>
      </c>
      <c r="E27" s="255">
        <v>1</v>
      </c>
      <c r="F27" s="257">
        <v>45292</v>
      </c>
      <c r="G27" s="228" t="s">
        <v>29</v>
      </c>
      <c r="H27" s="76"/>
    </row>
    <row r="28" spans="1:9" x14ac:dyDescent="0.25">
      <c r="C28" s="1"/>
      <c r="D28" s="1"/>
      <c r="E28" s="1"/>
      <c r="F28" s="1"/>
      <c r="G28" s="1"/>
      <c r="H28" s="1"/>
    </row>
    <row r="29" spans="1:9" x14ac:dyDescent="0.25">
      <c r="A29" s="151" t="s">
        <v>55</v>
      </c>
      <c r="B29" s="63"/>
      <c r="C29" s="63"/>
      <c r="D29" s="63"/>
      <c r="E29" s="63"/>
      <c r="G29" s="1"/>
      <c r="H29" s="1"/>
    </row>
    <row r="30" spans="1:9" x14ac:dyDescent="0.25">
      <c r="A30" s="80" t="s">
        <v>56</v>
      </c>
      <c r="B30" s="81" t="s">
        <v>3</v>
      </c>
      <c r="C30" s="63" t="s">
        <v>4</v>
      </c>
      <c r="D30" s="63" t="s">
        <v>5</v>
      </c>
      <c r="E30" s="63" t="s">
        <v>6</v>
      </c>
      <c r="F30" s="154" t="s">
        <v>7</v>
      </c>
      <c r="G30" s="207" t="s">
        <v>8</v>
      </c>
      <c r="H30" s="154" t="s">
        <v>10</v>
      </c>
    </row>
    <row r="31" spans="1:9" x14ac:dyDescent="0.25">
      <c r="A31" s="178" t="s">
        <v>57</v>
      </c>
      <c r="B31" s="228" t="s">
        <v>58</v>
      </c>
      <c r="C31" s="228"/>
      <c r="D31" s="229"/>
      <c r="E31" s="228"/>
      <c r="F31" s="229"/>
      <c r="G31" s="228"/>
      <c r="H31" s="76"/>
    </row>
    <row r="32" spans="1:9" x14ac:dyDescent="0.25">
      <c r="A32" s="77" t="s">
        <v>59</v>
      </c>
      <c r="B32" s="255" t="s">
        <v>60</v>
      </c>
      <c r="C32" s="255" t="s">
        <v>13</v>
      </c>
      <c r="D32" s="257">
        <v>44562</v>
      </c>
      <c r="E32" s="255">
        <v>1</v>
      </c>
      <c r="F32" s="257">
        <v>44562</v>
      </c>
      <c r="G32" s="228" t="s">
        <v>14</v>
      </c>
      <c r="H32" s="76"/>
    </row>
    <row r="33" spans="1:9" x14ac:dyDescent="0.25">
      <c r="A33" s="77" t="s">
        <v>61</v>
      </c>
      <c r="B33" s="255" t="s">
        <v>62</v>
      </c>
      <c r="C33" s="255" t="s">
        <v>13</v>
      </c>
      <c r="D33" s="257">
        <v>44562</v>
      </c>
      <c r="E33" s="255">
        <v>1</v>
      </c>
      <c r="F33" s="257">
        <v>44562</v>
      </c>
      <c r="G33" s="228" t="s">
        <v>14</v>
      </c>
      <c r="H33" s="76"/>
    </row>
    <row r="34" spans="1:9" x14ac:dyDescent="0.25">
      <c r="A34" s="77" t="s">
        <v>63</v>
      </c>
      <c r="B34" s="255" t="s">
        <v>64</v>
      </c>
      <c r="C34" s="255" t="s">
        <v>13</v>
      </c>
      <c r="D34" s="257">
        <v>44562</v>
      </c>
      <c r="E34" s="255">
        <v>1</v>
      </c>
      <c r="F34" s="257">
        <v>44562</v>
      </c>
      <c r="G34" s="228" t="s">
        <v>14</v>
      </c>
      <c r="H34" s="76"/>
    </row>
    <row r="35" spans="1:9" x14ac:dyDescent="0.25">
      <c r="A35"/>
      <c r="C35" s="1"/>
      <c r="D35" s="1"/>
      <c r="E35" s="1"/>
      <c r="F35" s="1"/>
      <c r="G35" s="1"/>
      <c r="H35" s="1"/>
      <c r="I35" s="1"/>
    </row>
    <row r="36" spans="1:9" x14ac:dyDescent="0.25">
      <c r="A36" s="151" t="s">
        <v>65</v>
      </c>
      <c r="B36" s="63"/>
      <c r="C36" s="63"/>
      <c r="D36" s="63"/>
      <c r="E36" s="63"/>
      <c r="G36" s="1"/>
      <c r="I36" s="1"/>
    </row>
    <row r="37" spans="1:9" x14ac:dyDescent="0.25">
      <c r="A37" s="80" t="s">
        <v>66</v>
      </c>
      <c r="B37" s="81" t="s">
        <v>3</v>
      </c>
      <c r="C37" s="63" t="s">
        <v>4</v>
      </c>
      <c r="D37" s="63" t="s">
        <v>5</v>
      </c>
      <c r="E37" s="63" t="s">
        <v>6</v>
      </c>
      <c r="F37" s="154" t="s">
        <v>7</v>
      </c>
      <c r="G37" s="207" t="s">
        <v>8</v>
      </c>
      <c r="H37" s="154" t="s">
        <v>10</v>
      </c>
      <c r="I37" s="1"/>
    </row>
    <row r="38" spans="1:9" x14ac:dyDescent="0.25">
      <c r="A38" s="77" t="s">
        <v>67</v>
      </c>
      <c r="B38" s="228" t="s">
        <v>68</v>
      </c>
      <c r="C38" s="228"/>
      <c r="D38" s="229"/>
      <c r="E38" s="228"/>
      <c r="F38" s="229"/>
      <c r="G38" s="228"/>
      <c r="H38" s="76"/>
      <c r="I38" s="1"/>
    </row>
    <row r="39" spans="1:9" x14ac:dyDescent="0.25">
      <c r="A39" s="77" t="s">
        <v>69</v>
      </c>
      <c r="B39" s="228" t="s">
        <v>70</v>
      </c>
      <c r="C39" s="228"/>
      <c r="D39" s="229"/>
      <c r="E39" s="228"/>
      <c r="F39" s="229"/>
      <c r="G39" s="228"/>
      <c r="H39" s="76"/>
      <c r="I39" s="1"/>
    </row>
    <row r="40" spans="1:9" x14ac:dyDescent="0.25">
      <c r="A40" s="77" t="s">
        <v>71</v>
      </c>
      <c r="B40" s="228" t="s">
        <v>72</v>
      </c>
      <c r="C40" s="228"/>
      <c r="D40" s="229"/>
      <c r="E40" s="228"/>
      <c r="F40" s="229"/>
      <c r="G40" s="228"/>
      <c r="H40" s="76"/>
      <c r="I40" s="1"/>
    </row>
    <row r="41" spans="1:9" x14ac:dyDescent="0.25">
      <c r="A41" s="178" t="s">
        <v>73</v>
      </c>
      <c r="B41" s="228" t="s">
        <v>74</v>
      </c>
      <c r="C41" s="228"/>
      <c r="D41" s="229"/>
      <c r="E41" s="228"/>
      <c r="F41" s="229"/>
      <c r="G41" s="228"/>
      <c r="H41" s="76"/>
      <c r="I41" s="1"/>
    </row>
    <row r="42" spans="1:9" x14ac:dyDescent="0.25">
      <c r="E42" s="156"/>
      <c r="I42" s="1"/>
    </row>
    <row r="43" spans="1:9" x14ac:dyDescent="0.25">
      <c r="A43" s="151" t="s">
        <v>75</v>
      </c>
      <c r="F43" s="1"/>
      <c r="G43" s="1"/>
      <c r="H43" s="1"/>
      <c r="I43" s="1"/>
    </row>
    <row r="44" spans="1:9" x14ac:dyDescent="0.25">
      <c r="A44" s="80" t="s">
        <v>76</v>
      </c>
      <c r="B44" s="155" t="s">
        <v>77</v>
      </c>
      <c r="C44" s="154" t="s">
        <v>78</v>
      </c>
      <c r="D44" s="154" t="s">
        <v>79</v>
      </c>
      <c r="E44" s="154" t="s">
        <v>80</v>
      </c>
      <c r="F44" s="1"/>
      <c r="G44" s="1"/>
      <c r="H44" s="1"/>
      <c r="I44" s="1"/>
    </row>
    <row r="45" spans="1:9" x14ac:dyDescent="0.25">
      <c r="A45" s="63" t="s">
        <v>81</v>
      </c>
      <c r="B45" s="154" t="s">
        <v>82</v>
      </c>
      <c r="C45" s="154" t="s">
        <v>83</v>
      </c>
      <c r="D45" s="154" t="s">
        <v>84</v>
      </c>
      <c r="E45" s="154" t="s">
        <v>85</v>
      </c>
      <c r="F45" s="1"/>
      <c r="G45" s="1"/>
      <c r="H45" s="1"/>
      <c r="I45" s="1"/>
    </row>
    <row r="46" spans="1:9" x14ac:dyDescent="0.25">
      <c r="A46" s="63" t="s">
        <v>86</v>
      </c>
      <c r="B46" s="154" t="s">
        <v>83</v>
      </c>
      <c r="C46" s="154" t="s">
        <v>84</v>
      </c>
      <c r="D46" s="154" t="s">
        <v>85</v>
      </c>
      <c r="E46" s="154" t="s">
        <v>82</v>
      </c>
      <c r="F46" s="1"/>
      <c r="G46" s="1"/>
      <c r="H46" s="1"/>
      <c r="I46" s="1"/>
    </row>
    <row r="47" spans="1:9" x14ac:dyDescent="0.25">
      <c r="A47" s="63" t="s">
        <v>87</v>
      </c>
      <c r="B47" s="154" t="s">
        <v>84</v>
      </c>
      <c r="C47" s="154" t="s">
        <v>85</v>
      </c>
      <c r="D47" s="154" t="s">
        <v>82</v>
      </c>
      <c r="E47" s="154" t="s">
        <v>83</v>
      </c>
      <c r="F47" s="1"/>
      <c r="G47" s="1"/>
      <c r="H47" s="1"/>
      <c r="I47" s="1"/>
    </row>
    <row r="48" spans="1:9" x14ac:dyDescent="0.25">
      <c r="A48" s="63" t="s">
        <v>88</v>
      </c>
      <c r="B48" s="154" t="s">
        <v>85</v>
      </c>
      <c r="C48" s="154" t="s">
        <v>82</v>
      </c>
      <c r="D48" s="154" t="s">
        <v>83</v>
      </c>
      <c r="E48" s="154" t="s">
        <v>84</v>
      </c>
      <c r="F48" s="1"/>
      <c r="G48" s="1"/>
      <c r="H48" s="1"/>
      <c r="I48" s="1"/>
    </row>
    <row r="49" spans="1:9" x14ac:dyDescent="0.25">
      <c r="C49" s="1"/>
      <c r="D49" s="1"/>
      <c r="E49" s="1"/>
      <c r="F49" s="1"/>
      <c r="G49" s="1"/>
      <c r="H49" s="1"/>
      <c r="I49" s="1"/>
    </row>
    <row r="50" spans="1:9" x14ac:dyDescent="0.25">
      <c r="C50" s="1"/>
      <c r="D50" s="1"/>
      <c r="E50" s="1"/>
      <c r="F50" s="1"/>
      <c r="G50" s="1"/>
      <c r="H50" s="1"/>
      <c r="I50" s="1"/>
    </row>
    <row r="51" spans="1:9" x14ac:dyDescent="0.25">
      <c r="A51" s="66" t="s">
        <v>89</v>
      </c>
      <c r="B51" s="251">
        <v>46031</v>
      </c>
      <c r="C51" s="66" t="s">
        <v>644</v>
      </c>
      <c r="G51" s="1"/>
      <c r="H51" s="1"/>
      <c r="I51" s="1"/>
    </row>
    <row r="52" spans="1:9" x14ac:dyDescent="0.25">
      <c r="A52" s="66" t="s">
        <v>90</v>
      </c>
      <c r="B52" s="251">
        <v>45972</v>
      </c>
      <c r="H52" s="1"/>
      <c r="I52" s="1"/>
    </row>
    <row r="53" spans="1:9" x14ac:dyDescent="0.25">
      <c r="A53" s="66" t="s">
        <v>91</v>
      </c>
      <c r="B53" s="251">
        <v>45972</v>
      </c>
      <c r="H53" s="1"/>
      <c r="I53" s="1"/>
    </row>
    <row r="54" spans="1:9" x14ac:dyDescent="0.25">
      <c r="A54" s="66" t="s">
        <v>92</v>
      </c>
      <c r="B54" s="251">
        <v>45972</v>
      </c>
      <c r="H54" s="1"/>
      <c r="I54" s="1"/>
    </row>
    <row r="55" spans="1:9" x14ac:dyDescent="0.25">
      <c r="A55" s="66" t="s">
        <v>93</v>
      </c>
      <c r="B55" s="251">
        <v>46031</v>
      </c>
      <c r="C55" s="66"/>
      <c r="I55" s="1"/>
    </row>
    <row r="56" spans="1:9" x14ac:dyDescent="0.25">
      <c r="A56" s="66" t="s">
        <v>94</v>
      </c>
      <c r="B56" s="251">
        <v>45972</v>
      </c>
      <c r="I56" s="1"/>
    </row>
    <row r="57" spans="1:9" x14ac:dyDescent="0.25">
      <c r="A57" s="66" t="s">
        <v>95</v>
      </c>
      <c r="B57" s="251">
        <v>45972</v>
      </c>
      <c r="I57" s="1"/>
    </row>
    <row r="58" spans="1:9" x14ac:dyDescent="0.25">
      <c r="A58" s="66" t="s">
        <v>96</v>
      </c>
      <c r="B58" s="251">
        <v>45972</v>
      </c>
      <c r="I58" s="1"/>
    </row>
    <row r="59" spans="1:9" x14ac:dyDescent="0.25">
      <c r="A59" s="66" t="s">
        <v>97</v>
      </c>
      <c r="B59" s="251">
        <v>45972</v>
      </c>
      <c r="I59" s="1"/>
    </row>
    <row r="60" spans="1:9" x14ac:dyDescent="0.25">
      <c r="B60"/>
      <c r="I60" s="1"/>
    </row>
    <row r="61" spans="1:9" x14ac:dyDescent="0.25">
      <c r="I61" s="1"/>
    </row>
    <row r="62" spans="1:9" x14ac:dyDescent="0.25">
      <c r="I62" s="1"/>
    </row>
  </sheetData>
  <pageMargins left="0.7" right="0.7" top="0.75" bottom="0.75" header="0.3" footer="0.3"/>
  <tableParts count="6">
    <tablePart r:id="rId1"/>
    <tablePart r:id="rId2"/>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0"/>
      <c r="B2" s="140">
        <v>2</v>
      </c>
      <c r="C2" s="140">
        <v>3</v>
      </c>
      <c r="D2" s="140">
        <v>4</v>
      </c>
      <c r="E2" s="140"/>
      <c r="F2" s="140">
        <v>6</v>
      </c>
      <c r="G2" s="140">
        <v>5</v>
      </c>
      <c r="H2" s="140">
        <v>7</v>
      </c>
      <c r="I2" s="140">
        <v>8</v>
      </c>
      <c r="J2" s="140">
        <v>9</v>
      </c>
      <c r="K2" s="140">
        <v>10</v>
      </c>
      <c r="L2" s="167"/>
    </row>
    <row r="3" spans="1:23" ht="39.950000000000003" customHeight="1" x14ac:dyDescent="0.25">
      <c r="A3" s="266" t="s">
        <v>561</v>
      </c>
      <c r="B3" s="266"/>
      <c r="C3" s="266"/>
      <c r="D3" s="266"/>
      <c r="E3" s="89"/>
      <c r="F3" s="89"/>
      <c r="G3" s="89"/>
      <c r="H3" s="89"/>
      <c r="I3" s="89"/>
      <c r="J3" s="89"/>
      <c r="K3" s="89"/>
      <c r="L3" s="89"/>
    </row>
    <row r="4" spans="1:23" ht="25.5" x14ac:dyDescent="0.25">
      <c r="A4" s="192"/>
      <c r="B4" s="193"/>
      <c r="C4" s="193"/>
      <c r="D4" s="194" t="s">
        <v>562</v>
      </c>
      <c r="E4" s="195"/>
      <c r="F4" s="193"/>
      <c r="G4" s="196"/>
      <c r="H4" s="196"/>
      <c r="I4" s="196"/>
      <c r="J4" s="196"/>
      <c r="K4" s="196"/>
      <c r="L4" s="196"/>
    </row>
    <row r="5" spans="1:23" ht="20.100000000000001" customHeight="1" x14ac:dyDescent="0.25">
      <c r="B5" s="10"/>
      <c r="C5" s="115" t="s">
        <v>563</v>
      </c>
      <c r="D5" s="128" t="s">
        <v>24</v>
      </c>
      <c r="E5" s="11"/>
      <c r="F5" s="115" t="s">
        <v>564</v>
      </c>
      <c r="G5" s="11" t="str">
        <f>IFERROR(CONCATENATE(VLOOKUP(D5,TableCourses[],2,FALSE)," ",VLOOKUP(D5,TableCourses[],3,FALSE)),"")</f>
        <v>OC-TESOL v.2</v>
      </c>
      <c r="H5" s="11"/>
      <c r="I5" s="11"/>
      <c r="J5" s="11"/>
      <c r="K5" s="11"/>
      <c r="L5" s="188"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0" t="s">
        <v>82</v>
      </c>
      <c r="I8" s="211" t="s">
        <v>83</v>
      </c>
      <c r="J8" s="211" t="s">
        <v>84</v>
      </c>
      <c r="K8" s="211"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12" t="str">
        <f>IFERROR(VLOOKUP($A9,TableHandbook[],H$2,FALSE),"")</f>
        <v/>
      </c>
      <c r="I9" s="213" t="str">
        <f>IFERROR(VLOOKUP($A9,TableHandbook[],I$2,FALSE),"")</f>
        <v/>
      </c>
      <c r="J9" s="213" t="str">
        <f>IFERROR(VLOOKUP($A9,TableHandbook[],J$2,FALSE),"")</f>
        <v/>
      </c>
      <c r="K9" s="213" t="str">
        <f>IFERROR(VLOOKUP($A9,TableHandbook[],K$2,FALSE),"")</f>
        <v/>
      </c>
      <c r="L9" s="57"/>
      <c r="M9" s="138">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12" t="str">
        <f>IFERROR(VLOOKUP($A10,TableHandbook[],H$2,FALSE),"")</f>
        <v/>
      </c>
      <c r="I10" s="213" t="str">
        <f>IFERROR(VLOOKUP($A10,TableHandbook[],I$2,FALSE),"")</f>
        <v/>
      </c>
      <c r="J10" s="213" t="str">
        <f>IFERROR(VLOOKUP($A10,TableHandbook[],J$2,FALSE),"")</f>
        <v/>
      </c>
      <c r="K10" s="213" t="str">
        <f>IFERROR(VLOOKUP($A10,TableHandbook[],K$2,FALSE),"")</f>
        <v/>
      </c>
      <c r="L10" s="57"/>
      <c r="M10" s="138">
        <v>3</v>
      </c>
      <c r="N10" s="20"/>
      <c r="O10" s="20"/>
      <c r="P10" s="21"/>
      <c r="Q10" s="21"/>
      <c r="R10" s="21"/>
      <c r="S10" s="21"/>
      <c r="T10" s="21"/>
      <c r="U10" s="21"/>
      <c r="V10" s="21"/>
      <c r="W10" s="21"/>
    </row>
    <row r="11" spans="1:23" s="22" customFormat="1" ht="4.5" customHeight="1" x14ac:dyDescent="0.15">
      <c r="A11" s="173"/>
      <c r="B11" s="174"/>
      <c r="C11" s="174"/>
      <c r="D11" s="175"/>
      <c r="E11" s="174"/>
      <c r="F11" s="176"/>
      <c r="G11" s="174"/>
      <c r="H11" s="214"/>
      <c r="I11" s="215"/>
      <c r="J11" s="215"/>
      <c r="K11" s="215"/>
      <c r="L11" s="177"/>
      <c r="M11" s="138"/>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12" t="str">
        <f>IFERROR(VLOOKUP($A12,TableHandbook[],H$2,FALSE),"")</f>
        <v/>
      </c>
      <c r="I12" s="213" t="str">
        <f>IFERROR(VLOOKUP($A12,TableHandbook[],I$2,FALSE),"")</f>
        <v/>
      </c>
      <c r="J12" s="213" t="str">
        <f>IFERROR(VLOOKUP($A12,TableHandbook[],J$2,FALSE),"")</f>
        <v/>
      </c>
      <c r="K12" s="213" t="str">
        <f>IFERROR(VLOOKUP($A12,TableHandbook[],K$2,FALSE),"")</f>
        <v/>
      </c>
      <c r="L12" s="58"/>
      <c r="M12" s="138">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12" t="str">
        <f>IFERROR(VLOOKUP($A13,TableHandbook[],H$2,FALSE),"")</f>
        <v/>
      </c>
      <c r="I13" s="213" t="str">
        <f>IFERROR(VLOOKUP($A13,TableHandbook[],I$2,FALSE),"")</f>
        <v/>
      </c>
      <c r="J13" s="213" t="str">
        <f>IFERROR(VLOOKUP($A13,TableHandbook[],J$2,FALSE),"")</f>
        <v/>
      </c>
      <c r="K13" s="213" t="str">
        <f>IFERROR(VLOOKUP($A13,TableHandbook[],K$2,FALSE),"")</f>
        <v/>
      </c>
      <c r="L13" s="57"/>
      <c r="M13" s="138">
        <v>5</v>
      </c>
      <c r="N13" s="20"/>
      <c r="O13" s="20"/>
      <c r="P13" s="21"/>
      <c r="Q13" s="21"/>
      <c r="R13" s="21"/>
      <c r="S13" s="21"/>
      <c r="T13" s="21"/>
      <c r="U13" s="21"/>
      <c r="V13" s="21"/>
      <c r="W13" s="21"/>
    </row>
    <row r="14" spans="1:23" s="22" customFormat="1" ht="15" customHeight="1" x14ac:dyDescent="0.15">
      <c r="A14" s="146"/>
      <c r="B14" s="147"/>
      <c r="C14" s="147"/>
      <c r="D14" s="148"/>
      <c r="E14" s="147"/>
      <c r="F14" s="149"/>
      <c r="G14" s="146"/>
      <c r="H14" s="146"/>
      <c r="I14" s="146"/>
      <c r="J14" s="146"/>
      <c r="K14" s="146"/>
      <c r="L14" s="150"/>
      <c r="M14" s="138"/>
      <c r="N14" s="20"/>
      <c r="O14" s="20"/>
      <c r="P14" s="21"/>
      <c r="Q14" s="21"/>
      <c r="R14" s="21"/>
      <c r="S14" s="21"/>
      <c r="T14" s="21"/>
      <c r="U14" s="21"/>
      <c r="V14" s="21"/>
      <c r="W14" s="21"/>
    </row>
    <row r="15" spans="1:23" s="42" customFormat="1" ht="17.25" x14ac:dyDescent="0.25">
      <c r="A15" s="166" t="s">
        <v>583</v>
      </c>
      <c r="B15" s="90"/>
      <c r="C15" s="90"/>
      <c r="D15" s="91"/>
      <c r="E15" s="92"/>
      <c r="F15" s="92"/>
      <c r="G15" s="92"/>
      <c r="H15" s="93" t="str">
        <f>H7</f>
        <v>2026 Availabilities</v>
      </c>
      <c r="I15" s="94"/>
      <c r="J15" s="95"/>
      <c r="K15" s="96"/>
      <c r="L15" s="97"/>
      <c r="M15" s="160"/>
      <c r="N15" s="41"/>
      <c r="O15" s="41"/>
      <c r="P15" s="41"/>
      <c r="Q15" s="41"/>
      <c r="R15" s="41"/>
      <c r="S15" s="41"/>
      <c r="T15" s="41"/>
      <c r="U15" s="41"/>
      <c r="V15" s="41"/>
      <c r="W15" s="41"/>
    </row>
    <row r="16" spans="1:23" ht="21" customHeight="1" x14ac:dyDescent="0.25">
      <c r="A16" s="100"/>
      <c r="B16" s="100"/>
      <c r="C16" s="114" t="s">
        <v>362</v>
      </c>
      <c r="D16" s="101" t="s">
        <v>363</v>
      </c>
      <c r="E16" s="114"/>
      <c r="F16" s="100" t="s">
        <v>571</v>
      </c>
      <c r="G16" s="100" t="s">
        <v>572</v>
      </c>
      <c r="H16" s="210" t="str">
        <f>H8</f>
        <v>SP1</v>
      </c>
      <c r="I16" s="211" t="str">
        <f t="shared" ref="I16:L16" si="0">I8</f>
        <v>SP2</v>
      </c>
      <c r="J16" s="211" t="str">
        <f t="shared" si="0"/>
        <v>SP3</v>
      </c>
      <c r="K16" s="216" t="str">
        <f t="shared" si="0"/>
        <v>SP4</v>
      </c>
      <c r="L16" s="106" t="str">
        <f t="shared" si="0"/>
        <v>Notes / Progress</v>
      </c>
      <c r="M16" s="138"/>
      <c r="N16" s="16"/>
      <c r="O16" s="16"/>
      <c r="P16" s="16"/>
      <c r="Q16" s="16"/>
      <c r="R16" s="16"/>
      <c r="S16" s="16"/>
      <c r="T16" s="16"/>
      <c r="U16" s="16"/>
      <c r="V16" s="16"/>
      <c r="W16" s="16"/>
    </row>
    <row r="17" spans="1:23" x14ac:dyDescent="0.25">
      <c r="A17" s="145" t="str">
        <f>IFERROR(IF(HLOOKUP($L$5,RangeUnitsetsTESOL,M17,FALSE)=0,"",HLOOKUP($L$5,RangeUnitsetsTESOL,M17,FALSE)),"")</f>
        <v/>
      </c>
      <c r="B17" s="43" t="str">
        <f>IFERROR(IF(VLOOKUP($A17,TableHandbook[],2,FALSE)=0,"",VLOOKUP($A17,TableHandbook[],2,FALSE)),"")</f>
        <v/>
      </c>
      <c r="C17" s="179"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17" t="str">
        <f>IFERROR(VLOOKUP($A17,TableHandbook[],H$2,FALSE),"")</f>
        <v/>
      </c>
      <c r="I17" s="218" t="str">
        <f>IFERROR(VLOOKUP($A17,TableHandbook[],I$2,FALSE),"")</f>
        <v/>
      </c>
      <c r="J17" s="218" t="str">
        <f>IFERROR(VLOOKUP($A17,TableHandbook[],J$2,FALSE),"")</f>
        <v/>
      </c>
      <c r="K17" s="219" t="str">
        <f>IFERROR(VLOOKUP($A17,TableHandbook[],K$2,FALSE),"")</f>
        <v/>
      </c>
      <c r="L17" s="51"/>
      <c r="M17" s="138">
        <v>10</v>
      </c>
      <c r="N17" s="16"/>
      <c r="O17" s="16"/>
      <c r="P17" s="16"/>
      <c r="Q17" s="16"/>
      <c r="R17" s="16"/>
      <c r="S17" s="16"/>
      <c r="T17" s="16"/>
      <c r="U17" s="16"/>
      <c r="V17" s="16"/>
      <c r="W17" s="16"/>
    </row>
    <row r="18" spans="1:23" x14ac:dyDescent="0.25">
      <c r="A18" s="145" t="str">
        <f>IFERROR(IF(HLOOKUP($L$5,RangeUnitsetsTESOL,M18,FALSE)=0,"",HLOOKUP($L$5,RangeUnitsetsTESOL,M18,FALSE)),"")</f>
        <v/>
      </c>
      <c r="B18" s="43" t="str">
        <f>IFERROR(IF(VLOOKUP($A18,TableHandbook[],2,FALSE)=0,"",VLOOKUP($A18,TableHandbook[],2,FALSE)),"")</f>
        <v/>
      </c>
      <c r="C18" s="179"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12" t="str">
        <f>IFERROR(VLOOKUP($A18,TableHandbook[],H$2,FALSE),"")</f>
        <v/>
      </c>
      <c r="I18" s="213" t="str">
        <f>IFERROR(VLOOKUP($A18,TableHandbook[],I$2,FALSE),"")</f>
        <v/>
      </c>
      <c r="J18" s="213" t="str">
        <f>IFERROR(VLOOKUP($A18,TableHandbook[],J$2,FALSE),"")</f>
        <v/>
      </c>
      <c r="K18" s="220" t="str">
        <f>IFERROR(VLOOKUP($A18,TableHandbook[],K$2,FALSE),"")</f>
        <v/>
      </c>
      <c r="L18" s="51"/>
      <c r="M18" s="138">
        <v>11</v>
      </c>
      <c r="N18" s="16"/>
      <c r="O18" s="16"/>
      <c r="P18" s="16"/>
      <c r="Q18" s="16"/>
      <c r="R18" s="16"/>
      <c r="S18" s="16"/>
      <c r="T18" s="16"/>
      <c r="U18" s="16"/>
      <c r="V18" s="16"/>
      <c r="W18" s="16"/>
    </row>
    <row r="19" spans="1:23" x14ac:dyDescent="0.25">
      <c r="A19" s="145" t="str">
        <f>IFERROR(IF(HLOOKUP($L$5,RangeUnitsetsTESOL,M19,FALSE)=0,"",HLOOKUP($L$5,RangeUnitsetsTESOL,M19,FALSE)),"")</f>
        <v/>
      </c>
      <c r="B19" s="43" t="str">
        <f>IFERROR(IF(VLOOKUP($A19,TableHandbook[],2,FALSE)=0,"",VLOOKUP($A19,TableHandbook[],2,FALSE)),"")</f>
        <v/>
      </c>
      <c r="C19" s="179"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12" t="str">
        <f>IFERROR(VLOOKUP($A19,TableHandbook[],H$2,FALSE),"")</f>
        <v/>
      </c>
      <c r="I19" s="213" t="str">
        <f>IFERROR(VLOOKUP($A19,TableHandbook[],I$2,FALSE),"")</f>
        <v/>
      </c>
      <c r="J19" s="213" t="str">
        <f>IFERROR(VLOOKUP($A19,TableHandbook[],J$2,FALSE),"")</f>
        <v/>
      </c>
      <c r="K19" s="220" t="str">
        <f>IFERROR(VLOOKUP($A19,TableHandbook[],K$2,FALSE),"")</f>
        <v/>
      </c>
      <c r="L19" s="51"/>
      <c r="M19" s="138">
        <v>12</v>
      </c>
      <c r="N19" s="16"/>
      <c r="O19" s="16"/>
      <c r="P19" s="16"/>
      <c r="Q19" s="16"/>
      <c r="R19" s="16"/>
      <c r="S19" s="16"/>
      <c r="T19" s="16"/>
      <c r="U19" s="16"/>
      <c r="V19" s="16"/>
      <c r="W19" s="16"/>
    </row>
    <row r="20" spans="1:23" ht="15" customHeight="1" x14ac:dyDescent="0.25">
      <c r="A20" s="161"/>
      <c r="B20" s="162"/>
      <c r="C20" s="163"/>
      <c r="D20" s="163"/>
      <c r="E20" s="164"/>
      <c r="F20" s="165"/>
      <c r="G20" s="165"/>
      <c r="H20" s="146"/>
      <c r="I20" s="146"/>
      <c r="J20" s="146"/>
      <c r="K20" s="146"/>
      <c r="L20" s="147"/>
      <c r="M20" s="138"/>
      <c r="N20" s="16"/>
      <c r="O20" s="16"/>
      <c r="P20" s="16"/>
      <c r="Q20" s="16"/>
      <c r="R20" s="16"/>
      <c r="S20" s="16"/>
      <c r="T20" s="16"/>
      <c r="U20" s="16"/>
      <c r="V20" s="16"/>
      <c r="W20" s="16"/>
    </row>
    <row r="21" spans="1:23" s="16" customFormat="1" ht="18"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A9:L13 A17:L19">
    <cfRule type="expression" dxfId="20" priority="3">
      <formula>$A9=""</formula>
    </cfRule>
  </conditionalFormatting>
  <conditionalFormatting sqref="A17:L19">
    <cfRule type="expression" dxfId="19" priority="4">
      <formula>LEFT($D17,5)="Study"</formula>
    </cfRule>
  </conditionalFormatting>
  <conditionalFormatting sqref="D5:D6">
    <cfRule type="containsText" dxfId="18" priority="2" operator="containsText" text="Choose">
      <formula>NOT(ISERROR(SEARCH("Choose",D5)))</formula>
    </cfRule>
  </conditionalFormatting>
  <conditionalFormatting sqref="H9:K13">
    <cfRule type="expression" dxfId="17"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CourseDetails!$A$44:$A$48</xm:f>
          </x14:formula1>
          <xm:sqref>D6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79998168889431442"/>
    <pageSetUpPr fitToPage="1"/>
  </sheetPr>
  <dimension ref="A1:W35"/>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2.375" style="9" bestFit="1" customWidth="1"/>
    <col min="4" max="4" width="53" style="8" customWidth="1"/>
    <col min="5" max="5" width="5.125" style="8" bestFit="1" customWidth="1"/>
    <col min="6" max="6" width="14.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0"/>
      <c r="B2" s="140">
        <v>2</v>
      </c>
      <c r="C2" s="140">
        <v>3</v>
      </c>
      <c r="D2" s="140">
        <v>4</v>
      </c>
      <c r="E2" s="140"/>
      <c r="F2" s="140">
        <v>6</v>
      </c>
      <c r="G2" s="140">
        <v>5</v>
      </c>
      <c r="H2" s="140">
        <v>7</v>
      </c>
      <c r="I2" s="140">
        <v>8</v>
      </c>
      <c r="J2" s="140">
        <v>9</v>
      </c>
      <c r="K2" s="140">
        <v>10</v>
      </c>
      <c r="L2" s="167"/>
    </row>
    <row r="3" spans="1:23" ht="39.950000000000003" customHeight="1" x14ac:dyDescent="0.25">
      <c r="A3" s="266" t="s">
        <v>561</v>
      </c>
      <c r="B3" s="266"/>
      <c r="C3" s="266"/>
      <c r="D3" s="266"/>
      <c r="E3" s="89"/>
      <c r="F3" s="89"/>
      <c r="G3" s="89"/>
      <c r="H3" s="89"/>
      <c r="I3" s="89"/>
      <c r="J3" s="89"/>
      <c r="K3" s="89"/>
      <c r="L3" s="89"/>
    </row>
    <row r="4" spans="1:23" ht="25.5" x14ac:dyDescent="0.25">
      <c r="A4" s="192"/>
      <c r="B4" s="193"/>
      <c r="C4" s="193"/>
      <c r="D4" s="194" t="s">
        <v>562</v>
      </c>
      <c r="E4" s="195"/>
      <c r="F4" s="193"/>
      <c r="G4" s="196"/>
      <c r="H4" s="196"/>
      <c r="I4" s="196"/>
      <c r="J4" s="196"/>
      <c r="K4" s="196"/>
      <c r="L4" s="196"/>
    </row>
    <row r="5" spans="1:23" ht="20.100000000000001" customHeight="1" x14ac:dyDescent="0.25">
      <c r="B5" s="10"/>
      <c r="C5" s="115" t="s">
        <v>563</v>
      </c>
      <c r="D5" s="180" t="s">
        <v>16</v>
      </c>
      <c r="E5" s="11"/>
      <c r="F5" s="115" t="s">
        <v>564</v>
      </c>
      <c r="G5" s="11" t="str">
        <f>IFERROR(CONCATENATE(VLOOKUP(D5,TableCourses[],2,FALSE)," ",VLOOKUP(D5,TableCourses[],3,FALSE)),"")</f>
        <v>OC-EDUC v.1</v>
      </c>
      <c r="H5" s="11"/>
      <c r="I5" s="11"/>
      <c r="J5" s="11"/>
      <c r="K5" s="11"/>
      <c r="L5" s="227"/>
    </row>
    <row r="6" spans="1:23" ht="20.100000000000001" customHeight="1" x14ac:dyDescent="0.25">
      <c r="B6" s="10"/>
      <c r="C6" s="115" t="s">
        <v>584</v>
      </c>
      <c r="D6" s="180" t="s">
        <v>66</v>
      </c>
      <c r="E6" s="11"/>
      <c r="F6" s="115"/>
      <c r="G6" s="245" t="e">
        <f>VLOOKUP(D6,TableFocusOCEDUC[],2,FALSE)</f>
        <v>#N/A</v>
      </c>
      <c r="H6" s="11"/>
      <c r="I6" s="11"/>
      <c r="J6" s="11"/>
      <c r="K6" s="11"/>
      <c r="L6" s="188" t="e">
        <f>CONCATENATE(VLOOKUP(D6,TableFocusOCEDUC[],2,FALSE),VLOOKUP(D7,TableStudyPeriods[],2,FALSE))</f>
        <v>#N/A</v>
      </c>
    </row>
    <row r="7" spans="1:23" ht="20.100000000000001" customHeight="1" x14ac:dyDescent="0.25">
      <c r="A7" s="13"/>
      <c r="B7" s="14"/>
      <c r="C7" s="115" t="s">
        <v>567</v>
      </c>
      <c r="D7" s="108" t="s">
        <v>76</v>
      </c>
      <c r="E7" s="15"/>
      <c r="F7" s="115" t="s">
        <v>568</v>
      </c>
      <c r="G7" s="11" t="str">
        <f>IFERROR(VLOOKUP($D$5,TableCourses[],7,FALSE),"")</f>
        <v>100 credit points required</v>
      </c>
      <c r="H7" s="61"/>
      <c r="I7" s="61"/>
      <c r="J7" s="61"/>
      <c r="K7" s="61"/>
      <c r="L7" s="61"/>
      <c r="M7" s="16"/>
      <c r="N7" s="16"/>
      <c r="O7" s="16"/>
      <c r="P7" s="16"/>
      <c r="Q7" s="16"/>
      <c r="R7" s="16"/>
      <c r="S7" s="16"/>
      <c r="T7" s="16"/>
      <c r="U7" s="16"/>
      <c r="V7" s="16"/>
      <c r="W7" s="16"/>
    </row>
    <row r="8" spans="1:23" ht="67.5" customHeight="1" x14ac:dyDescent="0.25">
      <c r="A8" s="232" t="s">
        <v>585</v>
      </c>
      <c r="B8" s="233" t="str">
        <f>IFERROR(VLOOKUP($G$6,RangeCourseNotesOCEDUC,2,FALSE),"")</f>
        <v/>
      </c>
      <c r="C8" s="233"/>
      <c r="D8" s="238"/>
      <c r="E8" s="233"/>
      <c r="F8" s="233"/>
      <c r="G8" s="239"/>
      <c r="H8" s="240"/>
      <c r="I8" s="240"/>
      <c r="J8" s="240"/>
      <c r="K8" s="240"/>
      <c r="L8" s="241"/>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9"/>
      <c r="L9" s="105"/>
      <c r="M9" s="17"/>
      <c r="N9" s="17"/>
      <c r="O9" s="17"/>
      <c r="P9" s="18"/>
      <c r="Q9" s="18"/>
      <c r="R9" s="18"/>
      <c r="S9" s="18"/>
      <c r="T9" s="18"/>
      <c r="U9" s="18"/>
      <c r="V9" s="18"/>
      <c r="W9" s="18"/>
    </row>
    <row r="10" spans="1:23" s="19" customFormat="1" ht="21" x14ac:dyDescent="0.25">
      <c r="A10" s="100" t="s">
        <v>570</v>
      </c>
      <c r="B10" s="100"/>
      <c r="C10" s="100" t="s">
        <v>362</v>
      </c>
      <c r="D10" s="101" t="s">
        <v>363</v>
      </c>
      <c r="E10" s="114" t="s">
        <v>368</v>
      </c>
      <c r="F10" s="100" t="s">
        <v>571</v>
      </c>
      <c r="G10" s="100" t="s">
        <v>572</v>
      </c>
      <c r="H10" s="210" t="s">
        <v>82</v>
      </c>
      <c r="I10" s="211" t="s">
        <v>83</v>
      </c>
      <c r="J10" s="211" t="s">
        <v>84</v>
      </c>
      <c r="K10" s="211"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IFERROR(IF(HLOOKUP($L$6,RangeUnitsetsOCEDUC,M11,FALSE)=0,"",HLOOKUP($L$6,RangeUnitsetsOCEDUC,M11,FALSE)),"")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IF(OR(A11="",A11="--"),"",VLOOKUP($D$7,TableStudyPeriods[],2,FALSE))</f>
        <v/>
      </c>
      <c r="F11" s="49" t="str">
        <f>IFERROR(IF(VLOOKUP($A11,TableHandbook[],6,FALSE)=0,"",VLOOKUP($A11,TableHandbook[],6,FALSE)),"")</f>
        <v/>
      </c>
      <c r="G11" s="50" t="str">
        <f>IFERROR(IF(VLOOKUP($A11,TableHandbook[],5,FALSE)=0,"",VLOOKUP($A11,TableHandbook[],5,FALSE)),"")</f>
        <v/>
      </c>
      <c r="H11" s="212" t="str">
        <f>IFERROR(VLOOKUP($A11,TableHandbook[],H$2,FALSE),"")</f>
        <v/>
      </c>
      <c r="I11" s="213" t="str">
        <f>IFERROR(VLOOKUP($A11,TableHandbook[],I$2,FALSE),"")</f>
        <v/>
      </c>
      <c r="J11" s="213" t="str">
        <f>IFERROR(VLOOKUP($A11,TableHandbook[],J$2,FALSE),"")</f>
        <v/>
      </c>
      <c r="K11" s="213" t="str">
        <f>IFERROR(VLOOKUP($A11,TableHandbook[],K$2,FALSE),"")</f>
        <v/>
      </c>
      <c r="L11" s="57"/>
      <c r="M11" s="138">
        <v>2</v>
      </c>
      <c r="N11" s="20"/>
      <c r="O11" s="20"/>
      <c r="P11" s="21"/>
      <c r="Q11" s="21"/>
      <c r="R11" s="21"/>
      <c r="S11" s="21"/>
      <c r="T11" s="21"/>
      <c r="U11" s="21"/>
      <c r="V11" s="21"/>
      <c r="W11" s="21"/>
    </row>
    <row r="12" spans="1:23" s="22" customFormat="1" ht="21" customHeight="1" x14ac:dyDescent="0.15">
      <c r="A12" s="55" t="str">
        <f>IFERROR(IF(HLOOKUP($L$6,RangeUnitsetsOCEDUC,M12,FALSE)=0,"",HLOOKUP($L$6,RangeUnitsetsOCEDUC,M12,FALSE)),"")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IF(A12="","",E11)</f>
        <v/>
      </c>
      <c r="F12" s="49" t="str">
        <f>IFERROR(IF(VLOOKUP($A12,TableHandbook[],6,FALSE)=0,"",VLOOKUP($A12,TableHandbook[],6,FALSE)),"")</f>
        <v/>
      </c>
      <c r="G12" s="50" t="str">
        <f>IFERROR(IF(VLOOKUP($A12,TableHandbook[],5,FALSE)=0,"",VLOOKUP($A12,TableHandbook[],5,FALSE)),"")</f>
        <v/>
      </c>
      <c r="H12" s="212" t="str">
        <f>IFERROR(VLOOKUP($A12,TableHandbook[],H$2,FALSE),"")</f>
        <v/>
      </c>
      <c r="I12" s="213" t="str">
        <f>IFERROR(VLOOKUP($A12,TableHandbook[],I$2,FALSE),"")</f>
        <v/>
      </c>
      <c r="J12" s="213" t="str">
        <f>IFERROR(VLOOKUP($A12,TableHandbook[],J$2,FALSE),"")</f>
        <v/>
      </c>
      <c r="K12" s="213" t="str">
        <f>IFERROR(VLOOKUP($A12,TableHandbook[],K$2,FALSE),"")</f>
        <v/>
      </c>
      <c r="L12" s="57"/>
      <c r="M12" s="138">
        <v>3</v>
      </c>
      <c r="N12" s="20"/>
      <c r="O12" s="20"/>
      <c r="P12" s="21"/>
      <c r="Q12" s="21"/>
      <c r="R12" s="21"/>
      <c r="S12" s="21"/>
      <c r="T12" s="21"/>
      <c r="U12" s="21"/>
      <c r="V12" s="21"/>
      <c r="W12" s="21"/>
    </row>
    <row r="13" spans="1:23" s="22" customFormat="1" ht="4.5" customHeight="1" x14ac:dyDescent="0.15">
      <c r="A13" s="173"/>
      <c r="B13" s="174"/>
      <c r="C13" s="174"/>
      <c r="D13" s="175"/>
      <c r="E13" s="174"/>
      <c r="F13" s="176"/>
      <c r="G13" s="174"/>
      <c r="H13" s="214"/>
      <c r="I13" s="215"/>
      <c r="J13" s="215"/>
      <c r="K13" s="215"/>
      <c r="L13" s="177"/>
      <c r="M13" s="138"/>
      <c r="N13" s="20"/>
      <c r="O13" s="20"/>
      <c r="P13" s="20"/>
      <c r="Q13" s="21"/>
      <c r="R13" s="21"/>
      <c r="S13" s="21"/>
      <c r="T13" s="21"/>
      <c r="U13" s="21"/>
      <c r="V13" s="21"/>
      <c r="W13" s="21"/>
    </row>
    <row r="14" spans="1:23" s="22" customFormat="1" ht="21" customHeight="1" x14ac:dyDescent="0.15">
      <c r="A14" s="55" t="str">
        <f>IFERROR(IF(HLOOKUP($L$6,RangeUnitsetsOCEDUC,M14,FALSE)=0,"",HLOOKUP($L$6,RangeUnitsetsOCEDUC,M14,FALSE)),"")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IF(OR(A14="",A14="--"),"",VLOOKUP($D$7,TableStudyPeriods[],3,FALSE))</f>
        <v/>
      </c>
      <c r="F14" s="49" t="str">
        <f>IFERROR(IF(VLOOKUP($A14,TableHandbook[],6,FALSE)=0,"",VLOOKUP($A14,TableHandbook[],6,FALSE)),"")</f>
        <v/>
      </c>
      <c r="G14" s="50" t="str">
        <f>IFERROR(IF(VLOOKUP($A14,TableHandbook[],5,FALSE)=0,"",VLOOKUP($A14,TableHandbook[],5,FALSE)),"")</f>
        <v/>
      </c>
      <c r="H14" s="212" t="str">
        <f>IFERROR(VLOOKUP($A14,TableHandbook[],H$2,FALSE),"")</f>
        <v/>
      </c>
      <c r="I14" s="213" t="str">
        <f>IFERROR(VLOOKUP($A14,TableHandbook[],I$2,FALSE),"")</f>
        <v/>
      </c>
      <c r="J14" s="213" t="str">
        <f>IFERROR(VLOOKUP($A14,TableHandbook[],J$2,FALSE),"")</f>
        <v/>
      </c>
      <c r="K14" s="213" t="str">
        <f>IFERROR(VLOOKUP($A14,TableHandbook[],K$2,FALSE),"")</f>
        <v/>
      </c>
      <c r="L14" s="58"/>
      <c r="M14" s="138">
        <v>4</v>
      </c>
      <c r="N14" s="20"/>
      <c r="O14" s="20"/>
      <c r="P14" s="21"/>
      <c r="Q14" s="21"/>
      <c r="R14" s="21"/>
      <c r="S14" s="21"/>
      <c r="T14" s="21"/>
      <c r="U14" s="21"/>
      <c r="V14" s="21"/>
      <c r="W14" s="21"/>
    </row>
    <row r="15" spans="1:23" s="22" customFormat="1" ht="21" customHeight="1" x14ac:dyDescent="0.15">
      <c r="A15" s="55" t="str">
        <f>IFERROR(IF(HLOOKUP($L$6,RangeUnitsetsOCEDUC,M15,FALSE)=0,"",HLOOKUP($L$6,RangeUnitsetsOCEDUC,M15,FALSE)),"")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IF(A15="","",E14)</f>
        <v/>
      </c>
      <c r="F15" s="49" t="str">
        <f>IFERROR(IF(VLOOKUP($A15,TableHandbook[],6,FALSE)=0,"",VLOOKUP($A15,TableHandbook[],6,FALSE)),"")</f>
        <v/>
      </c>
      <c r="G15" s="50" t="str">
        <f>IFERROR(IF(VLOOKUP($A15,TableHandbook[],5,FALSE)=0,"",VLOOKUP($A15,TableHandbook[],5,FALSE)),"")</f>
        <v/>
      </c>
      <c r="H15" s="212" t="str">
        <f>IFERROR(VLOOKUP($A15,TableHandbook[],H$2,FALSE),"")</f>
        <v/>
      </c>
      <c r="I15" s="213" t="str">
        <f>IFERROR(VLOOKUP($A15,TableHandbook[],I$2,FALSE),"")</f>
        <v/>
      </c>
      <c r="J15" s="213" t="str">
        <f>IFERROR(VLOOKUP($A15,TableHandbook[],J$2,FALSE),"")</f>
        <v/>
      </c>
      <c r="K15" s="213" t="str">
        <f>IFERROR(VLOOKUP($A15,TableHandbook[],K$2,FALSE),"")</f>
        <v/>
      </c>
      <c r="L15" s="57"/>
      <c r="M15" s="138">
        <v>5</v>
      </c>
      <c r="N15" s="20"/>
      <c r="O15" s="20"/>
      <c r="P15" s="21"/>
      <c r="Q15" s="21"/>
      <c r="R15" s="21"/>
      <c r="S15" s="21"/>
      <c r="T15" s="21"/>
      <c r="U15" s="21"/>
      <c r="V15" s="21"/>
      <c r="W15" s="21"/>
    </row>
    <row r="16" spans="1:23" s="22" customFormat="1" ht="15" customHeight="1" x14ac:dyDescent="0.15">
      <c r="A16" s="146"/>
      <c r="B16" s="147"/>
      <c r="C16" s="147"/>
      <c r="D16" s="148"/>
      <c r="E16" s="147"/>
      <c r="F16" s="149"/>
      <c r="G16" s="146"/>
      <c r="H16" s="146"/>
      <c r="I16" s="146"/>
      <c r="J16" s="146"/>
      <c r="K16" s="146"/>
      <c r="L16" s="150"/>
      <c r="M16" s="138"/>
      <c r="N16" s="20"/>
      <c r="O16" s="20"/>
      <c r="P16" s="21"/>
      <c r="Q16" s="21"/>
      <c r="R16" s="21"/>
      <c r="S16" s="21"/>
      <c r="T16" s="21"/>
      <c r="U16" s="21"/>
      <c r="V16" s="21"/>
      <c r="W16" s="21"/>
    </row>
    <row r="17" spans="1:23" s="42" customFormat="1" ht="17.25" x14ac:dyDescent="0.25">
      <c r="A17" s="166" t="s">
        <v>586</v>
      </c>
      <c r="B17" s="90"/>
      <c r="C17" s="90"/>
      <c r="D17" s="91"/>
      <c r="E17" s="92"/>
      <c r="F17" s="92"/>
      <c r="G17" s="92"/>
      <c r="H17" s="93" t="str">
        <f>H9</f>
        <v>2026 Availabilities</v>
      </c>
      <c r="I17" s="94"/>
      <c r="J17" s="95"/>
      <c r="K17" s="96"/>
      <c r="L17" s="237"/>
      <c r="M17" s="160"/>
      <c r="N17" s="41"/>
      <c r="O17" s="41"/>
      <c r="P17" s="41"/>
      <c r="Q17" s="41"/>
      <c r="R17" s="41"/>
      <c r="S17" s="41"/>
      <c r="T17" s="41"/>
      <c r="U17" s="41"/>
      <c r="V17" s="41"/>
      <c r="W17" s="41"/>
    </row>
    <row r="18" spans="1:23" ht="21" customHeight="1" x14ac:dyDescent="0.25">
      <c r="A18" s="100"/>
      <c r="B18" s="100"/>
      <c r="C18" s="114" t="s">
        <v>362</v>
      </c>
      <c r="D18" s="101" t="s">
        <v>363</v>
      </c>
      <c r="E18" s="114"/>
      <c r="F18" s="100" t="s">
        <v>571</v>
      </c>
      <c r="G18" s="100" t="s">
        <v>572</v>
      </c>
      <c r="H18" s="210" t="str">
        <f>H10</f>
        <v>SP1</v>
      </c>
      <c r="I18" s="211" t="str">
        <f t="shared" ref="I18:L18" si="0">I10</f>
        <v>SP2</v>
      </c>
      <c r="J18" s="211" t="str">
        <f t="shared" si="0"/>
        <v>SP3</v>
      </c>
      <c r="K18" s="216" t="str">
        <f t="shared" si="0"/>
        <v>SP4</v>
      </c>
      <c r="L18" s="106" t="str">
        <f t="shared" si="0"/>
        <v>Notes / Progress</v>
      </c>
      <c r="M18" s="138"/>
      <c r="N18" s="16"/>
      <c r="O18" s="16"/>
      <c r="P18" s="16"/>
      <c r="Q18" s="16"/>
      <c r="R18" s="16"/>
      <c r="S18" s="16"/>
      <c r="T18" s="16"/>
      <c r="U18" s="16"/>
      <c r="V18" s="16"/>
      <c r="W18" s="16"/>
    </row>
    <row r="19" spans="1:23" x14ac:dyDescent="0.25">
      <c r="A19" s="145" t="str">
        <f t="shared" ref="A19:A31" si="1">IFERROR(IF(HLOOKUP($L$6,RangeUnitsetsOCEDUC,M19,FALSE)=0,"",HLOOKUP($L$6,RangeUnitsetsOCEDUC,M19,FALSE)),"")</f>
        <v/>
      </c>
      <c r="B19" s="179" t="str">
        <f>IFERROR(IF(VLOOKUP($A19,TableHandbook[],2,FALSE)=0,"",VLOOKUP($A19,TableHandbook[],2,FALSE)),"")</f>
        <v/>
      </c>
      <c r="C19" s="179"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17" t="str">
        <f>IFERROR(VLOOKUP($A19,TableHandbook[],H$2,FALSE),"")</f>
        <v/>
      </c>
      <c r="I19" s="218" t="str">
        <f>IFERROR(VLOOKUP($A19,TableHandbook[],I$2,FALSE),"")</f>
        <v/>
      </c>
      <c r="J19" s="218" t="str">
        <f>IFERROR(VLOOKUP($A19,TableHandbook[],J$2,FALSE),"")</f>
        <v/>
      </c>
      <c r="K19" s="219" t="str">
        <f>IFERROR(VLOOKUP($A19,TableHandbook[],K$2,FALSE),"")</f>
        <v/>
      </c>
      <c r="L19" s="51"/>
      <c r="M19" s="138">
        <v>6</v>
      </c>
      <c r="N19" s="16"/>
      <c r="O19" s="16"/>
      <c r="P19" s="16"/>
      <c r="Q19" s="16"/>
      <c r="R19" s="16"/>
      <c r="S19" s="16"/>
      <c r="T19" s="16"/>
      <c r="U19" s="16"/>
      <c r="V19" s="16"/>
      <c r="W19" s="16"/>
    </row>
    <row r="20" spans="1:23" x14ac:dyDescent="0.25">
      <c r="A20" s="145" t="str">
        <f t="shared" si="1"/>
        <v/>
      </c>
      <c r="B20" s="179" t="str">
        <f>IFERROR(IF(VLOOKUP($A20,TableHandbook[],2,FALSE)=0,"",VLOOKUP($A20,TableHandbook[],2,FALSE)),"")</f>
        <v/>
      </c>
      <c r="C20" s="179"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17" t="str">
        <f>IFERROR(VLOOKUP($A20,TableHandbook[],H$2,FALSE),"")</f>
        <v/>
      </c>
      <c r="I20" s="218" t="str">
        <f>IFERROR(VLOOKUP($A20,TableHandbook[],I$2,FALSE),"")</f>
        <v/>
      </c>
      <c r="J20" s="218" t="str">
        <f>IFERROR(VLOOKUP($A20,TableHandbook[],J$2,FALSE),"")</f>
        <v/>
      </c>
      <c r="K20" s="219" t="str">
        <f>IFERROR(VLOOKUP($A20,TableHandbook[],K$2,FALSE),"")</f>
        <v/>
      </c>
      <c r="L20" s="51"/>
      <c r="M20" s="138">
        <v>7</v>
      </c>
      <c r="N20" s="16"/>
      <c r="O20" s="16"/>
      <c r="P20" s="16"/>
      <c r="Q20" s="16"/>
      <c r="R20" s="16"/>
      <c r="S20" s="16"/>
      <c r="T20" s="16"/>
      <c r="U20" s="16"/>
      <c r="V20" s="16"/>
      <c r="W20" s="16"/>
    </row>
    <row r="21" spans="1:23" x14ac:dyDescent="0.25">
      <c r="A21" s="145" t="str">
        <f t="shared" si="1"/>
        <v/>
      </c>
      <c r="B21" s="179" t="str">
        <f>IFERROR(IF(VLOOKUP($A21,TableHandbook[],2,FALSE)=0,"",VLOOKUP($A21,TableHandbook[],2,FALSE)),"")</f>
        <v/>
      </c>
      <c r="C21" s="179"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17" t="str">
        <f>IFERROR(VLOOKUP($A21,TableHandbook[],H$2,FALSE),"")</f>
        <v/>
      </c>
      <c r="I21" s="218" t="str">
        <f>IFERROR(VLOOKUP($A21,TableHandbook[],I$2,FALSE),"")</f>
        <v/>
      </c>
      <c r="J21" s="218" t="str">
        <f>IFERROR(VLOOKUP($A21,TableHandbook[],J$2,FALSE),"")</f>
        <v/>
      </c>
      <c r="K21" s="219" t="str">
        <f>IFERROR(VLOOKUP($A21,TableHandbook[],K$2,FALSE),"")</f>
        <v/>
      </c>
      <c r="L21" s="51"/>
      <c r="M21" s="138">
        <v>8</v>
      </c>
      <c r="N21" s="16"/>
      <c r="O21" s="16"/>
      <c r="P21" s="16"/>
      <c r="Q21" s="16"/>
      <c r="R21" s="16"/>
      <c r="S21" s="16"/>
      <c r="T21" s="16"/>
      <c r="U21" s="16"/>
      <c r="V21" s="16"/>
      <c r="W21" s="16"/>
    </row>
    <row r="22" spans="1:23" x14ac:dyDescent="0.25">
      <c r="A22" s="145" t="str">
        <f t="shared" si="1"/>
        <v/>
      </c>
      <c r="B22" s="179" t="str">
        <f>IFERROR(IF(VLOOKUP($A22,TableHandbook[],2,FALSE)=0,"",VLOOKUP($A22,TableHandbook[],2,FALSE)),"")</f>
        <v/>
      </c>
      <c r="C22" s="179"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17" t="str">
        <f>IFERROR(VLOOKUP($A22,TableHandbook[],H$2,FALSE),"")</f>
        <v/>
      </c>
      <c r="I22" s="218" t="str">
        <f>IFERROR(VLOOKUP($A22,TableHandbook[],I$2,FALSE),"")</f>
        <v/>
      </c>
      <c r="J22" s="218" t="str">
        <f>IFERROR(VLOOKUP($A22,TableHandbook[],J$2,FALSE),"")</f>
        <v/>
      </c>
      <c r="K22" s="219" t="str">
        <f>IFERROR(VLOOKUP($A22,TableHandbook[],K$2,FALSE),"")</f>
        <v/>
      </c>
      <c r="L22" s="51"/>
      <c r="M22" s="138">
        <v>9</v>
      </c>
      <c r="N22" s="16"/>
      <c r="O22" s="16"/>
      <c r="P22" s="16"/>
      <c r="Q22" s="16"/>
      <c r="R22" s="16"/>
      <c r="S22" s="16"/>
      <c r="T22" s="16"/>
      <c r="U22" s="16"/>
      <c r="V22" s="16"/>
      <c r="W22" s="16"/>
    </row>
    <row r="23" spans="1:23" x14ac:dyDescent="0.25">
      <c r="A23" s="145" t="str">
        <f t="shared" si="1"/>
        <v/>
      </c>
      <c r="B23" s="179" t="str">
        <f>IFERROR(IF(VLOOKUP($A23,TableHandbook[],2,FALSE)=0,"",VLOOKUP($A23,TableHandbook[],2,FALSE)),"")</f>
        <v/>
      </c>
      <c r="C23" s="179"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17" t="str">
        <f>IFERROR(VLOOKUP($A23,TableHandbook[],H$2,FALSE),"")</f>
        <v/>
      </c>
      <c r="I23" s="218" t="str">
        <f>IFERROR(VLOOKUP($A23,TableHandbook[],I$2,FALSE),"")</f>
        <v/>
      </c>
      <c r="J23" s="218" t="str">
        <f>IFERROR(VLOOKUP($A23,TableHandbook[],J$2,FALSE),"")</f>
        <v/>
      </c>
      <c r="K23" s="219" t="str">
        <f>IFERROR(VLOOKUP($A23,TableHandbook[],K$2,FALSE),"")</f>
        <v/>
      </c>
      <c r="L23" s="51"/>
      <c r="M23" s="138">
        <v>10</v>
      </c>
      <c r="N23" s="16"/>
      <c r="O23" s="16"/>
      <c r="P23" s="16"/>
      <c r="Q23" s="16"/>
      <c r="R23" s="16"/>
      <c r="S23" s="16"/>
      <c r="T23" s="16"/>
      <c r="U23" s="16"/>
      <c r="V23" s="16"/>
      <c r="W23" s="16"/>
    </row>
    <row r="24" spans="1:23" x14ac:dyDescent="0.25">
      <c r="A24" s="145" t="str">
        <f t="shared" si="1"/>
        <v/>
      </c>
      <c r="B24" s="179" t="str">
        <f>IFERROR(IF(VLOOKUP($A24,TableHandbook[],2,FALSE)=0,"",VLOOKUP($A24,TableHandbook[],2,FALSE)),"")</f>
        <v/>
      </c>
      <c r="C24" s="179"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17" t="str">
        <f>IFERROR(VLOOKUP($A24,TableHandbook[],H$2,FALSE),"")</f>
        <v/>
      </c>
      <c r="I24" s="218" t="str">
        <f>IFERROR(VLOOKUP($A24,TableHandbook[],I$2,FALSE),"")</f>
        <v/>
      </c>
      <c r="J24" s="218" t="str">
        <f>IFERROR(VLOOKUP($A24,TableHandbook[],J$2,FALSE),"")</f>
        <v/>
      </c>
      <c r="K24" s="219" t="str">
        <f>IFERROR(VLOOKUP($A24,TableHandbook[],K$2,FALSE),"")</f>
        <v/>
      </c>
      <c r="L24" s="51"/>
      <c r="M24" s="138">
        <v>11</v>
      </c>
      <c r="N24" s="16"/>
      <c r="O24" s="16"/>
      <c r="P24" s="16"/>
      <c r="Q24" s="16"/>
      <c r="R24" s="16"/>
      <c r="S24" s="16"/>
      <c r="T24" s="16"/>
      <c r="U24" s="16"/>
      <c r="V24" s="16"/>
      <c r="W24" s="16"/>
    </row>
    <row r="25" spans="1:23" x14ac:dyDescent="0.25">
      <c r="A25" s="145" t="str">
        <f t="shared" si="1"/>
        <v/>
      </c>
      <c r="B25" s="179" t="str">
        <f>IFERROR(IF(VLOOKUP($A25,TableHandbook[],2,FALSE)=0,"",VLOOKUP($A25,TableHandbook[],2,FALSE)),"")</f>
        <v/>
      </c>
      <c r="C25" s="179"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17" t="str">
        <f>IFERROR(VLOOKUP($A25,TableHandbook[],H$2,FALSE),"")</f>
        <v/>
      </c>
      <c r="I25" s="218" t="str">
        <f>IFERROR(VLOOKUP($A25,TableHandbook[],I$2,FALSE),"")</f>
        <v/>
      </c>
      <c r="J25" s="218" t="str">
        <f>IFERROR(VLOOKUP($A25,TableHandbook[],J$2,FALSE),"")</f>
        <v/>
      </c>
      <c r="K25" s="219" t="str">
        <f>IFERROR(VLOOKUP($A25,TableHandbook[],K$2,FALSE),"")</f>
        <v/>
      </c>
      <c r="L25" s="51"/>
      <c r="M25" s="138">
        <v>12</v>
      </c>
      <c r="N25" s="16"/>
      <c r="O25" s="16"/>
      <c r="P25" s="16"/>
      <c r="Q25" s="16"/>
      <c r="R25" s="16"/>
      <c r="S25" s="16"/>
      <c r="T25" s="16"/>
      <c r="U25" s="16"/>
      <c r="V25" s="16"/>
      <c r="W25" s="16"/>
    </row>
    <row r="26" spans="1:23" x14ac:dyDescent="0.25">
      <c r="A26" s="145" t="str">
        <f t="shared" si="1"/>
        <v/>
      </c>
      <c r="B26" s="179" t="str">
        <f>IFERROR(IF(VLOOKUP($A26,TableHandbook[],2,FALSE)=0,"",VLOOKUP($A26,TableHandbook[],2,FALSE)),"")</f>
        <v/>
      </c>
      <c r="C26" s="179"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17" t="str">
        <f>IFERROR(VLOOKUP($A26,TableHandbook[],H$2,FALSE),"")</f>
        <v/>
      </c>
      <c r="I26" s="218" t="str">
        <f>IFERROR(VLOOKUP($A26,TableHandbook[],I$2,FALSE),"")</f>
        <v/>
      </c>
      <c r="J26" s="218" t="str">
        <f>IFERROR(VLOOKUP($A26,TableHandbook[],J$2,FALSE),"")</f>
        <v/>
      </c>
      <c r="K26" s="219" t="str">
        <f>IFERROR(VLOOKUP($A26,TableHandbook[],K$2,FALSE),"")</f>
        <v/>
      </c>
      <c r="L26" s="51"/>
      <c r="M26" s="138">
        <v>13</v>
      </c>
      <c r="N26" s="16"/>
      <c r="O26" s="16"/>
      <c r="P26" s="16"/>
      <c r="Q26" s="16"/>
      <c r="R26" s="16"/>
      <c r="S26" s="16"/>
      <c r="T26" s="16"/>
      <c r="U26" s="16"/>
      <c r="V26" s="16"/>
      <c r="W26" s="16"/>
    </row>
    <row r="27" spans="1:23" x14ac:dyDescent="0.25">
      <c r="A27" s="145" t="str">
        <f t="shared" si="1"/>
        <v/>
      </c>
      <c r="B27" s="179" t="str">
        <f>IFERROR(IF(VLOOKUP($A27,TableHandbook[],2,FALSE)=0,"",VLOOKUP($A27,TableHandbook[],2,FALSE)),"")</f>
        <v/>
      </c>
      <c r="C27" s="179"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17" t="str">
        <f>IFERROR(VLOOKUP($A27,TableHandbook[],H$2,FALSE),"")</f>
        <v/>
      </c>
      <c r="I27" s="218" t="str">
        <f>IFERROR(VLOOKUP($A27,TableHandbook[],I$2,FALSE),"")</f>
        <v/>
      </c>
      <c r="J27" s="218" t="str">
        <f>IFERROR(VLOOKUP($A27,TableHandbook[],J$2,FALSE),"")</f>
        <v/>
      </c>
      <c r="K27" s="219" t="str">
        <f>IFERROR(VLOOKUP($A27,TableHandbook[],K$2,FALSE),"")</f>
        <v/>
      </c>
      <c r="L27" s="51"/>
      <c r="M27" s="138">
        <v>14</v>
      </c>
      <c r="N27" s="16"/>
      <c r="O27" s="16"/>
      <c r="P27" s="16"/>
      <c r="Q27" s="16"/>
      <c r="R27" s="16"/>
      <c r="S27" s="16"/>
      <c r="T27" s="16"/>
      <c r="U27" s="16"/>
      <c r="V27" s="16"/>
      <c r="W27" s="16"/>
    </row>
    <row r="28" spans="1:23" x14ac:dyDescent="0.25">
      <c r="A28" s="145" t="str">
        <f t="shared" si="1"/>
        <v/>
      </c>
      <c r="B28" s="179" t="str">
        <f>IFERROR(IF(VLOOKUP($A28,TableHandbook[],2,FALSE)=0,"",VLOOKUP($A28,TableHandbook[],2,FALSE)),"")</f>
        <v/>
      </c>
      <c r="C28" s="179"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17" t="str">
        <f>IFERROR(VLOOKUP($A28,TableHandbook[],H$2,FALSE),"")</f>
        <v/>
      </c>
      <c r="I28" s="218" t="str">
        <f>IFERROR(VLOOKUP($A28,TableHandbook[],I$2,FALSE),"")</f>
        <v/>
      </c>
      <c r="J28" s="218" t="str">
        <f>IFERROR(VLOOKUP($A28,TableHandbook[],J$2,FALSE),"")</f>
        <v/>
      </c>
      <c r="K28" s="219" t="str">
        <f>IFERROR(VLOOKUP($A28,TableHandbook[],K$2,FALSE),"")</f>
        <v/>
      </c>
      <c r="L28" s="51"/>
      <c r="M28" s="138">
        <v>15</v>
      </c>
      <c r="N28" s="16"/>
      <c r="O28" s="16"/>
      <c r="P28" s="16"/>
      <c r="Q28" s="16"/>
      <c r="R28" s="16"/>
      <c r="S28" s="16"/>
      <c r="T28" s="16"/>
      <c r="U28" s="16"/>
      <c r="V28" s="16"/>
      <c r="W28" s="16"/>
    </row>
    <row r="29" spans="1:23" x14ac:dyDescent="0.25">
      <c r="A29" s="145" t="str">
        <f t="shared" si="1"/>
        <v/>
      </c>
      <c r="B29" s="179" t="str">
        <f>IFERROR(IF(VLOOKUP($A29,TableHandbook[],2,FALSE)=0,"",VLOOKUP($A29,TableHandbook[],2,FALSE)),"")</f>
        <v/>
      </c>
      <c r="C29" s="179"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17" t="str">
        <f>IFERROR(VLOOKUP($A29,TableHandbook[],H$2,FALSE),"")</f>
        <v/>
      </c>
      <c r="I29" s="218" t="str">
        <f>IFERROR(VLOOKUP($A29,TableHandbook[],I$2,FALSE),"")</f>
        <v/>
      </c>
      <c r="J29" s="218" t="str">
        <f>IFERROR(VLOOKUP($A29,TableHandbook[],J$2,FALSE),"")</f>
        <v/>
      </c>
      <c r="K29" s="219" t="str">
        <f>IFERROR(VLOOKUP($A29,TableHandbook[],K$2,FALSE),"")</f>
        <v/>
      </c>
      <c r="L29" s="51"/>
      <c r="M29" s="138">
        <v>16</v>
      </c>
      <c r="N29" s="16"/>
      <c r="O29" s="16"/>
      <c r="P29" s="16"/>
      <c r="Q29" s="16"/>
      <c r="R29" s="16"/>
      <c r="S29" s="16"/>
      <c r="T29" s="16"/>
      <c r="U29" s="16"/>
      <c r="V29" s="16"/>
      <c r="W29" s="16"/>
    </row>
    <row r="30" spans="1:23" x14ac:dyDescent="0.25">
      <c r="A30" s="145" t="str">
        <f t="shared" si="1"/>
        <v/>
      </c>
      <c r="B30" s="179" t="str">
        <f>IFERROR(IF(VLOOKUP($A30,TableHandbook[],2,FALSE)=0,"",VLOOKUP($A30,TableHandbook[],2,FALSE)),"")</f>
        <v/>
      </c>
      <c r="C30" s="179"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17" t="str">
        <f>IFERROR(VLOOKUP($A30,TableHandbook[],H$2,FALSE),"")</f>
        <v/>
      </c>
      <c r="I30" s="218" t="str">
        <f>IFERROR(VLOOKUP($A30,TableHandbook[],I$2,FALSE),"")</f>
        <v/>
      </c>
      <c r="J30" s="218" t="str">
        <f>IFERROR(VLOOKUP($A30,TableHandbook[],J$2,FALSE),"")</f>
        <v/>
      </c>
      <c r="K30" s="219" t="str">
        <f>IFERROR(VLOOKUP($A30,TableHandbook[],K$2,FALSE),"")</f>
        <v/>
      </c>
      <c r="L30" s="51"/>
      <c r="M30" s="138">
        <v>17</v>
      </c>
      <c r="N30" s="16"/>
      <c r="O30" s="16"/>
      <c r="P30" s="16"/>
      <c r="Q30" s="16"/>
      <c r="R30" s="16"/>
      <c r="S30" s="16"/>
      <c r="T30" s="16"/>
      <c r="U30" s="16"/>
      <c r="V30" s="16"/>
      <c r="W30" s="16"/>
    </row>
    <row r="31" spans="1:23" x14ac:dyDescent="0.25">
      <c r="A31" s="145" t="str">
        <f t="shared" si="1"/>
        <v/>
      </c>
      <c r="B31" s="179" t="str">
        <f>IFERROR(IF(VLOOKUP($A31,TableHandbook[],2,FALSE)=0,"",VLOOKUP($A31,TableHandbook[],2,FALSE)),"")</f>
        <v/>
      </c>
      <c r="C31" s="179"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17" t="str">
        <f>IFERROR(VLOOKUP($A31,TableHandbook[],H$2,FALSE),"")</f>
        <v/>
      </c>
      <c r="I31" s="218" t="str">
        <f>IFERROR(VLOOKUP($A31,TableHandbook[],I$2,FALSE),"")</f>
        <v/>
      </c>
      <c r="J31" s="218" t="str">
        <f>IFERROR(VLOOKUP($A31,TableHandbook[],J$2,FALSE),"")</f>
        <v/>
      </c>
      <c r="K31" s="219" t="str">
        <f>IFERROR(VLOOKUP($A31,TableHandbook[],K$2,FALSE),"")</f>
        <v/>
      </c>
      <c r="L31" s="51"/>
      <c r="M31" s="138">
        <v>18</v>
      </c>
      <c r="N31" s="16"/>
      <c r="O31" s="16"/>
      <c r="P31" s="16"/>
      <c r="Q31" s="16"/>
      <c r="R31" s="16"/>
      <c r="S31" s="16"/>
      <c r="T31" s="16"/>
      <c r="U31" s="16"/>
      <c r="V31" s="16"/>
      <c r="W31" s="16"/>
    </row>
    <row r="32" spans="1:23" ht="15" customHeight="1" x14ac:dyDescent="0.25">
      <c r="A32" s="161"/>
      <c r="B32" s="162"/>
      <c r="C32" s="163"/>
      <c r="D32" s="163"/>
      <c r="E32" s="164"/>
      <c r="F32" s="165"/>
      <c r="G32" s="165"/>
      <c r="H32" s="146"/>
      <c r="I32" s="146"/>
      <c r="J32" s="146"/>
      <c r="K32" s="146"/>
      <c r="L32" s="147"/>
      <c r="M32" s="138"/>
      <c r="N32" s="16"/>
      <c r="O32" s="16"/>
      <c r="P32" s="16"/>
      <c r="Q32" s="16"/>
      <c r="R32" s="16"/>
      <c r="S32" s="16"/>
      <c r="T32" s="16"/>
      <c r="U32" s="16"/>
      <c r="V32" s="16"/>
      <c r="W32" s="16"/>
    </row>
    <row r="33" spans="1:23" s="16" customFormat="1" ht="30" customHeight="1" x14ac:dyDescent="0.25">
      <c r="A33" s="60" t="s">
        <v>576</v>
      </c>
      <c r="B33" s="60"/>
      <c r="C33" s="60"/>
      <c r="D33" s="60"/>
      <c r="E33" s="60"/>
      <c r="F33" s="60"/>
      <c r="G33" s="60"/>
      <c r="H33" s="60"/>
      <c r="I33" s="60"/>
      <c r="J33" s="60"/>
      <c r="K33" s="60"/>
      <c r="L33" s="60"/>
    </row>
    <row r="34" spans="1:23" s="38" customFormat="1" ht="17.25" x14ac:dyDescent="0.2">
      <c r="A34" s="32" t="s">
        <v>577</v>
      </c>
      <c r="B34" s="32"/>
      <c r="C34" s="32"/>
      <c r="D34" s="33"/>
      <c r="E34" s="33"/>
      <c r="F34" s="33"/>
      <c r="G34" s="33"/>
      <c r="H34" s="33"/>
      <c r="I34" s="33"/>
      <c r="J34" s="33"/>
      <c r="K34" s="33"/>
      <c r="L34" s="33"/>
      <c r="M34" s="36"/>
      <c r="N34" s="36"/>
      <c r="O34" s="36"/>
      <c r="P34" s="37"/>
      <c r="Q34" s="37"/>
      <c r="R34" s="37"/>
      <c r="S34" s="37"/>
      <c r="T34" s="37"/>
      <c r="U34" s="37"/>
      <c r="V34" s="37"/>
      <c r="W34" s="37"/>
    </row>
    <row r="35" spans="1:23" x14ac:dyDescent="0.25">
      <c r="A35" s="34" t="s">
        <v>578</v>
      </c>
      <c r="B35" s="34"/>
      <c r="C35" s="34"/>
      <c r="D35" s="34"/>
      <c r="E35" s="47"/>
      <c r="F35" s="35"/>
      <c r="G35" s="48"/>
      <c r="H35" s="48"/>
      <c r="I35" s="48"/>
      <c r="J35" s="48"/>
      <c r="K35" s="48"/>
      <c r="L35" s="48" t="s">
        <v>579</v>
      </c>
    </row>
  </sheetData>
  <sheetProtection formatCells="0"/>
  <mergeCells count="1">
    <mergeCell ref="A3:D3"/>
  </mergeCells>
  <conditionalFormatting sqref="A11:L15 A19:L31">
    <cfRule type="expression" dxfId="16" priority="3">
      <formula>$A11=""</formula>
    </cfRule>
  </conditionalFormatting>
  <conditionalFormatting sqref="A19:L31">
    <cfRule type="expression" dxfId="15" priority="4">
      <formula>LEFT($D19,5)="Study"</formula>
    </cfRule>
  </conditionalFormatting>
  <conditionalFormatting sqref="D5:D8">
    <cfRule type="containsText" dxfId="14" priority="2" operator="containsText" text="Choose">
      <formula>NOT(ISERROR(SEARCH("Choose",D5)))</formula>
    </cfRule>
  </conditionalFormatting>
  <conditionalFormatting sqref="H11:K15">
    <cfRule type="expression" dxfId="13" priority="1">
      <formula>$E11=H$10</formula>
    </cfRule>
  </conditionalFormatting>
  <dataValidations count="1">
    <dataValidation type="list" allowBlank="1" showInputMessage="1" showErrorMessage="1" sqref="L13" xr:uid="{00000000-0002-0000-0500-000000000000}"/>
  </dataValidations>
  <hyperlinks>
    <hyperlink ref="A34:L34"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4"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CourseDetails!$A$44:$A$48</xm:f>
          </x14:formula1>
          <xm:sqref>D7:D8</xm:sqref>
        </x14:dataValidation>
        <x14:dataValidation type="list" allowBlank="1" showInputMessage="1" showErrorMessage="1" xr:uid="{5F9F3489-7731-45A6-818E-63350D41273D}">
          <x14:formula1>
            <xm:f>CourseDetails!$A$37:$A$41</xm:f>
          </x14:formula1>
          <xm:sqref>D6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79998168889431442"/>
    <pageSetUpPr fitToPage="1"/>
  </sheetPr>
  <dimension ref="A1:W1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0"/>
      <c r="B2" s="140">
        <v>2</v>
      </c>
      <c r="C2" s="140">
        <v>3</v>
      </c>
      <c r="D2" s="140">
        <v>4</v>
      </c>
      <c r="E2" s="140"/>
      <c r="F2" s="140">
        <v>6</v>
      </c>
      <c r="G2" s="140">
        <v>5</v>
      </c>
      <c r="H2" s="140">
        <v>7</v>
      </c>
      <c r="I2" s="140">
        <v>8</v>
      </c>
      <c r="J2" s="140">
        <v>9</v>
      </c>
      <c r="K2" s="140">
        <v>10</v>
      </c>
      <c r="L2" s="167"/>
    </row>
    <row r="3" spans="1:23" ht="39.950000000000003" customHeight="1" x14ac:dyDescent="0.25">
      <c r="A3" s="266" t="s">
        <v>561</v>
      </c>
      <c r="B3" s="266"/>
      <c r="C3" s="266"/>
      <c r="D3" s="266"/>
      <c r="E3" s="89"/>
      <c r="F3" s="89"/>
      <c r="G3" s="89"/>
      <c r="H3" s="89"/>
      <c r="I3" s="89"/>
      <c r="J3" s="89"/>
      <c r="K3" s="89"/>
      <c r="L3" s="89"/>
    </row>
    <row r="4" spans="1:23" ht="25.5" x14ac:dyDescent="0.25">
      <c r="A4" s="192"/>
      <c r="B4" s="193"/>
      <c r="C4" s="193"/>
      <c r="D4" s="194" t="s">
        <v>562</v>
      </c>
      <c r="E4" s="195"/>
      <c r="F4" s="193"/>
      <c r="G4" s="196"/>
      <c r="H4" s="196"/>
      <c r="I4" s="196"/>
      <c r="J4" s="196"/>
      <c r="K4" s="196"/>
      <c r="L4" s="196"/>
    </row>
    <row r="5" spans="1:23" ht="20.100000000000001" customHeight="1" x14ac:dyDescent="0.25">
      <c r="B5" s="10"/>
      <c r="C5" s="115" t="s">
        <v>563</v>
      </c>
      <c r="D5" s="107" t="s">
        <v>20</v>
      </c>
      <c r="E5" s="11"/>
      <c r="F5" s="115" t="s">
        <v>564</v>
      </c>
      <c r="G5" s="11" t="str">
        <f>IFERROR(CONCATENATE(VLOOKUP(D5,TableCourses[],2,FALSE)," ",VLOOKUP(D5,TableCourses[],3,FALSE)),"")</f>
        <v>OC-EDHE v.1</v>
      </c>
      <c r="H5" s="11"/>
      <c r="I5" s="11"/>
      <c r="J5" s="11"/>
      <c r="K5" s="11"/>
      <c r="L5" s="188" t="str">
        <f>CONCATENATE(VLOOKUP(D5,TableCourses[],2,FALSE),VLOOKUP(D6,TableStudyPeriods[],2,FALSE))</f>
        <v>OC-EDHESP4</v>
      </c>
    </row>
    <row r="6" spans="1:23" ht="20.100000000000001" customHeight="1" x14ac:dyDescent="0.25">
      <c r="A6" s="13"/>
      <c r="B6" s="14"/>
      <c r="C6" s="115" t="s">
        <v>567</v>
      </c>
      <c r="D6" s="108" t="s">
        <v>88</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0" t="s">
        <v>82</v>
      </c>
      <c r="I8" s="211" t="s">
        <v>83</v>
      </c>
      <c r="J8" s="211" t="s">
        <v>84</v>
      </c>
      <c r="K8" s="211" t="s">
        <v>85</v>
      </c>
      <c r="L8" s="106" t="s">
        <v>587</v>
      </c>
      <c r="M8" s="17"/>
      <c r="N8" s="17"/>
      <c r="O8" s="17"/>
      <c r="P8" s="18"/>
      <c r="Q8" s="18"/>
      <c r="R8" s="18"/>
      <c r="S8" s="18"/>
      <c r="T8" s="18"/>
      <c r="U8" s="18"/>
      <c r="V8" s="18"/>
      <c r="W8" s="18"/>
    </row>
    <row r="9" spans="1:23" s="22" customFormat="1" ht="21" customHeight="1" x14ac:dyDescent="0.15">
      <c r="A9" s="55" t="str">
        <f>IFERROR(IF(HLOOKUP($L$5,RangeUnitsetsOCEDHE,M9,FALSE)=0,"",HLOOKUP($L$5,RangeUnitsetsOCEDHE,M9,FALSE)),"")</f>
        <v>EDHE5002</v>
      </c>
      <c r="B9" s="50">
        <f>IFERROR(IF(VLOOKUP($A9,TableHandbook[],2,FALSE)=0,"",VLOOKUP($A9,TableHandbook[],2,FALSE)),"")</f>
        <v>1</v>
      </c>
      <c r="C9" s="50" t="str">
        <f>IFERROR(IF(VLOOKUP($A9,TableHandbook[],3,FALSE)=0,"",VLOOKUP($A9,TableHandbook[],3,FALSE)),"")</f>
        <v xml:space="preserve">EDHE502 </v>
      </c>
      <c r="D9" s="56" t="str">
        <f>IFERROR(IF(VLOOKUP($A9,TableHandbook[],4,FALSE)=0,"",VLOOKUP($A9,TableHandbook[],4,FALSE)),"")</f>
        <v>Design Thinking and Educational Innovation</v>
      </c>
      <c r="E9" s="50" t="str">
        <f>IF(OR(A9="",A9="--"),"",VLOOKUP($D$6,TableStudyPeriods[],2,FALSE))</f>
        <v>SP4</v>
      </c>
      <c r="F9" s="49" t="str">
        <f>IFERROR(IF(VLOOKUP($A9,TableHandbook[],6,FALSE)=0,"",VLOOKUP($A9,TableHandbook[],6,FALSE)),"")</f>
        <v>Nil</v>
      </c>
      <c r="G9" s="50">
        <f>IFERROR(IF(VLOOKUP($A9,TableHandbook[],5,FALSE)=0,"",VLOOKUP($A9,TableHandbook[],5,FALSE)),"")</f>
        <v>25</v>
      </c>
      <c r="H9" s="212" t="str">
        <f>IFERROR(VLOOKUP($A9,TableHandbook[],H$2,FALSE),"")</f>
        <v/>
      </c>
      <c r="I9" s="213" t="str">
        <f>IFERROR(VLOOKUP($A9,TableHandbook[],I$2,FALSE),"")</f>
        <v>Y</v>
      </c>
      <c r="J9" s="213" t="str">
        <f>IFERROR(VLOOKUP($A9,TableHandbook[],J$2,FALSE),"")</f>
        <v/>
      </c>
      <c r="K9" s="213" t="str">
        <f>IFERROR(VLOOKUP($A9,TableHandbook[],K$2,FALSE),"")</f>
        <v>Y</v>
      </c>
      <c r="L9" s="57"/>
      <c r="M9" s="138">
        <v>2</v>
      </c>
      <c r="N9" s="20"/>
      <c r="O9" s="20"/>
      <c r="P9" s="21"/>
      <c r="Q9" s="21"/>
      <c r="R9" s="21"/>
      <c r="S9" s="21"/>
      <c r="T9" s="21"/>
      <c r="U9" s="21"/>
      <c r="V9" s="21"/>
      <c r="W9" s="21"/>
    </row>
    <row r="10" spans="1:23" s="22" customFormat="1" ht="21" customHeight="1" x14ac:dyDescent="0.15">
      <c r="A10" s="55" t="str">
        <f>IFERROR(IF(HLOOKUP($L$5,RangeUnitsetsOCEDHE,M10,FALSE)=0,"",HLOOKUP($L$5,RangeUnitsetsOCEDHE,M10,FALSE)),"")</f>
        <v>EDHE5005</v>
      </c>
      <c r="B10" s="50">
        <f>IFERROR(IF(VLOOKUP($A10,TableHandbook[],2,FALSE)=0,"",VLOOKUP($A10,TableHandbook[],2,FALSE)),"")</f>
        <v>1</v>
      </c>
      <c r="C10" s="50" t="str">
        <f>IFERROR(IF(VLOOKUP($A10,TableHandbook[],3,FALSE)=0,"",VLOOKUP($A10,TableHandbook[],3,FALSE)),"")</f>
        <v xml:space="preserve">EDHE505 </v>
      </c>
      <c r="D10" s="56" t="str">
        <f>IFERROR(IF(VLOOKUP($A10,TableHandbook[],4,FALSE)=0,"",VLOOKUP($A10,TableHandbook[],4,FALSE)),"")</f>
        <v>Teaching Portfolio</v>
      </c>
      <c r="E10" s="50" t="str">
        <f>IF(A10="","",E9)</f>
        <v>SP4</v>
      </c>
      <c r="F10" s="49" t="str">
        <f>IFERROR(IF(VLOOKUP($A10,TableHandbook[],6,FALSE)=0,"",VLOOKUP($A10,TableHandbook[],6,FALSE)),"")</f>
        <v>Nil</v>
      </c>
      <c r="G10" s="50">
        <f>IFERROR(IF(VLOOKUP($A10,TableHandbook[],5,FALSE)=0,"",VLOOKUP($A10,TableHandbook[],5,FALSE)),"")</f>
        <v>25</v>
      </c>
      <c r="H10" s="212" t="str">
        <f>IFERROR(VLOOKUP($A10,TableHandbook[],H$2,FALSE),"")</f>
        <v/>
      </c>
      <c r="I10" s="213" t="str">
        <f>IFERROR(VLOOKUP($A10,TableHandbook[],I$2,FALSE),"")</f>
        <v>Y</v>
      </c>
      <c r="J10" s="213" t="str">
        <f>IFERROR(VLOOKUP($A10,TableHandbook[],J$2,FALSE),"")</f>
        <v/>
      </c>
      <c r="K10" s="213" t="str">
        <f>IFERROR(VLOOKUP($A10,TableHandbook[],K$2,FALSE),"")</f>
        <v>Y</v>
      </c>
      <c r="L10" s="57"/>
      <c r="M10" s="138">
        <v>3</v>
      </c>
      <c r="N10" s="20"/>
      <c r="O10" s="20"/>
      <c r="P10" s="21"/>
      <c r="Q10" s="21"/>
      <c r="R10" s="21"/>
      <c r="S10" s="21"/>
      <c r="T10" s="21"/>
      <c r="U10" s="21"/>
      <c r="V10" s="21"/>
      <c r="W10" s="21"/>
    </row>
    <row r="11" spans="1:23" s="22" customFormat="1" ht="4.5" customHeight="1" x14ac:dyDescent="0.15">
      <c r="A11" s="23"/>
      <c r="B11" s="24"/>
      <c r="C11" s="24"/>
      <c r="D11" s="25"/>
      <c r="E11" s="24"/>
      <c r="F11" s="26"/>
      <c r="G11" s="24"/>
      <c r="H11" s="221"/>
      <c r="I11" s="222"/>
      <c r="J11" s="222"/>
      <c r="K11" s="222"/>
      <c r="L11" s="27"/>
      <c r="M11" s="138"/>
      <c r="N11" s="20"/>
      <c r="O11" s="20"/>
      <c r="P11" s="20"/>
      <c r="Q11" s="21"/>
      <c r="R11" s="21"/>
      <c r="S11" s="21"/>
      <c r="T11" s="21"/>
      <c r="U11" s="21"/>
      <c r="V11" s="21"/>
      <c r="W11" s="21"/>
    </row>
    <row r="12" spans="1:23" s="22" customFormat="1" ht="21" customHeight="1" x14ac:dyDescent="0.15">
      <c r="A12" s="55" t="str">
        <f>IFERROR(IF(HLOOKUP($L$5,RangeUnitsetsOCEDHE,M12,FALSE)=0,"",HLOOKUP($L$5,RangeUnitsetsOCEDHE,M12,FALSE)),"")</f>
        <v>EDHE5001</v>
      </c>
      <c r="B12" s="50">
        <f>IFERROR(IF(VLOOKUP($A12,TableHandbook[],2,FALSE)=0,"",VLOOKUP($A12,TableHandbook[],2,FALSE)),"")</f>
        <v>1</v>
      </c>
      <c r="C12" s="50" t="str">
        <f>IFERROR(IF(VLOOKUP($A12,TableHandbook[],3,FALSE)=0,"",VLOOKUP($A12,TableHandbook[],3,FALSE)),"")</f>
        <v xml:space="preserve">EDHE501 </v>
      </c>
      <c r="D12" s="56" t="str">
        <f>IFERROR(IF(VLOOKUP($A12,TableHandbook[],4,FALSE)=0,"",VLOOKUP($A12,TableHandbook[],4,FALSE)),"")</f>
        <v>The Learning Cycle: Design and Curriculum</v>
      </c>
      <c r="E12" s="50" t="str">
        <f>IF(OR(A12="",A12="--"),"",VLOOKUP($D$6,TableStudyPeriods[],3,FALSE))</f>
        <v>SP1</v>
      </c>
      <c r="F12" s="49" t="str">
        <f>IFERROR(IF(VLOOKUP($A12,TableHandbook[],6,FALSE)=0,"",VLOOKUP($A12,TableHandbook[],6,FALSE)),"")</f>
        <v>Nil</v>
      </c>
      <c r="G12" s="50">
        <f>IFERROR(IF(VLOOKUP($A12,TableHandbook[],5,FALSE)=0,"",VLOOKUP($A12,TableHandbook[],5,FALSE)),"")</f>
        <v>25</v>
      </c>
      <c r="H12" s="212" t="str">
        <f>IFERROR(VLOOKUP($A12,TableHandbook[],H$2,FALSE),"")</f>
        <v>Y</v>
      </c>
      <c r="I12" s="213" t="str">
        <f>IFERROR(VLOOKUP($A12,TableHandbook[],I$2,FALSE),"")</f>
        <v/>
      </c>
      <c r="J12" s="213" t="str">
        <f>IFERROR(VLOOKUP($A12,TableHandbook[],J$2,FALSE),"")</f>
        <v>Y</v>
      </c>
      <c r="K12" s="213" t="str">
        <f>IFERROR(VLOOKUP($A12,TableHandbook[],K$2,FALSE),"")</f>
        <v/>
      </c>
      <c r="L12" s="58"/>
      <c r="M12" s="138">
        <v>4</v>
      </c>
      <c r="N12" s="20"/>
      <c r="O12" s="20"/>
      <c r="P12" s="21"/>
      <c r="Q12" s="21"/>
      <c r="R12" s="21"/>
      <c r="S12" s="21"/>
      <c r="T12" s="21"/>
      <c r="U12" s="21"/>
      <c r="V12" s="21"/>
      <c r="W12" s="21"/>
    </row>
    <row r="13" spans="1:23" s="22" customFormat="1" ht="21" customHeight="1" x14ac:dyDescent="0.15">
      <c r="A13" s="55" t="str">
        <f>IFERROR(IF(HLOOKUP($L$5,RangeUnitsetsOCEDHE,M13,FALSE)=0,"",HLOOKUP($L$5,RangeUnitsetsOCEDHE,M13,FALSE)),"")</f>
        <v>EDHE5004</v>
      </c>
      <c r="B13" s="50">
        <f>IFERROR(IF(VLOOKUP($A13,TableHandbook[],2,FALSE)=0,"",VLOOKUP($A13,TableHandbook[],2,FALSE)),"")</f>
        <v>1</v>
      </c>
      <c r="C13" s="50" t="str">
        <f>IFERROR(IF(VLOOKUP($A13,TableHandbook[],3,FALSE)=0,"",VLOOKUP($A13,TableHandbook[],3,FALSE)),"")</f>
        <v xml:space="preserve">EDHE504 </v>
      </c>
      <c r="D13" s="56" t="str">
        <f>IFERROR(IF(VLOOKUP($A13,TableHandbook[],4,FALSE)=0,"",VLOOKUP($A13,TableHandbook[],4,FALSE)),"")</f>
        <v>Research for the Scholarship of Learning and Teaching</v>
      </c>
      <c r="E13" s="50" t="str">
        <f>IF(A13="","",E12)</f>
        <v>SP1</v>
      </c>
      <c r="F13" s="49" t="str">
        <f>IFERROR(IF(VLOOKUP($A13,TableHandbook[],6,FALSE)=0,"",VLOOKUP($A13,TableHandbook[],6,FALSE)),"")</f>
        <v>Nil</v>
      </c>
      <c r="G13" s="50">
        <f>IFERROR(IF(VLOOKUP($A13,TableHandbook[],5,FALSE)=0,"",VLOOKUP($A13,TableHandbook[],5,FALSE)),"")</f>
        <v>25</v>
      </c>
      <c r="H13" s="212" t="str">
        <f>IFERROR(VLOOKUP($A13,TableHandbook[],H$2,FALSE),"")</f>
        <v>Y</v>
      </c>
      <c r="I13" s="213" t="str">
        <f>IFERROR(VLOOKUP($A13,TableHandbook[],I$2,FALSE),"")</f>
        <v/>
      </c>
      <c r="J13" s="213" t="str">
        <f>IFERROR(VLOOKUP($A13,TableHandbook[],J$2,FALSE),"")</f>
        <v>Y</v>
      </c>
      <c r="K13" s="213" t="str">
        <f>IFERROR(VLOOKUP($A13,TableHandbook[],K$2,FALSE),"")</f>
        <v/>
      </c>
      <c r="L13" s="57"/>
      <c r="M13" s="138">
        <v>5</v>
      </c>
      <c r="N13" s="20"/>
      <c r="O13" s="20"/>
      <c r="P13" s="21"/>
      <c r="Q13" s="21"/>
      <c r="R13" s="21"/>
      <c r="S13" s="21"/>
      <c r="T13" s="21"/>
      <c r="U13" s="21"/>
      <c r="V13" s="21"/>
      <c r="W13" s="21"/>
    </row>
    <row r="14" spans="1:23" s="22" customFormat="1" ht="15" customHeight="1" x14ac:dyDescent="0.15">
      <c r="A14" s="146"/>
      <c r="B14" s="147"/>
      <c r="C14" s="147"/>
      <c r="D14" s="148"/>
      <c r="E14" s="147"/>
      <c r="F14" s="149"/>
      <c r="G14" s="146"/>
      <c r="H14" s="146"/>
      <c r="I14" s="146"/>
      <c r="J14" s="146"/>
      <c r="K14" s="146"/>
      <c r="L14" s="150"/>
      <c r="M14" s="138"/>
      <c r="N14" s="20"/>
      <c r="O14" s="20"/>
      <c r="P14" s="21"/>
      <c r="Q14" s="21"/>
      <c r="R14" s="21"/>
      <c r="S14" s="21"/>
      <c r="T14" s="21"/>
      <c r="U14" s="21"/>
      <c r="V14" s="21"/>
      <c r="W14" s="21"/>
    </row>
    <row r="15" spans="1:23" s="16" customFormat="1" ht="18" x14ac:dyDescent="0.25">
      <c r="A15" s="60" t="s">
        <v>576</v>
      </c>
      <c r="B15" s="60"/>
      <c r="C15" s="60"/>
      <c r="D15" s="60"/>
      <c r="E15" s="60"/>
      <c r="F15" s="60"/>
      <c r="G15" s="60"/>
      <c r="H15" s="60"/>
      <c r="I15" s="60"/>
      <c r="J15" s="60"/>
      <c r="K15" s="60"/>
      <c r="L15" s="60"/>
    </row>
    <row r="16" spans="1:23" s="38" customFormat="1" ht="17.25" x14ac:dyDescent="0.2">
      <c r="A16" s="32" t="s">
        <v>577</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578</v>
      </c>
      <c r="B17" s="34"/>
      <c r="C17" s="34"/>
      <c r="D17" s="34"/>
      <c r="E17" s="47"/>
      <c r="F17" s="35"/>
      <c r="G17" s="48"/>
      <c r="H17" s="48"/>
      <c r="I17" s="48"/>
      <c r="J17" s="48"/>
      <c r="K17" s="48"/>
      <c r="L17" s="48" t="s">
        <v>579</v>
      </c>
    </row>
  </sheetData>
  <sheetProtection formatCells="0"/>
  <mergeCells count="1">
    <mergeCell ref="A3:D3"/>
  </mergeCells>
  <conditionalFormatting sqref="A9:L13">
    <cfRule type="expression" dxfId="12" priority="3">
      <formula>$A9=""</formula>
    </cfRule>
  </conditionalFormatting>
  <conditionalFormatting sqref="D5:D6">
    <cfRule type="containsText" dxfId="11" priority="2" operator="containsText" text="Choose">
      <formula>NOT(ISERROR(SEARCH("Choose",D5)))</formula>
    </cfRule>
  </conditionalFormatting>
  <conditionalFormatting sqref="H9:K13">
    <cfRule type="expression" dxfId="10"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CourseDetails!$A$44:$A$48</xm:f>
          </x14:formula1>
          <xm:sqref>D6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2" t="s">
        <v>588</v>
      </c>
    </row>
    <row r="3" spans="1:16" x14ac:dyDescent="0.25">
      <c r="G3" s="152" t="s">
        <v>589</v>
      </c>
      <c r="H3" s="72">
        <v>1</v>
      </c>
      <c r="I3" s="74"/>
      <c r="J3" s="73" t="s">
        <v>590</v>
      </c>
      <c r="K3" s="74"/>
      <c r="L3" s="73" t="s">
        <v>591</v>
      </c>
      <c r="M3" s="74"/>
      <c r="N3" s="73" t="s">
        <v>592</v>
      </c>
      <c r="O3" s="74"/>
      <c r="P3" s="73" t="s">
        <v>593</v>
      </c>
    </row>
    <row r="4" spans="1:16" x14ac:dyDescent="0.25">
      <c r="D4" s="124" t="s">
        <v>594</v>
      </c>
      <c r="E4" s="124"/>
      <c r="G4" s="63"/>
      <c r="H4" s="75">
        <v>2</v>
      </c>
      <c r="I4" s="83" t="s">
        <v>476</v>
      </c>
      <c r="J4" s="87" t="s">
        <v>182</v>
      </c>
      <c r="K4" s="83" t="s">
        <v>477</v>
      </c>
      <c r="L4" s="87" t="s">
        <v>185</v>
      </c>
      <c r="M4" s="83" t="s">
        <v>478</v>
      </c>
      <c r="N4" s="87" t="s">
        <v>239</v>
      </c>
      <c r="O4" s="83" t="s">
        <v>479</v>
      </c>
      <c r="P4" s="87" t="s">
        <v>185</v>
      </c>
    </row>
    <row r="5" spans="1:16" x14ac:dyDescent="0.25">
      <c r="A5" s="65" t="s">
        <v>595</v>
      </c>
      <c r="D5" s="125" t="s">
        <v>596</v>
      </c>
      <c r="E5" s="141" t="s">
        <v>597</v>
      </c>
      <c r="G5" s="63"/>
      <c r="H5" s="75">
        <v>3</v>
      </c>
      <c r="I5" s="84" t="s">
        <v>476</v>
      </c>
      <c r="J5" s="88" t="s">
        <v>239</v>
      </c>
      <c r="K5" s="84" t="s">
        <v>477</v>
      </c>
      <c r="L5" s="88" t="s">
        <v>182</v>
      </c>
      <c r="M5" s="84" t="s">
        <v>478</v>
      </c>
      <c r="N5" s="88" t="s">
        <v>191</v>
      </c>
      <c r="O5" s="84" t="s">
        <v>479</v>
      </c>
      <c r="P5" s="117" t="s">
        <v>328</v>
      </c>
    </row>
    <row r="6" spans="1:16" x14ac:dyDescent="0.25">
      <c r="A6" t="s">
        <v>596</v>
      </c>
      <c r="B6" t="s">
        <v>598</v>
      </c>
      <c r="D6" s="126"/>
      <c r="E6" s="142" t="s">
        <v>599</v>
      </c>
      <c r="G6" s="63"/>
      <c r="H6" s="75">
        <v>4</v>
      </c>
      <c r="I6" s="84" t="s">
        <v>477</v>
      </c>
      <c r="J6" s="88" t="s">
        <v>185</v>
      </c>
      <c r="K6" s="84" t="s">
        <v>478</v>
      </c>
      <c r="L6" s="88" t="s">
        <v>239</v>
      </c>
      <c r="M6" s="84" t="s">
        <v>479</v>
      </c>
      <c r="N6" s="88" t="s">
        <v>185</v>
      </c>
      <c r="O6" s="84" t="s">
        <v>476</v>
      </c>
      <c r="P6" s="88" t="s">
        <v>182</v>
      </c>
    </row>
    <row r="7" spans="1:16" x14ac:dyDescent="0.25">
      <c r="A7" t="s">
        <v>599</v>
      </c>
      <c r="B7" t="s">
        <v>600</v>
      </c>
      <c r="D7" s="126"/>
      <c r="E7" s="142" t="s">
        <v>601</v>
      </c>
      <c r="G7" s="63"/>
      <c r="H7" s="75">
        <v>5</v>
      </c>
      <c r="I7" s="84" t="s">
        <v>477</v>
      </c>
      <c r="J7" s="88" t="s">
        <v>188</v>
      </c>
      <c r="K7" s="84" t="s">
        <v>478</v>
      </c>
      <c r="L7" s="88" t="s">
        <v>191</v>
      </c>
      <c r="M7" s="84" t="s">
        <v>479</v>
      </c>
      <c r="N7" s="117" t="s">
        <v>328</v>
      </c>
      <c r="O7" s="84" t="s">
        <v>476</v>
      </c>
      <c r="P7" s="88" t="s">
        <v>239</v>
      </c>
    </row>
    <row r="8" spans="1:16" x14ac:dyDescent="0.25">
      <c r="A8" t="s">
        <v>601</v>
      </c>
      <c r="B8" t="s">
        <v>602</v>
      </c>
      <c r="D8" s="126"/>
      <c r="E8" s="142" t="s">
        <v>603</v>
      </c>
      <c r="G8" s="63"/>
      <c r="H8" s="75">
        <v>6</v>
      </c>
      <c r="I8" s="84" t="s">
        <v>478</v>
      </c>
      <c r="J8" s="88" t="s">
        <v>191</v>
      </c>
      <c r="K8" s="84" t="s">
        <v>479</v>
      </c>
      <c r="L8" s="117" t="s">
        <v>328</v>
      </c>
      <c r="M8" s="84" t="s">
        <v>476</v>
      </c>
      <c r="N8" s="88" t="s">
        <v>182</v>
      </c>
      <c r="O8" s="84" t="s">
        <v>477</v>
      </c>
      <c r="P8" s="88" t="s">
        <v>188</v>
      </c>
    </row>
    <row r="9" spans="1:16" x14ac:dyDescent="0.25">
      <c r="A9" t="s">
        <v>603</v>
      </c>
      <c r="B9" t="s">
        <v>604</v>
      </c>
      <c r="D9" s="126"/>
      <c r="E9" s="142" t="s">
        <v>605</v>
      </c>
      <c r="G9" s="63"/>
      <c r="H9" s="75">
        <v>7</v>
      </c>
      <c r="I9" s="84" t="s">
        <v>478</v>
      </c>
      <c r="J9" s="88" t="s">
        <v>221</v>
      </c>
      <c r="K9" s="84" t="s">
        <v>479</v>
      </c>
      <c r="L9" s="118" t="s">
        <v>354</v>
      </c>
      <c r="M9" s="84" t="s">
        <v>476</v>
      </c>
      <c r="N9" s="88" t="s">
        <v>188</v>
      </c>
      <c r="O9" s="84" t="s">
        <v>477</v>
      </c>
      <c r="P9" s="118" t="s">
        <v>354</v>
      </c>
    </row>
    <row r="10" spans="1:16" x14ac:dyDescent="0.25">
      <c r="A10" t="s">
        <v>605</v>
      </c>
      <c r="B10" t="s">
        <v>606</v>
      </c>
      <c r="D10" s="126"/>
      <c r="E10" s="142" t="s">
        <v>607</v>
      </c>
      <c r="G10" s="63"/>
      <c r="H10" s="75">
        <v>8</v>
      </c>
      <c r="I10" s="84" t="s">
        <v>479</v>
      </c>
      <c r="J10" s="117" t="s">
        <v>328</v>
      </c>
      <c r="K10" s="84" t="s">
        <v>476</v>
      </c>
      <c r="L10" s="88" t="s">
        <v>244</v>
      </c>
      <c r="M10" s="84" t="s">
        <v>477</v>
      </c>
      <c r="N10" s="88" t="s">
        <v>221</v>
      </c>
      <c r="O10" s="84" t="s">
        <v>478</v>
      </c>
      <c r="P10" s="88" t="s">
        <v>191</v>
      </c>
    </row>
    <row r="11" spans="1:16" x14ac:dyDescent="0.25">
      <c r="A11" t="s">
        <v>607</v>
      </c>
      <c r="B11" t="s">
        <v>608</v>
      </c>
      <c r="D11" s="127"/>
      <c r="E11" s="143" t="s">
        <v>609</v>
      </c>
      <c r="G11" s="63"/>
      <c r="H11" s="75">
        <v>9</v>
      </c>
      <c r="I11" s="84" t="s">
        <v>479</v>
      </c>
      <c r="J11" s="118" t="s">
        <v>354</v>
      </c>
      <c r="K11" s="86" t="s">
        <v>476</v>
      </c>
      <c r="L11" s="88" t="s">
        <v>188</v>
      </c>
      <c r="M11" s="84" t="s">
        <v>477</v>
      </c>
      <c r="N11" s="118" t="s">
        <v>354</v>
      </c>
      <c r="O11" s="86" t="s">
        <v>478</v>
      </c>
      <c r="P11" s="88" t="s">
        <v>221</v>
      </c>
    </row>
    <row r="12" spans="1:16" x14ac:dyDescent="0.25">
      <c r="A12" t="s">
        <v>609</v>
      </c>
      <c r="B12" t="s">
        <v>610</v>
      </c>
      <c r="D12" s="125" t="s">
        <v>600</v>
      </c>
      <c r="E12" s="141" t="s">
        <v>611</v>
      </c>
      <c r="G12" s="63"/>
      <c r="H12" s="75">
        <v>10</v>
      </c>
      <c r="I12" s="83" t="s">
        <v>480</v>
      </c>
      <c r="J12" s="87" t="s">
        <v>236</v>
      </c>
      <c r="K12" s="83" t="s">
        <v>481</v>
      </c>
      <c r="L12" s="87" t="s">
        <v>221</v>
      </c>
      <c r="M12" s="83" t="s">
        <v>482</v>
      </c>
      <c r="N12" s="87" t="s">
        <v>244</v>
      </c>
      <c r="O12" s="83" t="s">
        <v>483</v>
      </c>
      <c r="P12" s="87" t="s">
        <v>321</v>
      </c>
    </row>
    <row r="13" spans="1:16" x14ac:dyDescent="0.25">
      <c r="D13" s="126"/>
      <c r="E13" s="142" t="s">
        <v>612</v>
      </c>
      <c r="G13" s="63"/>
      <c r="H13" s="75">
        <v>11</v>
      </c>
      <c r="I13" s="84" t="s">
        <v>480</v>
      </c>
      <c r="J13" s="88" t="s">
        <v>314</v>
      </c>
      <c r="K13" s="84" t="s">
        <v>481</v>
      </c>
      <c r="L13" s="117" t="s">
        <v>330</v>
      </c>
      <c r="M13" s="84" t="s">
        <v>482</v>
      </c>
      <c r="N13" s="88" t="s">
        <v>247</v>
      </c>
      <c r="O13" s="84" t="s">
        <v>483</v>
      </c>
      <c r="P13" s="117" t="s">
        <v>330</v>
      </c>
    </row>
    <row r="14" spans="1:16" x14ac:dyDescent="0.25">
      <c r="A14" s="65" t="s">
        <v>613</v>
      </c>
      <c r="D14" s="126"/>
      <c r="E14" s="142" t="s">
        <v>601</v>
      </c>
      <c r="G14" s="63"/>
      <c r="H14" s="75">
        <v>12</v>
      </c>
      <c r="I14" s="84" t="s">
        <v>481</v>
      </c>
      <c r="J14" s="117" t="s">
        <v>330</v>
      </c>
      <c r="K14" s="84" t="s">
        <v>482</v>
      </c>
      <c r="L14" s="88" t="s">
        <v>247</v>
      </c>
      <c r="M14" s="84" t="s">
        <v>483</v>
      </c>
      <c r="N14" s="88" t="s">
        <v>321</v>
      </c>
      <c r="O14" s="84" t="s">
        <v>480</v>
      </c>
      <c r="P14" s="88" t="s">
        <v>236</v>
      </c>
    </row>
    <row r="15" spans="1:16" x14ac:dyDescent="0.25">
      <c r="A15" t="s">
        <v>614</v>
      </c>
      <c r="B15" t="s">
        <v>598</v>
      </c>
      <c r="D15" s="126"/>
      <c r="E15" s="142" t="s">
        <v>603</v>
      </c>
      <c r="G15" s="63"/>
      <c r="H15" s="75">
        <v>13</v>
      </c>
      <c r="I15" s="84" t="s">
        <v>481</v>
      </c>
      <c r="J15" s="118" t="s">
        <v>356</v>
      </c>
      <c r="K15" s="84" t="s">
        <v>482</v>
      </c>
      <c r="L15" s="88" t="s">
        <v>314</v>
      </c>
      <c r="M15" s="84" t="s">
        <v>483</v>
      </c>
      <c r="N15" s="117" t="s">
        <v>330</v>
      </c>
      <c r="O15" s="84" t="s">
        <v>480</v>
      </c>
      <c r="P15" s="88" t="s">
        <v>314</v>
      </c>
    </row>
    <row r="16" spans="1:16" x14ac:dyDescent="0.25">
      <c r="A16" t="s">
        <v>599</v>
      </c>
      <c r="B16" t="s">
        <v>600</v>
      </c>
      <c r="D16" s="126"/>
      <c r="E16" s="142" t="s">
        <v>605</v>
      </c>
      <c r="G16" s="63"/>
      <c r="H16" s="75">
        <v>14</v>
      </c>
      <c r="I16" s="84" t="s">
        <v>482</v>
      </c>
      <c r="J16" s="88" t="s">
        <v>244</v>
      </c>
      <c r="K16" s="84" t="s">
        <v>483</v>
      </c>
      <c r="L16" s="88" t="s">
        <v>321</v>
      </c>
      <c r="M16" s="84" t="s">
        <v>480</v>
      </c>
      <c r="N16" s="88" t="s">
        <v>236</v>
      </c>
      <c r="O16" s="84" t="s">
        <v>481</v>
      </c>
      <c r="P16" s="88" t="s">
        <v>247</v>
      </c>
    </row>
    <row r="17" spans="1:24" x14ac:dyDescent="0.25">
      <c r="A17" t="s">
        <v>612</v>
      </c>
      <c r="B17" t="s">
        <v>615</v>
      </c>
      <c r="D17" s="126"/>
      <c r="E17" s="142" t="s">
        <v>607</v>
      </c>
      <c r="G17" s="63"/>
      <c r="H17" s="75">
        <v>15</v>
      </c>
      <c r="I17" s="84" t="s">
        <v>482</v>
      </c>
      <c r="J17" s="88" t="s">
        <v>247</v>
      </c>
      <c r="K17" s="84" t="s">
        <v>483</v>
      </c>
      <c r="L17" s="118" t="s">
        <v>356</v>
      </c>
      <c r="M17" s="84" t="s">
        <v>480</v>
      </c>
      <c r="N17" s="88" t="s">
        <v>314</v>
      </c>
      <c r="O17" s="84" t="s">
        <v>481</v>
      </c>
      <c r="P17" s="118" t="s">
        <v>356</v>
      </c>
    </row>
    <row r="18" spans="1:24" x14ac:dyDescent="0.25">
      <c r="A18" t="s">
        <v>601</v>
      </c>
      <c r="B18" t="s">
        <v>602</v>
      </c>
      <c r="D18" s="127"/>
      <c r="E18" s="143" t="s">
        <v>609</v>
      </c>
      <c r="G18" s="63"/>
      <c r="H18" s="75">
        <v>16</v>
      </c>
      <c r="I18" s="84" t="s">
        <v>483</v>
      </c>
      <c r="J18" s="88" t="s">
        <v>321</v>
      </c>
      <c r="K18" s="84" t="s">
        <v>480</v>
      </c>
      <c r="L18" s="88" t="s">
        <v>236</v>
      </c>
      <c r="M18" s="84" t="s">
        <v>481</v>
      </c>
      <c r="N18" s="118" t="s">
        <v>356</v>
      </c>
      <c r="O18" s="84" t="s">
        <v>482</v>
      </c>
      <c r="P18" s="88" t="s">
        <v>244</v>
      </c>
    </row>
    <row r="19" spans="1:24" x14ac:dyDescent="0.25">
      <c r="A19" t="s">
        <v>616</v>
      </c>
      <c r="B19" t="s">
        <v>615</v>
      </c>
      <c r="D19" s="125" t="s">
        <v>602</v>
      </c>
      <c r="E19" s="141" t="s">
        <v>611</v>
      </c>
      <c r="G19" s="63"/>
      <c r="H19" s="75">
        <v>17</v>
      </c>
      <c r="I19" s="86" t="s">
        <v>483</v>
      </c>
      <c r="J19" s="85" t="s">
        <v>318</v>
      </c>
      <c r="K19" s="86" t="s">
        <v>480</v>
      </c>
      <c r="L19" s="85" t="s">
        <v>318</v>
      </c>
      <c r="M19" s="86" t="s">
        <v>481</v>
      </c>
      <c r="N19" s="85" t="s">
        <v>318</v>
      </c>
      <c r="O19" s="86" t="s">
        <v>482</v>
      </c>
      <c r="P19" s="85" t="s">
        <v>318</v>
      </c>
    </row>
    <row r="20" spans="1:24" x14ac:dyDescent="0.25">
      <c r="A20" t="s">
        <v>603</v>
      </c>
      <c r="B20" t="s">
        <v>604</v>
      </c>
      <c r="D20" s="126"/>
      <c r="E20" s="142" t="s">
        <v>616</v>
      </c>
      <c r="G20" s="63"/>
    </row>
    <row r="21" spans="1:24" x14ac:dyDescent="0.25">
      <c r="A21" t="s">
        <v>617</v>
      </c>
      <c r="B21" t="s">
        <v>615</v>
      </c>
      <c r="D21" s="126"/>
      <c r="E21" s="142" t="s">
        <v>599</v>
      </c>
      <c r="G21" s="63"/>
    </row>
    <row r="22" spans="1:24" x14ac:dyDescent="0.25">
      <c r="A22" t="s">
        <v>605</v>
      </c>
      <c r="B22" t="s">
        <v>606</v>
      </c>
      <c r="D22" s="126"/>
      <c r="E22" s="142" t="s">
        <v>603</v>
      </c>
      <c r="G22" s="152" t="s">
        <v>618</v>
      </c>
      <c r="H22" s="72">
        <v>1</v>
      </c>
      <c r="I22" s="129"/>
      <c r="J22" s="129" t="s">
        <v>600</v>
      </c>
      <c r="K22" s="129" t="s">
        <v>602</v>
      </c>
      <c r="L22" s="129" t="s">
        <v>604</v>
      </c>
      <c r="M22" s="129" t="s">
        <v>606</v>
      </c>
      <c r="N22" s="129" t="s">
        <v>608</v>
      </c>
      <c r="O22" s="129" t="s">
        <v>610</v>
      </c>
      <c r="P22" s="129" t="s">
        <v>615</v>
      </c>
    </row>
    <row r="23" spans="1:24" x14ac:dyDescent="0.25">
      <c r="A23" t="s">
        <v>619</v>
      </c>
      <c r="B23" t="s">
        <v>615</v>
      </c>
      <c r="D23" s="126"/>
      <c r="E23" s="142" t="s">
        <v>605</v>
      </c>
      <c r="H23" s="75">
        <v>2</v>
      </c>
      <c r="I23" s="119"/>
      <c r="J23" s="119" t="s">
        <v>326</v>
      </c>
      <c r="K23" s="119" t="s">
        <v>326</v>
      </c>
      <c r="L23" s="119" t="s">
        <v>326</v>
      </c>
      <c r="M23" s="119" t="s">
        <v>326</v>
      </c>
      <c r="N23" s="119" t="s">
        <v>326</v>
      </c>
      <c r="O23" s="119" t="s">
        <v>326</v>
      </c>
      <c r="P23" s="119" t="s">
        <v>326</v>
      </c>
    </row>
    <row r="24" spans="1:24" x14ac:dyDescent="0.25">
      <c r="A24" t="s">
        <v>607</v>
      </c>
      <c r="B24" t="s">
        <v>608</v>
      </c>
      <c r="D24" s="126"/>
      <c r="E24" s="142" t="s">
        <v>607</v>
      </c>
      <c r="H24" s="75">
        <v>3</v>
      </c>
      <c r="I24" s="120" t="s">
        <v>620</v>
      </c>
      <c r="J24" s="120" t="s">
        <v>194</v>
      </c>
      <c r="K24" s="120" t="s">
        <v>197</v>
      </c>
      <c r="L24" s="120" t="s">
        <v>227</v>
      </c>
      <c r="M24" s="120" t="s">
        <v>200</v>
      </c>
      <c r="N24" s="120" t="s">
        <v>203</v>
      </c>
      <c r="O24" s="120" t="s">
        <v>206</v>
      </c>
      <c r="P24" s="120" t="s">
        <v>103</v>
      </c>
    </row>
    <row r="25" spans="1:24" x14ac:dyDescent="0.25">
      <c r="A25" t="s">
        <v>621</v>
      </c>
      <c r="B25" t="s">
        <v>615</v>
      </c>
      <c r="D25" s="127"/>
      <c r="E25" s="143" t="s">
        <v>609</v>
      </c>
      <c r="H25" s="75">
        <v>4</v>
      </c>
      <c r="I25" s="121" t="s">
        <v>622</v>
      </c>
      <c r="J25" s="121" t="s">
        <v>209</v>
      </c>
      <c r="K25" s="121" t="s">
        <v>224</v>
      </c>
      <c r="L25" s="121" t="s">
        <v>230</v>
      </c>
      <c r="M25" s="121" t="s">
        <v>212</v>
      </c>
      <c r="N25" s="121" t="s">
        <v>215</v>
      </c>
      <c r="O25" s="121" t="s">
        <v>218</v>
      </c>
      <c r="P25" s="121" t="s">
        <v>103</v>
      </c>
    </row>
    <row r="26" spans="1:24" x14ac:dyDescent="0.25">
      <c r="A26" t="s">
        <v>609</v>
      </c>
      <c r="B26" t="s">
        <v>610</v>
      </c>
      <c r="D26" s="125" t="s">
        <v>604</v>
      </c>
      <c r="E26" s="141" t="s">
        <v>611</v>
      </c>
      <c r="H26" s="75">
        <v>5</v>
      </c>
      <c r="I26" s="120"/>
      <c r="J26" s="120" t="s">
        <v>352</v>
      </c>
      <c r="K26" s="120" t="s">
        <v>352</v>
      </c>
      <c r="L26" s="120" t="s">
        <v>352</v>
      </c>
      <c r="M26" s="120" t="s">
        <v>352</v>
      </c>
      <c r="N26" s="120" t="s">
        <v>352</v>
      </c>
      <c r="O26" s="120" t="s">
        <v>352</v>
      </c>
      <c r="P26" s="120" t="s">
        <v>352</v>
      </c>
    </row>
    <row r="27" spans="1:24" x14ac:dyDescent="0.25">
      <c r="A27" t="s">
        <v>623</v>
      </c>
      <c r="B27" t="s">
        <v>615</v>
      </c>
      <c r="D27" s="126"/>
      <c r="E27" s="142" t="s">
        <v>617</v>
      </c>
      <c r="H27" s="75">
        <v>6</v>
      </c>
      <c r="I27" s="120" t="s">
        <v>624</v>
      </c>
      <c r="J27" s="122" t="str">
        <f t="shared" ref="J27:O28" si="0">J24</f>
        <v>EDSC5041</v>
      </c>
      <c r="K27" s="122" t="str">
        <f t="shared" si="0"/>
        <v>EDSC5042</v>
      </c>
      <c r="L27" s="122" t="str">
        <f t="shared" si="0"/>
        <v>EDSC5056</v>
      </c>
      <c r="M27" s="122" t="str">
        <f t="shared" si="0"/>
        <v>EDSC5043</v>
      </c>
      <c r="N27" s="122" t="str">
        <f t="shared" si="0"/>
        <v>EDSC5044</v>
      </c>
      <c r="O27" s="122" t="str">
        <f t="shared" si="0"/>
        <v>EDSC5045</v>
      </c>
      <c r="P27" s="120" t="s">
        <v>268</v>
      </c>
    </row>
    <row r="28" spans="1:24" x14ac:dyDescent="0.25">
      <c r="D28" s="126"/>
      <c r="E28" s="142" t="s">
        <v>599</v>
      </c>
      <c r="H28" s="75">
        <v>7</v>
      </c>
      <c r="I28" s="121" t="s">
        <v>625</v>
      </c>
      <c r="J28" s="123" t="str">
        <f t="shared" si="0"/>
        <v>EDSC5046</v>
      </c>
      <c r="K28" s="123" t="str">
        <f t="shared" si="0"/>
        <v>EDSC5054</v>
      </c>
      <c r="L28" s="123" t="str">
        <f t="shared" si="0"/>
        <v>EDSC5058</v>
      </c>
      <c r="M28" s="123" t="str">
        <f t="shared" si="0"/>
        <v>EDSC5048</v>
      </c>
      <c r="N28" s="123" t="str">
        <f t="shared" si="0"/>
        <v>EDSC5049</v>
      </c>
      <c r="O28" s="123" t="str">
        <f t="shared" si="0"/>
        <v>EDSC5050</v>
      </c>
      <c r="P28" s="121" t="s">
        <v>233</v>
      </c>
    </row>
    <row r="29" spans="1:24" x14ac:dyDescent="0.25">
      <c r="A29" s="65" t="s">
        <v>626</v>
      </c>
      <c r="D29" s="126"/>
      <c r="E29" s="142" t="s">
        <v>601</v>
      </c>
    </row>
    <row r="30" spans="1:24" x14ac:dyDescent="0.25">
      <c r="A30" t="s">
        <v>627</v>
      </c>
      <c r="B30" t="s">
        <v>598</v>
      </c>
      <c r="D30" s="126"/>
      <c r="E30" s="142" t="s">
        <v>605</v>
      </c>
    </row>
    <row r="31" spans="1:24" x14ac:dyDescent="0.25">
      <c r="A31" t="s">
        <v>599</v>
      </c>
      <c r="B31" t="s">
        <v>600</v>
      </c>
      <c r="D31" s="126"/>
      <c r="E31" s="142" t="s">
        <v>607</v>
      </c>
      <c r="G31" s="152" t="s">
        <v>628</v>
      </c>
      <c r="H31" s="72">
        <v>1</v>
      </c>
      <c r="I31" s="74"/>
      <c r="J31" s="73" t="s">
        <v>629</v>
      </c>
      <c r="K31" s="74"/>
      <c r="L31" s="73" t="s">
        <v>630</v>
      </c>
      <c r="M31" s="74"/>
      <c r="N31" s="73" t="s">
        <v>631</v>
      </c>
      <c r="O31" s="74"/>
      <c r="P31" s="73" t="s">
        <v>632</v>
      </c>
      <c r="Q31" s="74"/>
      <c r="R31" s="73" t="s">
        <v>633</v>
      </c>
      <c r="S31" s="74"/>
      <c r="T31" s="73" t="s">
        <v>634</v>
      </c>
      <c r="U31" s="74"/>
      <c r="V31" s="73" t="s">
        <v>635</v>
      </c>
      <c r="W31" s="74"/>
      <c r="X31" s="73" t="s">
        <v>636</v>
      </c>
    </row>
    <row r="32" spans="1:24" x14ac:dyDescent="0.25">
      <c r="A32" t="s">
        <v>601</v>
      </c>
      <c r="B32" t="s">
        <v>602</v>
      </c>
      <c r="D32" s="127"/>
      <c r="E32" s="143" t="s">
        <v>609</v>
      </c>
      <c r="G32" s="63"/>
      <c r="H32" s="75">
        <v>2</v>
      </c>
      <c r="I32" s="83" t="s">
        <v>476</v>
      </c>
      <c r="J32" s="87" t="s">
        <v>161</v>
      </c>
      <c r="K32" s="83"/>
      <c r="L32" s="159" t="s">
        <v>105</v>
      </c>
      <c r="M32" s="83"/>
      <c r="N32" s="159" t="s">
        <v>105</v>
      </c>
      <c r="O32" s="83"/>
      <c r="P32" s="159" t="s">
        <v>105</v>
      </c>
      <c r="Q32" s="83" t="s">
        <v>476</v>
      </c>
      <c r="R32" s="87" t="s">
        <v>182</v>
      </c>
      <c r="S32" s="83"/>
      <c r="T32" s="159" t="s">
        <v>105</v>
      </c>
      <c r="U32" s="83"/>
      <c r="V32" s="159" t="s">
        <v>105</v>
      </c>
      <c r="W32" s="83"/>
      <c r="X32" s="159" t="s">
        <v>105</v>
      </c>
    </row>
    <row r="33" spans="1:24" x14ac:dyDescent="0.25">
      <c r="A33" t="s">
        <v>603</v>
      </c>
      <c r="B33" t="s">
        <v>604</v>
      </c>
      <c r="D33" s="125" t="s">
        <v>606</v>
      </c>
      <c r="E33" s="141" t="s">
        <v>611</v>
      </c>
      <c r="G33" s="63"/>
      <c r="H33" s="75">
        <v>3</v>
      </c>
      <c r="I33" s="84" t="s">
        <v>476</v>
      </c>
      <c r="J33" s="88" t="s">
        <v>239</v>
      </c>
      <c r="K33" s="84"/>
      <c r="L33" s="98"/>
      <c r="M33" s="84"/>
      <c r="N33" s="88"/>
      <c r="O33" s="84"/>
      <c r="P33" s="88"/>
      <c r="Q33" s="84" t="s">
        <v>476</v>
      </c>
      <c r="R33" s="88" t="s">
        <v>188</v>
      </c>
      <c r="S33" s="84"/>
      <c r="T33" s="88"/>
      <c r="U33" s="84"/>
      <c r="V33" s="88"/>
      <c r="W33" s="84"/>
      <c r="X33" s="88"/>
    </row>
    <row r="34" spans="1:24" x14ac:dyDescent="0.25">
      <c r="A34" t="s">
        <v>605</v>
      </c>
      <c r="B34" t="s">
        <v>606</v>
      </c>
      <c r="D34" s="126"/>
      <c r="E34" s="142" t="s">
        <v>619</v>
      </c>
      <c r="G34" s="63"/>
      <c r="H34" s="75">
        <v>4</v>
      </c>
      <c r="I34" s="84" t="s">
        <v>477</v>
      </c>
      <c r="J34" s="88" t="s">
        <v>164</v>
      </c>
      <c r="K34" s="84"/>
      <c r="L34" s="88"/>
      <c r="M34" s="84"/>
      <c r="N34" s="88"/>
      <c r="O34" s="84"/>
      <c r="P34" s="88"/>
      <c r="Q34" s="84" t="s">
        <v>477</v>
      </c>
      <c r="R34" s="88" t="s">
        <v>221</v>
      </c>
      <c r="S34" s="84"/>
      <c r="T34" s="88"/>
      <c r="U34" s="84"/>
      <c r="V34" s="88"/>
      <c r="W34" s="84"/>
      <c r="X34" s="88"/>
    </row>
    <row r="35" spans="1:24" x14ac:dyDescent="0.25">
      <c r="A35" t="s">
        <v>607</v>
      </c>
      <c r="B35" t="s">
        <v>608</v>
      </c>
      <c r="D35" s="126"/>
      <c r="E35" s="142" t="s">
        <v>599</v>
      </c>
      <c r="G35" s="63"/>
      <c r="H35" s="75">
        <v>5</v>
      </c>
      <c r="I35" s="84" t="s">
        <v>477</v>
      </c>
      <c r="J35" s="88" t="s">
        <v>167</v>
      </c>
      <c r="K35" s="84"/>
      <c r="L35" s="88"/>
      <c r="M35" s="84"/>
      <c r="N35" s="88"/>
      <c r="O35" s="84"/>
      <c r="P35" s="88"/>
      <c r="Q35" s="84" t="s">
        <v>477</v>
      </c>
      <c r="R35" s="88" t="s">
        <v>332</v>
      </c>
      <c r="S35" s="84"/>
      <c r="T35" s="88"/>
      <c r="U35" s="84"/>
      <c r="V35" s="88"/>
      <c r="W35" s="84"/>
      <c r="X35" s="88"/>
    </row>
    <row r="36" spans="1:24" x14ac:dyDescent="0.25">
      <c r="A36" t="s">
        <v>609</v>
      </c>
      <c r="B36" t="s">
        <v>610</v>
      </c>
      <c r="D36" s="126"/>
      <c r="E36" s="142" t="s">
        <v>601</v>
      </c>
      <c r="G36" s="63"/>
      <c r="H36" s="75">
        <v>6</v>
      </c>
      <c r="I36" s="84" t="s">
        <v>478</v>
      </c>
      <c r="J36" s="88" t="s">
        <v>265</v>
      </c>
      <c r="K36" s="84"/>
      <c r="L36" s="88"/>
      <c r="M36" s="84"/>
      <c r="N36" s="88"/>
      <c r="O36" s="84"/>
      <c r="P36" s="88"/>
      <c r="Q36" s="84" t="s">
        <v>478</v>
      </c>
      <c r="R36" s="88" t="s">
        <v>314</v>
      </c>
      <c r="S36" s="84"/>
      <c r="T36" s="88"/>
      <c r="U36" s="84"/>
      <c r="V36" s="88"/>
      <c r="W36" s="84"/>
      <c r="X36" s="88"/>
    </row>
    <row r="37" spans="1:24" x14ac:dyDescent="0.25">
      <c r="D37" s="126"/>
      <c r="E37" s="142" t="s">
        <v>603</v>
      </c>
      <c r="G37" s="63"/>
      <c r="H37" s="75">
        <v>7</v>
      </c>
      <c r="I37" s="84" t="s">
        <v>478</v>
      </c>
      <c r="J37" s="88" t="s">
        <v>314</v>
      </c>
      <c r="K37" s="84"/>
      <c r="L37" s="88"/>
      <c r="M37" s="84"/>
      <c r="N37" s="88"/>
      <c r="O37" s="84"/>
      <c r="P37" s="88"/>
      <c r="Q37" s="84" t="s">
        <v>478</v>
      </c>
      <c r="R37" s="88" t="s">
        <v>244</v>
      </c>
      <c r="S37" s="84"/>
      <c r="T37" s="88"/>
      <c r="U37" s="84"/>
      <c r="V37" s="88"/>
      <c r="W37" s="84"/>
      <c r="X37" s="88"/>
    </row>
    <row r="38" spans="1:24" x14ac:dyDescent="0.25">
      <c r="D38" s="126"/>
      <c r="E38" s="142" t="s">
        <v>607</v>
      </c>
      <c r="G38" s="63"/>
      <c r="H38" s="75">
        <v>8</v>
      </c>
      <c r="I38" s="84" t="s">
        <v>479</v>
      </c>
      <c r="J38" s="88" t="s">
        <v>158</v>
      </c>
      <c r="K38" s="84"/>
      <c r="L38" s="88"/>
      <c r="M38" s="84"/>
      <c r="N38" s="88"/>
      <c r="O38" s="84"/>
      <c r="P38" s="88"/>
      <c r="Q38" s="84" t="s">
        <v>479</v>
      </c>
      <c r="R38" s="88" t="s">
        <v>247</v>
      </c>
      <c r="S38" s="84"/>
      <c r="T38" s="88"/>
      <c r="U38" s="84"/>
      <c r="V38" s="88"/>
      <c r="W38" s="84"/>
      <c r="X38" s="88"/>
    </row>
    <row r="39" spans="1:24" x14ac:dyDescent="0.25">
      <c r="D39" s="127"/>
      <c r="E39" s="143" t="s">
        <v>609</v>
      </c>
      <c r="G39" s="63"/>
      <c r="H39" s="75">
        <v>9</v>
      </c>
      <c r="I39" s="86" t="s">
        <v>479</v>
      </c>
      <c r="J39" s="85" t="s">
        <v>247</v>
      </c>
      <c r="K39" s="86"/>
      <c r="L39" s="85"/>
      <c r="M39" s="86"/>
      <c r="N39" s="85"/>
      <c r="O39" s="86"/>
      <c r="P39" s="85"/>
      <c r="Q39" s="86" t="s">
        <v>479</v>
      </c>
      <c r="R39" s="85" t="s">
        <v>334</v>
      </c>
      <c r="S39" s="86"/>
      <c r="T39" s="85"/>
      <c r="U39" s="86"/>
      <c r="V39" s="85"/>
      <c r="W39" s="86"/>
      <c r="X39" s="85"/>
    </row>
    <row r="40" spans="1:24" x14ac:dyDescent="0.25">
      <c r="D40" s="125" t="s">
        <v>608</v>
      </c>
      <c r="E40" s="141" t="s">
        <v>611</v>
      </c>
    </row>
    <row r="41" spans="1:24" x14ac:dyDescent="0.25">
      <c r="D41" s="126"/>
      <c r="E41" s="142" t="s">
        <v>621</v>
      </c>
    </row>
    <row r="42" spans="1:24" x14ac:dyDescent="0.25">
      <c r="D42" s="126"/>
      <c r="E42" s="142" t="s">
        <v>599</v>
      </c>
      <c r="G42" s="152" t="s">
        <v>637</v>
      </c>
      <c r="H42" s="72">
        <v>1</v>
      </c>
      <c r="I42" s="74"/>
      <c r="J42" s="73" t="s">
        <v>629</v>
      </c>
      <c r="K42" s="74"/>
      <c r="L42" s="73" t="s">
        <v>630</v>
      </c>
      <c r="M42" s="74"/>
      <c r="N42" s="73" t="s">
        <v>631</v>
      </c>
      <c r="O42" s="74"/>
      <c r="P42" s="73" t="s">
        <v>632</v>
      </c>
      <c r="Q42" s="74"/>
      <c r="R42" s="73" t="s">
        <v>633</v>
      </c>
      <c r="S42" s="74"/>
      <c r="T42" s="73" t="s">
        <v>634</v>
      </c>
      <c r="U42" s="74"/>
      <c r="V42" s="73" t="s">
        <v>635</v>
      </c>
      <c r="W42" s="74"/>
      <c r="X42" s="73" t="s">
        <v>636</v>
      </c>
    </row>
    <row r="43" spans="1:24" x14ac:dyDescent="0.25">
      <c r="D43" s="126"/>
      <c r="E43" s="142" t="s">
        <v>601</v>
      </c>
      <c r="G43" s="63"/>
      <c r="H43" s="75">
        <v>2</v>
      </c>
      <c r="I43" s="83" t="s">
        <v>476</v>
      </c>
      <c r="J43" s="87" t="s">
        <v>161</v>
      </c>
      <c r="K43" s="83"/>
      <c r="L43" s="159" t="s">
        <v>105</v>
      </c>
      <c r="M43" s="83"/>
      <c r="N43" s="159" t="s">
        <v>105</v>
      </c>
      <c r="O43" s="83"/>
      <c r="P43" s="159" t="s">
        <v>105</v>
      </c>
      <c r="Q43" s="83" t="s">
        <v>476</v>
      </c>
      <c r="R43" s="87" t="s">
        <v>182</v>
      </c>
      <c r="S43" s="83"/>
      <c r="T43" s="159" t="s">
        <v>105</v>
      </c>
      <c r="U43" s="83"/>
      <c r="V43" s="159" t="s">
        <v>105</v>
      </c>
      <c r="W43" s="83"/>
      <c r="X43" s="159" t="s">
        <v>105</v>
      </c>
    </row>
    <row r="44" spans="1:24" x14ac:dyDescent="0.25">
      <c r="D44" s="126"/>
      <c r="E44" s="142" t="s">
        <v>603</v>
      </c>
      <c r="G44" s="63"/>
      <c r="H44" s="75">
        <v>3</v>
      </c>
      <c r="I44" s="84" t="s">
        <v>476</v>
      </c>
      <c r="J44" s="88" t="s">
        <v>239</v>
      </c>
      <c r="K44" s="84"/>
      <c r="L44" s="98"/>
      <c r="M44" s="84"/>
      <c r="N44" s="88"/>
      <c r="O44" s="84"/>
      <c r="P44" s="88"/>
      <c r="Q44" s="84" t="s">
        <v>476</v>
      </c>
      <c r="R44" s="88" t="s">
        <v>188</v>
      </c>
      <c r="S44" s="84"/>
      <c r="T44" s="88"/>
      <c r="U44" s="84"/>
      <c r="V44" s="88"/>
      <c r="W44" s="84"/>
      <c r="X44" s="88"/>
    </row>
    <row r="45" spans="1:24" x14ac:dyDescent="0.25">
      <c r="D45" s="126"/>
      <c r="E45" s="142" t="s">
        <v>605</v>
      </c>
      <c r="G45" s="63"/>
      <c r="H45" s="75">
        <v>4</v>
      </c>
      <c r="I45" s="84" t="s">
        <v>476</v>
      </c>
      <c r="J45" s="88" t="s">
        <v>265</v>
      </c>
      <c r="K45" s="84"/>
      <c r="L45" s="88"/>
      <c r="M45" s="84"/>
      <c r="N45" s="88"/>
      <c r="O45" s="84"/>
      <c r="P45" s="88"/>
      <c r="Q45" s="84" t="s">
        <v>476</v>
      </c>
      <c r="R45" s="88" t="s">
        <v>244</v>
      </c>
      <c r="S45" s="84"/>
      <c r="T45" s="88"/>
      <c r="U45" s="84"/>
      <c r="V45" s="88"/>
      <c r="W45" s="84"/>
      <c r="X45" s="88"/>
    </row>
    <row r="46" spans="1:24" x14ac:dyDescent="0.25">
      <c r="D46" s="127"/>
      <c r="E46" s="143" t="s">
        <v>609</v>
      </c>
      <c r="G46" s="63"/>
      <c r="H46" s="75">
        <v>5</v>
      </c>
      <c r="I46" s="84" t="s">
        <v>477</v>
      </c>
      <c r="J46" s="88" t="s">
        <v>164</v>
      </c>
      <c r="K46" s="84"/>
      <c r="L46" s="88"/>
      <c r="M46" s="84"/>
      <c r="N46" s="88"/>
      <c r="O46" s="84"/>
      <c r="P46" s="88"/>
      <c r="Q46" s="84" t="s">
        <v>477</v>
      </c>
      <c r="R46" s="88" t="s">
        <v>221</v>
      </c>
      <c r="S46" s="84"/>
      <c r="T46" s="88"/>
      <c r="U46" s="84"/>
      <c r="V46" s="88"/>
      <c r="W46" s="84"/>
      <c r="X46" s="88"/>
    </row>
    <row r="47" spans="1:24" x14ac:dyDescent="0.25">
      <c r="D47" s="125" t="s">
        <v>610</v>
      </c>
      <c r="E47" s="141" t="s">
        <v>611</v>
      </c>
      <c r="G47" s="63"/>
      <c r="H47" s="75">
        <v>6</v>
      </c>
      <c r="I47" s="84" t="s">
        <v>477</v>
      </c>
      <c r="J47" s="88" t="s">
        <v>167</v>
      </c>
      <c r="K47" s="84"/>
      <c r="L47" s="88"/>
      <c r="M47" s="84"/>
      <c r="N47" s="88"/>
      <c r="O47" s="84"/>
      <c r="P47" s="88"/>
      <c r="Q47" s="84" t="s">
        <v>477</v>
      </c>
      <c r="R47" s="88" t="s">
        <v>247</v>
      </c>
      <c r="S47" s="84"/>
      <c r="T47" s="88"/>
      <c r="U47" s="84"/>
      <c r="V47" s="88"/>
      <c r="W47" s="84"/>
      <c r="X47" s="88"/>
    </row>
    <row r="48" spans="1:24" x14ac:dyDescent="0.25">
      <c r="D48" s="126"/>
      <c r="E48" s="142" t="s">
        <v>623</v>
      </c>
      <c r="G48" s="63"/>
      <c r="H48" s="75">
        <v>7</v>
      </c>
      <c r="I48" s="84" t="s">
        <v>477</v>
      </c>
      <c r="J48" s="88" t="s">
        <v>158</v>
      </c>
      <c r="K48" s="84"/>
      <c r="L48" s="88"/>
      <c r="M48" s="84"/>
      <c r="N48" s="88"/>
      <c r="O48" s="84"/>
      <c r="P48" s="88"/>
      <c r="Q48" s="84" t="s">
        <v>477</v>
      </c>
      <c r="R48" s="88" t="s">
        <v>332</v>
      </c>
      <c r="S48" s="84"/>
      <c r="T48" s="88"/>
      <c r="U48" s="84"/>
      <c r="V48" s="88"/>
      <c r="W48" s="84"/>
      <c r="X48" s="88"/>
    </row>
    <row r="49" spans="4:24" x14ac:dyDescent="0.25">
      <c r="D49" s="126"/>
      <c r="E49" s="142" t="s">
        <v>599</v>
      </c>
      <c r="G49" s="63"/>
      <c r="H49" s="75">
        <v>8</v>
      </c>
      <c r="I49" s="84" t="s">
        <v>478</v>
      </c>
      <c r="J49" s="88" t="s">
        <v>314</v>
      </c>
      <c r="K49" s="84"/>
      <c r="L49" s="88"/>
      <c r="M49" s="84"/>
      <c r="N49" s="88"/>
      <c r="O49" s="84"/>
      <c r="P49" s="88"/>
      <c r="Q49" s="84" t="s">
        <v>478</v>
      </c>
      <c r="R49" s="88" t="s">
        <v>314</v>
      </c>
      <c r="S49" s="84"/>
      <c r="T49" s="88"/>
      <c r="U49" s="84"/>
      <c r="V49" s="88"/>
      <c r="W49" s="84"/>
      <c r="X49" s="88"/>
    </row>
    <row r="50" spans="4:24" x14ac:dyDescent="0.25">
      <c r="D50" s="126"/>
      <c r="E50" s="142" t="s">
        <v>601</v>
      </c>
      <c r="G50" s="63"/>
      <c r="H50" s="75">
        <v>9</v>
      </c>
      <c r="I50" s="86" t="s">
        <v>478</v>
      </c>
      <c r="J50" s="85" t="s">
        <v>247</v>
      </c>
      <c r="K50" s="86"/>
      <c r="L50" s="85"/>
      <c r="M50" s="86"/>
      <c r="N50" s="85"/>
      <c r="O50" s="86"/>
      <c r="P50" s="85"/>
      <c r="Q50" s="86" t="s">
        <v>478</v>
      </c>
      <c r="R50" s="85" t="s">
        <v>334</v>
      </c>
      <c r="S50" s="86"/>
      <c r="T50" s="85"/>
      <c r="U50" s="86"/>
      <c r="V50" s="85"/>
      <c r="W50" s="86"/>
      <c r="X50" s="85"/>
    </row>
    <row r="51" spans="4:24" x14ac:dyDescent="0.25">
      <c r="D51" s="126"/>
      <c r="E51" s="142" t="s">
        <v>603</v>
      </c>
    </row>
    <row r="52" spans="4:24" x14ac:dyDescent="0.25">
      <c r="D52" s="126"/>
      <c r="E52" s="142" t="s">
        <v>605</v>
      </c>
    </row>
    <row r="53" spans="4:24" x14ac:dyDescent="0.25">
      <c r="D53" s="127"/>
      <c r="E53" s="143" t="s">
        <v>607</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pageSetUpPr fitToPage="1"/>
  </sheetPr>
  <dimension ref="A1:P48"/>
  <sheetViews>
    <sheetView showGridLines="0" tabSelected="1" topLeftCell="A3" workbookViewId="0">
      <selection activeCell="D7" sqref="D7"/>
    </sheetView>
  </sheetViews>
  <sheetFormatPr defaultColWidth="9" defaultRowHeight="15" x14ac:dyDescent="0.25"/>
  <cols>
    <col min="1" max="1" width="8.5" style="282" customWidth="1"/>
    <col min="2" max="2" width="3.25" style="282" customWidth="1"/>
    <col min="3" max="3" width="10.375" style="282" customWidth="1"/>
    <col min="4" max="4" width="50.125" style="271" bestFit="1" customWidth="1"/>
    <col min="5" max="5" width="8.75" style="271" customWidth="1"/>
    <col min="6" max="6" width="18.125" style="271" customWidth="1"/>
    <col min="7" max="7" width="5.625" style="271" customWidth="1"/>
    <col min="8" max="11" width="3.875" style="271" customWidth="1"/>
    <col min="12" max="12" width="18.625" style="271" customWidth="1"/>
    <col min="13" max="13" width="2.5" style="271" hidden="1" customWidth="1"/>
    <col min="14" max="16384" width="9" style="271"/>
  </cols>
  <sheetData>
    <row r="1" spans="1:16" hidden="1" x14ac:dyDescent="0.25">
      <c r="A1" s="267" t="s">
        <v>3</v>
      </c>
      <c r="B1" s="268" t="s">
        <v>98</v>
      </c>
      <c r="C1" s="268" t="s">
        <v>99</v>
      </c>
      <c r="D1" s="269" t="s">
        <v>363</v>
      </c>
      <c r="E1" s="269"/>
      <c r="F1" s="269" t="s">
        <v>558</v>
      </c>
      <c r="G1" s="269" t="s">
        <v>101</v>
      </c>
      <c r="H1" s="270" t="s">
        <v>559</v>
      </c>
      <c r="I1" s="270"/>
      <c r="J1" s="269"/>
      <c r="K1" s="269"/>
      <c r="L1" s="269" t="s">
        <v>560</v>
      </c>
    </row>
    <row r="2" spans="1:16" hidden="1" x14ac:dyDescent="0.25">
      <c r="A2" s="272"/>
      <c r="B2" s="273">
        <v>2</v>
      </c>
      <c r="C2" s="273">
        <v>3</v>
      </c>
      <c r="D2" s="273">
        <v>4</v>
      </c>
      <c r="E2" s="273"/>
      <c r="F2" s="273">
        <v>6</v>
      </c>
      <c r="G2" s="273">
        <v>5</v>
      </c>
      <c r="H2" s="273">
        <v>7</v>
      </c>
      <c r="I2" s="273">
        <v>8</v>
      </c>
      <c r="J2" s="273">
        <v>9</v>
      </c>
      <c r="K2" s="273">
        <v>10</v>
      </c>
      <c r="L2" s="274"/>
    </row>
    <row r="3" spans="1:16" ht="39.950000000000003" customHeight="1" x14ac:dyDescent="0.25">
      <c r="A3" s="275" t="s">
        <v>561</v>
      </c>
      <c r="B3" s="275"/>
      <c r="C3" s="275"/>
      <c r="D3" s="275"/>
      <c r="E3" s="276"/>
      <c r="F3" s="276"/>
      <c r="G3" s="276"/>
      <c r="H3" s="276"/>
      <c r="I3" s="276"/>
      <c r="J3" s="276"/>
      <c r="K3" s="276"/>
      <c r="L3" s="276"/>
    </row>
    <row r="4" spans="1:16" ht="25.5" x14ac:dyDescent="0.25">
      <c r="A4" s="277"/>
      <c r="B4" s="278"/>
      <c r="C4" s="278"/>
      <c r="D4" s="279" t="s">
        <v>562</v>
      </c>
      <c r="E4" s="280"/>
      <c r="F4" s="278"/>
      <c r="G4" s="281"/>
      <c r="H4" s="281"/>
      <c r="I4" s="281"/>
      <c r="J4" s="281"/>
      <c r="K4" s="281"/>
      <c r="L4" s="281"/>
    </row>
    <row r="5" spans="1:16" ht="20.100000000000001" customHeight="1" x14ac:dyDescent="0.25">
      <c r="B5" s="283"/>
      <c r="C5" s="284" t="s">
        <v>563</v>
      </c>
      <c r="D5" s="285" t="s">
        <v>37</v>
      </c>
      <c r="E5" s="286"/>
      <c r="F5" s="283" t="s">
        <v>564</v>
      </c>
      <c r="G5" s="287" t="str">
        <f>IFERROR(CONCATENATE(VLOOKUP(D5,TableCourses[],2,FALSE)," ",VLOOKUP(D5,TableCourses[],3,FALSE)),"")</f>
        <v>OM-TEACH1 v.2</v>
      </c>
      <c r="H5" s="286"/>
      <c r="I5" s="286"/>
      <c r="J5" s="286"/>
      <c r="K5" s="286"/>
      <c r="L5" s="288"/>
    </row>
    <row r="6" spans="1:16" ht="20.100000000000001" customHeight="1" x14ac:dyDescent="0.25">
      <c r="B6" s="283"/>
      <c r="C6" s="284" t="s">
        <v>565</v>
      </c>
      <c r="D6" s="289" t="s">
        <v>47</v>
      </c>
      <c r="E6" s="286"/>
      <c r="F6" s="283" t="s">
        <v>566</v>
      </c>
      <c r="G6" s="286" t="str">
        <f>IFERROR(CONCATENATE(VLOOKUP(D6,TableMajorsMTeach[],2,FALSE)," ",VLOOKUP(D6,TableMajorsMTeach[],3,FALSE)),"")</f>
        <v>OUMP-TCHSE v.3</v>
      </c>
      <c r="H6" s="286"/>
      <c r="I6" s="286"/>
      <c r="J6" s="286"/>
      <c r="K6" s="286"/>
      <c r="L6" s="290" t="e">
        <f>CONCATENATE(VLOOKUP(D6,TableMajorsMTeach[],2,FALSE),VLOOKUP(D9,TableStudyPeriods[],2,FALSE))</f>
        <v>#N/A</v>
      </c>
    </row>
    <row r="7" spans="1:16" ht="20.100000000000001" customHeight="1" x14ac:dyDescent="0.25">
      <c r="B7" s="283"/>
      <c r="C7" s="284" t="s">
        <v>638</v>
      </c>
      <c r="D7" s="386" t="s">
        <v>597</v>
      </c>
      <c r="E7" s="286"/>
      <c r="F7" s="283"/>
      <c r="G7" s="286"/>
      <c r="H7" s="286"/>
      <c r="I7" s="286"/>
      <c r="J7" s="286"/>
      <c r="K7" s="286"/>
      <c r="L7" s="290" t="e">
        <f>VLOOKUP(D7,TableFirstTeachingArea[],2,FALSE)</f>
        <v>#N/A</v>
      </c>
    </row>
    <row r="8" spans="1:16" ht="20.100000000000001" customHeight="1" x14ac:dyDescent="0.25">
      <c r="B8" s="283"/>
      <c r="C8" s="284" t="s">
        <v>639</v>
      </c>
      <c r="D8" s="387" t="s">
        <v>611</v>
      </c>
      <c r="E8" s="286"/>
      <c r="F8" s="283"/>
      <c r="G8" s="286"/>
      <c r="H8" s="286"/>
      <c r="I8" s="286"/>
      <c r="J8" s="286"/>
      <c r="K8" s="286"/>
      <c r="L8" s="290" t="e">
        <f>VLOOKUP(D8,TableSecondTeachingArea[],2,FALSE)</f>
        <v>#N/A</v>
      </c>
    </row>
    <row r="9" spans="1:16" ht="20.100000000000001" customHeight="1" x14ac:dyDescent="0.25">
      <c r="A9" s="291"/>
      <c r="B9" s="292"/>
      <c r="C9" s="284" t="s">
        <v>567</v>
      </c>
      <c r="D9" s="388" t="s">
        <v>76</v>
      </c>
      <c r="E9" s="293"/>
      <c r="F9" s="283" t="s">
        <v>568</v>
      </c>
      <c r="G9" s="286" t="str">
        <f>IFERROR(VLOOKUP($D$5,TableCourses[],7,FALSE),"")</f>
        <v>400 credit points required</v>
      </c>
      <c r="H9" s="294"/>
      <c r="I9" s="294"/>
      <c r="J9" s="294"/>
      <c r="K9" s="294"/>
      <c r="L9" s="294"/>
    </row>
    <row r="10" spans="1:16" s="302" customFormat="1" ht="14.1" customHeight="1" x14ac:dyDescent="0.25">
      <c r="A10" s="295"/>
      <c r="B10" s="295"/>
      <c r="C10" s="295"/>
      <c r="D10" s="296"/>
      <c r="E10" s="297"/>
      <c r="F10" s="295"/>
      <c r="G10" s="295"/>
      <c r="H10" s="298" t="s">
        <v>569</v>
      </c>
      <c r="I10" s="299"/>
      <c r="J10" s="299"/>
      <c r="K10" s="300"/>
      <c r="L10" s="297"/>
      <c r="M10" s="301"/>
      <c r="N10" s="301"/>
      <c r="O10" s="301"/>
    </row>
    <row r="11" spans="1:16" s="302" customFormat="1" ht="21" x14ac:dyDescent="0.25">
      <c r="A11" s="295" t="s">
        <v>570</v>
      </c>
      <c r="B11" s="295"/>
      <c r="C11" s="303" t="s">
        <v>362</v>
      </c>
      <c r="D11" s="296" t="s">
        <v>363</v>
      </c>
      <c r="E11" s="303" t="s">
        <v>368</v>
      </c>
      <c r="F11" s="295" t="s">
        <v>571</v>
      </c>
      <c r="G11" s="295" t="s">
        <v>572</v>
      </c>
      <c r="H11" s="304" t="s">
        <v>82</v>
      </c>
      <c r="I11" s="305" t="s">
        <v>83</v>
      </c>
      <c r="J11" s="305" t="s">
        <v>84</v>
      </c>
      <c r="K11" s="306" t="s">
        <v>85</v>
      </c>
      <c r="L11" s="295" t="s">
        <v>573</v>
      </c>
      <c r="M11" s="301"/>
      <c r="N11" s="301"/>
      <c r="O11" s="301"/>
    </row>
    <row r="12" spans="1:16" s="316" customFormat="1" ht="21" customHeight="1" x14ac:dyDescent="0.15">
      <c r="A12" s="307" t="str">
        <f>IFERROR(IF(HLOOKUP($L$6,RangeUnitsetsSec,M12,FALSE)=0,"",HLOOKUP($L$6,RangeUnitsetsSec,M12,FALSE)),"")</f>
        <v/>
      </c>
      <c r="B12" s="308" t="str">
        <f>IFERROR(IF(VLOOKUP($A12,TableHandbook[],2,FALSE)=0,"",VLOOKUP($A12,TableHandbook[],2,FALSE)),"")</f>
        <v/>
      </c>
      <c r="C12" s="308" t="str">
        <f>IFERROR(IF(VLOOKUP($A12,TableHandbook[],3,FALSE)=0,"",VLOOKUP($A12,TableHandbook[],3,FALSE)),"")</f>
        <v/>
      </c>
      <c r="D12" s="309" t="str">
        <f>IFERROR(IF(VLOOKUP($A12,TableHandbook[],4,FALSE)=0,"",VLOOKUP($A12,TableHandbook[],4,FALSE)),"")</f>
        <v/>
      </c>
      <c r="E12" s="308" t="str">
        <f>IF(OR(A12="",A12="--"),"",VLOOKUP($D$9,TableStudyPeriods[],2,FALSE))</f>
        <v/>
      </c>
      <c r="F12" s="310" t="str">
        <f>IFERROR(IF(VLOOKUP($A12,TableHandbook[],6,FALSE)=0,"",VLOOKUP($A12,TableHandbook[],6,FALSE)),"")</f>
        <v/>
      </c>
      <c r="G12" s="308" t="str">
        <f>IFERROR(IF(VLOOKUP($A12,TableHandbook[],5,FALSE)=0,"",VLOOKUP($A12,TableHandbook[],5,FALSE)),"")</f>
        <v/>
      </c>
      <c r="H12" s="311" t="str">
        <f>IFERROR(VLOOKUP($A12,TableHandbook[],H$2,FALSE),"")</f>
        <v/>
      </c>
      <c r="I12" s="312" t="str">
        <f>IFERROR(VLOOKUP($A12,TableHandbook[],I$2,FALSE),"")</f>
        <v/>
      </c>
      <c r="J12" s="312" t="str">
        <f>IFERROR(VLOOKUP($A12,TableHandbook[],J$2,FALSE),"")</f>
        <v/>
      </c>
      <c r="K12" s="313" t="str">
        <f>IFERROR(VLOOKUP($A12,TableHandbook[],K$2,FALSE),"")</f>
        <v/>
      </c>
      <c r="L12" s="57"/>
      <c r="M12" s="314">
        <v>2</v>
      </c>
      <c r="N12" s="315"/>
      <c r="O12" s="315"/>
    </row>
    <row r="13" spans="1:16" s="316" customFormat="1" ht="21" customHeight="1" x14ac:dyDescent="0.15">
      <c r="A13" s="307" t="str">
        <f>IFERROR(IF(HLOOKUP($L$6,RangeUnitsetsSec,M13,FALSE)=0,"",HLOOKUP($L$6,RangeUnitsetsSec,M13,FALSE)),"")</f>
        <v/>
      </c>
      <c r="B13" s="308" t="str">
        <f>IFERROR(IF(VLOOKUP($A13,TableHandbook[],2,FALSE)=0,"",VLOOKUP($A13,TableHandbook[],2,FALSE)),"")</f>
        <v/>
      </c>
      <c r="C13" s="308" t="str">
        <f>IFERROR(IF(VLOOKUP($A13,TableHandbook[],3,FALSE)=0,"",VLOOKUP($A13,TableHandbook[],3,FALSE)),"")</f>
        <v/>
      </c>
      <c r="D13" s="309" t="str">
        <f>IFERROR(IF(VLOOKUP($A13,TableHandbook[],4,FALSE)=0,"",VLOOKUP($A13,TableHandbook[],4,FALSE)),"")</f>
        <v/>
      </c>
      <c r="E13" s="308" t="str">
        <f>IF(A13="","",E12)</f>
        <v/>
      </c>
      <c r="F13" s="310" t="str">
        <f>IFERROR(IF(VLOOKUP($A13,TableHandbook[],6,FALSE)=0,"",VLOOKUP($A13,TableHandbook[],6,FALSE)),"")</f>
        <v/>
      </c>
      <c r="G13" s="308" t="str">
        <f>IFERROR(IF(VLOOKUP($A13,TableHandbook[],5,FALSE)=0,"",VLOOKUP($A13,TableHandbook[],5,FALSE)),"")</f>
        <v/>
      </c>
      <c r="H13" s="311" t="str">
        <f>IFERROR(VLOOKUP($A13,TableHandbook[],H$2,FALSE),"")</f>
        <v/>
      </c>
      <c r="I13" s="312" t="str">
        <f>IFERROR(VLOOKUP($A13,TableHandbook[],I$2,FALSE),"")</f>
        <v/>
      </c>
      <c r="J13" s="312" t="str">
        <f>IFERROR(VLOOKUP($A13,TableHandbook[],J$2,FALSE),"")</f>
        <v/>
      </c>
      <c r="K13" s="313" t="str">
        <f>IFERROR(VLOOKUP($A13,TableHandbook[],K$2,FALSE),"")</f>
        <v/>
      </c>
      <c r="L13" s="57"/>
      <c r="M13" s="314">
        <v>3</v>
      </c>
      <c r="N13" s="315"/>
      <c r="O13" s="315"/>
    </row>
    <row r="14" spans="1:16" s="316" customFormat="1" ht="6" customHeight="1" x14ac:dyDescent="0.15">
      <c r="A14" s="317"/>
      <c r="B14" s="318"/>
      <c r="C14" s="318"/>
      <c r="D14" s="319"/>
      <c r="E14" s="318"/>
      <c r="F14" s="320"/>
      <c r="G14" s="318"/>
      <c r="H14" s="321"/>
      <c r="I14" s="322"/>
      <c r="J14" s="322"/>
      <c r="K14" s="323"/>
      <c r="L14" s="177"/>
      <c r="M14" s="314"/>
      <c r="N14" s="315"/>
      <c r="O14" s="315"/>
      <c r="P14" s="315"/>
    </row>
    <row r="15" spans="1:16" s="316" customFormat="1" ht="21" customHeight="1" x14ac:dyDescent="0.15">
      <c r="A15" s="307" t="str">
        <f>IFERROR(IF(HLOOKUP($L$6,RangeUnitsetsSec,M15,FALSE)=0,"",HLOOKUP($L$6,RangeUnitsetsSec,M15,FALSE)),"")</f>
        <v/>
      </c>
      <c r="B15" s="308" t="str">
        <f>IFERROR(IF(VLOOKUP($A15,TableHandbook[],2,FALSE)=0,"",VLOOKUP($A15,TableHandbook[],2,FALSE)),"")</f>
        <v/>
      </c>
      <c r="C15" s="308" t="str">
        <f>IFERROR(IF(VLOOKUP($A15,TableHandbook[],3,FALSE)=0,"",VLOOKUP($A15,TableHandbook[],3,FALSE)),"")</f>
        <v/>
      </c>
      <c r="D15" s="309" t="str">
        <f>IFERROR(IF(VLOOKUP($A15,TableHandbook[],4,FALSE)=0,"",VLOOKUP($A15,TableHandbook[],4,FALSE)),"")</f>
        <v/>
      </c>
      <c r="E15" s="308" t="str">
        <f>IF(OR(A15="",A15="--"),"",VLOOKUP($D$9,TableStudyPeriods[],3,FALSE))</f>
        <v/>
      </c>
      <c r="F15" s="310" t="str">
        <f>IFERROR(IF(VLOOKUP($A15,TableHandbook[],6,FALSE)=0,"",VLOOKUP($A15,TableHandbook[],6,FALSE)),"")</f>
        <v/>
      </c>
      <c r="G15" s="308" t="str">
        <f>IFERROR(IF(VLOOKUP($A15,TableHandbook[],5,FALSE)=0,"",VLOOKUP($A15,TableHandbook[],5,FALSE)),"")</f>
        <v/>
      </c>
      <c r="H15" s="311" t="str">
        <f>IFERROR(VLOOKUP($A15,TableHandbook[],H$2,FALSE),"")</f>
        <v/>
      </c>
      <c r="I15" s="312" t="str">
        <f>IFERROR(VLOOKUP($A15,TableHandbook[],I$2,FALSE),"")</f>
        <v/>
      </c>
      <c r="J15" s="312" t="str">
        <f>IFERROR(VLOOKUP($A15,TableHandbook[],J$2,FALSE),"")</f>
        <v/>
      </c>
      <c r="K15" s="313" t="str">
        <f>IFERROR(VLOOKUP($A15,TableHandbook[],K$2,FALSE),"")</f>
        <v/>
      </c>
      <c r="L15" s="58"/>
      <c r="M15" s="314">
        <v>4</v>
      </c>
      <c r="N15" s="315"/>
      <c r="O15" s="315"/>
    </row>
    <row r="16" spans="1:16" s="316" customFormat="1" ht="21" customHeight="1" x14ac:dyDescent="0.15">
      <c r="A16" s="307" t="str">
        <f>IFERROR(IF(HLOOKUP($L$6,RangeUnitsetsSec,M16,FALSE)=0,"",HLOOKUP($L$6,RangeUnitsetsSec,M16,FALSE)),"")</f>
        <v/>
      </c>
      <c r="B16" s="308" t="str">
        <f>IFERROR(IF(VLOOKUP($A16,TableHandbook[],2,FALSE)=0,"",VLOOKUP($A16,TableHandbook[],2,FALSE)),"")</f>
        <v/>
      </c>
      <c r="C16" s="308" t="str">
        <f>IFERROR(IF(VLOOKUP($A16,TableHandbook[],3,FALSE)=0,"",VLOOKUP($A16,TableHandbook[],3,FALSE)),"")</f>
        <v/>
      </c>
      <c r="D16" s="309" t="str">
        <f>IFERROR(IF(VLOOKUP($A16,TableHandbook[],4,FALSE)=0,"",VLOOKUP($A16,TableHandbook[],4,FALSE)),"")</f>
        <v/>
      </c>
      <c r="E16" s="308" t="str">
        <f>IF(A16="","",E15)</f>
        <v/>
      </c>
      <c r="F16" s="310" t="str">
        <f>IFERROR(IF(VLOOKUP($A16,TableHandbook[],6,FALSE)=0,"",VLOOKUP($A16,TableHandbook[],6,FALSE)),"")</f>
        <v/>
      </c>
      <c r="G16" s="308" t="str">
        <f>IFERROR(IF(VLOOKUP($A16,TableHandbook[],5,FALSE)=0,"",VLOOKUP($A16,TableHandbook[],5,FALSE)),"")</f>
        <v/>
      </c>
      <c r="H16" s="311" t="str">
        <f>IFERROR(VLOOKUP($A16,TableHandbook[],H$2,FALSE),"")</f>
        <v/>
      </c>
      <c r="I16" s="312" t="str">
        <f>IFERROR(VLOOKUP($A16,TableHandbook[],I$2,FALSE),"")</f>
        <v/>
      </c>
      <c r="J16" s="312" t="str">
        <f>IFERROR(VLOOKUP($A16,TableHandbook[],J$2,FALSE),"")</f>
        <v/>
      </c>
      <c r="K16" s="313" t="str">
        <f>IFERROR(VLOOKUP($A16,TableHandbook[],K$2,FALSE),"")</f>
        <v/>
      </c>
      <c r="L16" s="57"/>
      <c r="M16" s="314">
        <v>5</v>
      </c>
      <c r="N16" s="315"/>
      <c r="O16" s="315"/>
    </row>
    <row r="17" spans="1:16" s="316" customFormat="1" ht="6" customHeight="1" x14ac:dyDescent="0.15">
      <c r="A17" s="317"/>
      <c r="B17" s="318"/>
      <c r="C17" s="318"/>
      <c r="D17" s="319"/>
      <c r="E17" s="318"/>
      <c r="F17" s="320"/>
      <c r="G17" s="318"/>
      <c r="H17" s="321"/>
      <c r="I17" s="322"/>
      <c r="J17" s="322"/>
      <c r="K17" s="323"/>
      <c r="L17" s="177"/>
      <c r="M17" s="314"/>
      <c r="N17" s="315"/>
      <c r="O17" s="315"/>
      <c r="P17" s="315"/>
    </row>
    <row r="18" spans="1:16" s="316" customFormat="1" ht="21" customHeight="1" x14ac:dyDescent="0.15">
      <c r="A18" s="307" t="str">
        <f>IFERROR(IF(HLOOKUP($L$6,RangeUnitsetsSec,M18,FALSE)=0,"",HLOOKUP($L$6,RangeUnitsetsSec,M18,FALSE)),"")</f>
        <v/>
      </c>
      <c r="B18" s="324" t="str">
        <f>IFERROR(IF(VLOOKUP($A18,TableHandbook[],2,FALSE)=0,"",VLOOKUP($A18,TableHandbook[],2,FALSE)),"")</f>
        <v/>
      </c>
      <c r="C18" s="324" t="str">
        <f>IFERROR(IF(VLOOKUP($A18,TableHandbook[],3,FALSE)=0,"",VLOOKUP($A18,TableHandbook[],3,FALSE)),"")</f>
        <v/>
      </c>
      <c r="D18" s="309" t="str">
        <f>IFERROR(IF(VLOOKUP($A18,TableHandbook[],4,FALSE)=0,"",VLOOKUP($A18,TableHandbook[],4,FALSE)),"")</f>
        <v/>
      </c>
      <c r="E18" s="308" t="str">
        <f>IF(OR(A18="",A18="--"),"",VLOOKUP($D$9,TableStudyPeriods[],4,FALSE))</f>
        <v/>
      </c>
      <c r="F18" s="310" t="str">
        <f>IFERROR(IF(VLOOKUP($A18,TableHandbook[],6,FALSE)=0,"",VLOOKUP($A18,TableHandbook[],6,FALSE)),"")</f>
        <v/>
      </c>
      <c r="G18" s="324" t="str">
        <f>IFERROR(IF(VLOOKUP($A18,TableHandbook[],5,FALSE)=0,"",VLOOKUP($A18,TableHandbook[],5,FALSE)),"")</f>
        <v/>
      </c>
      <c r="H18" s="325" t="str">
        <f>IFERROR(VLOOKUP($A18,TableHandbook[],H$2,FALSE),"")</f>
        <v/>
      </c>
      <c r="I18" s="326" t="str">
        <f>IFERROR(VLOOKUP($A18,TableHandbook[],I$2,FALSE),"")</f>
        <v/>
      </c>
      <c r="J18" s="326" t="str">
        <f>IFERROR(VLOOKUP($A18,TableHandbook[],J$2,FALSE),"")</f>
        <v/>
      </c>
      <c r="K18" s="327" t="str">
        <f>IFERROR(VLOOKUP($A18,TableHandbook[],K$2,FALSE),"")</f>
        <v/>
      </c>
      <c r="L18" s="58"/>
      <c r="M18" s="314">
        <v>6</v>
      </c>
      <c r="N18" s="315"/>
      <c r="O18" s="315"/>
    </row>
    <row r="19" spans="1:16" s="329" customFormat="1" ht="21" customHeight="1" x14ac:dyDescent="0.15">
      <c r="A19" s="307" t="str">
        <f>IFERROR(IF(HLOOKUP($L$6,RangeUnitsetsSec,M19,FALSE)=0,"",HLOOKUP($L$6,RangeUnitsetsSec,M19,FALSE)),"")</f>
        <v/>
      </c>
      <c r="B19" s="324" t="str">
        <f>IFERROR(IF(VLOOKUP($A19,TableHandbook[],2,FALSE)=0,"",VLOOKUP($A19,TableHandbook[],2,FALSE)),"")</f>
        <v/>
      </c>
      <c r="C19" s="324" t="str">
        <f>IFERROR(IF(VLOOKUP($A19,TableHandbook[],3,FALSE)=0,"",VLOOKUP($A19,TableHandbook[],3,FALSE)),"")</f>
        <v/>
      </c>
      <c r="D19" s="309" t="str">
        <f>IFERROR(IF(VLOOKUP($A19,TableHandbook[],4,FALSE)=0,"",VLOOKUP($A19,TableHandbook[],4,FALSE)),"")</f>
        <v/>
      </c>
      <c r="E19" s="308" t="str">
        <f>IF(A19="","",E18)</f>
        <v/>
      </c>
      <c r="F19" s="310" t="str">
        <f>IFERROR(IF(VLOOKUP($A19,TableHandbook[],6,FALSE)=0,"",VLOOKUP($A19,TableHandbook[],6,FALSE)),"")</f>
        <v/>
      </c>
      <c r="G19" s="324" t="str">
        <f>IFERROR(IF(VLOOKUP($A19,TableHandbook[],5,FALSE)=0,"",VLOOKUP($A19,TableHandbook[],5,FALSE)),"")</f>
        <v/>
      </c>
      <c r="H19" s="325" t="str">
        <f>IFERROR(VLOOKUP($A19,TableHandbook[],H$2,FALSE),"")</f>
        <v/>
      </c>
      <c r="I19" s="326" t="str">
        <f>IFERROR(VLOOKUP($A19,TableHandbook[],I$2,FALSE),"")</f>
        <v/>
      </c>
      <c r="J19" s="326" t="str">
        <f>IFERROR(VLOOKUP($A19,TableHandbook[],J$2,FALSE),"")</f>
        <v/>
      </c>
      <c r="K19" s="327" t="str">
        <f>IFERROR(VLOOKUP($A19,TableHandbook[],K$2,FALSE),"")</f>
        <v/>
      </c>
      <c r="L19" s="58"/>
      <c r="M19" s="314">
        <v>7</v>
      </c>
      <c r="N19" s="328"/>
      <c r="O19" s="328"/>
    </row>
    <row r="20" spans="1:16" s="316" customFormat="1" ht="6" customHeight="1" x14ac:dyDescent="0.15">
      <c r="A20" s="317"/>
      <c r="B20" s="318"/>
      <c r="C20" s="318"/>
      <c r="D20" s="319"/>
      <c r="E20" s="318"/>
      <c r="F20" s="320"/>
      <c r="G20" s="318"/>
      <c r="H20" s="321"/>
      <c r="I20" s="322"/>
      <c r="J20" s="322"/>
      <c r="K20" s="323"/>
      <c r="L20" s="177"/>
      <c r="M20" s="314"/>
      <c r="N20" s="315"/>
      <c r="O20" s="315"/>
      <c r="P20" s="315"/>
    </row>
    <row r="21" spans="1:16" s="329" customFormat="1" ht="21" customHeight="1" x14ac:dyDescent="0.15">
      <c r="A21" s="307" t="str">
        <f>IFERROR(IF(HLOOKUP($L$6,RangeUnitsetsSec,M21,FALSE)=0,"",HLOOKUP($L$6,RangeUnitsetsSec,M21,FALSE)),"")</f>
        <v/>
      </c>
      <c r="B21" s="324" t="str">
        <f>IFERROR(IF(VLOOKUP($A21,TableHandbook[],2,FALSE)=0,"",VLOOKUP($A21,TableHandbook[],2,FALSE)),"")</f>
        <v/>
      </c>
      <c r="C21" s="324" t="str">
        <f>IFERROR(IF(VLOOKUP($A21,TableHandbook[],3,FALSE)=0,"",VLOOKUP($A21,TableHandbook[],3,FALSE)),"")</f>
        <v/>
      </c>
      <c r="D21" s="309" t="str">
        <f>IFERROR(IF(VLOOKUP($A21,TableHandbook[],4,FALSE)=0,"",VLOOKUP($A21,TableHandbook[],4,FALSE)),"")</f>
        <v/>
      </c>
      <c r="E21" s="308" t="str">
        <f>IF(OR(A21="",A21="--"),"",VLOOKUP($D$9,TableStudyPeriods[],5,FALSE))</f>
        <v/>
      </c>
      <c r="F21" s="310" t="str">
        <f>IFERROR(IF(VLOOKUP($A21,TableHandbook[],6,FALSE)=0,"",VLOOKUP($A21,TableHandbook[],6,FALSE)),"")</f>
        <v/>
      </c>
      <c r="G21" s="324" t="str">
        <f>IFERROR(IF(VLOOKUP($A21,TableHandbook[],5,FALSE)=0,"",VLOOKUP($A21,TableHandbook[],5,FALSE)),"")</f>
        <v/>
      </c>
      <c r="H21" s="325" t="str">
        <f>IFERROR(VLOOKUP($A21,TableHandbook[],H$2,FALSE),"")</f>
        <v/>
      </c>
      <c r="I21" s="326" t="str">
        <f>IFERROR(VLOOKUP($A21,TableHandbook[],I$2,FALSE),"")</f>
        <v/>
      </c>
      <c r="J21" s="326" t="str">
        <f>IFERROR(VLOOKUP($A21,TableHandbook[],J$2,FALSE),"")</f>
        <v/>
      </c>
      <c r="K21" s="327" t="str">
        <f>IFERROR(VLOOKUP($A21,TableHandbook[],K$2,FALSE),"")</f>
        <v/>
      </c>
      <c r="L21" s="58"/>
      <c r="M21" s="314">
        <v>8</v>
      </c>
      <c r="N21" s="328"/>
      <c r="O21" s="328"/>
    </row>
    <row r="22" spans="1:16" s="329" customFormat="1" ht="21" customHeight="1" x14ac:dyDescent="0.15">
      <c r="A22" s="307" t="str">
        <f>IFERROR(IF(HLOOKUP($L$6,RangeUnitsetsSec,M22,FALSE)=0,"",HLOOKUP($L$6,RangeUnitsetsSec,M22,FALSE)),"")</f>
        <v/>
      </c>
      <c r="B22" s="324" t="str">
        <f>IFERROR(IF(VLOOKUP($A22,TableHandbook[],2,FALSE)=0,"",VLOOKUP($A22,TableHandbook[],2,FALSE)),"")</f>
        <v/>
      </c>
      <c r="C22" s="324" t="str">
        <f>IFERROR(IF(VLOOKUP($A22,TableHandbook[],3,FALSE)=0,"",VLOOKUP($A22,TableHandbook[],3,FALSE)),"")</f>
        <v/>
      </c>
      <c r="D22" s="330" t="str">
        <f>IFERROR(IF(VLOOKUP($A22,TableHandbook[],4,FALSE)=0,"",VLOOKUP($A22,TableHandbook[],4,FALSE)),"")</f>
        <v/>
      </c>
      <c r="E22" s="324" t="str">
        <f>IF(A22="","",E21)</f>
        <v/>
      </c>
      <c r="F22" s="310" t="str">
        <f>IFERROR(IF(VLOOKUP($A22,TableHandbook[],6,FALSE)=0,"",VLOOKUP($A22,TableHandbook[],6,FALSE)),"")</f>
        <v/>
      </c>
      <c r="G22" s="324" t="str">
        <f>IFERROR(IF(VLOOKUP($A22,TableHandbook[],5,FALSE)=0,"",VLOOKUP($A22,TableHandbook[],5,FALSE)),"")</f>
        <v/>
      </c>
      <c r="H22" s="325" t="str">
        <f>IFERROR(VLOOKUP($A22,TableHandbook[],H$2,FALSE),"")</f>
        <v/>
      </c>
      <c r="I22" s="326" t="str">
        <f>IFERROR(VLOOKUP($A22,TableHandbook[],I$2,FALSE),"")</f>
        <v/>
      </c>
      <c r="J22" s="326" t="str">
        <f>IFERROR(VLOOKUP($A22,TableHandbook[],J$2,FALSE),"")</f>
        <v/>
      </c>
      <c r="K22" s="327" t="str">
        <f>IFERROR(VLOOKUP($A22,TableHandbook[],K$2,FALSE),"")</f>
        <v/>
      </c>
      <c r="L22" s="58"/>
      <c r="M22" s="314">
        <v>9</v>
      </c>
      <c r="N22" s="328"/>
      <c r="O22" s="328"/>
    </row>
    <row r="23" spans="1:16" s="302" customFormat="1" ht="21" x14ac:dyDescent="0.25">
      <c r="A23" s="295" t="s">
        <v>574</v>
      </c>
      <c r="B23" s="295"/>
      <c r="C23" s="303" t="s">
        <v>362</v>
      </c>
      <c r="D23" s="296" t="s">
        <v>363</v>
      </c>
      <c r="E23" s="303" t="s">
        <v>368</v>
      </c>
      <c r="F23" s="295" t="s">
        <v>571</v>
      </c>
      <c r="G23" s="295" t="s">
        <v>572</v>
      </c>
      <c r="H23" s="304" t="str">
        <f>H$11</f>
        <v>SP1</v>
      </c>
      <c r="I23" s="305" t="str">
        <f t="shared" ref="I23:L23" si="0">I$11</f>
        <v>SP2</v>
      </c>
      <c r="J23" s="305" t="str">
        <f t="shared" si="0"/>
        <v>SP3</v>
      </c>
      <c r="K23" s="306" t="str">
        <f t="shared" si="0"/>
        <v>SP4</v>
      </c>
      <c r="L23" s="295" t="str">
        <f t="shared" si="0"/>
        <v>Notes / Progress</v>
      </c>
      <c r="M23" s="331"/>
      <c r="N23" s="301"/>
      <c r="O23" s="301"/>
    </row>
    <row r="24" spans="1:16" s="316" customFormat="1" ht="21" customHeight="1" x14ac:dyDescent="0.15">
      <c r="A24" s="307" t="str">
        <f>IFERROR(IF(HLOOKUP($L$6,RangeUnitsetsSec,M24,FALSE)=0,"",HLOOKUP($L$6,RangeUnitsetsSec,M24,FALSE)),"")</f>
        <v/>
      </c>
      <c r="B24" s="324" t="str">
        <f>IFERROR(IF(VLOOKUP($A24,TableHandbook[],2,FALSE)=0,"",VLOOKUP($A24,TableHandbook[],2,FALSE)),"")</f>
        <v/>
      </c>
      <c r="C24" s="324" t="str">
        <f>IFERROR(IF(VLOOKUP($A24,TableHandbook[],3,FALSE)=0,"",VLOOKUP($A24,TableHandbook[],3,FALSE)),"")</f>
        <v/>
      </c>
      <c r="D24" s="332" t="str">
        <f>IFERROR(IF(VLOOKUP($A24,TableHandbook[],4,FALSE)=0,"",VLOOKUP($A24,TableHandbook[],4,FALSE)),"")</f>
        <v/>
      </c>
      <c r="E24" s="324" t="str">
        <f>IF(OR(A24="",A24="--"),"",VLOOKUP($D$9,TableStudyPeriods[],2,FALSE))</f>
        <v/>
      </c>
      <c r="F24" s="310" t="str">
        <f>IFERROR(IF(VLOOKUP($A24,TableHandbook[],6,FALSE)=0,"",VLOOKUP($A24,TableHandbook[],6,FALSE)),"")</f>
        <v/>
      </c>
      <c r="G24" s="308" t="str">
        <f>IFERROR(IF(VLOOKUP($A24,TableHandbook[],5,FALSE)=0,"",VLOOKUP($A24,TableHandbook[],5,FALSE)),"")</f>
        <v/>
      </c>
      <c r="H24" s="311" t="str">
        <f>IFERROR(VLOOKUP($A24,TableHandbook[],H$2,FALSE),"")</f>
        <v/>
      </c>
      <c r="I24" s="312" t="str">
        <f>IFERROR(VLOOKUP($A24,TableHandbook[],I$2,FALSE),"")</f>
        <v/>
      </c>
      <c r="J24" s="312" t="str">
        <f>IFERROR(VLOOKUP($A24,TableHandbook[],J$2,FALSE),"")</f>
        <v/>
      </c>
      <c r="K24" s="313" t="str">
        <f>IFERROR(VLOOKUP($A24,TableHandbook[],K$2,FALSE),"")</f>
        <v/>
      </c>
      <c r="L24" s="57"/>
      <c r="M24" s="314">
        <v>10</v>
      </c>
      <c r="N24" s="315"/>
      <c r="O24" s="315"/>
    </row>
    <row r="25" spans="1:16" s="316" customFormat="1" ht="21" customHeight="1" x14ac:dyDescent="0.15">
      <c r="A25" s="307" t="str">
        <f>IFERROR(IF(HLOOKUP($L$6,RangeUnitsetsSec,M25,FALSE)=0,"",HLOOKUP($L$6,RangeUnitsetsSec,M25,FALSE)),"")</f>
        <v/>
      </c>
      <c r="B25" s="324" t="str">
        <f>IFERROR(IF(VLOOKUP($A25,TableHandbook[],2,FALSE)=0,"",VLOOKUP($A25,TableHandbook[],2,FALSE)),"")</f>
        <v/>
      </c>
      <c r="C25" s="324" t="str">
        <f>IFERROR(IF(VLOOKUP($A25,TableHandbook[],3,FALSE)=0,"",VLOOKUP($A25,TableHandbook[],3,FALSE)),"")</f>
        <v/>
      </c>
      <c r="D25" s="330" t="str">
        <f>IFERROR(IF(VLOOKUP($A25,TableHandbook[],4,FALSE)=0,"",VLOOKUP($A25,TableHandbook[],4,FALSE)),"")</f>
        <v/>
      </c>
      <c r="E25" s="324" t="str">
        <f>IF(A25="","",E24)</f>
        <v/>
      </c>
      <c r="F25" s="310" t="str">
        <f>IFERROR(IF(VLOOKUP($A25,TableHandbook[],6,FALSE)=0,"",VLOOKUP($A25,TableHandbook[],6,FALSE)),"")</f>
        <v/>
      </c>
      <c r="G25" s="308" t="str">
        <f>IFERROR(IF(VLOOKUP($A25,TableHandbook[],5,FALSE)=0,"",VLOOKUP($A25,TableHandbook[],5,FALSE)),"")</f>
        <v/>
      </c>
      <c r="H25" s="311" t="str">
        <f>IFERROR(VLOOKUP($A25,TableHandbook[],H$2,FALSE),"")</f>
        <v/>
      </c>
      <c r="I25" s="312" t="str">
        <f>IFERROR(VLOOKUP($A25,TableHandbook[],I$2,FALSE),"")</f>
        <v/>
      </c>
      <c r="J25" s="312" t="str">
        <f>IFERROR(VLOOKUP($A25,TableHandbook[],J$2,FALSE),"")</f>
        <v/>
      </c>
      <c r="K25" s="313" t="str">
        <f>IFERROR(VLOOKUP($A25,TableHandbook[],K$2,FALSE),"")</f>
        <v/>
      </c>
      <c r="L25" s="57"/>
      <c r="M25" s="314">
        <v>11</v>
      </c>
      <c r="N25" s="315"/>
      <c r="O25" s="315"/>
    </row>
    <row r="26" spans="1:16" s="316" customFormat="1" ht="6" customHeight="1" x14ac:dyDescent="0.15">
      <c r="A26" s="317"/>
      <c r="B26" s="318"/>
      <c r="C26" s="318"/>
      <c r="D26" s="319"/>
      <c r="E26" s="318"/>
      <c r="F26" s="320"/>
      <c r="G26" s="318"/>
      <c r="H26" s="321"/>
      <c r="I26" s="322"/>
      <c r="J26" s="322"/>
      <c r="K26" s="323"/>
      <c r="L26" s="177"/>
      <c r="M26" s="314"/>
      <c r="N26" s="315"/>
      <c r="O26" s="315"/>
      <c r="P26" s="315"/>
    </row>
    <row r="27" spans="1:16" s="316" customFormat="1" ht="21" customHeight="1" x14ac:dyDescent="0.15">
      <c r="A27" s="307" t="str">
        <f>IFERROR(IF(HLOOKUP($L$6,RangeUnitsetsSec,M27,FALSE)=0,"",HLOOKUP($L$6,RangeUnitsetsSec,M27,FALSE)),"")</f>
        <v/>
      </c>
      <c r="B27" s="324" t="str">
        <f>IFERROR(IF(VLOOKUP($A27,TableHandbook[],2,FALSE)=0,"",VLOOKUP($A27,TableHandbook[],2,FALSE)),"")</f>
        <v/>
      </c>
      <c r="C27" s="324" t="str">
        <f>IFERROR(IF(VLOOKUP($A27,TableHandbook[],3,FALSE)=0,"",VLOOKUP($A27,TableHandbook[],3,FALSE)),"")</f>
        <v/>
      </c>
      <c r="D27" s="330" t="str">
        <f>IFERROR(IF(VLOOKUP($A27,TableHandbook[],4,FALSE)=0,"",VLOOKUP($A27,TableHandbook[],4,FALSE)),"")</f>
        <v/>
      </c>
      <c r="E27" s="324" t="str">
        <f>IF(OR(A27="",A27="--"),"",VLOOKUP($D$9,TableStudyPeriods[],3,FALSE))</f>
        <v/>
      </c>
      <c r="F27" s="310" t="str">
        <f>IFERROR(IF(VLOOKUP($A27,TableHandbook[],6,FALSE)=0,"",VLOOKUP($A27,TableHandbook[],6,FALSE)),"")</f>
        <v/>
      </c>
      <c r="G27" s="308" t="str">
        <f>IFERROR(IF(VLOOKUP($A27,TableHandbook[],5,FALSE)=0,"",VLOOKUP($A27,TableHandbook[],5,FALSE)),"")</f>
        <v/>
      </c>
      <c r="H27" s="311" t="str">
        <f>IFERROR(VLOOKUP($A27,TableHandbook[],H$2,FALSE),"")</f>
        <v/>
      </c>
      <c r="I27" s="312" t="str">
        <f>IFERROR(VLOOKUP($A27,TableHandbook[],I$2,FALSE),"")</f>
        <v/>
      </c>
      <c r="J27" s="312" t="str">
        <f>IFERROR(VLOOKUP($A27,TableHandbook[],J$2,FALSE),"")</f>
        <v/>
      </c>
      <c r="K27" s="313" t="str">
        <f>IFERROR(VLOOKUP($A27,TableHandbook[],K$2,FALSE),"")</f>
        <v/>
      </c>
      <c r="L27" s="57"/>
      <c r="M27" s="314">
        <v>12</v>
      </c>
      <c r="N27" s="315"/>
      <c r="O27" s="315"/>
    </row>
    <row r="28" spans="1:16" s="316" customFormat="1" ht="21" customHeight="1" x14ac:dyDescent="0.15">
      <c r="A28" s="307" t="str">
        <f>IFERROR(IF(HLOOKUP($L$6,RangeUnitsetsSec,M28,FALSE)=0,"",HLOOKUP($L$6,RangeUnitsetsSec,M28,FALSE)),"")</f>
        <v/>
      </c>
      <c r="B28" s="324" t="str">
        <f>IFERROR(IF(VLOOKUP($A28,TableHandbook[],2,FALSE)=0,"",VLOOKUP($A28,TableHandbook[],2,FALSE)),"")</f>
        <v/>
      </c>
      <c r="C28" s="324" t="str">
        <f>IFERROR(IF(VLOOKUP($A28,TableHandbook[],3,FALSE)=0,"",VLOOKUP($A28,TableHandbook[],3,FALSE)),"")</f>
        <v/>
      </c>
      <c r="D28" s="330" t="str">
        <f>IFERROR(IF(VLOOKUP($A28,TableHandbook[],4,FALSE)=0,"",VLOOKUP($A28,TableHandbook[],4,FALSE)),"")</f>
        <v/>
      </c>
      <c r="E28" s="324" t="str">
        <f>IF(A28="","",E27)</f>
        <v/>
      </c>
      <c r="F28" s="310" t="str">
        <f>IFERROR(IF(VLOOKUP($A28,TableHandbook[],6,FALSE)=0,"",VLOOKUP($A28,TableHandbook[],6,FALSE)),"")</f>
        <v/>
      </c>
      <c r="G28" s="308" t="str">
        <f>IFERROR(IF(VLOOKUP($A28,TableHandbook[],5,FALSE)=0,"",VLOOKUP($A28,TableHandbook[],5,FALSE)),"")</f>
        <v/>
      </c>
      <c r="H28" s="311" t="str">
        <f>IFERROR(VLOOKUP($A28,TableHandbook[],H$2,FALSE),"")</f>
        <v/>
      </c>
      <c r="I28" s="312" t="str">
        <f>IFERROR(VLOOKUP($A28,TableHandbook[],I$2,FALSE),"")</f>
        <v/>
      </c>
      <c r="J28" s="312" t="str">
        <f>IFERROR(VLOOKUP($A28,TableHandbook[],J$2,FALSE),"")</f>
        <v/>
      </c>
      <c r="K28" s="313" t="str">
        <f>IFERROR(VLOOKUP($A28,TableHandbook[],K$2,FALSE),"")</f>
        <v/>
      </c>
      <c r="L28" s="57"/>
      <c r="M28" s="314">
        <v>13</v>
      </c>
      <c r="N28" s="315"/>
      <c r="O28" s="315"/>
    </row>
    <row r="29" spans="1:16" s="316" customFormat="1" ht="6" customHeight="1" x14ac:dyDescent="0.15">
      <c r="A29" s="317"/>
      <c r="B29" s="318"/>
      <c r="C29" s="318"/>
      <c r="D29" s="319"/>
      <c r="E29" s="318"/>
      <c r="F29" s="320"/>
      <c r="G29" s="318"/>
      <c r="H29" s="321"/>
      <c r="I29" s="322"/>
      <c r="J29" s="322"/>
      <c r="K29" s="323"/>
      <c r="L29" s="177"/>
      <c r="M29" s="314"/>
      <c r="N29" s="315"/>
      <c r="O29" s="315"/>
      <c r="P29" s="315"/>
    </row>
    <row r="30" spans="1:16" s="316" customFormat="1" ht="21" customHeight="1" x14ac:dyDescent="0.15">
      <c r="A30" s="307" t="str">
        <f>IFERROR(IF(HLOOKUP($L$6,RangeUnitsetsSec,M30,FALSE)=0,"",HLOOKUP($L$6,RangeUnitsetsSec,M30,FALSE)),"")</f>
        <v/>
      </c>
      <c r="B30" s="324" t="str">
        <f>IFERROR(IF(VLOOKUP($A30,TableHandbook[],2,FALSE)=0,"",VLOOKUP($A30,TableHandbook[],2,FALSE)),"")</f>
        <v/>
      </c>
      <c r="C30" s="324" t="str">
        <f>IFERROR(IF(VLOOKUP($A30,TableHandbook[],3,FALSE)=0,"",VLOOKUP($A30,TableHandbook[],3,FALSE)),"")</f>
        <v/>
      </c>
      <c r="D30" s="330" t="str">
        <f>IFERROR(IF(VLOOKUP($A30,TableHandbook[],4,FALSE)=0,"",VLOOKUP($A30,TableHandbook[],4,FALSE)),"")</f>
        <v/>
      </c>
      <c r="E30" s="324" t="str">
        <f>IF(OR(A30="",A30="--"),"",VLOOKUP($D$9,TableStudyPeriods[],4,FALSE))</f>
        <v/>
      </c>
      <c r="F30" s="310" t="str">
        <f>IFERROR(IF(VLOOKUP($A30,TableHandbook[],6,FALSE)=0,"",VLOOKUP($A30,TableHandbook[],6,FALSE)),"")</f>
        <v/>
      </c>
      <c r="G30" s="308" t="str">
        <f>IFERROR(IF(VLOOKUP($A30,TableHandbook[],5,FALSE)=0,"",VLOOKUP($A30,TableHandbook[],5,FALSE)),"")</f>
        <v/>
      </c>
      <c r="H30" s="325" t="str">
        <f>IFERROR(VLOOKUP($A30,TableHandbook[],H$2,FALSE),"")</f>
        <v/>
      </c>
      <c r="I30" s="326" t="str">
        <f>IFERROR(VLOOKUP($A30,TableHandbook[],I$2,FALSE),"")</f>
        <v/>
      </c>
      <c r="J30" s="326" t="str">
        <f>IFERROR(VLOOKUP($A30,TableHandbook[],J$2,FALSE),"")</f>
        <v/>
      </c>
      <c r="K30" s="327" t="str">
        <f>IFERROR(VLOOKUP($A30,TableHandbook[],K$2,FALSE),"")</f>
        <v/>
      </c>
      <c r="L30" s="57"/>
      <c r="M30" s="314">
        <v>14</v>
      </c>
      <c r="N30" s="315"/>
      <c r="O30" s="315"/>
    </row>
    <row r="31" spans="1:16" s="316" customFormat="1" ht="21" customHeight="1" x14ac:dyDescent="0.15">
      <c r="A31" s="307" t="str">
        <f>IFERROR(IF(HLOOKUP($L$6,RangeUnitsetsSec,M31,FALSE)=0,"",HLOOKUP($L$6,RangeUnitsetsSec,M31,FALSE)),"")</f>
        <v/>
      </c>
      <c r="B31" s="324" t="str">
        <f>IFERROR(IF(VLOOKUP($A31,TableHandbook[],2,FALSE)=0,"",VLOOKUP($A31,TableHandbook[],2,FALSE)),"")</f>
        <v/>
      </c>
      <c r="C31" s="324" t="str">
        <f>IFERROR(IF(VLOOKUP($A31,TableHandbook[],3,FALSE)=0,"",VLOOKUP($A31,TableHandbook[],3,FALSE)),"")</f>
        <v/>
      </c>
      <c r="D31" s="330" t="str">
        <f>IFERROR(IF(VLOOKUP($A31,TableHandbook[],4,FALSE)=0,"",VLOOKUP($A31,TableHandbook[],4,FALSE)),"")</f>
        <v/>
      </c>
      <c r="E31" s="324" t="str">
        <f>IF(A31="","",E30)</f>
        <v/>
      </c>
      <c r="F31" s="310" t="str">
        <f>IFERROR(IF(VLOOKUP($A31,TableHandbook[],6,FALSE)=0,"",VLOOKUP($A31,TableHandbook[],6,FALSE)),"")</f>
        <v/>
      </c>
      <c r="G31" s="308" t="str">
        <f>IFERROR(IF(VLOOKUP($A31,TableHandbook[],5,FALSE)=0,"",VLOOKUP($A31,TableHandbook[],5,FALSE)),"")</f>
        <v/>
      </c>
      <c r="H31" s="325" t="str">
        <f>IFERROR(VLOOKUP($A31,TableHandbook[],H$2,FALSE),"")</f>
        <v/>
      </c>
      <c r="I31" s="326" t="str">
        <f>IFERROR(VLOOKUP($A31,TableHandbook[],I$2,FALSE),"")</f>
        <v/>
      </c>
      <c r="J31" s="326" t="str">
        <f>IFERROR(VLOOKUP($A31,TableHandbook[],J$2,FALSE),"")</f>
        <v/>
      </c>
      <c r="K31" s="327" t="str">
        <f>IFERROR(VLOOKUP($A31,TableHandbook[],K$2,FALSE),"")</f>
        <v/>
      </c>
      <c r="L31" s="57"/>
      <c r="M31" s="314">
        <v>15</v>
      </c>
      <c r="N31" s="315"/>
      <c r="O31" s="315"/>
    </row>
    <row r="32" spans="1:16" s="329" customFormat="1" ht="6" customHeight="1" x14ac:dyDescent="0.15">
      <c r="A32" s="317"/>
      <c r="B32" s="318"/>
      <c r="C32" s="318"/>
      <c r="D32" s="319"/>
      <c r="E32" s="318"/>
      <c r="F32" s="320"/>
      <c r="G32" s="318"/>
      <c r="H32" s="321"/>
      <c r="I32" s="322"/>
      <c r="J32" s="322"/>
      <c r="K32" s="323"/>
      <c r="L32" s="177"/>
      <c r="M32" s="314"/>
      <c r="N32" s="328"/>
      <c r="O32" s="328"/>
    </row>
    <row r="33" spans="1:15" s="329" customFormat="1" ht="21" customHeight="1" x14ac:dyDescent="0.15">
      <c r="A33" s="307" t="str">
        <f>IFERROR(IF(HLOOKUP($L$6,RangeUnitsetsSec,M33,FALSE)=0,"",HLOOKUP($L$6,RangeUnitsetsSec,M33,FALSE)),"")</f>
        <v/>
      </c>
      <c r="B33" s="324" t="str">
        <f>IFERROR(IF(VLOOKUP($A33,TableHandbook[],2,FALSE)=0,"",VLOOKUP($A33,TableHandbook[],2,FALSE)),"")</f>
        <v/>
      </c>
      <c r="C33" s="324" t="str">
        <f>IFERROR(IF(VLOOKUP($A33,TableHandbook[],3,FALSE)=0,"",VLOOKUP($A33,TableHandbook[],3,FALSE)),"")</f>
        <v/>
      </c>
      <c r="D33" s="330" t="str">
        <f>IFERROR(IF(VLOOKUP($A33,TableHandbook[],4,FALSE)=0,"",VLOOKUP($A33,TableHandbook[],4,FALSE)),"")</f>
        <v/>
      </c>
      <c r="E33" s="324" t="str">
        <f>IF(OR(A33="",A33="--"),"",VLOOKUP($D$9,TableStudyPeriods[],5,FALSE))</f>
        <v/>
      </c>
      <c r="F33" s="310" t="str">
        <f>IFERROR(IF(VLOOKUP($A33,TableHandbook[],6,FALSE)=0,"",VLOOKUP($A33,TableHandbook[],6,FALSE)),"")</f>
        <v/>
      </c>
      <c r="G33" s="308" t="str">
        <f>IFERROR(IF(VLOOKUP($A33,TableHandbook[],5,FALSE)=0,"",VLOOKUP($A33,TableHandbook[],5,FALSE)),"")</f>
        <v/>
      </c>
      <c r="H33" s="325" t="str">
        <f>IFERROR(VLOOKUP($A33,TableHandbook[],H$2,FALSE),"")</f>
        <v/>
      </c>
      <c r="I33" s="326" t="str">
        <f>IFERROR(VLOOKUP($A33,TableHandbook[],I$2,FALSE),"")</f>
        <v/>
      </c>
      <c r="J33" s="326" t="str">
        <f>IFERROR(VLOOKUP($A33,TableHandbook[],J$2,FALSE),"")</f>
        <v/>
      </c>
      <c r="K33" s="327" t="str">
        <f>IFERROR(VLOOKUP($A33,TableHandbook[],K$2,FALSE),"")</f>
        <v/>
      </c>
      <c r="L33" s="57"/>
      <c r="M33" s="314">
        <v>16</v>
      </c>
      <c r="N33" s="328"/>
      <c r="O33" s="328"/>
    </row>
    <row r="34" spans="1:15" s="329" customFormat="1" ht="21" customHeight="1" x14ac:dyDescent="0.15">
      <c r="A34" s="307" t="str">
        <f>IFERROR(IF(HLOOKUP($L$6,RangeUnitsetsSec,M34,FALSE)=0,"",HLOOKUP($L$6,RangeUnitsetsSec,M34,FALSE)),"")</f>
        <v/>
      </c>
      <c r="B34" s="324" t="str">
        <f>IFERROR(IF(VLOOKUP($A34,TableHandbook[],2,FALSE)=0,"",VLOOKUP($A34,TableHandbook[],2,FALSE)),"")</f>
        <v/>
      </c>
      <c r="C34" s="324" t="str">
        <f>IFERROR(IF(VLOOKUP($A34,TableHandbook[],3,FALSE)=0,"",VLOOKUP($A34,TableHandbook[],3,FALSE)),"")</f>
        <v/>
      </c>
      <c r="D34" s="330" t="str">
        <f>IFERROR(IF(VLOOKUP($A34,TableHandbook[],4,FALSE)=0,"",VLOOKUP($A34,TableHandbook[],4,FALSE)),"")</f>
        <v/>
      </c>
      <c r="E34" s="308" t="str">
        <f>IF(A34="","",E33)</f>
        <v/>
      </c>
      <c r="F34" s="310" t="str">
        <f>IFERROR(IF(VLOOKUP($A34,TableHandbook[],6,FALSE)=0,"",VLOOKUP($A34,TableHandbook[],6,FALSE)),"")</f>
        <v/>
      </c>
      <c r="G34" s="308" t="str">
        <f>IFERROR(IF(VLOOKUP($A34,TableHandbook[],5,FALSE)=0,"",VLOOKUP($A34,TableHandbook[],5,FALSE)),"")</f>
        <v/>
      </c>
      <c r="H34" s="325" t="str">
        <f>IFERROR(VLOOKUP($A34,TableHandbook[],H$2,FALSE),"")</f>
        <v/>
      </c>
      <c r="I34" s="326" t="str">
        <f>IFERROR(VLOOKUP($A34,TableHandbook[],I$2,FALSE),"")</f>
        <v/>
      </c>
      <c r="J34" s="326" t="str">
        <f>IFERROR(VLOOKUP($A34,TableHandbook[],J$2,FALSE),"")</f>
        <v/>
      </c>
      <c r="K34" s="327" t="str">
        <f>IFERROR(VLOOKUP($A34,TableHandbook[],K$2,FALSE),"")</f>
        <v/>
      </c>
      <c r="L34" s="57"/>
      <c r="M34" s="314">
        <v>17</v>
      </c>
      <c r="N34" s="328"/>
      <c r="O34" s="328"/>
    </row>
    <row r="35" spans="1:15" ht="16.5" customHeight="1" x14ac:dyDescent="0.25">
      <c r="A35" s="333"/>
      <c r="B35" s="333"/>
      <c r="C35" s="333"/>
      <c r="D35" s="334"/>
      <c r="E35" s="334"/>
      <c r="F35" s="335"/>
      <c r="G35" s="335"/>
      <c r="H35" s="335"/>
      <c r="I35" s="335"/>
      <c r="J35" s="335"/>
      <c r="K35" s="335"/>
      <c r="L35" s="335"/>
    </row>
    <row r="36" spans="1:15" s="345" customFormat="1" ht="25.5" x14ac:dyDescent="0.25">
      <c r="A36" s="336" t="s">
        <v>640</v>
      </c>
      <c r="B36" s="337"/>
      <c r="C36" s="337"/>
      <c r="D36" s="338"/>
      <c r="E36" s="339"/>
      <c r="F36" s="339"/>
      <c r="G36" s="339"/>
      <c r="H36" s="340" t="str">
        <f>H10</f>
        <v>2026 Availabilities</v>
      </c>
      <c r="I36" s="341"/>
      <c r="J36" s="342"/>
      <c r="K36" s="343"/>
      <c r="L36" s="344"/>
    </row>
    <row r="37" spans="1:15" ht="21" customHeight="1" x14ac:dyDescent="0.25">
      <c r="A37" s="295"/>
      <c r="B37" s="295"/>
      <c r="C37" s="303" t="s">
        <v>362</v>
      </c>
      <c r="D37" s="296" t="s">
        <v>363</v>
      </c>
      <c r="E37" s="303"/>
      <c r="F37" s="295" t="s">
        <v>571</v>
      </c>
      <c r="G37" s="295" t="s">
        <v>572</v>
      </c>
      <c r="H37" s="304" t="str">
        <f>H$11</f>
        <v>SP1</v>
      </c>
      <c r="I37" s="305" t="str">
        <f t="shared" ref="I37:L37" si="1">I$11</f>
        <v>SP2</v>
      </c>
      <c r="J37" s="305" t="str">
        <f t="shared" si="1"/>
        <v>SP3</v>
      </c>
      <c r="K37" s="306" t="str">
        <f t="shared" si="1"/>
        <v>SP4</v>
      </c>
      <c r="L37" s="295" t="str">
        <f t="shared" si="1"/>
        <v>Notes / Progress</v>
      </c>
      <c r="M37" s="346"/>
    </row>
    <row r="38" spans="1:15" x14ac:dyDescent="0.25">
      <c r="A38" s="347" t="str">
        <f>IFERROR(IF(HLOOKUP($L$7,RangeTeachingAreas,M38,FALSE)=0,"",HLOOKUP($L$7,RangeTeachingAreas,M38,FALSE)),"")</f>
        <v/>
      </c>
      <c r="B38" s="348" t="str">
        <f>IFERROR(IF(VLOOKUP($A38,TableHandbook[],2,FALSE)=0,"",VLOOKUP($A38,TableHandbook[],2,FALSE)),"")</f>
        <v/>
      </c>
      <c r="C38" s="349" t="str">
        <f>IFERROR(IF(VLOOKUP($A38,TableHandbook[],3,FALSE)=0,"",VLOOKUP($A38,TableHandbook[],3,FALSE)),"")</f>
        <v/>
      </c>
      <c r="D38" s="350" t="str">
        <f>IFERROR(IF(VLOOKUP($A38,TableHandbook[],4,FALSE)=0,"",VLOOKUP($A38,TableHandbook[],4,FALSE)),"")</f>
        <v/>
      </c>
      <c r="E38" s="351"/>
      <c r="F38" s="352" t="str">
        <f>IFERROR(IF(VLOOKUP($A38,TableHandbook[],6,FALSE)=0,"",VLOOKUP($A38,TableHandbook[],6,FALSE)),"")</f>
        <v/>
      </c>
      <c r="G38" s="352" t="str">
        <f>IFERROR(IF(VLOOKUP($A38,TableHandbook[],5,FALSE)=0,"",VLOOKUP($A38,TableHandbook[],5,FALSE)),"")</f>
        <v/>
      </c>
      <c r="H38" s="353" t="str">
        <f>IFERROR(VLOOKUP($A38,TableHandbook[],H$2,FALSE),"")</f>
        <v/>
      </c>
      <c r="I38" s="354" t="str">
        <f>IFERROR(VLOOKUP($A38,TableHandbook[],I$2,FALSE),"")</f>
        <v/>
      </c>
      <c r="J38" s="354" t="str">
        <f>IFERROR(VLOOKUP($A38,TableHandbook[],J$2,FALSE),"")</f>
        <v/>
      </c>
      <c r="K38" s="355" t="str">
        <f>IFERROR(VLOOKUP($A38,TableHandbook[],K$2,FALSE),"")</f>
        <v/>
      </c>
      <c r="L38" s="184"/>
      <c r="M38" s="356">
        <v>2</v>
      </c>
    </row>
    <row r="39" spans="1:15" x14ac:dyDescent="0.25">
      <c r="A39" s="357" t="str">
        <f>IFERROR(IF(HLOOKUP($L$7,RangeTeachingAreas,M39,FALSE)=0,"",HLOOKUP($L$7,RangeTeachingAreas,M39,FALSE)),"")</f>
        <v/>
      </c>
      <c r="B39" s="358" t="str">
        <f>IFERROR(IF(VLOOKUP($A39,TableHandbook[],2,FALSE)=0,"",VLOOKUP($A39,TableHandbook[],2,FALSE)),"")</f>
        <v/>
      </c>
      <c r="C39" s="359" t="str">
        <f>IFERROR(IF(VLOOKUP($A39,TableHandbook[],3,FALSE)=0,"",VLOOKUP($A39,TableHandbook[],3,FALSE)),"")</f>
        <v/>
      </c>
      <c r="D39" s="360" t="str">
        <f>IFERROR(IF(VLOOKUP($A39,TableHandbook[],4,FALSE)=0,"",VLOOKUP($A39,TableHandbook[],4,FALSE)),"")</f>
        <v/>
      </c>
      <c r="E39" s="361"/>
      <c r="F39" s="362" t="str">
        <f>IFERROR(IF(VLOOKUP($A39,TableHandbook[],6,FALSE)=0,"",VLOOKUP($A39,TableHandbook[],6,FALSE)),"")</f>
        <v/>
      </c>
      <c r="G39" s="362" t="str">
        <f>IFERROR(IF(VLOOKUP($A39,TableHandbook[],5,FALSE)=0,"",VLOOKUP($A39,TableHandbook[],5,FALSE)),"")</f>
        <v/>
      </c>
      <c r="H39" s="311" t="str">
        <f>IFERROR(VLOOKUP($A39,TableHandbook[],H$2,FALSE),"")</f>
        <v/>
      </c>
      <c r="I39" s="312" t="str">
        <f>IFERROR(VLOOKUP($A39,TableHandbook[],I$2,FALSE),"")</f>
        <v/>
      </c>
      <c r="J39" s="312" t="str">
        <f>IFERROR(VLOOKUP($A39,TableHandbook[],J$2,FALSE),"")</f>
        <v/>
      </c>
      <c r="K39" s="313" t="str">
        <f>IFERROR(VLOOKUP($A39,TableHandbook[],K$2,FALSE),"")</f>
        <v/>
      </c>
      <c r="L39" s="58"/>
      <c r="M39" s="346">
        <v>3</v>
      </c>
    </row>
    <row r="40" spans="1:15" x14ac:dyDescent="0.25">
      <c r="A40" s="357" t="str">
        <f>IFERROR(IF(HLOOKUP($L$7,RangeTeachingAreas,M40,FALSE)=0,"",HLOOKUP($L$7,RangeTeachingAreas,M40,FALSE)),"")</f>
        <v/>
      </c>
      <c r="B40" s="358" t="str">
        <f>IFERROR(IF(VLOOKUP($A40,TableHandbook[],2,FALSE)=0,"",VLOOKUP($A40,TableHandbook[],2,FALSE)),"")</f>
        <v/>
      </c>
      <c r="C40" s="359" t="str">
        <f>IFERROR(IF(VLOOKUP($A40,TableHandbook[],3,FALSE)=0,"",VLOOKUP($A40,TableHandbook[],3,FALSE)),"")</f>
        <v/>
      </c>
      <c r="D40" s="360" t="str">
        <f>IFERROR(IF(VLOOKUP($A40,TableHandbook[],4,FALSE)=0,"",VLOOKUP($A40,TableHandbook[],4,FALSE)),"")</f>
        <v/>
      </c>
      <c r="E40" s="361"/>
      <c r="F40" s="362" t="str">
        <f>IFERROR(IF(VLOOKUP($A40,TableHandbook[],6,FALSE)=0,"",VLOOKUP($A40,TableHandbook[],6,FALSE)),"")</f>
        <v/>
      </c>
      <c r="G40" s="362" t="str">
        <f>IFERROR(IF(VLOOKUP($A40,TableHandbook[],5,FALSE)=0,"",VLOOKUP($A40,TableHandbook[],5,FALSE)),"")</f>
        <v/>
      </c>
      <c r="H40" s="311" t="str">
        <f>IFERROR(VLOOKUP($A40,TableHandbook[],H$2,FALSE),"")</f>
        <v/>
      </c>
      <c r="I40" s="312" t="str">
        <f>IFERROR(VLOOKUP($A40,TableHandbook[],I$2,FALSE),"")</f>
        <v/>
      </c>
      <c r="J40" s="312" t="str">
        <f>IFERROR(VLOOKUP($A40,TableHandbook[],J$2,FALSE),"")</f>
        <v/>
      </c>
      <c r="K40" s="313" t="str">
        <f>IFERROR(VLOOKUP($A40,TableHandbook[],K$2,FALSE),"")</f>
        <v/>
      </c>
      <c r="L40" s="58"/>
      <c r="M40" s="346">
        <v>4</v>
      </c>
    </row>
    <row r="41" spans="1:15" x14ac:dyDescent="0.25">
      <c r="A41" s="357"/>
      <c r="B41" s="358"/>
      <c r="C41" s="359"/>
      <c r="D41" s="360"/>
      <c r="E41" s="361"/>
      <c r="F41" s="362"/>
      <c r="G41" s="362"/>
      <c r="H41" s="311"/>
      <c r="I41" s="312"/>
      <c r="J41" s="312"/>
      <c r="K41" s="313"/>
      <c r="L41" s="58"/>
      <c r="M41" s="346"/>
    </row>
    <row r="42" spans="1:15" x14ac:dyDescent="0.25">
      <c r="A42" s="363" t="str">
        <f>IFERROR(IF(HLOOKUP($L$7,RangeTeachingAreas,M42,FALSE)=0,"",HLOOKUP($L$7,RangeTeachingAreas,M42,FALSE)),"")</f>
        <v/>
      </c>
      <c r="B42" s="364" t="str">
        <f>IFERROR(IF(VLOOKUP($A42,TableHandbook[],2,FALSE)=0,"",VLOOKUP($A42,TableHandbook[],2,FALSE)),"")</f>
        <v/>
      </c>
      <c r="C42" s="365" t="str">
        <f>IFERROR(IF(VLOOKUP($A42,TableHandbook[],3,FALSE)=0,"",VLOOKUP($A42,TableHandbook[],3,FALSE)),"")</f>
        <v/>
      </c>
      <c r="D42" s="366" t="str">
        <f>IFERROR(IF(VLOOKUP($A42,TableHandbook[],4,FALSE)=0,"",VLOOKUP($A42,TableHandbook[],4,FALSE)),"")</f>
        <v/>
      </c>
      <c r="E42" s="367"/>
      <c r="F42" s="368" t="str">
        <f>IFERROR(IF(VLOOKUP($A42,TableHandbook[],6,FALSE)=0,"",VLOOKUP($A42,TableHandbook[],6,FALSE)),"")</f>
        <v/>
      </c>
      <c r="G42" s="368" t="str">
        <f>IFERROR(IF(VLOOKUP($A42,TableHandbook[],5,FALSE)=0,"",VLOOKUP($A42,TableHandbook[],5,FALSE)),"")</f>
        <v/>
      </c>
      <c r="H42" s="369" t="str">
        <f>IFERROR(VLOOKUP($A42,TableHandbook[],H$2,FALSE),"")</f>
        <v/>
      </c>
      <c r="I42" s="370" t="str">
        <f>IFERROR(VLOOKUP($A42,TableHandbook[],I$2,FALSE),"")</f>
        <v/>
      </c>
      <c r="J42" s="370" t="str">
        <f>IFERROR(VLOOKUP($A42,TableHandbook[],J$2,FALSE),"")</f>
        <v/>
      </c>
      <c r="K42" s="371" t="str">
        <f>IFERROR(VLOOKUP($A42,TableHandbook[],K$2,FALSE),"")</f>
        <v/>
      </c>
      <c r="L42" s="389"/>
      <c r="M42" s="372">
        <v>5</v>
      </c>
    </row>
    <row r="43" spans="1:15" x14ac:dyDescent="0.25">
      <c r="A43" s="357" t="str">
        <f>IFERROR(IF(HLOOKUP($L$8,RangeTeachingAreas,M43,FALSE)=0,"",HLOOKUP($L$8,RangeTeachingAreas,M43,FALSE)),"")</f>
        <v/>
      </c>
      <c r="B43" s="358" t="str">
        <f>IFERROR(IF(VLOOKUP($A43,TableHandbook[],2,FALSE)=0,"",VLOOKUP($A43,TableHandbook[],2,FALSE)),"")</f>
        <v/>
      </c>
      <c r="C43" s="359" t="str">
        <f>IFERROR(IF(VLOOKUP($A43,TableHandbook[],3,FALSE)=0,"",VLOOKUP($A43,TableHandbook[],3,FALSE)),"")</f>
        <v/>
      </c>
      <c r="D43" s="360" t="str">
        <f>IFERROR(IF(VLOOKUP($A43,TableHandbook[],4,FALSE)=0,"",VLOOKUP($A43,TableHandbook[],4,FALSE)),"")</f>
        <v/>
      </c>
      <c r="E43" s="361"/>
      <c r="F43" s="362" t="str">
        <f>IFERROR(IF(VLOOKUP($A43,TableHandbook[],6,FALSE)=0,"",VLOOKUP($A43,TableHandbook[],6,FALSE)),"")</f>
        <v/>
      </c>
      <c r="G43" s="362" t="str">
        <f>IFERROR(IF(VLOOKUP($A43,TableHandbook[],5,FALSE)=0,"",VLOOKUP($A43,TableHandbook[],5,FALSE)),"")</f>
        <v/>
      </c>
      <c r="H43" s="311" t="str">
        <f>IFERROR(VLOOKUP($A43,TableHandbook[],H$2,FALSE),"")</f>
        <v/>
      </c>
      <c r="I43" s="312" t="str">
        <f>IFERROR(VLOOKUP($A43,TableHandbook[],I$2,FALSE),"")</f>
        <v/>
      </c>
      <c r="J43" s="312" t="str">
        <f>IFERROR(VLOOKUP($A43,TableHandbook[],J$2,FALSE),"")</f>
        <v/>
      </c>
      <c r="K43" s="313" t="str">
        <f>IFERROR(VLOOKUP($A43,TableHandbook[],K$2,FALSE),"")</f>
        <v/>
      </c>
      <c r="L43" s="58"/>
      <c r="M43" s="346">
        <v>6</v>
      </c>
    </row>
    <row r="44" spans="1:15" x14ac:dyDescent="0.25">
      <c r="A44" s="357" t="str">
        <f>IFERROR(IF(HLOOKUP($L$8,RangeTeachingAreas,M44,FALSE)=0,"",HLOOKUP($L$8,RangeTeachingAreas,M44,FALSE)),"")</f>
        <v/>
      </c>
      <c r="B44" s="358" t="str">
        <f>IFERROR(IF(VLOOKUP($A44,TableHandbook[],2,FALSE)=0,"",VLOOKUP($A44,TableHandbook[],2,FALSE)),"")</f>
        <v/>
      </c>
      <c r="C44" s="359" t="str">
        <f>IFERROR(IF(VLOOKUP($A44,TableHandbook[],3,FALSE)=0,"",VLOOKUP($A44,TableHandbook[],3,FALSE)),"")</f>
        <v/>
      </c>
      <c r="D44" s="360" t="str">
        <f>IFERROR(IF(VLOOKUP($A44,TableHandbook[],4,FALSE)=0,"",VLOOKUP($A44,TableHandbook[],4,FALSE)),"")</f>
        <v/>
      </c>
      <c r="E44" s="361"/>
      <c r="F44" s="362" t="str">
        <f>IFERROR(IF(VLOOKUP($A44,TableHandbook[],6,FALSE)=0,"",VLOOKUP($A44,TableHandbook[],6,FALSE)),"")</f>
        <v/>
      </c>
      <c r="G44" s="362" t="str">
        <f>IFERROR(IF(VLOOKUP($A44,TableHandbook[],5,FALSE)=0,"",VLOOKUP($A44,TableHandbook[],5,FALSE)),"")</f>
        <v/>
      </c>
      <c r="H44" s="311" t="str">
        <f>IFERROR(VLOOKUP($A44,TableHandbook[],H$2,FALSE),"")</f>
        <v/>
      </c>
      <c r="I44" s="312" t="str">
        <f>IFERROR(VLOOKUP($A44,TableHandbook[],I$2,FALSE),"")</f>
        <v/>
      </c>
      <c r="J44" s="312" t="str">
        <f>IFERROR(VLOOKUP($A44,TableHandbook[],J$2,FALSE),"")</f>
        <v/>
      </c>
      <c r="K44" s="313" t="str">
        <f>IFERROR(VLOOKUP($A44,TableHandbook[],K$2,FALSE),"")</f>
        <v/>
      </c>
      <c r="L44" s="58"/>
      <c r="M44" s="346">
        <v>7</v>
      </c>
    </row>
    <row r="45" spans="1:15" ht="21" customHeight="1" x14ac:dyDescent="0.25">
      <c r="A45" s="373"/>
      <c r="B45" s="374"/>
      <c r="C45" s="375"/>
      <c r="D45" s="375"/>
      <c r="E45" s="376"/>
      <c r="F45" s="377"/>
      <c r="G45" s="377"/>
      <c r="H45" s="378"/>
      <c r="I45" s="378"/>
      <c r="J45" s="378"/>
      <c r="K45" s="378"/>
      <c r="L45" s="379"/>
      <c r="M45" s="346"/>
    </row>
    <row r="46" spans="1:15" ht="18" x14ac:dyDescent="0.25">
      <c r="A46" s="380" t="s">
        <v>576</v>
      </c>
      <c r="B46" s="380"/>
      <c r="C46" s="380"/>
      <c r="D46" s="380"/>
      <c r="E46" s="380"/>
      <c r="F46" s="380"/>
      <c r="G46" s="380"/>
      <c r="H46" s="380"/>
      <c r="I46" s="380"/>
      <c r="J46" s="380"/>
      <c r="K46" s="380"/>
      <c r="L46" s="380"/>
    </row>
    <row r="47" spans="1:15" s="382" customFormat="1" ht="17.25" x14ac:dyDescent="0.2">
      <c r="A47" s="32" t="s">
        <v>577</v>
      </c>
      <c r="B47" s="32"/>
      <c r="C47" s="32"/>
      <c r="D47" s="33"/>
      <c r="E47" s="33"/>
      <c r="F47" s="33"/>
      <c r="G47" s="33"/>
      <c r="H47" s="33"/>
      <c r="I47" s="33"/>
      <c r="J47" s="33"/>
      <c r="K47" s="33"/>
      <c r="L47" s="33"/>
      <c r="M47" s="381"/>
      <c r="N47" s="381"/>
      <c r="O47" s="381"/>
    </row>
    <row r="48" spans="1:15" x14ac:dyDescent="0.25">
      <c r="A48" s="383" t="s">
        <v>578</v>
      </c>
      <c r="B48" s="383"/>
      <c r="C48" s="383"/>
      <c r="D48" s="383"/>
      <c r="E48" s="384"/>
      <c r="F48" s="335"/>
      <c r="G48" s="385"/>
      <c r="H48" s="385"/>
      <c r="I48" s="385"/>
      <c r="J48" s="385"/>
      <c r="K48" s="385"/>
      <c r="L48" s="385" t="s">
        <v>579</v>
      </c>
    </row>
  </sheetData>
  <sheetProtection algorithmName="SHA-512" hashValue="lsLEb6yAEOe0m4wjvsFgfSCFtqM9qMU5hfxavzS8649nK1dhntzHPrBoLrZu/9bxl7LraYgKMR6ISF26aXk0ng==" saltValue="2jHTLQfJUXfz83H9JxqnFQ==" spinCount="100000" sheet="1" objects="1" scenarios="1" formatCells="0"/>
  <mergeCells count="1">
    <mergeCell ref="A3:D3"/>
  </mergeCells>
  <conditionalFormatting sqref="A12:L22 A24:L34 A38:L44">
    <cfRule type="expression" dxfId="9" priority="1">
      <formula>$A12=""</formula>
    </cfRule>
  </conditionalFormatting>
  <conditionalFormatting sqref="A12:M22 A23:E23 G23:M23 A24:M34">
    <cfRule type="expression" dxfId="8" priority="4">
      <formula>LEFT($A12,3)="FTA"</formula>
    </cfRule>
  </conditionalFormatting>
  <conditionalFormatting sqref="A12:M22 G23:M23 A24:M34 A23:E23">
    <cfRule type="expression" dxfId="7" priority="3">
      <formula>LEFT($A12,3)="STA"</formula>
    </cfRule>
  </conditionalFormatting>
  <conditionalFormatting sqref="D5:D9">
    <cfRule type="containsText" dxfId="6" priority="5" operator="containsText" text="Choose">
      <formula>NOT(ISERROR(SEARCH("Choose",D5)))</formula>
    </cfRule>
  </conditionalFormatting>
  <conditionalFormatting sqref="H12:K34">
    <cfRule type="expression" dxfId="5"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CourseDetails!$A$44:$A$48</xm:f>
          </x14:formula1>
          <xm:sqref>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W24"/>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0">
        <v>2</v>
      </c>
      <c r="C2" s="140">
        <v>3</v>
      </c>
      <c r="D2" s="140">
        <v>4</v>
      </c>
      <c r="E2" s="140"/>
      <c r="F2" s="140">
        <v>6</v>
      </c>
      <c r="G2" s="140">
        <v>5</v>
      </c>
      <c r="H2" s="140">
        <v>7</v>
      </c>
      <c r="I2" s="140">
        <v>8</v>
      </c>
      <c r="J2" s="140">
        <v>9</v>
      </c>
      <c r="K2" s="140">
        <v>10</v>
      </c>
      <c r="L2" s="111"/>
    </row>
    <row r="3" spans="1:23" ht="39.950000000000003" customHeight="1" x14ac:dyDescent="0.25">
      <c r="A3" s="266" t="s">
        <v>561</v>
      </c>
      <c r="B3" s="266"/>
      <c r="C3" s="266"/>
      <c r="D3" s="266"/>
      <c r="E3" s="89"/>
      <c r="F3" s="89"/>
      <c r="G3" s="89"/>
      <c r="H3" s="89"/>
      <c r="I3" s="89"/>
      <c r="J3" s="89"/>
      <c r="K3" s="89"/>
      <c r="L3" s="89"/>
    </row>
    <row r="4" spans="1:23" ht="25.5" x14ac:dyDescent="0.25">
      <c r="A4" s="192"/>
      <c r="B4" s="193"/>
      <c r="C4" s="193"/>
      <c r="D4" s="194" t="s">
        <v>562</v>
      </c>
      <c r="E4" s="195"/>
      <c r="F4" s="193"/>
      <c r="G4" s="196"/>
      <c r="H4" s="196"/>
      <c r="I4" s="196"/>
      <c r="J4" s="196"/>
      <c r="K4" s="196"/>
      <c r="L4" s="196"/>
    </row>
    <row r="5" spans="1:23" ht="20.100000000000001" customHeight="1" x14ac:dyDescent="0.25">
      <c r="B5" s="10"/>
      <c r="C5" s="115" t="s">
        <v>563</v>
      </c>
      <c r="D5" s="180"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51</v>
      </c>
      <c r="E6" s="11"/>
      <c r="F6" s="10" t="s">
        <v>566</v>
      </c>
      <c r="G6" s="11" t="str">
        <f>IFERROR(CONCATENATE(VLOOKUP(D6,TableMajorsGradDip[],2,FALSE)," ",VLOOKUP(D6,TableMajorsGradDip[],3,FALSE)),"")</f>
        <v>OUMP-EDUPR v.1</v>
      </c>
      <c r="H6" s="11"/>
      <c r="I6" s="11"/>
      <c r="J6" s="11"/>
      <c r="K6" s="11"/>
      <c r="L6" s="189" t="str">
        <f>CONCATENATE(VLOOKUP(D6,TableMajorsGradDip[],2,FALSE),VLOOKUP(D7,TableStudyPeriods[],2,FALSE))</f>
        <v>OUMP-EDUPRSP1</v>
      </c>
    </row>
    <row r="7" spans="1:23" ht="20.100000000000001" customHeight="1" x14ac:dyDescent="0.25">
      <c r="A7" s="13"/>
      <c r="B7" s="14"/>
      <c r="C7" s="115" t="s">
        <v>567</v>
      </c>
      <c r="D7" s="108" t="s">
        <v>81</v>
      </c>
      <c r="E7" s="15"/>
      <c r="F7" s="10"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4"/>
      <c r="L8" s="105"/>
      <c r="M8" s="17"/>
      <c r="N8" s="17"/>
      <c r="O8" s="17"/>
      <c r="P8" s="18"/>
      <c r="Q8" s="18"/>
      <c r="R8" s="18"/>
      <c r="S8" s="18"/>
      <c r="T8" s="18"/>
      <c r="U8" s="18"/>
      <c r="V8" s="18"/>
      <c r="W8" s="18"/>
    </row>
    <row r="9" spans="1:23" s="19" customFormat="1" ht="21" x14ac:dyDescent="0.25">
      <c r="A9" s="100" t="s">
        <v>570</v>
      </c>
      <c r="B9" s="100"/>
      <c r="C9" s="114" t="s">
        <v>362</v>
      </c>
      <c r="D9" s="101" t="s">
        <v>363</v>
      </c>
      <c r="E9" s="114" t="s">
        <v>368</v>
      </c>
      <c r="F9" s="100" t="s">
        <v>571</v>
      </c>
      <c r="G9" s="100" t="s">
        <v>572</v>
      </c>
      <c r="H9" s="210" t="s">
        <v>82</v>
      </c>
      <c r="I9" s="211" t="s">
        <v>83</v>
      </c>
      <c r="J9" s="211" t="s">
        <v>84</v>
      </c>
      <c r="K9" s="216" t="s">
        <v>85</v>
      </c>
      <c r="L9" s="106" t="s">
        <v>573</v>
      </c>
      <c r="M9" s="17"/>
      <c r="N9" s="17"/>
      <c r="O9" s="17"/>
      <c r="P9" s="18"/>
      <c r="Q9" s="18"/>
      <c r="R9" s="18"/>
      <c r="S9" s="18"/>
      <c r="T9" s="18"/>
      <c r="U9" s="18"/>
      <c r="V9" s="18"/>
      <c r="W9" s="18"/>
    </row>
    <row r="10" spans="1:23" s="22" customFormat="1" ht="21" customHeight="1" x14ac:dyDescent="0.15">
      <c r="A10" s="55"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6"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12" t="str">
        <f>IFERROR(VLOOKUP($A10,TableHandbook[],H$2,FALSE),"")</f>
        <v>Y</v>
      </c>
      <c r="I10" s="213" t="str">
        <f>IFERROR(VLOOKUP($A10,TableHandbook[],I$2,FALSE),"")</f>
        <v>Y</v>
      </c>
      <c r="J10" s="213" t="str">
        <f>IFERROR(VLOOKUP($A10,TableHandbook[],J$2,FALSE),"")</f>
        <v/>
      </c>
      <c r="K10" s="220" t="str">
        <f>IFERROR(VLOOKUP($A10,TableHandbook[],K$2,FALSE),"")</f>
        <v/>
      </c>
      <c r="L10" s="57"/>
      <c r="M10" s="138">
        <v>2</v>
      </c>
      <c r="N10" s="20"/>
      <c r="O10" s="20"/>
      <c r="P10" s="21"/>
      <c r="Q10" s="21"/>
      <c r="R10" s="21"/>
      <c r="S10" s="21"/>
      <c r="T10" s="21"/>
      <c r="U10" s="21"/>
      <c r="V10" s="21"/>
      <c r="W10" s="21"/>
    </row>
    <row r="11" spans="1:23" s="22" customFormat="1" ht="21" customHeight="1" x14ac:dyDescent="0.15">
      <c r="A11" s="55"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6"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12" t="str">
        <f>IFERROR(VLOOKUP($A11,TableHandbook[],H$2,FALSE),"")</f>
        <v>Y</v>
      </c>
      <c r="I11" s="213" t="str">
        <f>IFERROR(VLOOKUP($A11,TableHandbook[],I$2,FALSE),"")</f>
        <v/>
      </c>
      <c r="J11" s="213" t="str">
        <f>IFERROR(VLOOKUP($A11,TableHandbook[],J$2,FALSE),"")</f>
        <v>Y</v>
      </c>
      <c r="K11" s="220" t="str">
        <f>IFERROR(VLOOKUP($A11,TableHandbook[],K$2,FALSE),"")</f>
        <v/>
      </c>
      <c r="L11" s="57"/>
      <c r="M11" s="138">
        <v>3</v>
      </c>
      <c r="N11" s="20"/>
      <c r="O11" s="20"/>
      <c r="P11" s="21"/>
      <c r="Q11" s="21"/>
      <c r="R11" s="21"/>
      <c r="S11" s="21"/>
      <c r="T11" s="21"/>
      <c r="U11" s="21"/>
      <c r="V11" s="21"/>
      <c r="W11" s="21"/>
    </row>
    <row r="12" spans="1:23" s="22" customFormat="1" ht="6" customHeight="1" x14ac:dyDescent="0.15">
      <c r="A12" s="173"/>
      <c r="B12" s="174"/>
      <c r="C12" s="174"/>
      <c r="D12" s="175"/>
      <c r="E12" s="174"/>
      <c r="F12" s="176"/>
      <c r="G12" s="174"/>
      <c r="H12" s="214"/>
      <c r="I12" s="215"/>
      <c r="J12" s="215"/>
      <c r="K12" s="223"/>
      <c r="L12" s="177"/>
      <c r="M12" s="138"/>
      <c r="N12" s="20"/>
      <c r="O12" s="20"/>
      <c r="P12" s="20"/>
      <c r="Q12" s="21"/>
      <c r="R12" s="21"/>
      <c r="S12" s="21"/>
      <c r="T12" s="21"/>
      <c r="U12" s="21"/>
      <c r="V12" s="21"/>
      <c r="W12" s="21"/>
    </row>
    <row r="13" spans="1:23" s="22" customFormat="1" ht="21" customHeight="1" x14ac:dyDescent="0.15">
      <c r="A13" s="55"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6"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12" t="str">
        <f>IFERROR(VLOOKUP($A13,TableHandbook[],H$2,FALSE),"")</f>
        <v/>
      </c>
      <c r="I13" s="213" t="str">
        <f>IFERROR(VLOOKUP($A13,TableHandbook[],I$2,FALSE),"")</f>
        <v>Y</v>
      </c>
      <c r="J13" s="213" t="str">
        <f>IFERROR(VLOOKUP($A13,TableHandbook[],J$2,FALSE),"")</f>
        <v/>
      </c>
      <c r="K13" s="220" t="str">
        <f>IFERROR(VLOOKUP($A13,TableHandbook[],K$2,FALSE),"")</f>
        <v/>
      </c>
      <c r="L13" s="58"/>
      <c r="M13" s="138">
        <v>4</v>
      </c>
      <c r="N13" s="20"/>
      <c r="O13" s="20"/>
      <c r="P13" s="21"/>
      <c r="Q13" s="21"/>
      <c r="R13" s="21"/>
      <c r="S13" s="21"/>
      <c r="T13" s="21"/>
      <c r="U13" s="21"/>
      <c r="V13" s="21"/>
      <c r="W13" s="21"/>
    </row>
    <row r="14" spans="1:23" s="22" customFormat="1" ht="21" customHeight="1" x14ac:dyDescent="0.15">
      <c r="A14" s="55"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6"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12" t="str">
        <f>IFERROR(VLOOKUP($A14,TableHandbook[],H$2,FALSE),"")</f>
        <v/>
      </c>
      <c r="I14" s="213" t="str">
        <f>IFERROR(VLOOKUP($A14,TableHandbook[],I$2,FALSE),"")</f>
        <v>Y</v>
      </c>
      <c r="J14" s="213" t="str">
        <f>IFERROR(VLOOKUP($A14,TableHandbook[],J$2,FALSE),"")</f>
        <v>Y</v>
      </c>
      <c r="K14" s="220" t="str">
        <f>IFERROR(VLOOKUP($A14,TableHandbook[],K$2,FALSE),"")</f>
        <v/>
      </c>
      <c r="L14" s="57"/>
      <c r="M14" s="138">
        <v>5</v>
      </c>
      <c r="N14" s="20"/>
      <c r="O14" s="20"/>
      <c r="P14" s="21"/>
      <c r="Q14" s="21"/>
      <c r="R14" s="21"/>
      <c r="S14" s="21"/>
      <c r="T14" s="21"/>
      <c r="U14" s="21"/>
      <c r="V14" s="21"/>
      <c r="W14" s="21"/>
    </row>
    <row r="15" spans="1:23" s="22" customFormat="1" ht="6" customHeight="1" x14ac:dyDescent="0.15">
      <c r="A15" s="173"/>
      <c r="B15" s="174"/>
      <c r="C15" s="174"/>
      <c r="D15" s="175"/>
      <c r="E15" s="174"/>
      <c r="F15" s="176"/>
      <c r="G15" s="174"/>
      <c r="H15" s="214"/>
      <c r="I15" s="215"/>
      <c r="J15" s="215"/>
      <c r="K15" s="223"/>
      <c r="L15" s="177"/>
      <c r="M15" s="138"/>
      <c r="N15" s="20"/>
      <c r="O15" s="20"/>
      <c r="P15" s="20"/>
      <c r="Q15" s="21"/>
      <c r="R15" s="21"/>
      <c r="S15" s="21"/>
      <c r="T15" s="21"/>
      <c r="U15" s="21"/>
      <c r="V15" s="21"/>
      <c r="W15" s="21"/>
    </row>
    <row r="16" spans="1:23" s="22" customFormat="1" ht="21" customHeight="1" x14ac:dyDescent="0.15">
      <c r="A16" s="55"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6"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17" t="str">
        <f>IFERROR(VLOOKUP($A16,TableHandbook[],H$2,FALSE),"")</f>
        <v>Y</v>
      </c>
      <c r="I16" s="218" t="str">
        <f>IFERROR(VLOOKUP($A16,TableHandbook[],I$2,FALSE),"")</f>
        <v/>
      </c>
      <c r="J16" s="218" t="str">
        <f>IFERROR(VLOOKUP($A16,TableHandbook[],J$2,FALSE),"")</f>
        <v>Y</v>
      </c>
      <c r="K16" s="219" t="str">
        <f>IFERROR(VLOOKUP($A16,TableHandbook[],K$2,FALSE),"")</f>
        <v/>
      </c>
      <c r="L16" s="58"/>
      <c r="M16" s="138">
        <v>6</v>
      </c>
      <c r="N16" s="20"/>
      <c r="O16" s="20"/>
      <c r="P16" s="21"/>
      <c r="Q16" s="21"/>
      <c r="R16" s="21"/>
      <c r="S16" s="21"/>
      <c r="T16" s="21"/>
      <c r="U16" s="21"/>
      <c r="V16" s="21"/>
      <c r="W16" s="21"/>
    </row>
    <row r="17" spans="1:23" s="31"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17" t="str">
        <f>IFERROR(VLOOKUP($A17,TableHandbook[],H$2,FALSE),"")</f>
        <v>Y</v>
      </c>
      <c r="I17" s="218" t="str">
        <f>IFERROR(VLOOKUP($A17,TableHandbook[],I$2,FALSE),"")</f>
        <v/>
      </c>
      <c r="J17" s="218" t="str">
        <f>IFERROR(VLOOKUP($A17,TableHandbook[],J$2,FALSE),"")</f>
        <v>Y</v>
      </c>
      <c r="K17" s="219" t="str">
        <f>IFERROR(VLOOKUP($A17,TableHandbook[],K$2,FALSE),"")</f>
        <v/>
      </c>
      <c r="L17" s="58"/>
      <c r="M17" s="138">
        <v>7</v>
      </c>
      <c r="N17" s="29"/>
      <c r="O17" s="29"/>
      <c r="P17" s="30"/>
      <c r="Q17" s="30"/>
      <c r="R17" s="30"/>
      <c r="S17" s="30"/>
      <c r="T17" s="30"/>
      <c r="U17" s="30"/>
      <c r="V17" s="30"/>
      <c r="W17" s="30"/>
    </row>
    <row r="18" spans="1:23" s="22" customFormat="1" ht="6" customHeight="1" x14ac:dyDescent="0.15">
      <c r="A18" s="173"/>
      <c r="B18" s="174"/>
      <c r="C18" s="174"/>
      <c r="D18" s="175"/>
      <c r="E18" s="174"/>
      <c r="F18" s="176"/>
      <c r="G18" s="174"/>
      <c r="H18" s="214"/>
      <c r="I18" s="215"/>
      <c r="J18" s="215"/>
      <c r="K18" s="223"/>
      <c r="L18" s="177"/>
      <c r="M18" s="138"/>
      <c r="N18" s="20"/>
      <c r="O18" s="20"/>
      <c r="P18" s="20"/>
      <c r="Q18" s="21"/>
      <c r="R18" s="21"/>
      <c r="S18" s="21"/>
      <c r="T18" s="21"/>
      <c r="U18" s="21"/>
      <c r="V18" s="21"/>
      <c r="W18" s="21"/>
    </row>
    <row r="19" spans="1:23" s="31" customFormat="1" ht="21" customHeight="1" x14ac:dyDescent="0.15">
      <c r="A19" s="55"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6"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17" t="str">
        <f>IFERROR(VLOOKUP($A19,TableHandbook[],H$2,FALSE),"")</f>
        <v/>
      </c>
      <c r="I19" s="218" t="str">
        <f>IFERROR(VLOOKUP($A19,TableHandbook[],I$2,FALSE),"")</f>
        <v>Y</v>
      </c>
      <c r="J19" s="218" t="str">
        <f>IFERROR(VLOOKUP($A19,TableHandbook[],J$2,FALSE),"")</f>
        <v/>
      </c>
      <c r="K19" s="219" t="str">
        <f>IFERROR(VLOOKUP($A19,TableHandbook[],K$2,FALSE),"")</f>
        <v>Y</v>
      </c>
      <c r="L19" s="58"/>
      <c r="M19" s="138">
        <v>8</v>
      </c>
      <c r="N19" s="29"/>
      <c r="O19" s="29"/>
      <c r="P19" s="30"/>
      <c r="Q19" s="30"/>
      <c r="R19" s="30"/>
      <c r="S19" s="30"/>
      <c r="T19" s="30"/>
      <c r="U19" s="30"/>
      <c r="V19" s="30"/>
      <c r="W19" s="30"/>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4"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17" t="str">
        <f>IFERROR(VLOOKUP($A20,TableHandbook[],H$2,FALSE),"")</f>
        <v/>
      </c>
      <c r="I20" s="218" t="str">
        <f>IFERROR(VLOOKUP($A20,TableHandbook[],I$2,FALSE),"")</f>
        <v>Y</v>
      </c>
      <c r="J20" s="218" t="str">
        <f>IFERROR(VLOOKUP($A20,TableHandbook[],J$2,FALSE),"")</f>
        <v>Y</v>
      </c>
      <c r="K20" s="219" t="str">
        <f>IFERROR(VLOOKUP($A20,TableHandbook[],K$2,FALSE),"")</f>
        <v>Y</v>
      </c>
      <c r="L20" s="58"/>
      <c r="M20" s="138">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0" t="s">
        <v>576</v>
      </c>
      <c r="B22" s="60"/>
      <c r="C22" s="60"/>
      <c r="D22" s="60"/>
      <c r="E22" s="60"/>
      <c r="F22" s="60"/>
      <c r="G22" s="60"/>
      <c r="H22" s="60"/>
      <c r="I22" s="60"/>
      <c r="J22" s="60"/>
      <c r="K22" s="60"/>
      <c r="L22" s="60"/>
    </row>
    <row r="23" spans="1:23" s="38" customFormat="1" ht="17.25" x14ac:dyDescent="0.2">
      <c r="A23" s="32" t="s">
        <v>577</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578</v>
      </c>
      <c r="B24" s="34"/>
      <c r="C24" s="34"/>
      <c r="D24" s="34"/>
      <c r="E24" s="47"/>
      <c r="F24" s="35"/>
      <c r="G24" s="48"/>
      <c r="H24" s="48"/>
      <c r="I24" s="48"/>
      <c r="J24" s="48"/>
      <c r="K24" s="48"/>
      <c r="L24" s="48" t="s">
        <v>579</v>
      </c>
    </row>
  </sheetData>
  <sheetProtection formatCells="0"/>
  <mergeCells count="1">
    <mergeCell ref="A3:D3"/>
  </mergeCells>
  <conditionalFormatting sqref="D5:D7">
    <cfRule type="containsText" dxfId="4" priority="4" operator="containsText" text="Choose">
      <formula>NOT(ISERROR(SEARCH("Choose",D5)))</formula>
    </cfRule>
  </conditionalFormatting>
  <conditionalFormatting sqref="H10:K20">
    <cfRule type="expression" dxfId="3"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tint="0.59999389629810485"/>
    <pageSetUpPr fitToPage="1"/>
  </sheetPr>
  <dimension ref="A1:W31"/>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0">
        <v>2</v>
      </c>
      <c r="C2" s="140">
        <v>3</v>
      </c>
      <c r="D2" s="140">
        <v>4</v>
      </c>
      <c r="E2" s="140"/>
      <c r="F2" s="140">
        <v>6</v>
      </c>
      <c r="G2" s="140">
        <v>5</v>
      </c>
      <c r="H2" s="140">
        <v>7</v>
      </c>
      <c r="I2" s="140">
        <v>8</v>
      </c>
      <c r="J2" s="140">
        <v>9</v>
      </c>
      <c r="K2" s="140">
        <v>10</v>
      </c>
      <c r="L2" s="111"/>
    </row>
    <row r="3" spans="1:23" ht="39.950000000000003" customHeight="1" x14ac:dyDescent="0.25">
      <c r="A3" s="266" t="s">
        <v>561</v>
      </c>
      <c r="B3" s="266"/>
      <c r="C3" s="266"/>
      <c r="D3" s="266"/>
      <c r="E3" s="89"/>
      <c r="F3" s="89"/>
      <c r="G3" s="89"/>
      <c r="H3" s="89"/>
      <c r="I3" s="89"/>
      <c r="J3" s="89"/>
      <c r="K3" s="89"/>
      <c r="L3" s="89"/>
    </row>
    <row r="4" spans="1:23" ht="25.5" x14ac:dyDescent="0.25">
      <c r="A4" s="192"/>
      <c r="B4" s="193"/>
      <c r="C4" s="193"/>
      <c r="D4" s="194" t="s">
        <v>562</v>
      </c>
      <c r="E4" s="195"/>
      <c r="F4" s="193"/>
      <c r="G4" s="196"/>
      <c r="H4" s="196"/>
      <c r="I4" s="196"/>
      <c r="J4" s="196"/>
      <c r="K4" s="196"/>
      <c r="L4" s="196"/>
    </row>
    <row r="5" spans="1:23" ht="20.100000000000001" customHeight="1" x14ac:dyDescent="0.25">
      <c r="B5" s="10"/>
      <c r="C5" s="115" t="s">
        <v>563</v>
      </c>
      <c r="D5" s="10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53</v>
      </c>
      <c r="E6" s="11"/>
      <c r="F6" s="10" t="s">
        <v>566</v>
      </c>
      <c r="G6" s="11" t="str">
        <f>IFERROR(CONCATENATE(VLOOKUP(D6,TableMajorsGradDip[],2,FALSE)," ",VLOOKUP(D6,TableMajorsGradDip[],3,FALSE)),"")</f>
        <v>OUMP-EDUSC v.1</v>
      </c>
      <c r="H6" s="11"/>
      <c r="I6" s="11"/>
      <c r="J6" s="11"/>
      <c r="K6" s="11"/>
      <c r="L6" s="189" t="str">
        <f>CONCATENATE(VLOOKUP(D6,TableMajorsGradDip[],2,FALSE),VLOOKUP(D8,TableStudyPeriods[],2,FALSE))</f>
        <v>OUMP-EDUSCSP1</v>
      </c>
    </row>
    <row r="7" spans="1:23" ht="20.100000000000001" customHeight="1" x14ac:dyDescent="0.25">
      <c r="B7" s="10"/>
      <c r="C7" s="115" t="s">
        <v>641</v>
      </c>
      <c r="D7" s="191" t="s">
        <v>627</v>
      </c>
      <c r="E7" s="11"/>
      <c r="F7" s="10"/>
      <c r="G7" s="11"/>
      <c r="H7" s="11"/>
      <c r="I7" s="11"/>
      <c r="J7" s="11"/>
      <c r="K7" s="11"/>
      <c r="L7" s="189" t="e">
        <f>VLOOKUP(D7,TableFirstTeachingArea[],2,FALSE)</f>
        <v>#N/A</v>
      </c>
    </row>
    <row r="8" spans="1:23" ht="20.100000000000001" customHeight="1" x14ac:dyDescent="0.25">
      <c r="A8" s="13"/>
      <c r="B8" s="14"/>
      <c r="C8" s="115" t="s">
        <v>567</v>
      </c>
      <c r="D8" s="108" t="s">
        <v>81</v>
      </c>
      <c r="E8" s="15"/>
      <c r="F8" s="10" t="s">
        <v>568</v>
      </c>
      <c r="G8" s="11" t="str">
        <f>IFERROR(VLOOKUP($D$5,TableCourses[],7,FALSE),"")</f>
        <v>200 credit points required</v>
      </c>
      <c r="H8" s="61"/>
      <c r="I8" s="61"/>
      <c r="J8" s="61"/>
      <c r="K8" s="61"/>
      <c r="L8" s="61"/>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4"/>
      <c r="L9" s="105"/>
      <c r="M9" s="17"/>
      <c r="N9" s="17"/>
      <c r="O9" s="17"/>
      <c r="P9" s="18"/>
      <c r="Q9" s="18"/>
      <c r="R9" s="18"/>
      <c r="S9" s="18"/>
      <c r="T9" s="18"/>
      <c r="U9" s="18"/>
      <c r="V9" s="18"/>
      <c r="W9" s="18"/>
    </row>
    <row r="10" spans="1:23" s="19" customFormat="1" ht="21" x14ac:dyDescent="0.25">
      <c r="A10" s="100" t="s">
        <v>570</v>
      </c>
      <c r="B10" s="100"/>
      <c r="C10" s="114" t="s">
        <v>362</v>
      </c>
      <c r="D10" s="101" t="s">
        <v>363</v>
      </c>
      <c r="E10" s="114" t="s">
        <v>368</v>
      </c>
      <c r="F10" s="100" t="s">
        <v>571</v>
      </c>
      <c r="G10" s="100" t="s">
        <v>572</v>
      </c>
      <c r="H10" s="210" t="s">
        <v>82</v>
      </c>
      <c r="I10" s="211" t="s">
        <v>83</v>
      </c>
      <c r="J10" s="211" t="s">
        <v>84</v>
      </c>
      <c r="K10" s="216"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6"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12" t="str">
        <f>IFERROR(VLOOKUP($A11,TableHandbook[],H$2,FALSE),"")</f>
        <v>Y</v>
      </c>
      <c r="I11" s="213" t="str">
        <f>IFERROR(VLOOKUP($A11,TableHandbook[],I$2,FALSE),"")</f>
        <v>Y</v>
      </c>
      <c r="J11" s="213" t="str">
        <f>IFERROR(VLOOKUP($A11,TableHandbook[],J$2,FALSE),"")</f>
        <v/>
      </c>
      <c r="K11" s="220" t="str">
        <f>IFERROR(VLOOKUP($A11,TableHandbook[],K$2,FALSE),"")</f>
        <v/>
      </c>
      <c r="L11" s="57"/>
      <c r="M11" s="138">
        <v>2</v>
      </c>
      <c r="N11" s="20"/>
      <c r="O11" s="20"/>
      <c r="P11" s="21"/>
      <c r="Q11" s="21"/>
      <c r="R11" s="21"/>
      <c r="S11" s="21"/>
      <c r="T11" s="21"/>
      <c r="U11" s="21"/>
      <c r="V11" s="21"/>
      <c r="W11" s="21"/>
    </row>
    <row r="12" spans="1:23" s="22" customFormat="1" ht="21" customHeight="1" x14ac:dyDescent="0.15">
      <c r="A12" s="55"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6"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12" t="str">
        <f>IFERROR(VLOOKUP($A12,TableHandbook[],H$2,FALSE),"")</f>
        <v>Y</v>
      </c>
      <c r="I12" s="213" t="str">
        <f>IFERROR(VLOOKUP($A12,TableHandbook[],I$2,FALSE),"")</f>
        <v>Y</v>
      </c>
      <c r="J12" s="213" t="str">
        <f>IFERROR(VLOOKUP($A12,TableHandbook[],J$2,FALSE),"")</f>
        <v/>
      </c>
      <c r="K12" s="220" t="str">
        <f>IFERROR(VLOOKUP($A12,TableHandbook[],K$2,FALSE),"")</f>
        <v/>
      </c>
      <c r="L12" s="57"/>
      <c r="M12" s="138">
        <v>3</v>
      </c>
      <c r="N12" s="20"/>
      <c r="O12" s="20"/>
      <c r="P12" s="21"/>
      <c r="Q12" s="21"/>
      <c r="R12" s="21"/>
      <c r="S12" s="21"/>
      <c r="T12" s="21"/>
      <c r="U12" s="21"/>
      <c r="V12" s="21"/>
      <c r="W12" s="21"/>
    </row>
    <row r="13" spans="1:23" s="22" customFormat="1" ht="6" customHeight="1" x14ac:dyDescent="0.15">
      <c r="A13" s="173"/>
      <c r="B13" s="174"/>
      <c r="C13" s="174"/>
      <c r="D13" s="175"/>
      <c r="E13" s="174"/>
      <c r="F13" s="176"/>
      <c r="G13" s="174"/>
      <c r="H13" s="214"/>
      <c r="I13" s="215"/>
      <c r="J13" s="215"/>
      <c r="K13" s="223"/>
      <c r="L13" s="177"/>
      <c r="M13" s="138"/>
      <c r="N13" s="20"/>
      <c r="O13" s="20"/>
      <c r="P13" s="20"/>
      <c r="Q13" s="21"/>
      <c r="R13" s="21"/>
      <c r="S13" s="21"/>
      <c r="T13" s="21"/>
      <c r="U13" s="21"/>
      <c r="V13" s="21"/>
      <c r="W13" s="21"/>
    </row>
    <row r="14" spans="1:23" s="22" customFormat="1" ht="21" customHeight="1" x14ac:dyDescent="0.15">
      <c r="A14" s="55"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6"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12" t="str">
        <f>IFERROR(VLOOKUP($A14,TableHandbook[],H$2,FALSE),"")</f>
        <v/>
      </c>
      <c r="I14" s="213" t="str">
        <f>IFERROR(VLOOKUP($A14,TableHandbook[],I$2,FALSE),"")</f>
        <v>Y</v>
      </c>
      <c r="J14" s="213" t="str">
        <f>IFERROR(VLOOKUP($A14,TableHandbook[],J$2,FALSE),"")</f>
        <v>Y</v>
      </c>
      <c r="K14" s="220" t="str">
        <f>IFERROR(VLOOKUP($A14,TableHandbook[],K$2,FALSE),"")</f>
        <v/>
      </c>
      <c r="L14" s="58"/>
      <c r="M14" s="138">
        <v>4</v>
      </c>
      <c r="N14" s="20"/>
      <c r="O14" s="20"/>
      <c r="P14" s="21"/>
      <c r="Q14" s="21"/>
      <c r="R14" s="21"/>
      <c r="S14" s="21"/>
      <c r="T14" s="21"/>
      <c r="U14" s="21"/>
      <c r="V14" s="21"/>
      <c r="W14" s="21"/>
    </row>
    <row r="15" spans="1:23" s="22" customFormat="1" ht="21" customHeight="1" x14ac:dyDescent="0.15">
      <c r="A15" s="181" t="str">
        <f>IFERROR(IF(HLOOKUP($L$6,RangeUnitsetsOGEDUC,M15,FALSE)=0,"",HLOOKUP($L$6,RangeUnitsetsOGEDUC,M15,FALSE)),"")</f>
        <v>GDTAL</v>
      </c>
      <c r="B15" s="134" t="str">
        <f>IFERROR(IF(VLOOKUP($A15,TableHandbook[],2,FALSE)=0,"",VLOOKUP($A15,TableHandbook[],2,FALSE)),"")</f>
        <v/>
      </c>
      <c r="C15" s="134" t="str">
        <f>IFERROR(IF(VLOOKUP($A15,TableHandbook[],3,FALSE)=0,"",VLOOKUP($A15,TableHandbook[],3,FALSE)),"")</f>
        <v/>
      </c>
      <c r="D15" s="182" t="str">
        <f>IFERROR(IF(VLOOKUP($A15,TableHandbook[],4,FALSE)=0,"",VLOOKUP($A15,TableHandbook[],4,FALSE)),"")</f>
        <v>Teaching Area LOWER subject (see below)</v>
      </c>
      <c r="E15" s="134" t="str">
        <f>IF(A15="","",E14)</f>
        <v>SP2</v>
      </c>
      <c r="F15" s="183" t="str">
        <f>IFERROR(IF(VLOOKUP($A15,TableHandbook[],6,FALSE)=0,"",VLOOKUP($A15,TableHandbook[],6,FALSE)),"")</f>
        <v>See below</v>
      </c>
      <c r="G15" s="134">
        <f>IFERROR(IF(VLOOKUP($A15,TableHandbook[],5,FALSE)=0,"",VLOOKUP($A15,TableHandbook[],5,FALSE)),"")</f>
        <v>25</v>
      </c>
      <c r="H15" s="224" t="str">
        <f>IFERROR(VLOOKUP($A15,TableHandbook[],H$2,FALSE),"")</f>
        <v/>
      </c>
      <c r="I15" s="225" t="str">
        <f>IFERROR(VLOOKUP($A15,TableHandbook[],I$2,FALSE),"")</f>
        <v/>
      </c>
      <c r="J15" s="225" t="str">
        <f>IFERROR(VLOOKUP($A15,TableHandbook[],J$2,FALSE),"")</f>
        <v/>
      </c>
      <c r="K15" s="226" t="str">
        <f>IFERROR(VLOOKUP($A15,TableHandbook[],K$2,FALSE),"")</f>
        <v/>
      </c>
      <c r="L15" s="184"/>
      <c r="M15" s="185">
        <v>5</v>
      </c>
      <c r="N15" s="20"/>
      <c r="O15" s="20"/>
      <c r="P15" s="21"/>
      <c r="Q15" s="21"/>
      <c r="R15" s="21"/>
      <c r="S15" s="21"/>
      <c r="T15" s="21"/>
      <c r="U15" s="21"/>
      <c r="V15" s="21"/>
      <c r="W15" s="21"/>
    </row>
    <row r="16" spans="1:23" s="22" customFormat="1" ht="6" customHeight="1" x14ac:dyDescent="0.15">
      <c r="A16" s="173"/>
      <c r="B16" s="174"/>
      <c r="C16" s="174"/>
      <c r="D16" s="175"/>
      <c r="E16" s="174"/>
      <c r="F16" s="176"/>
      <c r="G16" s="174"/>
      <c r="H16" s="214"/>
      <c r="I16" s="215"/>
      <c r="J16" s="215"/>
      <c r="K16" s="223"/>
      <c r="L16" s="177"/>
      <c r="M16" s="138"/>
      <c r="N16" s="20"/>
      <c r="O16" s="20"/>
      <c r="P16" s="20"/>
      <c r="Q16" s="21"/>
      <c r="R16" s="21"/>
      <c r="S16" s="21"/>
      <c r="T16" s="21"/>
      <c r="U16" s="21"/>
      <c r="V16" s="21"/>
      <c r="W16" s="21"/>
    </row>
    <row r="17" spans="1:23" s="22"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17" t="str">
        <f>IFERROR(VLOOKUP($A17,TableHandbook[],H$2,FALSE),"")</f>
        <v>Y</v>
      </c>
      <c r="I17" s="218" t="str">
        <f>IFERROR(VLOOKUP($A17,TableHandbook[],I$2,FALSE),"")</f>
        <v/>
      </c>
      <c r="J17" s="218" t="str">
        <f>IFERROR(VLOOKUP($A17,TableHandbook[],J$2,FALSE),"")</f>
        <v>Y</v>
      </c>
      <c r="K17" s="219" t="str">
        <f>IFERROR(VLOOKUP($A17,TableHandbook[],K$2,FALSE),"")</f>
        <v/>
      </c>
      <c r="L17" s="58"/>
      <c r="M17" s="138">
        <v>6</v>
      </c>
      <c r="N17" s="20"/>
      <c r="O17" s="20"/>
      <c r="P17" s="21"/>
      <c r="Q17" s="21"/>
      <c r="R17" s="21"/>
      <c r="S17" s="21"/>
      <c r="T17" s="21"/>
      <c r="U17" s="21"/>
      <c r="V17" s="21"/>
      <c r="W17" s="21"/>
    </row>
    <row r="18" spans="1:23" s="31" customFormat="1" ht="21" customHeight="1" x14ac:dyDescent="0.15">
      <c r="A18" s="55"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6"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17" t="str">
        <f>IFERROR(VLOOKUP($A18,TableHandbook[],H$2,FALSE),"")</f>
        <v>Y</v>
      </c>
      <c r="I18" s="218" t="str">
        <f>IFERROR(VLOOKUP($A18,TableHandbook[],I$2,FALSE),"")</f>
        <v/>
      </c>
      <c r="J18" s="218" t="str">
        <f>IFERROR(VLOOKUP($A18,TableHandbook[],J$2,FALSE),"")</f>
        <v>Y</v>
      </c>
      <c r="K18" s="219" t="str">
        <f>IFERROR(VLOOKUP($A18,TableHandbook[],K$2,FALSE),"")</f>
        <v/>
      </c>
      <c r="L18" s="58"/>
      <c r="M18" s="138">
        <v>7</v>
      </c>
      <c r="N18" s="29"/>
      <c r="O18" s="29"/>
      <c r="P18" s="30"/>
      <c r="Q18" s="30"/>
      <c r="R18" s="30"/>
      <c r="S18" s="30"/>
      <c r="T18" s="30"/>
      <c r="U18" s="30"/>
      <c r="V18" s="30"/>
      <c r="W18" s="30"/>
    </row>
    <row r="19" spans="1:23" s="22" customFormat="1" ht="6" customHeight="1" x14ac:dyDescent="0.15">
      <c r="A19" s="173"/>
      <c r="B19" s="174"/>
      <c r="C19" s="174"/>
      <c r="D19" s="175"/>
      <c r="E19" s="174"/>
      <c r="F19" s="176"/>
      <c r="G19" s="174"/>
      <c r="H19" s="214"/>
      <c r="I19" s="215"/>
      <c r="J19" s="215"/>
      <c r="K19" s="223"/>
      <c r="L19" s="177"/>
      <c r="M19" s="138"/>
      <c r="N19" s="20"/>
      <c r="O19" s="20"/>
      <c r="P19" s="20"/>
      <c r="Q19" s="21"/>
      <c r="R19" s="21"/>
      <c r="S19" s="21"/>
      <c r="T19" s="21"/>
      <c r="U19" s="21"/>
      <c r="V19" s="21"/>
      <c r="W19" s="21"/>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6"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17" t="str">
        <f>IFERROR(VLOOKUP($A20,TableHandbook[],H$2,FALSE),"")</f>
        <v/>
      </c>
      <c r="I20" s="218" t="str">
        <f>IFERROR(VLOOKUP($A20,TableHandbook[],I$2,FALSE),"")</f>
        <v>Y</v>
      </c>
      <c r="J20" s="218" t="str">
        <f>IFERROR(VLOOKUP($A20,TableHandbook[],J$2,FALSE),"")</f>
        <v>Y</v>
      </c>
      <c r="K20" s="219" t="str">
        <f>IFERROR(VLOOKUP($A20,TableHandbook[],K$2,FALSE),"")</f>
        <v>Y</v>
      </c>
      <c r="L20" s="58"/>
      <c r="M20" s="138">
        <v>8</v>
      </c>
      <c r="N20" s="29"/>
      <c r="O20" s="29"/>
      <c r="P20" s="30"/>
      <c r="Q20" s="30"/>
      <c r="R20" s="30"/>
      <c r="S20" s="30"/>
      <c r="T20" s="30"/>
      <c r="U20" s="30"/>
      <c r="V20" s="30"/>
      <c r="W20" s="30"/>
    </row>
    <row r="21" spans="1:23" s="31" customFormat="1" ht="21" customHeight="1" x14ac:dyDescent="0.15">
      <c r="A21" s="181" t="str">
        <f>IFERROR(IF(HLOOKUP($L$6,RangeUnitsetsOGEDUC,M21,FALSE)=0,"",HLOOKUP($L$6,RangeUnitsetsOGEDUC,M21,FALSE)),"")</f>
        <v>GDTAS</v>
      </c>
      <c r="B21" s="134" t="str">
        <f>IFERROR(IF(VLOOKUP($A21,TableHandbook[],2,FALSE)=0,"",VLOOKUP($A21,TableHandbook[],2,FALSE)),"")</f>
        <v/>
      </c>
      <c r="C21" s="134" t="str">
        <f>IFERROR(IF(VLOOKUP($A21,TableHandbook[],3,FALSE)=0,"",VLOOKUP($A21,TableHandbook[],3,FALSE)),"")</f>
        <v/>
      </c>
      <c r="D21" s="186" t="str">
        <f>IFERROR(IF(VLOOKUP($A21,TableHandbook[],4,FALSE)=0,"",VLOOKUP($A21,TableHandbook[],4,FALSE)),"")</f>
        <v>Teaching Area SENIOR subject (see below)</v>
      </c>
      <c r="E21" s="134" t="str">
        <f>IF(A21="","",E20)</f>
        <v>SP4</v>
      </c>
      <c r="F21" s="183" t="str">
        <f>IFERROR(IF(VLOOKUP($A21,TableHandbook[],6,FALSE)=0,"",VLOOKUP($A21,TableHandbook[],6,FALSE)),"")</f>
        <v>See below</v>
      </c>
      <c r="G21" s="134">
        <f>IFERROR(IF(VLOOKUP($A21,TableHandbook[],5,FALSE)=0,"",VLOOKUP($A21,TableHandbook[],5,FALSE)),"")</f>
        <v>25</v>
      </c>
      <c r="H21" s="224" t="str">
        <f>IFERROR(VLOOKUP($A21,TableHandbook[],H$2,FALSE),"")</f>
        <v/>
      </c>
      <c r="I21" s="225" t="str">
        <f>IFERROR(VLOOKUP($A21,TableHandbook[],I$2,FALSE),"")</f>
        <v/>
      </c>
      <c r="J21" s="225" t="str">
        <f>IFERROR(VLOOKUP($A21,TableHandbook[],J$2,FALSE),"")</f>
        <v/>
      </c>
      <c r="K21" s="226" t="str">
        <f>IFERROR(VLOOKUP($A21,TableHandbook[],K$2,FALSE),"")</f>
        <v/>
      </c>
      <c r="L21" s="184"/>
      <c r="M21" s="185">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37" t="s">
        <v>640</v>
      </c>
      <c r="B23" s="90"/>
      <c r="C23" s="90"/>
      <c r="D23" s="91"/>
      <c r="E23" s="92"/>
      <c r="F23" s="92"/>
      <c r="G23" s="92"/>
      <c r="H23" s="93" t="str">
        <f>H9</f>
        <v>2026 Availabilities</v>
      </c>
      <c r="I23" s="94"/>
      <c r="J23" s="95"/>
      <c r="K23" s="96"/>
      <c r="L23" s="97"/>
      <c r="M23" s="41"/>
      <c r="N23" s="41"/>
      <c r="O23" s="41"/>
      <c r="P23" s="41"/>
      <c r="Q23" s="41"/>
      <c r="R23" s="41"/>
      <c r="S23" s="41"/>
      <c r="T23" s="41"/>
      <c r="U23" s="41"/>
      <c r="V23" s="41"/>
      <c r="W23" s="41"/>
    </row>
    <row r="24" spans="1:23" ht="21" customHeight="1" x14ac:dyDescent="0.25">
      <c r="A24" s="100"/>
      <c r="B24" s="100"/>
      <c r="C24" s="114" t="s">
        <v>362</v>
      </c>
      <c r="D24" s="101" t="s">
        <v>363</v>
      </c>
      <c r="E24" s="114"/>
      <c r="F24" s="100" t="s">
        <v>571</v>
      </c>
      <c r="G24" s="100" t="s">
        <v>572</v>
      </c>
      <c r="H24" s="210" t="str">
        <f>H10</f>
        <v>SP1</v>
      </c>
      <c r="I24" s="211" t="str">
        <f t="shared" ref="I24:L24" si="0">I10</f>
        <v>SP2</v>
      </c>
      <c r="J24" s="211" t="str">
        <f t="shared" si="0"/>
        <v>SP3</v>
      </c>
      <c r="K24" s="216" t="str">
        <f t="shared" si="0"/>
        <v>SP4</v>
      </c>
      <c r="L24" s="106" t="str">
        <f t="shared" si="0"/>
        <v>Notes / Progress</v>
      </c>
      <c r="M24" s="59"/>
      <c r="N24" s="16"/>
      <c r="O24" s="16"/>
      <c r="P24" s="16"/>
      <c r="Q24" s="16"/>
      <c r="R24" s="16"/>
      <c r="S24" s="16"/>
      <c r="T24" s="16"/>
      <c r="U24" s="16"/>
      <c r="V24" s="16"/>
      <c r="W24" s="16"/>
    </row>
    <row r="25" spans="1:23" ht="21" customHeight="1" x14ac:dyDescent="0.25">
      <c r="A25" s="144"/>
      <c r="B25" s="130"/>
      <c r="C25" s="187"/>
      <c r="D25" s="131" t="s">
        <v>642</v>
      </c>
      <c r="E25" s="132"/>
      <c r="F25" s="133"/>
      <c r="G25" s="133"/>
      <c r="H25" s="224"/>
      <c r="I25" s="225"/>
      <c r="J25" s="225"/>
      <c r="K25" s="226"/>
      <c r="L25" s="135"/>
      <c r="M25" s="136">
        <v>2</v>
      </c>
      <c r="N25" s="16"/>
      <c r="O25" s="16"/>
      <c r="P25" s="16"/>
      <c r="Q25" s="16"/>
      <c r="R25" s="16"/>
      <c r="S25" s="16"/>
      <c r="T25" s="16"/>
      <c r="U25" s="16"/>
      <c r="V25" s="16"/>
      <c r="W25" s="16"/>
    </row>
    <row r="26" spans="1:23" ht="21" customHeight="1" x14ac:dyDescent="0.25">
      <c r="A26" s="145" t="str">
        <f>IFERROR(IF(HLOOKUP($L$7,RangeTeachingAreas,M26,FALSE)=0,"",HLOOKUP($L$7,RangeTeachingAreas,M26,FALSE)),"")</f>
        <v/>
      </c>
      <c r="B26" s="43" t="str">
        <f>IFERROR(IF(VLOOKUP($A26,TableHandbook[],2,FALSE)=0,"",VLOOKUP($A26,TableHandbook[],2,FALSE)),"")</f>
        <v/>
      </c>
      <c r="C26" s="179"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12" t="str">
        <f>IFERROR(VLOOKUP($A26,TableHandbook[],H$2,FALSE),"")</f>
        <v/>
      </c>
      <c r="I26" s="213" t="str">
        <f>IFERROR(VLOOKUP($A26,TableHandbook[],I$2,FALSE),"")</f>
        <v/>
      </c>
      <c r="J26" s="213" t="str">
        <f>IFERROR(VLOOKUP($A26,TableHandbook[],J$2,FALSE),"")</f>
        <v/>
      </c>
      <c r="K26" s="220" t="str">
        <f>IFERROR(VLOOKUP($A26,TableHandbook[],K$2,FALSE),"")</f>
        <v/>
      </c>
      <c r="L26" s="51"/>
      <c r="M26" s="59">
        <v>3</v>
      </c>
      <c r="N26" s="16"/>
      <c r="O26" s="16"/>
      <c r="P26" s="16"/>
      <c r="Q26" s="16"/>
      <c r="R26" s="16"/>
      <c r="S26" s="16"/>
      <c r="T26" s="16"/>
      <c r="U26" s="16"/>
      <c r="V26" s="16"/>
      <c r="W26" s="16"/>
    </row>
    <row r="27" spans="1:23" ht="21" customHeight="1" x14ac:dyDescent="0.25">
      <c r="A27" s="145" t="str">
        <f>IFERROR(IF(HLOOKUP($L$7,RangeTeachingAreas,M27,FALSE)=0,"",HLOOKUP($L$7,RangeTeachingAreas,M27,FALSE)),"")</f>
        <v/>
      </c>
      <c r="B27" s="43" t="str">
        <f>IFERROR(IF(VLOOKUP($A27,TableHandbook[],2,FALSE)=0,"",VLOOKUP($A27,TableHandbook[],2,FALSE)),"")</f>
        <v/>
      </c>
      <c r="C27" s="179"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12" t="str">
        <f>IFERROR(VLOOKUP($A27,TableHandbook[],H$2,FALSE),"")</f>
        <v/>
      </c>
      <c r="I27" s="213" t="str">
        <f>IFERROR(VLOOKUP($A27,TableHandbook[],I$2,FALSE),"")</f>
        <v/>
      </c>
      <c r="J27" s="213" t="str">
        <f>IFERROR(VLOOKUP($A27,TableHandbook[],J$2,FALSE),"")</f>
        <v/>
      </c>
      <c r="K27" s="220" t="str">
        <f>IFERROR(VLOOKUP($A27,TableHandbook[],K$2,FALSE),"")</f>
        <v/>
      </c>
      <c r="L27" s="51"/>
      <c r="M27" s="59">
        <v>4</v>
      </c>
      <c r="N27" s="16"/>
      <c r="O27" s="16"/>
      <c r="P27" s="16"/>
      <c r="Q27" s="16"/>
      <c r="R27" s="16"/>
      <c r="S27" s="16"/>
      <c r="T27" s="16"/>
      <c r="U27" s="16"/>
      <c r="V27" s="16"/>
      <c r="W27" s="16"/>
    </row>
    <row r="28" spans="1:23" ht="13.5" customHeight="1" x14ac:dyDescent="0.25">
      <c r="A28" s="161"/>
      <c r="B28" s="162"/>
      <c r="C28" s="163"/>
      <c r="D28" s="163"/>
      <c r="E28" s="164"/>
      <c r="F28" s="165"/>
      <c r="G28" s="165"/>
      <c r="H28" s="146"/>
      <c r="I28" s="146"/>
      <c r="J28" s="146"/>
      <c r="K28" s="146"/>
      <c r="L28" s="147"/>
      <c r="M28" s="59"/>
      <c r="N28" s="16"/>
      <c r="O28" s="16"/>
      <c r="P28" s="16"/>
      <c r="Q28" s="16"/>
      <c r="R28" s="16"/>
      <c r="S28" s="16"/>
      <c r="T28" s="16"/>
      <c r="U28" s="16"/>
      <c r="V28" s="16"/>
      <c r="W28" s="16"/>
    </row>
    <row r="29" spans="1:23" s="16" customFormat="1" ht="18" x14ac:dyDescent="0.25">
      <c r="A29" s="60" t="s">
        <v>576</v>
      </c>
      <c r="B29" s="60"/>
      <c r="C29" s="60"/>
      <c r="D29" s="60"/>
      <c r="E29" s="60"/>
      <c r="F29" s="60"/>
      <c r="G29" s="60"/>
      <c r="H29" s="60"/>
      <c r="I29" s="60"/>
      <c r="J29" s="60"/>
      <c r="K29" s="60"/>
      <c r="L29" s="60"/>
    </row>
    <row r="30" spans="1:23" s="38" customFormat="1" ht="17.25" x14ac:dyDescent="0.2">
      <c r="A30" s="32" t="s">
        <v>577</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578</v>
      </c>
      <c r="B31" s="34"/>
      <c r="C31" s="34"/>
      <c r="D31" s="34"/>
      <c r="E31" s="47"/>
      <c r="F31" s="35"/>
      <c r="G31" s="48"/>
      <c r="H31" s="48"/>
      <c r="I31" s="48"/>
      <c r="J31" s="48"/>
      <c r="K31" s="48"/>
      <c r="L31" s="48" t="s">
        <v>579</v>
      </c>
    </row>
  </sheetData>
  <sheetProtection formatCells="0"/>
  <mergeCells count="1">
    <mergeCell ref="A3:D3"/>
  </mergeCells>
  <conditionalFormatting sqref="A11:M21">
    <cfRule type="expression" dxfId="2" priority="3">
      <formula>LEFT($A11,3)="FTA"</formula>
    </cfRule>
  </conditionalFormatting>
  <conditionalFormatting sqref="D5:D8">
    <cfRule type="containsText" dxfId="1" priority="4" operator="containsText" text="Choose">
      <formula>NOT(ISERROR(SEARCH("Choose",D5)))</formula>
    </cfRule>
  </conditionalFormatting>
  <conditionalFormatting sqref="H11:K21">
    <cfRule type="expression" dxfId="0"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A2" sqref="A2"/>
      <selection pane="topRight" activeCell="A2" sqref="A2"/>
      <selection pane="bottomLeft" activeCell="A2" sqref="A2"/>
      <selection pane="bottomRight" activeCell="A2" sqref="A2"/>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00">
        <f>COLUMN()</f>
        <v>1</v>
      </c>
      <c r="B1" s="200">
        <f>COLUMN()</f>
        <v>2</v>
      </c>
      <c r="C1" s="200">
        <f>COLUMN()</f>
        <v>3</v>
      </c>
      <c r="D1" s="200">
        <f>COLUMN()</f>
        <v>4</v>
      </c>
      <c r="E1" s="200">
        <f>COLUMN()</f>
        <v>5</v>
      </c>
      <c r="F1" s="200">
        <f>COLUMN()</f>
        <v>6</v>
      </c>
      <c r="G1" s="200">
        <f>COLUMN()</f>
        <v>7</v>
      </c>
      <c r="H1" s="200">
        <f>COLUMN()</f>
        <v>8</v>
      </c>
      <c r="I1" s="200">
        <f>COLUMN()</f>
        <v>9</v>
      </c>
      <c r="J1" s="200">
        <f>COLUMN()</f>
        <v>10</v>
      </c>
      <c r="K1" s="200">
        <f>COLUMN()</f>
        <v>11</v>
      </c>
      <c r="L1" s="200">
        <f>COLUMN()</f>
        <v>12</v>
      </c>
      <c r="M1" s="200">
        <f>COLUMN()</f>
        <v>13</v>
      </c>
      <c r="N1" s="200">
        <f>COLUMN()</f>
        <v>14</v>
      </c>
      <c r="O1" s="200">
        <f>COLUMN()</f>
        <v>15</v>
      </c>
      <c r="P1" s="200">
        <f>COLUMN()</f>
        <v>16</v>
      </c>
      <c r="Q1" s="200">
        <f>COLUMN()</f>
        <v>17</v>
      </c>
      <c r="R1" s="200">
        <f>COLUMN()</f>
        <v>18</v>
      </c>
      <c r="S1" s="200">
        <f>COLUMN()</f>
        <v>19</v>
      </c>
      <c r="T1" s="200">
        <f>COLUMN()</f>
        <v>20</v>
      </c>
      <c r="U1" s="200">
        <f>COLUMN()</f>
        <v>21</v>
      </c>
      <c r="V1" s="200">
        <f>COLUMN()</f>
        <v>22</v>
      </c>
      <c r="W1" s="200">
        <f>COLUMN()</f>
        <v>23</v>
      </c>
      <c r="X1" s="200">
        <f>COLUMN()</f>
        <v>24</v>
      </c>
      <c r="Y1" s="200">
        <f>COLUMN()</f>
        <v>25</v>
      </c>
      <c r="Z1" s="200">
        <f>COLUMN()</f>
        <v>26</v>
      </c>
      <c r="AA1" s="200">
        <f>COLUMN()</f>
        <v>27</v>
      </c>
      <c r="AB1" s="200">
        <f>COLUMN()</f>
        <v>28</v>
      </c>
      <c r="AC1" s="200">
        <f>COLUMN()</f>
        <v>29</v>
      </c>
    </row>
    <row r="2" spans="1:29" ht="72" x14ac:dyDescent="0.25">
      <c r="A2" s="201" t="s">
        <v>3</v>
      </c>
      <c r="B2" s="201" t="s">
        <v>98</v>
      </c>
      <c r="C2" s="201" t="s">
        <v>99</v>
      </c>
      <c r="D2" s="201" t="s">
        <v>100</v>
      </c>
      <c r="E2" s="201" t="s">
        <v>101</v>
      </c>
      <c r="F2" s="201" t="s">
        <v>102</v>
      </c>
      <c r="G2" s="202" t="s">
        <v>82</v>
      </c>
      <c r="H2" s="202" t="s">
        <v>83</v>
      </c>
      <c r="I2" s="202" t="s">
        <v>84</v>
      </c>
      <c r="J2" s="202" t="s">
        <v>85</v>
      </c>
      <c r="K2" s="201" t="s">
        <v>10</v>
      </c>
      <c r="L2" s="205" t="s">
        <v>38</v>
      </c>
      <c r="M2" s="202" t="s">
        <v>44</v>
      </c>
      <c r="N2" s="202" t="s">
        <v>46</v>
      </c>
      <c r="O2" s="202" t="s">
        <v>48</v>
      </c>
      <c r="P2" s="205" t="s">
        <v>23</v>
      </c>
      <c r="Q2" s="202" t="s">
        <v>25</v>
      </c>
      <c r="R2" s="202" t="s">
        <v>34</v>
      </c>
      <c r="S2" s="205" t="s">
        <v>19</v>
      </c>
      <c r="T2" s="202" t="s">
        <v>21</v>
      </c>
      <c r="U2" s="202" t="s">
        <v>12</v>
      </c>
      <c r="V2" s="202" t="s">
        <v>17</v>
      </c>
      <c r="W2" s="202" t="s">
        <v>28</v>
      </c>
      <c r="X2" s="202" t="s">
        <v>52</v>
      </c>
      <c r="Y2" s="202" t="s">
        <v>54</v>
      </c>
      <c r="Z2" s="205" t="s">
        <v>36</v>
      </c>
      <c r="AA2" s="202" t="s">
        <v>60</v>
      </c>
      <c r="AB2" s="202" t="s">
        <v>62</v>
      </c>
      <c r="AC2" s="202" t="s">
        <v>64</v>
      </c>
    </row>
    <row r="3" spans="1:29" x14ac:dyDescent="0.25">
      <c r="A3" s="2" t="s">
        <v>103</v>
      </c>
      <c r="B3" s="3"/>
      <c r="C3" s="3"/>
      <c r="D3" s="2" t="s">
        <v>104</v>
      </c>
      <c r="E3" s="3"/>
      <c r="F3" s="265"/>
      <c r="G3" s="203" t="str">
        <f>IFERROR(IF(VLOOKUP(TableHandbook[[#This Row],[UDC]],TableAvailabilities[],2,FALSE)&gt;0,"Y",""),"")</f>
        <v/>
      </c>
      <c r="H3" s="203" t="str">
        <f>IFERROR(IF(VLOOKUP(TableHandbook[[#This Row],[UDC]],TableAvailabilities[],3,FALSE)&gt;0,"Y",""),"")</f>
        <v/>
      </c>
      <c r="I3" s="203" t="str">
        <f>IFERROR(IF(VLOOKUP(TableHandbook[[#This Row],[UDC]],TableAvailabilities[],4,FALSE)&gt;0,"Y",""),"")</f>
        <v/>
      </c>
      <c r="J3" s="203" t="str">
        <f>IFERROR(IF(VLOOKUP(TableHandbook[[#This Row],[UDC]],TableAvailabilities[],5,FALSE)&gt;0,"Y",""),"")</f>
        <v/>
      </c>
      <c r="K3" s="2"/>
      <c r="L3" s="206" t="str">
        <f>IFERROR(VLOOKUP(TableHandbook[[#This Row],[UDC]],TableOMTEACH1[],7,FALSE),"")</f>
        <v/>
      </c>
      <c r="M3" s="204" t="str">
        <f>IFERROR(VLOOKUP(TableHandbook[[#This Row],[UDC]],TableOUMPTCHEC[],7,FALSE),"")</f>
        <v/>
      </c>
      <c r="N3" s="204" t="str">
        <f>IFERROR(VLOOKUP(TableHandbook[[#This Row],[UDC]],TableOUMPTCHPE[],7,FALSE),"")</f>
        <v/>
      </c>
      <c r="O3" s="204" t="str">
        <f>IFERROR(VLOOKUP(TableHandbook[[#This Row],[UDC]],TableOUMPTCHSE[],7,FALSE),"")</f>
        <v/>
      </c>
      <c r="P3" s="206" t="str">
        <f>IFERROR(VLOOKUP(TableHandbook[[#This Row],[UDC]],TableOCTESOL1[],7,FALSE),"")</f>
        <v/>
      </c>
      <c r="Q3" s="204" t="str">
        <f>IFERROR(VLOOKUP(TableHandbook[[#This Row],[UDC]],TableOCTESOL[],7,FALSE),"")</f>
        <v/>
      </c>
      <c r="R3" s="204" t="str">
        <f>IFERROR(VLOOKUP(TableHandbook[[#This Row],[UDC]],TableOMAPLING[],7,FALSE),"")</f>
        <v/>
      </c>
      <c r="S3" s="206" t="str">
        <f>IFERROR(VLOOKUP(TableHandbook[[#This Row],[UDC]],TableOCEDHE1[],7,FALSE),"")</f>
        <v/>
      </c>
      <c r="T3" s="204" t="str">
        <f>IFERROR(VLOOKUP(TableHandbook[[#This Row],[UDC]],TableOCEDHE[],7,FALSE),"")</f>
        <v/>
      </c>
      <c r="U3" s="204" t="str">
        <f>IFERROR(VLOOKUP(TableHandbook[[#This Row],[UDC]],TableOCEDUCS1[],7,FALSE),"")</f>
        <v/>
      </c>
      <c r="V3" s="204" t="str">
        <f>IFERROR(VLOOKUP(TableHandbook[[#This Row],[UDC]],TableOCEDUC[],7,FALSE),"")</f>
        <v/>
      </c>
      <c r="W3" s="204" t="str">
        <f>IFERROR(VLOOKUP(TableHandbook[[#This Row],[UDC]],TableOGEDUC[],7,FALSE),"")</f>
        <v/>
      </c>
      <c r="X3" s="204" t="str">
        <f>IFERROR(VLOOKUP(TableHandbook[[#This Row],[UDC]],TableOUMPEDUPR[],7,FALSE),"")</f>
        <v/>
      </c>
      <c r="Y3" s="204" t="str">
        <f>IFERROR(VLOOKUP(TableHandbook[[#This Row],[UDC]],TableOUMPEDUSC[],7,FALSE),"")</f>
        <v/>
      </c>
      <c r="Z3" s="206" t="str">
        <f>IFERROR(VLOOKUP(TableHandbook[[#This Row],[UDC]],TableOMEDUC[],7,FALSE),"")</f>
        <v/>
      </c>
      <c r="AA3" s="204" t="str">
        <f>IFERROR(VLOOKUP(TableHandbook[[#This Row],[UDC]],TableOSEPCULIN[],7,FALSE),"")</f>
        <v/>
      </c>
      <c r="AB3" s="204" t="str">
        <f>IFERROR(VLOOKUP(TableHandbook[[#This Row],[UDC]],TableOSEPLNTCH[],7,FALSE),"")</f>
        <v/>
      </c>
      <c r="AC3" s="204" t="str">
        <f>IFERROR(VLOOKUP(TableHandbook[[#This Row],[UDC]],TableOSEPSTEME[],7,FALSE),"")</f>
        <v/>
      </c>
    </row>
    <row r="4" spans="1:29" x14ac:dyDescent="0.25">
      <c r="A4" s="2" t="s">
        <v>105</v>
      </c>
      <c r="B4" s="3"/>
      <c r="C4" s="3"/>
      <c r="D4" s="2" t="s">
        <v>106</v>
      </c>
      <c r="E4" s="3"/>
      <c r="F4" s="265"/>
      <c r="G4" s="203" t="str">
        <f>IFERROR(IF(VLOOKUP(TableHandbook[[#This Row],[UDC]],TableAvailabilities[],2,FALSE)&gt;0,"Y",""),"")</f>
        <v/>
      </c>
      <c r="H4" s="203" t="str">
        <f>IFERROR(IF(VLOOKUP(TableHandbook[[#This Row],[UDC]],TableAvailabilities[],3,FALSE)&gt;0,"Y",""),"")</f>
        <v/>
      </c>
      <c r="I4" s="203" t="str">
        <f>IFERROR(IF(VLOOKUP(TableHandbook[[#This Row],[UDC]],TableAvailabilities[],4,FALSE)&gt;0,"Y",""),"")</f>
        <v/>
      </c>
      <c r="J4" s="203" t="str">
        <f>IFERROR(IF(VLOOKUP(TableHandbook[[#This Row],[UDC]],TableAvailabilities[],5,FALSE)&gt;0,"Y",""),"")</f>
        <v/>
      </c>
      <c r="K4" s="2"/>
      <c r="L4" s="206" t="str">
        <f>IFERROR(VLOOKUP(TableHandbook[[#This Row],[UDC]],TableOMTEACH1[],7,FALSE),"")</f>
        <v/>
      </c>
      <c r="M4" s="204" t="str">
        <f>IFERROR(VLOOKUP(TableHandbook[[#This Row],[UDC]],TableOUMPTCHEC[],7,FALSE),"")</f>
        <v/>
      </c>
      <c r="N4" s="204" t="str">
        <f>IFERROR(VLOOKUP(TableHandbook[[#This Row],[UDC]],TableOUMPTCHPE[],7,FALSE),"")</f>
        <v/>
      </c>
      <c r="O4" s="204" t="str">
        <f>IFERROR(VLOOKUP(TableHandbook[[#This Row],[UDC]],TableOUMPTCHSE[],7,FALSE),"")</f>
        <v/>
      </c>
      <c r="P4" s="206" t="str">
        <f>IFERROR(VLOOKUP(TableHandbook[[#This Row],[UDC]],TableOCTESOL1[],7,FALSE),"")</f>
        <v/>
      </c>
      <c r="Q4" s="204" t="str">
        <f>IFERROR(VLOOKUP(TableHandbook[[#This Row],[UDC]],TableOCTESOL[],7,FALSE),"")</f>
        <v/>
      </c>
      <c r="R4" s="204" t="str">
        <f>IFERROR(VLOOKUP(TableHandbook[[#This Row],[UDC]],TableOMAPLING[],7,FALSE),"")</f>
        <v/>
      </c>
      <c r="S4" s="206" t="str">
        <f>IFERROR(VLOOKUP(TableHandbook[[#This Row],[UDC]],TableOCEDHE1[],7,FALSE),"")</f>
        <v/>
      </c>
      <c r="T4" s="204" t="str">
        <f>IFERROR(VLOOKUP(TableHandbook[[#This Row],[UDC]],TableOCEDHE[],7,FALSE),"")</f>
        <v/>
      </c>
      <c r="U4" s="204" t="str">
        <f>IFERROR(VLOOKUP(TableHandbook[[#This Row],[UDC]],TableOCEDUCS1[],7,FALSE),"")</f>
        <v/>
      </c>
      <c r="V4" s="204" t="str">
        <f>IFERROR(VLOOKUP(TableHandbook[[#This Row],[UDC]],TableOCEDUC[],7,FALSE),"")</f>
        <v/>
      </c>
      <c r="W4" s="204" t="str">
        <f>IFERROR(VLOOKUP(TableHandbook[[#This Row],[UDC]],TableOGEDUC[],7,FALSE),"")</f>
        <v/>
      </c>
      <c r="X4" s="204" t="str">
        <f>IFERROR(VLOOKUP(TableHandbook[[#This Row],[UDC]],TableOUMPEDUPR[],7,FALSE),"")</f>
        <v/>
      </c>
      <c r="Y4" s="204" t="str">
        <f>IFERROR(VLOOKUP(TableHandbook[[#This Row],[UDC]],TableOUMPEDUSC[],7,FALSE),"")</f>
        <v/>
      </c>
      <c r="Z4" s="206" t="str">
        <f>IFERROR(VLOOKUP(TableHandbook[[#This Row],[UDC]],TableOMEDUC[],7,FALSE),"")</f>
        <v/>
      </c>
      <c r="AA4" s="204" t="str">
        <f>IFERROR(VLOOKUP(TableHandbook[[#This Row],[UDC]],TableOSEPCULIN[],7,FALSE),"")</f>
        <v/>
      </c>
      <c r="AB4" s="204" t="str">
        <f>IFERROR(VLOOKUP(TableHandbook[[#This Row],[UDC]],TableOSEPLNTCH[],7,FALSE),"")</f>
        <v/>
      </c>
      <c r="AC4" s="204" t="str">
        <f>IFERROR(VLOOKUP(TableHandbook[[#This Row],[UDC]],TableOSEPSTEME[],7,FALSE),"")</f>
        <v/>
      </c>
    </row>
    <row r="5" spans="1:29" x14ac:dyDescent="0.25">
      <c r="A5" s="2" t="s">
        <v>107</v>
      </c>
      <c r="B5" s="3"/>
      <c r="C5" s="3"/>
      <c r="D5" s="2" t="s">
        <v>108</v>
      </c>
      <c r="E5" s="3"/>
      <c r="F5" s="265"/>
      <c r="G5" s="203" t="str">
        <f>IFERROR(IF(VLOOKUP(TableHandbook[[#This Row],[UDC]],TableAvailabilities[],2,FALSE)&gt;0,"Y",""),"")</f>
        <v/>
      </c>
      <c r="H5" s="203" t="str">
        <f>IFERROR(IF(VLOOKUP(TableHandbook[[#This Row],[UDC]],TableAvailabilities[],3,FALSE)&gt;0,"Y",""),"")</f>
        <v/>
      </c>
      <c r="I5" s="203" t="str">
        <f>IFERROR(IF(VLOOKUP(TableHandbook[[#This Row],[UDC]],TableAvailabilities[],4,FALSE)&gt;0,"Y",""),"")</f>
        <v/>
      </c>
      <c r="J5" s="203" t="str">
        <f>IFERROR(IF(VLOOKUP(TableHandbook[[#This Row],[UDC]],TableAvailabilities[],5,FALSE)&gt;0,"Y",""),"")</f>
        <v/>
      </c>
      <c r="K5" s="2"/>
      <c r="L5" s="206" t="str">
        <f>IFERROR(VLOOKUP(TableHandbook[[#This Row],[UDC]],TableOMTEACH1[],7,FALSE),"")</f>
        <v/>
      </c>
      <c r="M5" s="204" t="str">
        <f>IFERROR(VLOOKUP(TableHandbook[[#This Row],[UDC]],TableOUMPTCHEC[],7,FALSE),"")</f>
        <v/>
      </c>
      <c r="N5" s="204" t="str">
        <f>IFERROR(VLOOKUP(TableHandbook[[#This Row],[UDC]],TableOUMPTCHPE[],7,FALSE),"")</f>
        <v/>
      </c>
      <c r="O5" s="204" t="str">
        <f>IFERROR(VLOOKUP(TableHandbook[[#This Row],[UDC]],TableOUMPTCHSE[],7,FALSE),"")</f>
        <v/>
      </c>
      <c r="P5" s="206" t="str">
        <f>IFERROR(VLOOKUP(TableHandbook[[#This Row],[UDC]],TableOCTESOL1[],7,FALSE),"")</f>
        <v/>
      </c>
      <c r="Q5" s="204" t="str">
        <f>IFERROR(VLOOKUP(TableHandbook[[#This Row],[UDC]],TableOCTESOL[],7,FALSE),"")</f>
        <v/>
      </c>
      <c r="R5" s="204" t="str">
        <f>IFERROR(VLOOKUP(TableHandbook[[#This Row],[UDC]],TableOMAPLING[],7,FALSE),"")</f>
        <v/>
      </c>
      <c r="S5" s="206" t="str">
        <f>IFERROR(VLOOKUP(TableHandbook[[#This Row],[UDC]],TableOCEDHE1[],7,FALSE),"")</f>
        <v/>
      </c>
      <c r="T5" s="204" t="str">
        <f>IFERROR(VLOOKUP(TableHandbook[[#This Row],[UDC]],TableOCEDHE[],7,FALSE),"")</f>
        <v/>
      </c>
      <c r="U5" s="204" t="str">
        <f>IFERROR(VLOOKUP(TableHandbook[[#This Row],[UDC]],TableOCEDUCS1[],7,FALSE),"")</f>
        <v/>
      </c>
      <c r="V5" s="204" t="str">
        <f>IFERROR(VLOOKUP(TableHandbook[[#This Row],[UDC]],TableOCEDUC[],7,FALSE),"")</f>
        <v/>
      </c>
      <c r="W5" s="204" t="str">
        <f>IFERROR(VLOOKUP(TableHandbook[[#This Row],[UDC]],TableOGEDUC[],7,FALSE),"")</f>
        <v/>
      </c>
      <c r="X5" s="204" t="str">
        <f>IFERROR(VLOOKUP(TableHandbook[[#This Row],[UDC]],TableOUMPEDUPR[],7,FALSE),"")</f>
        <v/>
      </c>
      <c r="Y5" s="204" t="str">
        <f>IFERROR(VLOOKUP(TableHandbook[[#This Row],[UDC]],TableOUMPEDUSC[],7,FALSE),"")</f>
        <v/>
      </c>
      <c r="Z5" s="206" t="str">
        <f>IFERROR(VLOOKUP(TableHandbook[[#This Row],[UDC]],TableOMEDUC[],7,FALSE),"")</f>
        <v/>
      </c>
      <c r="AA5" s="204" t="str">
        <f>IFERROR(VLOOKUP(TableHandbook[[#This Row],[UDC]],TableOSEPCULIN[],7,FALSE),"")</f>
        <v/>
      </c>
      <c r="AB5" s="204" t="str">
        <f>IFERROR(VLOOKUP(TableHandbook[[#This Row],[UDC]],TableOSEPLNTCH[],7,FALSE),"")</f>
        <v/>
      </c>
      <c r="AC5" s="204" t="str">
        <f>IFERROR(VLOOKUP(TableHandbook[[#This Row],[UDC]],TableOSEPSTEME[],7,FALSE),"")</f>
        <v/>
      </c>
    </row>
    <row r="6" spans="1:29" x14ac:dyDescent="0.25">
      <c r="A6" s="2" t="s">
        <v>109</v>
      </c>
      <c r="B6" s="3"/>
      <c r="C6" s="3"/>
      <c r="D6" s="2" t="s">
        <v>110</v>
      </c>
      <c r="E6" s="3">
        <v>25</v>
      </c>
      <c r="F6" s="265" t="s">
        <v>111</v>
      </c>
      <c r="G6" s="203" t="str">
        <f>IFERROR(IF(VLOOKUP(TableHandbook[[#This Row],[UDC]],TableAvailabilities[],2,FALSE)&gt;0,"Y",""),"")</f>
        <v/>
      </c>
      <c r="H6" s="203" t="str">
        <f>IFERROR(IF(VLOOKUP(TableHandbook[[#This Row],[UDC]],TableAvailabilities[],3,FALSE)&gt;0,"Y",""),"")</f>
        <v/>
      </c>
      <c r="I6" s="203" t="str">
        <f>IFERROR(IF(VLOOKUP(TableHandbook[[#This Row],[UDC]],TableAvailabilities[],4,FALSE)&gt;0,"Y",""),"")</f>
        <v/>
      </c>
      <c r="J6" s="203" t="str">
        <f>IFERROR(IF(VLOOKUP(TableHandbook[[#This Row],[UDC]],TableAvailabilities[],5,FALSE)&gt;0,"Y",""),"")</f>
        <v/>
      </c>
      <c r="K6" s="2"/>
      <c r="L6" s="206" t="str">
        <f>IFERROR(VLOOKUP(TableHandbook[[#This Row],[UDC]],TableOMTEACH1[],7,FALSE),"")</f>
        <v/>
      </c>
      <c r="M6" s="204" t="str">
        <f>IFERROR(VLOOKUP(TableHandbook[[#This Row],[UDC]],TableOUMPTCHEC[],7,FALSE),"")</f>
        <v/>
      </c>
      <c r="N6" s="204" t="str">
        <f>IFERROR(VLOOKUP(TableHandbook[[#This Row],[UDC]],TableOUMPTCHPE[],7,FALSE),"")</f>
        <v/>
      </c>
      <c r="O6" s="204" t="str">
        <f>IFERROR(VLOOKUP(TableHandbook[[#This Row],[UDC]],TableOUMPTCHSE[],7,FALSE),"")</f>
        <v/>
      </c>
      <c r="P6" s="206" t="str">
        <f>IFERROR(VLOOKUP(TableHandbook[[#This Row],[UDC]],TableOCTESOL1[],7,FALSE),"")</f>
        <v>AltCore</v>
      </c>
      <c r="Q6" s="204" t="str">
        <f>IFERROR(VLOOKUP(TableHandbook[[#This Row],[UDC]],TableOCTESOL[],7,FALSE),"")</f>
        <v>AltCore</v>
      </c>
      <c r="R6" s="204" t="str">
        <f>IFERROR(VLOOKUP(TableHandbook[[#This Row],[UDC]],TableOMAPLING[],7,FALSE),"")</f>
        <v/>
      </c>
      <c r="S6" s="206" t="str">
        <f>IFERROR(VLOOKUP(TableHandbook[[#This Row],[UDC]],TableOCEDHE1[],7,FALSE),"")</f>
        <v/>
      </c>
      <c r="T6" s="204" t="str">
        <f>IFERROR(VLOOKUP(TableHandbook[[#This Row],[UDC]],TableOCEDHE[],7,FALSE),"")</f>
        <v/>
      </c>
      <c r="U6" s="204" t="str">
        <f>IFERROR(VLOOKUP(TableHandbook[[#This Row],[UDC]],TableOCEDUCS1[],7,FALSE),"")</f>
        <v/>
      </c>
      <c r="V6" s="204" t="str">
        <f>IFERROR(VLOOKUP(TableHandbook[[#This Row],[UDC]],TableOCEDUC[],7,FALSE),"")</f>
        <v/>
      </c>
      <c r="W6" s="204" t="str">
        <f>IFERROR(VLOOKUP(TableHandbook[[#This Row],[UDC]],TableOGEDUC[],7,FALSE),"")</f>
        <v/>
      </c>
      <c r="X6" s="204" t="str">
        <f>IFERROR(VLOOKUP(TableHandbook[[#This Row],[UDC]],TableOUMPEDUPR[],7,FALSE),"")</f>
        <v/>
      </c>
      <c r="Y6" s="204" t="str">
        <f>IFERROR(VLOOKUP(TableHandbook[[#This Row],[UDC]],TableOUMPEDUSC[],7,FALSE),"")</f>
        <v/>
      </c>
      <c r="Z6" s="206" t="str">
        <f>IFERROR(VLOOKUP(TableHandbook[[#This Row],[UDC]],TableOMEDUC[],7,FALSE),"")</f>
        <v/>
      </c>
      <c r="AA6" s="204" t="str">
        <f>IFERROR(VLOOKUP(TableHandbook[[#This Row],[UDC]],TableOSEPCULIN[],7,FALSE),"")</f>
        <v/>
      </c>
      <c r="AB6" s="204" t="str">
        <f>IFERROR(VLOOKUP(TableHandbook[[#This Row],[UDC]],TableOSEPLNTCH[],7,FALSE),"")</f>
        <v/>
      </c>
      <c r="AC6" s="204" t="str">
        <f>IFERROR(VLOOKUP(TableHandbook[[#This Row],[UDC]],TableOSEPSTEME[],7,FALSE),"")</f>
        <v/>
      </c>
    </row>
    <row r="7" spans="1:29" x14ac:dyDescent="0.25">
      <c r="A7" s="2" t="s">
        <v>112</v>
      </c>
      <c r="B7" s="3">
        <v>1</v>
      </c>
      <c r="C7" s="3" t="s">
        <v>113</v>
      </c>
      <c r="D7" s="2" t="s">
        <v>114</v>
      </c>
      <c r="E7" s="3">
        <v>25</v>
      </c>
      <c r="F7" s="230" t="s">
        <v>115</v>
      </c>
      <c r="G7" s="203" t="str">
        <f>IFERROR(IF(VLOOKUP(TableHandbook[[#This Row],[UDC]],TableAvailabilities[],2,FALSE)&gt;0,"Y",""),"")</f>
        <v/>
      </c>
      <c r="H7" s="203" t="str">
        <f>IFERROR(IF(VLOOKUP(TableHandbook[[#This Row],[UDC]],TableAvailabilities[],3,FALSE)&gt;0,"Y",""),"")</f>
        <v>Y</v>
      </c>
      <c r="I7" s="203" t="str">
        <f>IFERROR(IF(VLOOKUP(TableHandbook[[#This Row],[UDC]],TableAvailabilities[],4,FALSE)&gt;0,"Y",""),"")</f>
        <v/>
      </c>
      <c r="J7" s="203" t="str">
        <f>IFERROR(IF(VLOOKUP(TableHandbook[[#This Row],[UDC]],TableAvailabilities[],5,FALSE)&gt;0,"Y",""),"")</f>
        <v/>
      </c>
      <c r="K7" s="2"/>
      <c r="L7" s="206" t="str">
        <f>IFERROR(VLOOKUP(TableHandbook[[#This Row],[UDC]],TableOMTEACH1[],7,FALSE),"")</f>
        <v/>
      </c>
      <c r="M7" s="204" t="str">
        <f>IFERROR(VLOOKUP(TableHandbook[[#This Row],[UDC]],TableOUMPTCHEC[],7,FALSE),"")</f>
        <v>Core</v>
      </c>
      <c r="N7" s="204" t="str">
        <f>IFERROR(VLOOKUP(TableHandbook[[#This Row],[UDC]],TableOUMPTCHPE[],7,FALSE),"")</f>
        <v/>
      </c>
      <c r="O7" s="204" t="str">
        <f>IFERROR(VLOOKUP(TableHandbook[[#This Row],[UDC]],TableOUMPTCHSE[],7,FALSE),"")</f>
        <v/>
      </c>
      <c r="P7" s="206" t="str">
        <f>IFERROR(VLOOKUP(TableHandbook[[#This Row],[UDC]],TableOCTESOL1[],7,FALSE),"")</f>
        <v/>
      </c>
      <c r="Q7" s="204" t="str">
        <f>IFERROR(VLOOKUP(TableHandbook[[#This Row],[UDC]],TableOCTESOL[],7,FALSE),"")</f>
        <v/>
      </c>
      <c r="R7" s="204" t="str">
        <f>IFERROR(VLOOKUP(TableHandbook[[#This Row],[UDC]],TableOMAPLING[],7,FALSE),"")</f>
        <v/>
      </c>
      <c r="S7" s="206" t="str">
        <f>IFERROR(VLOOKUP(TableHandbook[[#This Row],[UDC]],TableOCEDHE1[],7,FALSE),"")</f>
        <v/>
      </c>
      <c r="T7" s="204" t="str">
        <f>IFERROR(VLOOKUP(TableHandbook[[#This Row],[UDC]],TableOCEDHE[],7,FALSE),"")</f>
        <v/>
      </c>
      <c r="U7" s="204" t="str">
        <f>IFERROR(VLOOKUP(TableHandbook[[#This Row],[UDC]],TableOCEDUCS1[],7,FALSE),"")</f>
        <v/>
      </c>
      <c r="V7" s="204" t="str">
        <f>IFERROR(VLOOKUP(TableHandbook[[#This Row],[UDC]],TableOCEDUC[],7,FALSE),"")</f>
        <v/>
      </c>
      <c r="W7" s="204" t="str">
        <f>IFERROR(VLOOKUP(TableHandbook[[#This Row],[UDC]],TableOGEDUC[],7,FALSE),"")</f>
        <v/>
      </c>
      <c r="X7" s="204" t="str">
        <f>IFERROR(VLOOKUP(TableHandbook[[#This Row],[UDC]],TableOUMPEDUPR[],7,FALSE),"")</f>
        <v/>
      </c>
      <c r="Y7" s="204" t="str">
        <f>IFERROR(VLOOKUP(TableHandbook[[#This Row],[UDC]],TableOUMPEDUSC[],7,FALSE),"")</f>
        <v/>
      </c>
      <c r="Z7" s="206" t="str">
        <f>IFERROR(VLOOKUP(TableHandbook[[#This Row],[UDC]],TableOMEDUC[],7,FALSE),"")</f>
        <v/>
      </c>
      <c r="AA7" s="204" t="str">
        <f>IFERROR(VLOOKUP(TableHandbook[[#This Row],[UDC]],TableOSEPCULIN[],7,FALSE),"")</f>
        <v/>
      </c>
      <c r="AB7" s="204" t="str">
        <f>IFERROR(VLOOKUP(TableHandbook[[#This Row],[UDC]],TableOSEPLNTCH[],7,FALSE),"")</f>
        <v/>
      </c>
      <c r="AC7" s="204" t="str">
        <f>IFERROR(VLOOKUP(TableHandbook[[#This Row],[UDC]],TableOSEPSTEME[],7,FALSE),"")</f>
        <v/>
      </c>
    </row>
    <row r="8" spans="1:29" x14ac:dyDescent="0.25">
      <c r="A8" s="2" t="s">
        <v>116</v>
      </c>
      <c r="B8" s="3">
        <v>1</v>
      </c>
      <c r="C8" s="3" t="s">
        <v>117</v>
      </c>
      <c r="D8" s="2" t="s">
        <v>118</v>
      </c>
      <c r="E8" s="3">
        <v>25</v>
      </c>
      <c r="F8" s="230" t="s">
        <v>119</v>
      </c>
      <c r="G8" s="203" t="str">
        <f>IFERROR(IF(VLOOKUP(TableHandbook[[#This Row],[UDC]],TableAvailabilities[],2,FALSE)&gt;0,"Y",""),"")</f>
        <v/>
      </c>
      <c r="H8" s="203" t="str">
        <f>IFERROR(IF(VLOOKUP(TableHandbook[[#This Row],[UDC]],TableAvailabilities[],3,FALSE)&gt;0,"Y",""),"")</f>
        <v>Y</v>
      </c>
      <c r="I8" s="203" t="str">
        <f>IFERROR(IF(VLOOKUP(TableHandbook[[#This Row],[UDC]],TableAvailabilities[],4,FALSE)&gt;0,"Y",""),"")</f>
        <v/>
      </c>
      <c r="J8" s="203" t="str">
        <f>IFERROR(IF(VLOOKUP(TableHandbook[[#This Row],[UDC]],TableAvailabilities[],5,FALSE)&gt;0,"Y",""),"")</f>
        <v/>
      </c>
      <c r="K8" s="2"/>
      <c r="L8" s="206" t="str">
        <f>IFERROR(VLOOKUP(TableHandbook[[#This Row],[UDC]],TableOMTEACH1[],7,FALSE),"")</f>
        <v/>
      </c>
      <c r="M8" s="204" t="str">
        <f>IFERROR(VLOOKUP(TableHandbook[[#This Row],[UDC]],TableOUMPTCHEC[],7,FALSE),"")</f>
        <v>Core</v>
      </c>
      <c r="N8" s="204" t="str">
        <f>IFERROR(VLOOKUP(TableHandbook[[#This Row],[UDC]],TableOUMPTCHPE[],7,FALSE),"")</f>
        <v/>
      </c>
      <c r="O8" s="204" t="str">
        <f>IFERROR(VLOOKUP(TableHandbook[[#This Row],[UDC]],TableOUMPTCHSE[],7,FALSE),"")</f>
        <v/>
      </c>
      <c r="P8" s="206" t="str">
        <f>IFERROR(VLOOKUP(TableHandbook[[#This Row],[UDC]],TableOCTESOL1[],7,FALSE),"")</f>
        <v/>
      </c>
      <c r="Q8" s="204" t="str">
        <f>IFERROR(VLOOKUP(TableHandbook[[#This Row],[UDC]],TableOCTESOL[],7,FALSE),"")</f>
        <v/>
      </c>
      <c r="R8" s="204" t="str">
        <f>IFERROR(VLOOKUP(TableHandbook[[#This Row],[UDC]],TableOMAPLING[],7,FALSE),"")</f>
        <v/>
      </c>
      <c r="S8" s="206" t="str">
        <f>IFERROR(VLOOKUP(TableHandbook[[#This Row],[UDC]],TableOCEDHE1[],7,FALSE),"")</f>
        <v/>
      </c>
      <c r="T8" s="204" t="str">
        <f>IFERROR(VLOOKUP(TableHandbook[[#This Row],[UDC]],TableOCEDHE[],7,FALSE),"")</f>
        <v/>
      </c>
      <c r="U8" s="204" t="str">
        <f>IFERROR(VLOOKUP(TableHandbook[[#This Row],[UDC]],TableOCEDUCS1[],7,FALSE),"")</f>
        <v/>
      </c>
      <c r="V8" s="204" t="str">
        <f>IFERROR(VLOOKUP(TableHandbook[[#This Row],[UDC]],TableOCEDUC[],7,FALSE),"")</f>
        <v/>
      </c>
      <c r="W8" s="204" t="str">
        <f>IFERROR(VLOOKUP(TableHandbook[[#This Row],[UDC]],TableOGEDUC[],7,FALSE),"")</f>
        <v/>
      </c>
      <c r="X8" s="204" t="str">
        <f>IFERROR(VLOOKUP(TableHandbook[[#This Row],[UDC]],TableOUMPEDUPR[],7,FALSE),"")</f>
        <v/>
      </c>
      <c r="Y8" s="204" t="str">
        <f>IFERROR(VLOOKUP(TableHandbook[[#This Row],[UDC]],TableOUMPEDUSC[],7,FALSE),"")</f>
        <v/>
      </c>
      <c r="Z8" s="206" t="str">
        <f>IFERROR(VLOOKUP(TableHandbook[[#This Row],[UDC]],TableOMEDUC[],7,FALSE),"")</f>
        <v/>
      </c>
      <c r="AA8" s="204" t="str">
        <f>IFERROR(VLOOKUP(TableHandbook[[#This Row],[UDC]],TableOSEPCULIN[],7,FALSE),"")</f>
        <v/>
      </c>
      <c r="AB8" s="204" t="str">
        <f>IFERROR(VLOOKUP(TableHandbook[[#This Row],[UDC]],TableOSEPLNTCH[],7,FALSE),"")</f>
        <v/>
      </c>
      <c r="AC8" s="204" t="str">
        <f>IFERROR(VLOOKUP(TableHandbook[[#This Row],[UDC]],TableOSEPSTEME[],7,FALSE),"")</f>
        <v/>
      </c>
    </row>
    <row r="9" spans="1:29" x14ac:dyDescent="0.25">
      <c r="A9" s="2" t="s">
        <v>120</v>
      </c>
      <c r="B9" s="3">
        <v>2</v>
      </c>
      <c r="C9" s="3" t="s">
        <v>121</v>
      </c>
      <c r="D9" s="2" t="s">
        <v>122</v>
      </c>
      <c r="E9" s="3">
        <v>25</v>
      </c>
      <c r="F9" s="230" t="s">
        <v>123</v>
      </c>
      <c r="G9" s="203" t="str">
        <f>IFERROR(IF(VLOOKUP(TableHandbook[[#This Row],[UDC]],TableAvailabilities[],2,FALSE)&gt;0,"Y",""),"")</f>
        <v/>
      </c>
      <c r="H9" s="203" t="str">
        <f>IFERROR(IF(VLOOKUP(TableHandbook[[#This Row],[UDC]],TableAvailabilities[],3,FALSE)&gt;0,"Y",""),"")</f>
        <v/>
      </c>
      <c r="I9" s="203" t="str">
        <f>IFERROR(IF(VLOOKUP(TableHandbook[[#This Row],[UDC]],TableAvailabilities[],4,FALSE)&gt;0,"Y",""),"")</f>
        <v>Y</v>
      </c>
      <c r="J9" s="203" t="str">
        <f>IFERROR(IF(VLOOKUP(TableHandbook[[#This Row],[UDC]],TableAvailabilities[],5,FALSE)&gt;0,"Y",""),"")</f>
        <v/>
      </c>
      <c r="K9" s="231" t="s">
        <v>124</v>
      </c>
      <c r="L9" s="206" t="str">
        <f>IFERROR(VLOOKUP(TableHandbook[[#This Row],[UDC]],TableOMTEACH1[],7,FALSE),"")</f>
        <v/>
      </c>
      <c r="M9" s="204" t="str">
        <f>IFERROR(VLOOKUP(TableHandbook[[#This Row],[UDC]],TableOUMPTCHEC[],7,FALSE),"")</f>
        <v>Core</v>
      </c>
      <c r="N9" s="204" t="str">
        <f>IFERROR(VLOOKUP(TableHandbook[[#This Row],[UDC]],TableOUMPTCHPE[],7,FALSE),"")</f>
        <v/>
      </c>
      <c r="O9" s="204" t="str">
        <f>IFERROR(VLOOKUP(TableHandbook[[#This Row],[UDC]],TableOUMPTCHSE[],7,FALSE),"")</f>
        <v/>
      </c>
      <c r="P9" s="206" t="str">
        <f>IFERROR(VLOOKUP(TableHandbook[[#This Row],[UDC]],TableOCTESOL1[],7,FALSE),"")</f>
        <v/>
      </c>
      <c r="Q9" s="204" t="str">
        <f>IFERROR(VLOOKUP(TableHandbook[[#This Row],[UDC]],TableOCTESOL[],7,FALSE),"")</f>
        <v/>
      </c>
      <c r="R9" s="204" t="str">
        <f>IFERROR(VLOOKUP(TableHandbook[[#This Row],[UDC]],TableOMAPLING[],7,FALSE),"")</f>
        <v/>
      </c>
      <c r="S9" s="206" t="str">
        <f>IFERROR(VLOOKUP(TableHandbook[[#This Row],[UDC]],TableOCEDHE1[],7,FALSE),"")</f>
        <v/>
      </c>
      <c r="T9" s="204" t="str">
        <f>IFERROR(VLOOKUP(TableHandbook[[#This Row],[UDC]],TableOCEDHE[],7,FALSE),"")</f>
        <v/>
      </c>
      <c r="U9" s="204" t="str">
        <f>IFERROR(VLOOKUP(TableHandbook[[#This Row],[UDC]],TableOCEDUCS1[],7,FALSE),"")</f>
        <v/>
      </c>
      <c r="V9" s="204" t="str">
        <f>IFERROR(VLOOKUP(TableHandbook[[#This Row],[UDC]],TableOCEDUC[],7,FALSE),"")</f>
        <v/>
      </c>
      <c r="W9" s="204" t="str">
        <f>IFERROR(VLOOKUP(TableHandbook[[#This Row],[UDC]],TableOGEDUC[],7,FALSE),"")</f>
        <v/>
      </c>
      <c r="X9" s="204" t="str">
        <f>IFERROR(VLOOKUP(TableHandbook[[#This Row],[UDC]],TableOUMPEDUPR[],7,FALSE),"")</f>
        <v/>
      </c>
      <c r="Y9" s="204" t="str">
        <f>IFERROR(VLOOKUP(TableHandbook[[#This Row],[UDC]],TableOUMPEDUSC[],7,FALSE),"")</f>
        <v/>
      </c>
      <c r="Z9" s="206" t="str">
        <f>IFERROR(VLOOKUP(TableHandbook[[#This Row],[UDC]],TableOMEDUC[],7,FALSE),"")</f>
        <v/>
      </c>
      <c r="AA9" s="204" t="str">
        <f>IFERROR(VLOOKUP(TableHandbook[[#This Row],[UDC]],TableOSEPCULIN[],7,FALSE),"")</f>
        <v/>
      </c>
      <c r="AB9" s="204" t="str">
        <f>IFERROR(VLOOKUP(TableHandbook[[#This Row],[UDC]],TableOSEPLNTCH[],7,FALSE),"")</f>
        <v/>
      </c>
      <c r="AC9" s="204" t="str">
        <f>IFERROR(VLOOKUP(TableHandbook[[#This Row],[UDC]],TableOSEPSTEME[],7,FALSE),"")</f>
        <v/>
      </c>
    </row>
    <row r="10" spans="1:29" x14ac:dyDescent="0.25">
      <c r="A10" s="2" t="s">
        <v>125</v>
      </c>
      <c r="B10" s="3">
        <v>1</v>
      </c>
      <c r="C10" s="3" t="s">
        <v>126</v>
      </c>
      <c r="D10" s="2" t="s">
        <v>127</v>
      </c>
      <c r="E10" s="3">
        <v>25</v>
      </c>
      <c r="F10" s="230" t="s">
        <v>115</v>
      </c>
      <c r="G10" s="203" t="str">
        <f>IFERROR(IF(VLOOKUP(TableHandbook[[#This Row],[UDC]],TableAvailabilities[],2,FALSE)&gt;0,"Y",""),"")</f>
        <v/>
      </c>
      <c r="H10" s="203" t="str">
        <f>IFERROR(IF(VLOOKUP(TableHandbook[[#This Row],[UDC]],TableAvailabilities[],3,FALSE)&gt;0,"Y",""),"")</f>
        <v/>
      </c>
      <c r="I10" s="203" t="str">
        <f>IFERROR(IF(VLOOKUP(TableHandbook[[#This Row],[UDC]],TableAvailabilities[],4,FALSE)&gt;0,"Y",""),"")</f>
        <v>Y</v>
      </c>
      <c r="J10" s="203" t="str">
        <f>IFERROR(IF(VLOOKUP(TableHandbook[[#This Row],[UDC]],TableAvailabilities[],5,FALSE)&gt;0,"Y",""),"")</f>
        <v/>
      </c>
      <c r="K10" s="2"/>
      <c r="L10" s="206" t="str">
        <f>IFERROR(VLOOKUP(TableHandbook[[#This Row],[UDC]],TableOMTEACH1[],7,FALSE),"")</f>
        <v/>
      </c>
      <c r="M10" s="204" t="str">
        <f>IFERROR(VLOOKUP(TableHandbook[[#This Row],[UDC]],TableOUMPTCHEC[],7,FALSE),"")</f>
        <v>Core</v>
      </c>
      <c r="N10" s="204" t="str">
        <f>IFERROR(VLOOKUP(TableHandbook[[#This Row],[UDC]],TableOUMPTCHPE[],7,FALSE),"")</f>
        <v/>
      </c>
      <c r="O10" s="204" t="str">
        <f>IFERROR(VLOOKUP(TableHandbook[[#This Row],[UDC]],TableOUMPTCHSE[],7,FALSE),"")</f>
        <v/>
      </c>
      <c r="P10" s="206" t="str">
        <f>IFERROR(VLOOKUP(TableHandbook[[#This Row],[UDC]],TableOCTESOL1[],7,FALSE),"")</f>
        <v/>
      </c>
      <c r="Q10" s="204" t="str">
        <f>IFERROR(VLOOKUP(TableHandbook[[#This Row],[UDC]],TableOCTESOL[],7,FALSE),"")</f>
        <v/>
      </c>
      <c r="R10" s="204" t="str">
        <f>IFERROR(VLOOKUP(TableHandbook[[#This Row],[UDC]],TableOMAPLING[],7,FALSE),"")</f>
        <v/>
      </c>
      <c r="S10" s="206" t="str">
        <f>IFERROR(VLOOKUP(TableHandbook[[#This Row],[UDC]],TableOCEDHE1[],7,FALSE),"")</f>
        <v/>
      </c>
      <c r="T10" s="204" t="str">
        <f>IFERROR(VLOOKUP(TableHandbook[[#This Row],[UDC]],TableOCEDHE[],7,FALSE),"")</f>
        <v/>
      </c>
      <c r="U10" s="204" t="str">
        <f>IFERROR(VLOOKUP(TableHandbook[[#This Row],[UDC]],TableOCEDUCS1[],7,FALSE),"")</f>
        <v>Option</v>
      </c>
      <c r="V10" s="204" t="str">
        <f>IFERROR(VLOOKUP(TableHandbook[[#This Row],[UDC]],TableOCEDUC[],7,FALSE),"")</f>
        <v>Option</v>
      </c>
      <c r="W10" s="204" t="str">
        <f>IFERROR(VLOOKUP(TableHandbook[[#This Row],[UDC]],TableOGEDUC[],7,FALSE),"")</f>
        <v/>
      </c>
      <c r="X10" s="204" t="str">
        <f>IFERROR(VLOOKUP(TableHandbook[[#This Row],[UDC]],TableOUMPEDUPR[],7,FALSE),"")</f>
        <v/>
      </c>
      <c r="Y10" s="204" t="str">
        <f>IFERROR(VLOOKUP(TableHandbook[[#This Row],[UDC]],TableOUMPEDUSC[],7,FALSE),"")</f>
        <v/>
      </c>
      <c r="Z10" s="206" t="str">
        <f>IFERROR(VLOOKUP(TableHandbook[[#This Row],[UDC]],TableOMEDUC[],7,FALSE),"")</f>
        <v/>
      </c>
      <c r="AA10" s="204" t="str">
        <f>IFERROR(VLOOKUP(TableHandbook[[#This Row],[UDC]],TableOSEPCULIN[],7,FALSE),"")</f>
        <v/>
      </c>
      <c r="AB10" s="204" t="str">
        <f>IFERROR(VLOOKUP(TableHandbook[[#This Row],[UDC]],TableOSEPLNTCH[],7,FALSE),"")</f>
        <v/>
      </c>
      <c r="AC10" s="204" t="str">
        <f>IFERROR(VLOOKUP(TableHandbook[[#This Row],[UDC]],TableOSEPSTEME[],7,FALSE),"")</f>
        <v/>
      </c>
    </row>
    <row r="11" spans="1:29" x14ac:dyDescent="0.25">
      <c r="A11" s="2" t="s">
        <v>128</v>
      </c>
      <c r="B11" s="3">
        <v>1</v>
      </c>
      <c r="C11" s="3" t="s">
        <v>129</v>
      </c>
      <c r="D11" s="2" t="s">
        <v>130</v>
      </c>
      <c r="E11" s="3">
        <v>25</v>
      </c>
      <c r="F11" s="230" t="s">
        <v>115</v>
      </c>
      <c r="G11" s="203" t="str">
        <f>IFERROR(IF(VLOOKUP(TableHandbook[[#This Row],[UDC]],TableAvailabilities[],2,FALSE)&gt;0,"Y",""),"")</f>
        <v>Y</v>
      </c>
      <c r="H11" s="203" t="str">
        <f>IFERROR(IF(VLOOKUP(TableHandbook[[#This Row],[UDC]],TableAvailabilities[],3,FALSE)&gt;0,"Y",""),"")</f>
        <v>Y</v>
      </c>
      <c r="I11" s="203" t="str">
        <f>IFERROR(IF(VLOOKUP(TableHandbook[[#This Row],[UDC]],TableAvailabilities[],4,FALSE)&gt;0,"Y",""),"")</f>
        <v/>
      </c>
      <c r="J11" s="203" t="str">
        <f>IFERROR(IF(VLOOKUP(TableHandbook[[#This Row],[UDC]],TableAvailabilities[],5,FALSE)&gt;0,"Y",""),"")</f>
        <v/>
      </c>
      <c r="K11" s="2"/>
      <c r="L11" s="206" t="str">
        <f>IFERROR(VLOOKUP(TableHandbook[[#This Row],[UDC]],TableOMTEACH1[],7,FALSE),"")</f>
        <v/>
      </c>
      <c r="M11" s="204" t="str">
        <f>IFERROR(VLOOKUP(TableHandbook[[#This Row],[UDC]],TableOUMPTCHEC[],7,FALSE),"")</f>
        <v>Core</v>
      </c>
      <c r="N11" s="204" t="str">
        <f>IFERROR(VLOOKUP(TableHandbook[[#This Row],[UDC]],TableOUMPTCHPE[],7,FALSE),"")</f>
        <v/>
      </c>
      <c r="O11" s="204" t="str">
        <f>IFERROR(VLOOKUP(TableHandbook[[#This Row],[UDC]],TableOUMPTCHSE[],7,FALSE),"")</f>
        <v/>
      </c>
      <c r="P11" s="206" t="str">
        <f>IFERROR(VLOOKUP(TableHandbook[[#This Row],[UDC]],TableOCTESOL1[],7,FALSE),"")</f>
        <v/>
      </c>
      <c r="Q11" s="204" t="str">
        <f>IFERROR(VLOOKUP(TableHandbook[[#This Row],[UDC]],TableOCTESOL[],7,FALSE),"")</f>
        <v/>
      </c>
      <c r="R11" s="204" t="str">
        <f>IFERROR(VLOOKUP(TableHandbook[[#This Row],[UDC]],TableOMAPLING[],7,FALSE),"")</f>
        <v/>
      </c>
      <c r="S11" s="206" t="str">
        <f>IFERROR(VLOOKUP(TableHandbook[[#This Row],[UDC]],TableOCEDHE1[],7,FALSE),"")</f>
        <v/>
      </c>
      <c r="T11" s="204" t="str">
        <f>IFERROR(VLOOKUP(TableHandbook[[#This Row],[UDC]],TableOCEDHE[],7,FALSE),"")</f>
        <v/>
      </c>
      <c r="U11" s="204" t="str">
        <f>IFERROR(VLOOKUP(TableHandbook[[#This Row],[UDC]],TableOCEDUCS1[],7,FALSE),"")</f>
        <v/>
      </c>
      <c r="V11" s="204" t="str">
        <f>IFERROR(VLOOKUP(TableHandbook[[#This Row],[UDC]],TableOCEDUC[],7,FALSE),"")</f>
        <v/>
      </c>
      <c r="W11" s="204" t="str">
        <f>IFERROR(VLOOKUP(TableHandbook[[#This Row],[UDC]],TableOGEDUC[],7,FALSE),"")</f>
        <v/>
      </c>
      <c r="X11" s="204" t="str">
        <f>IFERROR(VLOOKUP(TableHandbook[[#This Row],[UDC]],TableOUMPEDUPR[],7,FALSE),"")</f>
        <v/>
      </c>
      <c r="Y11" s="204" t="str">
        <f>IFERROR(VLOOKUP(TableHandbook[[#This Row],[UDC]],TableOUMPEDUSC[],7,FALSE),"")</f>
        <v/>
      </c>
      <c r="Z11" s="206" t="str">
        <f>IFERROR(VLOOKUP(TableHandbook[[#This Row],[UDC]],TableOMEDUC[],7,FALSE),"")</f>
        <v/>
      </c>
      <c r="AA11" s="204" t="str">
        <f>IFERROR(VLOOKUP(TableHandbook[[#This Row],[UDC]],TableOSEPCULIN[],7,FALSE),"")</f>
        <v/>
      </c>
      <c r="AB11" s="204" t="str">
        <f>IFERROR(VLOOKUP(TableHandbook[[#This Row],[UDC]],TableOSEPLNTCH[],7,FALSE),"")</f>
        <v/>
      </c>
      <c r="AC11" s="204" t="str">
        <f>IFERROR(VLOOKUP(TableHandbook[[#This Row],[UDC]],TableOSEPSTEME[],7,FALSE),"")</f>
        <v/>
      </c>
    </row>
    <row r="12" spans="1:29" x14ac:dyDescent="0.25">
      <c r="A12" s="2" t="s">
        <v>131</v>
      </c>
      <c r="B12" s="3">
        <v>1</v>
      </c>
      <c r="C12" s="3" t="s">
        <v>132</v>
      </c>
      <c r="D12" s="2" t="s">
        <v>133</v>
      </c>
      <c r="E12" s="3">
        <v>25</v>
      </c>
      <c r="F12" s="230" t="s">
        <v>115</v>
      </c>
      <c r="G12" s="203" t="str">
        <f>IFERROR(IF(VLOOKUP(TableHandbook[[#This Row],[UDC]],TableAvailabilities[],2,FALSE)&gt;0,"Y",""),"")</f>
        <v>Y</v>
      </c>
      <c r="H12" s="203" t="str">
        <f>IFERROR(IF(VLOOKUP(TableHandbook[[#This Row],[UDC]],TableAvailabilities[],3,FALSE)&gt;0,"Y",""),"")</f>
        <v/>
      </c>
      <c r="I12" s="203" t="str">
        <f>IFERROR(IF(VLOOKUP(TableHandbook[[#This Row],[UDC]],TableAvailabilities[],4,FALSE)&gt;0,"Y",""),"")</f>
        <v/>
      </c>
      <c r="J12" s="203" t="str">
        <f>IFERROR(IF(VLOOKUP(TableHandbook[[#This Row],[UDC]],TableAvailabilities[],5,FALSE)&gt;0,"Y",""),"")</f>
        <v/>
      </c>
      <c r="K12" s="2"/>
      <c r="L12" s="206" t="str">
        <f>IFERROR(VLOOKUP(TableHandbook[[#This Row],[UDC]],TableOMTEACH1[],7,FALSE),"")</f>
        <v/>
      </c>
      <c r="M12" s="204" t="str">
        <f>IFERROR(VLOOKUP(TableHandbook[[#This Row],[UDC]],TableOUMPTCHEC[],7,FALSE),"")</f>
        <v>Core</v>
      </c>
      <c r="N12" s="204" t="str">
        <f>IFERROR(VLOOKUP(TableHandbook[[#This Row],[UDC]],TableOUMPTCHPE[],7,FALSE),"")</f>
        <v/>
      </c>
      <c r="O12" s="204" t="str">
        <f>IFERROR(VLOOKUP(TableHandbook[[#This Row],[UDC]],TableOUMPTCHSE[],7,FALSE),"")</f>
        <v/>
      </c>
      <c r="P12" s="206" t="str">
        <f>IFERROR(VLOOKUP(TableHandbook[[#This Row],[UDC]],TableOCTESOL1[],7,FALSE),"")</f>
        <v/>
      </c>
      <c r="Q12" s="204" t="str">
        <f>IFERROR(VLOOKUP(TableHandbook[[#This Row],[UDC]],TableOCTESOL[],7,FALSE),"")</f>
        <v/>
      </c>
      <c r="R12" s="204" t="str">
        <f>IFERROR(VLOOKUP(TableHandbook[[#This Row],[UDC]],TableOMAPLING[],7,FALSE),"")</f>
        <v/>
      </c>
      <c r="S12" s="206" t="str">
        <f>IFERROR(VLOOKUP(TableHandbook[[#This Row],[UDC]],TableOCEDHE1[],7,FALSE),"")</f>
        <v/>
      </c>
      <c r="T12" s="204" t="str">
        <f>IFERROR(VLOOKUP(TableHandbook[[#This Row],[UDC]],TableOCEDHE[],7,FALSE),"")</f>
        <v/>
      </c>
      <c r="U12" s="204" t="str">
        <f>IFERROR(VLOOKUP(TableHandbook[[#This Row],[UDC]],TableOCEDUCS1[],7,FALSE),"")</f>
        <v>Option</v>
      </c>
      <c r="V12" s="204" t="str">
        <f>IFERROR(VLOOKUP(TableHandbook[[#This Row],[UDC]],TableOCEDUC[],7,FALSE),"")</f>
        <v>Option</v>
      </c>
      <c r="W12" s="204" t="str">
        <f>IFERROR(VLOOKUP(TableHandbook[[#This Row],[UDC]],TableOGEDUC[],7,FALSE),"")</f>
        <v/>
      </c>
      <c r="X12" s="204" t="str">
        <f>IFERROR(VLOOKUP(TableHandbook[[#This Row],[UDC]],TableOUMPEDUPR[],7,FALSE),"")</f>
        <v/>
      </c>
      <c r="Y12" s="204" t="str">
        <f>IFERROR(VLOOKUP(TableHandbook[[#This Row],[UDC]],TableOUMPEDUSC[],7,FALSE),"")</f>
        <v/>
      </c>
      <c r="Z12" s="206" t="str">
        <f>IFERROR(VLOOKUP(TableHandbook[[#This Row],[UDC]],TableOMEDUC[],7,FALSE),"")</f>
        <v/>
      </c>
      <c r="AA12" s="204" t="str">
        <f>IFERROR(VLOOKUP(TableHandbook[[#This Row],[UDC]],TableOSEPCULIN[],7,FALSE),"")</f>
        <v/>
      </c>
      <c r="AB12" s="204" t="str">
        <f>IFERROR(VLOOKUP(TableHandbook[[#This Row],[UDC]],TableOSEPLNTCH[],7,FALSE),"")</f>
        <v/>
      </c>
      <c r="AC12" s="204" t="str">
        <f>IFERROR(VLOOKUP(TableHandbook[[#This Row],[UDC]],TableOSEPSTEME[],7,FALSE),"")</f>
        <v/>
      </c>
    </row>
    <row r="13" spans="1:29" x14ac:dyDescent="0.25">
      <c r="A13" s="2" t="s">
        <v>134</v>
      </c>
      <c r="B13" s="3">
        <v>1</v>
      </c>
      <c r="C13" s="3" t="s">
        <v>135</v>
      </c>
      <c r="D13" s="2" t="s">
        <v>136</v>
      </c>
      <c r="E13" s="3">
        <v>25</v>
      </c>
      <c r="F13" s="230" t="s">
        <v>115</v>
      </c>
      <c r="G13" s="203" t="str">
        <f>IFERROR(IF(VLOOKUP(TableHandbook[[#This Row],[UDC]],TableAvailabilities[],2,FALSE)&gt;0,"Y",""),"")</f>
        <v/>
      </c>
      <c r="H13" s="203" t="str">
        <f>IFERROR(IF(VLOOKUP(TableHandbook[[#This Row],[UDC]],TableAvailabilities[],3,FALSE)&gt;0,"Y",""),"")</f>
        <v>Y</v>
      </c>
      <c r="I13" s="203" t="str">
        <f>IFERROR(IF(VLOOKUP(TableHandbook[[#This Row],[UDC]],TableAvailabilities[],4,FALSE)&gt;0,"Y",""),"")</f>
        <v/>
      </c>
      <c r="J13" s="203" t="str">
        <f>IFERROR(IF(VLOOKUP(TableHandbook[[#This Row],[UDC]],TableAvailabilities[],5,FALSE)&gt;0,"Y",""),"")</f>
        <v/>
      </c>
      <c r="K13" s="2"/>
      <c r="L13" s="206" t="str">
        <f>IFERROR(VLOOKUP(TableHandbook[[#This Row],[UDC]],TableOMTEACH1[],7,FALSE),"")</f>
        <v/>
      </c>
      <c r="M13" s="204" t="str">
        <f>IFERROR(VLOOKUP(TableHandbook[[#This Row],[UDC]],TableOUMPTCHEC[],7,FALSE),"")</f>
        <v>Core</v>
      </c>
      <c r="N13" s="204" t="str">
        <f>IFERROR(VLOOKUP(TableHandbook[[#This Row],[UDC]],TableOUMPTCHPE[],7,FALSE),"")</f>
        <v/>
      </c>
      <c r="O13" s="204" t="str">
        <f>IFERROR(VLOOKUP(TableHandbook[[#This Row],[UDC]],TableOUMPTCHSE[],7,FALSE),"")</f>
        <v/>
      </c>
      <c r="P13" s="206" t="str">
        <f>IFERROR(VLOOKUP(TableHandbook[[#This Row],[UDC]],TableOCTESOL1[],7,FALSE),"")</f>
        <v/>
      </c>
      <c r="Q13" s="204" t="str">
        <f>IFERROR(VLOOKUP(TableHandbook[[#This Row],[UDC]],TableOCTESOL[],7,FALSE),"")</f>
        <v/>
      </c>
      <c r="R13" s="204" t="str">
        <f>IFERROR(VLOOKUP(TableHandbook[[#This Row],[UDC]],TableOMAPLING[],7,FALSE),"")</f>
        <v/>
      </c>
      <c r="S13" s="206" t="str">
        <f>IFERROR(VLOOKUP(TableHandbook[[#This Row],[UDC]],TableOCEDHE1[],7,FALSE),"")</f>
        <v/>
      </c>
      <c r="T13" s="204" t="str">
        <f>IFERROR(VLOOKUP(TableHandbook[[#This Row],[UDC]],TableOCEDHE[],7,FALSE),"")</f>
        <v/>
      </c>
      <c r="U13" s="204" t="str">
        <f>IFERROR(VLOOKUP(TableHandbook[[#This Row],[UDC]],TableOCEDUCS1[],7,FALSE),"")</f>
        <v>Option</v>
      </c>
      <c r="V13" s="204" t="str">
        <f>IFERROR(VLOOKUP(TableHandbook[[#This Row],[UDC]],TableOCEDUC[],7,FALSE),"")</f>
        <v>Option</v>
      </c>
      <c r="W13" s="204" t="str">
        <f>IFERROR(VLOOKUP(TableHandbook[[#This Row],[UDC]],TableOGEDUC[],7,FALSE),"")</f>
        <v/>
      </c>
      <c r="X13" s="204" t="str">
        <f>IFERROR(VLOOKUP(TableHandbook[[#This Row],[UDC]],TableOUMPEDUPR[],7,FALSE),"")</f>
        <v/>
      </c>
      <c r="Y13" s="204" t="str">
        <f>IFERROR(VLOOKUP(TableHandbook[[#This Row],[UDC]],TableOUMPEDUSC[],7,FALSE),"")</f>
        <v/>
      </c>
      <c r="Z13" s="206" t="str">
        <f>IFERROR(VLOOKUP(TableHandbook[[#This Row],[UDC]],TableOMEDUC[],7,FALSE),"")</f>
        <v/>
      </c>
      <c r="AA13" s="204" t="str">
        <f>IFERROR(VLOOKUP(TableHandbook[[#This Row],[UDC]],TableOSEPCULIN[],7,FALSE),"")</f>
        <v/>
      </c>
      <c r="AB13" s="204" t="str">
        <f>IFERROR(VLOOKUP(TableHandbook[[#This Row],[UDC]],TableOSEPLNTCH[],7,FALSE),"")</f>
        <v/>
      </c>
      <c r="AC13" s="204" t="str">
        <f>IFERROR(VLOOKUP(TableHandbook[[#This Row],[UDC]],TableOSEPSTEME[],7,FALSE),"")</f>
        <v/>
      </c>
    </row>
    <row r="14" spans="1:29" x14ac:dyDescent="0.25">
      <c r="A14" s="2" t="s">
        <v>137</v>
      </c>
      <c r="B14" s="3">
        <v>1</v>
      </c>
      <c r="C14" s="3" t="s">
        <v>138</v>
      </c>
      <c r="D14" s="2" t="s">
        <v>139</v>
      </c>
      <c r="E14" s="3">
        <v>25</v>
      </c>
      <c r="F14" s="230" t="s">
        <v>115</v>
      </c>
      <c r="G14" s="203" t="str">
        <f>IFERROR(IF(VLOOKUP(TableHandbook[[#This Row],[UDC]],TableAvailabilities[],2,FALSE)&gt;0,"Y",""),"")</f>
        <v/>
      </c>
      <c r="H14" s="203" t="str">
        <f>IFERROR(IF(VLOOKUP(TableHandbook[[#This Row],[UDC]],TableAvailabilities[],3,FALSE)&gt;0,"Y",""),"")</f>
        <v/>
      </c>
      <c r="I14" s="203" t="str">
        <f>IFERROR(IF(VLOOKUP(TableHandbook[[#This Row],[UDC]],TableAvailabilities[],4,FALSE)&gt;0,"Y",""),"")</f>
        <v/>
      </c>
      <c r="J14" s="203" t="str">
        <f>IFERROR(IF(VLOOKUP(TableHandbook[[#This Row],[UDC]],TableAvailabilities[],5,FALSE)&gt;0,"Y",""),"")</f>
        <v>Y</v>
      </c>
      <c r="K14" s="2"/>
      <c r="L14" s="206" t="str">
        <f>IFERROR(VLOOKUP(TableHandbook[[#This Row],[UDC]],TableOMTEACH1[],7,FALSE),"")</f>
        <v/>
      </c>
      <c r="M14" s="204" t="str">
        <f>IFERROR(VLOOKUP(TableHandbook[[#This Row],[UDC]],TableOUMPTCHEC[],7,FALSE),"")</f>
        <v>Core</v>
      </c>
      <c r="N14" s="204" t="str">
        <f>IFERROR(VLOOKUP(TableHandbook[[#This Row],[UDC]],TableOUMPTCHPE[],7,FALSE),"")</f>
        <v/>
      </c>
      <c r="O14" s="204" t="str">
        <f>IFERROR(VLOOKUP(TableHandbook[[#This Row],[UDC]],TableOUMPTCHSE[],7,FALSE),"")</f>
        <v/>
      </c>
      <c r="P14" s="206" t="str">
        <f>IFERROR(VLOOKUP(TableHandbook[[#This Row],[UDC]],TableOCTESOL1[],7,FALSE),"")</f>
        <v/>
      </c>
      <c r="Q14" s="204" t="str">
        <f>IFERROR(VLOOKUP(TableHandbook[[#This Row],[UDC]],TableOCTESOL[],7,FALSE),"")</f>
        <v/>
      </c>
      <c r="R14" s="204" t="str">
        <f>IFERROR(VLOOKUP(TableHandbook[[#This Row],[UDC]],TableOMAPLING[],7,FALSE),"")</f>
        <v/>
      </c>
      <c r="S14" s="206" t="str">
        <f>IFERROR(VLOOKUP(TableHandbook[[#This Row],[UDC]],TableOCEDHE1[],7,FALSE),"")</f>
        <v/>
      </c>
      <c r="T14" s="204" t="str">
        <f>IFERROR(VLOOKUP(TableHandbook[[#This Row],[UDC]],TableOCEDHE[],7,FALSE),"")</f>
        <v/>
      </c>
      <c r="U14" s="204" t="str">
        <f>IFERROR(VLOOKUP(TableHandbook[[#This Row],[UDC]],TableOCEDUCS1[],7,FALSE),"")</f>
        <v/>
      </c>
      <c r="V14" s="204" t="str">
        <f>IFERROR(VLOOKUP(TableHandbook[[#This Row],[UDC]],TableOCEDUC[],7,FALSE),"")</f>
        <v/>
      </c>
      <c r="W14" s="204" t="str">
        <f>IFERROR(VLOOKUP(TableHandbook[[#This Row],[UDC]],TableOGEDUC[],7,FALSE),"")</f>
        <v/>
      </c>
      <c r="X14" s="204" t="str">
        <f>IFERROR(VLOOKUP(TableHandbook[[#This Row],[UDC]],TableOUMPEDUPR[],7,FALSE),"")</f>
        <v/>
      </c>
      <c r="Y14" s="204" t="str">
        <f>IFERROR(VLOOKUP(TableHandbook[[#This Row],[UDC]],TableOUMPEDUSC[],7,FALSE),"")</f>
        <v/>
      </c>
      <c r="Z14" s="206" t="str">
        <f>IFERROR(VLOOKUP(TableHandbook[[#This Row],[UDC]],TableOMEDUC[],7,FALSE),"")</f>
        <v/>
      </c>
      <c r="AA14" s="204" t="str">
        <f>IFERROR(VLOOKUP(TableHandbook[[#This Row],[UDC]],TableOSEPCULIN[],7,FALSE),"")</f>
        <v/>
      </c>
      <c r="AB14" s="204" t="str">
        <f>IFERROR(VLOOKUP(TableHandbook[[#This Row],[UDC]],TableOSEPLNTCH[],7,FALSE),"")</f>
        <v/>
      </c>
      <c r="AC14" s="204" t="str">
        <f>IFERROR(VLOOKUP(TableHandbook[[#This Row],[UDC]],TableOSEPSTEME[],7,FALSE),"")</f>
        <v/>
      </c>
    </row>
    <row r="15" spans="1:29" x14ac:dyDescent="0.25">
      <c r="A15" s="2" t="s">
        <v>140</v>
      </c>
      <c r="B15" s="3">
        <v>1</v>
      </c>
      <c r="C15" s="3" t="s">
        <v>141</v>
      </c>
      <c r="D15" s="2" t="s">
        <v>142</v>
      </c>
      <c r="E15" s="3">
        <v>25</v>
      </c>
      <c r="F15" s="230" t="s">
        <v>115</v>
      </c>
      <c r="G15" s="203" t="str">
        <f>IFERROR(IF(VLOOKUP(TableHandbook[[#This Row],[UDC]],TableAvailabilities[],2,FALSE)&gt;0,"Y",""),"")</f>
        <v/>
      </c>
      <c r="H15" s="203" t="str">
        <f>IFERROR(IF(VLOOKUP(TableHandbook[[#This Row],[UDC]],TableAvailabilities[],3,FALSE)&gt;0,"Y",""),"")</f>
        <v/>
      </c>
      <c r="I15" s="203" t="str">
        <f>IFERROR(IF(VLOOKUP(TableHandbook[[#This Row],[UDC]],TableAvailabilities[],4,FALSE)&gt;0,"Y",""),"")</f>
        <v/>
      </c>
      <c r="J15" s="203" t="str">
        <f>IFERROR(IF(VLOOKUP(TableHandbook[[#This Row],[UDC]],TableAvailabilities[],5,FALSE)&gt;0,"Y",""),"")</f>
        <v>Y</v>
      </c>
      <c r="K15" s="2"/>
      <c r="L15" s="206" t="str">
        <f>IFERROR(VLOOKUP(TableHandbook[[#This Row],[UDC]],TableOMTEACH1[],7,FALSE),"")</f>
        <v/>
      </c>
      <c r="M15" s="204" t="str">
        <f>IFERROR(VLOOKUP(TableHandbook[[#This Row],[UDC]],TableOUMPTCHEC[],7,FALSE),"")</f>
        <v>Core</v>
      </c>
      <c r="N15" s="204" t="str">
        <f>IFERROR(VLOOKUP(TableHandbook[[#This Row],[UDC]],TableOUMPTCHPE[],7,FALSE),"")</f>
        <v/>
      </c>
      <c r="O15" s="204" t="str">
        <f>IFERROR(VLOOKUP(TableHandbook[[#This Row],[UDC]],TableOUMPTCHSE[],7,FALSE),"")</f>
        <v/>
      </c>
      <c r="P15" s="206" t="str">
        <f>IFERROR(VLOOKUP(TableHandbook[[#This Row],[UDC]],TableOCTESOL1[],7,FALSE),"")</f>
        <v/>
      </c>
      <c r="Q15" s="204" t="str">
        <f>IFERROR(VLOOKUP(TableHandbook[[#This Row],[UDC]],TableOCTESOL[],7,FALSE),"")</f>
        <v/>
      </c>
      <c r="R15" s="204" t="str">
        <f>IFERROR(VLOOKUP(TableHandbook[[#This Row],[UDC]],TableOMAPLING[],7,FALSE),"")</f>
        <v/>
      </c>
      <c r="S15" s="206" t="str">
        <f>IFERROR(VLOOKUP(TableHandbook[[#This Row],[UDC]],TableOCEDHE1[],7,FALSE),"")</f>
        <v/>
      </c>
      <c r="T15" s="204" t="str">
        <f>IFERROR(VLOOKUP(TableHandbook[[#This Row],[UDC]],TableOCEDHE[],7,FALSE),"")</f>
        <v/>
      </c>
      <c r="U15" s="204" t="str">
        <f>IFERROR(VLOOKUP(TableHandbook[[#This Row],[UDC]],TableOCEDUCS1[],7,FALSE),"")</f>
        <v/>
      </c>
      <c r="V15" s="204" t="str">
        <f>IFERROR(VLOOKUP(TableHandbook[[#This Row],[UDC]],TableOCEDUC[],7,FALSE),"")</f>
        <v/>
      </c>
      <c r="W15" s="204" t="str">
        <f>IFERROR(VLOOKUP(TableHandbook[[#This Row],[UDC]],TableOGEDUC[],7,FALSE),"")</f>
        <v/>
      </c>
      <c r="X15" s="204" t="str">
        <f>IFERROR(VLOOKUP(TableHandbook[[#This Row],[UDC]],TableOUMPEDUPR[],7,FALSE),"")</f>
        <v/>
      </c>
      <c r="Y15" s="204" t="str">
        <f>IFERROR(VLOOKUP(TableHandbook[[#This Row],[UDC]],TableOUMPEDUSC[],7,FALSE),"")</f>
        <v/>
      </c>
      <c r="Z15" s="206" t="str">
        <f>IFERROR(VLOOKUP(TableHandbook[[#This Row],[UDC]],TableOMEDUC[],7,FALSE),"")</f>
        <v/>
      </c>
      <c r="AA15" s="204" t="str">
        <f>IFERROR(VLOOKUP(TableHandbook[[#This Row],[UDC]],TableOSEPCULIN[],7,FALSE),"")</f>
        <v/>
      </c>
      <c r="AB15" s="204" t="str">
        <f>IFERROR(VLOOKUP(TableHandbook[[#This Row],[UDC]],TableOSEPLNTCH[],7,FALSE),"")</f>
        <v/>
      </c>
      <c r="AC15" s="204" t="str">
        <f>IFERROR(VLOOKUP(TableHandbook[[#This Row],[UDC]],TableOSEPSTEME[],7,FALSE),"")</f>
        <v/>
      </c>
    </row>
    <row r="16" spans="1:29" x14ac:dyDescent="0.25">
      <c r="A16" s="2" t="s">
        <v>143</v>
      </c>
      <c r="B16" s="3">
        <v>1</v>
      </c>
      <c r="C16" s="3" t="s">
        <v>144</v>
      </c>
      <c r="D16" s="2" t="s">
        <v>145</v>
      </c>
      <c r="E16" s="3">
        <v>25</v>
      </c>
      <c r="F16" s="230" t="s">
        <v>115</v>
      </c>
      <c r="G16" s="203" t="str">
        <f>IFERROR(IF(VLOOKUP(TableHandbook[[#This Row],[UDC]],TableAvailabilities[],2,FALSE)&gt;0,"Y",""),"")</f>
        <v/>
      </c>
      <c r="H16" s="203" t="str">
        <f>IFERROR(IF(VLOOKUP(TableHandbook[[#This Row],[UDC]],TableAvailabilities[],3,FALSE)&gt;0,"Y",""),"")</f>
        <v/>
      </c>
      <c r="I16" s="203" t="str">
        <f>IFERROR(IF(VLOOKUP(TableHandbook[[#This Row],[UDC]],TableAvailabilities[],4,FALSE)&gt;0,"Y",""),"")</f>
        <v>Y</v>
      </c>
      <c r="J16" s="203" t="str">
        <f>IFERROR(IF(VLOOKUP(TableHandbook[[#This Row],[UDC]],TableAvailabilities[],5,FALSE)&gt;0,"Y",""),"")</f>
        <v/>
      </c>
      <c r="K16" s="2"/>
      <c r="L16" s="206" t="str">
        <f>IFERROR(VLOOKUP(TableHandbook[[#This Row],[UDC]],TableOMTEACH1[],7,FALSE),"")</f>
        <v/>
      </c>
      <c r="M16" s="204" t="str">
        <f>IFERROR(VLOOKUP(TableHandbook[[#This Row],[UDC]],TableOUMPTCHEC[],7,FALSE),"")</f>
        <v>Core</v>
      </c>
      <c r="N16" s="204" t="str">
        <f>IFERROR(VLOOKUP(TableHandbook[[#This Row],[UDC]],TableOUMPTCHPE[],7,FALSE),"")</f>
        <v/>
      </c>
      <c r="O16" s="204" t="str">
        <f>IFERROR(VLOOKUP(TableHandbook[[#This Row],[UDC]],TableOUMPTCHSE[],7,FALSE),"")</f>
        <v/>
      </c>
      <c r="P16" s="206" t="str">
        <f>IFERROR(VLOOKUP(TableHandbook[[#This Row],[UDC]],TableOCTESOL1[],7,FALSE),"")</f>
        <v/>
      </c>
      <c r="Q16" s="204" t="str">
        <f>IFERROR(VLOOKUP(TableHandbook[[#This Row],[UDC]],TableOCTESOL[],7,FALSE),"")</f>
        <v/>
      </c>
      <c r="R16" s="204" t="str">
        <f>IFERROR(VLOOKUP(TableHandbook[[#This Row],[UDC]],TableOMAPLING[],7,FALSE),"")</f>
        <v/>
      </c>
      <c r="S16" s="206" t="str">
        <f>IFERROR(VLOOKUP(TableHandbook[[#This Row],[UDC]],TableOCEDHE1[],7,FALSE),"")</f>
        <v/>
      </c>
      <c r="T16" s="204" t="str">
        <f>IFERROR(VLOOKUP(TableHandbook[[#This Row],[UDC]],TableOCEDHE[],7,FALSE),"")</f>
        <v/>
      </c>
      <c r="U16" s="204" t="str">
        <f>IFERROR(VLOOKUP(TableHandbook[[#This Row],[UDC]],TableOCEDUCS1[],7,FALSE),"")</f>
        <v/>
      </c>
      <c r="V16" s="204" t="str">
        <f>IFERROR(VLOOKUP(TableHandbook[[#This Row],[UDC]],TableOCEDUC[],7,FALSE),"")</f>
        <v/>
      </c>
      <c r="W16" s="204" t="str">
        <f>IFERROR(VLOOKUP(TableHandbook[[#This Row],[UDC]],TableOGEDUC[],7,FALSE),"")</f>
        <v/>
      </c>
      <c r="X16" s="204" t="str">
        <f>IFERROR(VLOOKUP(TableHandbook[[#This Row],[UDC]],TableOUMPEDUPR[],7,FALSE),"")</f>
        <v/>
      </c>
      <c r="Y16" s="204" t="str">
        <f>IFERROR(VLOOKUP(TableHandbook[[#This Row],[UDC]],TableOUMPEDUSC[],7,FALSE),"")</f>
        <v/>
      </c>
      <c r="Z16" s="206" t="str">
        <f>IFERROR(VLOOKUP(TableHandbook[[#This Row],[UDC]],TableOMEDUC[],7,FALSE),"")</f>
        <v/>
      </c>
      <c r="AA16" s="204" t="str">
        <f>IFERROR(VLOOKUP(TableHandbook[[#This Row],[UDC]],TableOSEPCULIN[],7,FALSE),"")</f>
        <v/>
      </c>
      <c r="AB16" s="204" t="str">
        <f>IFERROR(VLOOKUP(TableHandbook[[#This Row],[UDC]],TableOSEPLNTCH[],7,FALSE),"")</f>
        <v/>
      </c>
      <c r="AC16" s="204" t="str">
        <f>IFERROR(VLOOKUP(TableHandbook[[#This Row],[UDC]],TableOSEPSTEME[],7,FALSE),"")</f>
        <v/>
      </c>
    </row>
    <row r="17" spans="1:29" x14ac:dyDescent="0.25">
      <c r="A17" s="2" t="s">
        <v>146</v>
      </c>
      <c r="B17" s="3">
        <v>1</v>
      </c>
      <c r="C17" s="3" t="s">
        <v>147</v>
      </c>
      <c r="D17" s="2" t="s">
        <v>148</v>
      </c>
      <c r="E17" s="3">
        <v>25</v>
      </c>
      <c r="F17" s="230" t="s">
        <v>115</v>
      </c>
      <c r="G17" s="203" t="str">
        <f>IFERROR(IF(VLOOKUP(TableHandbook[[#This Row],[UDC]],TableAvailabilities[],2,FALSE)&gt;0,"Y",""),"")</f>
        <v>Y</v>
      </c>
      <c r="H17" s="203" t="str">
        <f>IFERROR(IF(VLOOKUP(TableHandbook[[#This Row],[UDC]],TableAvailabilities[],3,FALSE)&gt;0,"Y",""),"")</f>
        <v/>
      </c>
      <c r="I17" s="203" t="str">
        <f>IFERROR(IF(VLOOKUP(TableHandbook[[#This Row],[UDC]],TableAvailabilities[],4,FALSE)&gt;0,"Y",""),"")</f>
        <v>Y</v>
      </c>
      <c r="J17" s="203" t="str">
        <f>IFERROR(IF(VLOOKUP(TableHandbook[[#This Row],[UDC]],TableAvailabilities[],5,FALSE)&gt;0,"Y",""),"")</f>
        <v/>
      </c>
      <c r="K17" s="2"/>
      <c r="L17" s="206" t="str">
        <f>IFERROR(VLOOKUP(TableHandbook[[#This Row],[UDC]],TableOMTEACH1[],7,FALSE),"")</f>
        <v/>
      </c>
      <c r="M17" s="204" t="str">
        <f>IFERROR(VLOOKUP(TableHandbook[[#This Row],[UDC]],TableOUMPTCHEC[],7,FALSE),"")</f>
        <v/>
      </c>
      <c r="N17" s="204" t="str">
        <f>IFERROR(VLOOKUP(TableHandbook[[#This Row],[UDC]],TableOUMPTCHPE[],7,FALSE),"")</f>
        <v/>
      </c>
      <c r="O17" s="204" t="str">
        <f>IFERROR(VLOOKUP(TableHandbook[[#This Row],[UDC]],TableOUMPTCHSE[],7,FALSE),"")</f>
        <v/>
      </c>
      <c r="P17" s="206" t="str">
        <f>IFERROR(VLOOKUP(TableHandbook[[#This Row],[UDC]],TableOCTESOL1[],7,FALSE),"")</f>
        <v/>
      </c>
      <c r="Q17" s="204" t="str">
        <f>IFERROR(VLOOKUP(TableHandbook[[#This Row],[UDC]],TableOCTESOL[],7,FALSE),"")</f>
        <v/>
      </c>
      <c r="R17" s="204" t="str">
        <f>IFERROR(VLOOKUP(TableHandbook[[#This Row],[UDC]],TableOMAPLING[],7,FALSE),"")</f>
        <v/>
      </c>
      <c r="S17" s="206" t="str">
        <f>IFERROR(VLOOKUP(TableHandbook[[#This Row],[UDC]],TableOCEDHE1[],7,FALSE),"")</f>
        <v>Core</v>
      </c>
      <c r="T17" s="204" t="str">
        <f>IFERROR(VLOOKUP(TableHandbook[[#This Row],[UDC]],TableOCEDHE[],7,FALSE),"")</f>
        <v>Core</v>
      </c>
      <c r="U17" s="204" t="str">
        <f>IFERROR(VLOOKUP(TableHandbook[[#This Row],[UDC]],TableOCEDUCS1[],7,FALSE),"")</f>
        <v/>
      </c>
      <c r="V17" s="204" t="str">
        <f>IFERROR(VLOOKUP(TableHandbook[[#This Row],[UDC]],TableOCEDUC[],7,FALSE),"")</f>
        <v/>
      </c>
      <c r="W17" s="204" t="str">
        <f>IFERROR(VLOOKUP(TableHandbook[[#This Row],[UDC]],TableOGEDUC[],7,FALSE),"")</f>
        <v/>
      </c>
      <c r="X17" s="204" t="str">
        <f>IFERROR(VLOOKUP(TableHandbook[[#This Row],[UDC]],TableOUMPEDUPR[],7,FALSE),"")</f>
        <v/>
      </c>
      <c r="Y17" s="204" t="str">
        <f>IFERROR(VLOOKUP(TableHandbook[[#This Row],[UDC]],TableOUMPEDUSC[],7,FALSE),"")</f>
        <v/>
      </c>
      <c r="Z17" s="206" t="str">
        <f>IFERROR(VLOOKUP(TableHandbook[[#This Row],[UDC]],TableOMEDUC[],7,FALSE),"")</f>
        <v/>
      </c>
      <c r="AA17" s="204" t="str">
        <f>IFERROR(VLOOKUP(TableHandbook[[#This Row],[UDC]],TableOSEPCULIN[],7,FALSE),"")</f>
        <v/>
      </c>
      <c r="AB17" s="204" t="str">
        <f>IFERROR(VLOOKUP(TableHandbook[[#This Row],[UDC]],TableOSEPLNTCH[],7,FALSE),"")</f>
        <v/>
      </c>
      <c r="AC17" s="204" t="str">
        <f>IFERROR(VLOOKUP(TableHandbook[[#This Row],[UDC]],TableOSEPSTEME[],7,FALSE),"")</f>
        <v/>
      </c>
    </row>
    <row r="18" spans="1:29" x14ac:dyDescent="0.25">
      <c r="A18" s="2" t="s">
        <v>149</v>
      </c>
      <c r="B18" s="3">
        <v>1</v>
      </c>
      <c r="C18" s="3" t="s">
        <v>150</v>
      </c>
      <c r="D18" s="2" t="s">
        <v>151</v>
      </c>
      <c r="E18" s="3">
        <v>25</v>
      </c>
      <c r="F18" s="230" t="s">
        <v>115</v>
      </c>
      <c r="G18" s="203" t="str">
        <f>IFERROR(IF(VLOOKUP(TableHandbook[[#This Row],[UDC]],TableAvailabilities[],2,FALSE)&gt;0,"Y",""),"")</f>
        <v/>
      </c>
      <c r="H18" s="203" t="str">
        <f>IFERROR(IF(VLOOKUP(TableHandbook[[#This Row],[UDC]],TableAvailabilities[],3,FALSE)&gt;0,"Y",""),"")</f>
        <v>Y</v>
      </c>
      <c r="I18" s="203" t="str">
        <f>IFERROR(IF(VLOOKUP(TableHandbook[[#This Row],[UDC]],TableAvailabilities[],4,FALSE)&gt;0,"Y",""),"")</f>
        <v/>
      </c>
      <c r="J18" s="203" t="str">
        <f>IFERROR(IF(VLOOKUP(TableHandbook[[#This Row],[UDC]],TableAvailabilities[],5,FALSE)&gt;0,"Y",""),"")</f>
        <v>Y</v>
      </c>
      <c r="K18" s="2"/>
      <c r="L18" s="206" t="str">
        <f>IFERROR(VLOOKUP(TableHandbook[[#This Row],[UDC]],TableOMTEACH1[],7,FALSE),"")</f>
        <v/>
      </c>
      <c r="M18" s="204" t="str">
        <f>IFERROR(VLOOKUP(TableHandbook[[#This Row],[UDC]],TableOUMPTCHEC[],7,FALSE),"")</f>
        <v/>
      </c>
      <c r="N18" s="204" t="str">
        <f>IFERROR(VLOOKUP(TableHandbook[[#This Row],[UDC]],TableOUMPTCHPE[],7,FALSE),"")</f>
        <v/>
      </c>
      <c r="O18" s="204" t="str">
        <f>IFERROR(VLOOKUP(TableHandbook[[#This Row],[UDC]],TableOUMPTCHSE[],7,FALSE),"")</f>
        <v/>
      </c>
      <c r="P18" s="206" t="str">
        <f>IFERROR(VLOOKUP(TableHandbook[[#This Row],[UDC]],TableOCTESOL1[],7,FALSE),"")</f>
        <v/>
      </c>
      <c r="Q18" s="204" t="str">
        <f>IFERROR(VLOOKUP(TableHandbook[[#This Row],[UDC]],TableOCTESOL[],7,FALSE),"")</f>
        <v/>
      </c>
      <c r="R18" s="204" t="str">
        <f>IFERROR(VLOOKUP(TableHandbook[[#This Row],[UDC]],TableOMAPLING[],7,FALSE),"")</f>
        <v/>
      </c>
      <c r="S18" s="206" t="str">
        <f>IFERROR(VLOOKUP(TableHandbook[[#This Row],[UDC]],TableOCEDHE1[],7,FALSE),"")</f>
        <v>Core</v>
      </c>
      <c r="T18" s="204" t="str">
        <f>IFERROR(VLOOKUP(TableHandbook[[#This Row],[UDC]],TableOCEDHE[],7,FALSE),"")</f>
        <v>Core</v>
      </c>
      <c r="U18" s="204" t="str">
        <f>IFERROR(VLOOKUP(TableHandbook[[#This Row],[UDC]],TableOCEDUCS1[],7,FALSE),"")</f>
        <v/>
      </c>
      <c r="V18" s="204" t="str">
        <f>IFERROR(VLOOKUP(TableHandbook[[#This Row],[UDC]],TableOCEDUC[],7,FALSE),"")</f>
        <v/>
      </c>
      <c r="W18" s="204" t="str">
        <f>IFERROR(VLOOKUP(TableHandbook[[#This Row],[UDC]],TableOGEDUC[],7,FALSE),"")</f>
        <v/>
      </c>
      <c r="X18" s="204" t="str">
        <f>IFERROR(VLOOKUP(TableHandbook[[#This Row],[UDC]],TableOUMPEDUPR[],7,FALSE),"")</f>
        <v/>
      </c>
      <c r="Y18" s="204" t="str">
        <f>IFERROR(VLOOKUP(TableHandbook[[#This Row],[UDC]],TableOUMPEDUSC[],7,FALSE),"")</f>
        <v/>
      </c>
      <c r="Z18" s="206" t="str">
        <f>IFERROR(VLOOKUP(TableHandbook[[#This Row],[UDC]],TableOMEDUC[],7,FALSE),"")</f>
        <v/>
      </c>
      <c r="AA18" s="204" t="str">
        <f>IFERROR(VLOOKUP(TableHandbook[[#This Row],[UDC]],TableOSEPCULIN[],7,FALSE),"")</f>
        <v/>
      </c>
      <c r="AB18" s="204" t="str">
        <f>IFERROR(VLOOKUP(TableHandbook[[#This Row],[UDC]],TableOSEPLNTCH[],7,FALSE),"")</f>
        <v/>
      </c>
      <c r="AC18" s="204" t="str">
        <f>IFERROR(VLOOKUP(TableHandbook[[#This Row],[UDC]],TableOSEPSTEME[],7,FALSE),"")</f>
        <v/>
      </c>
    </row>
    <row r="19" spans="1:29" x14ac:dyDescent="0.25">
      <c r="A19" s="2" t="s">
        <v>152</v>
      </c>
      <c r="B19" s="3">
        <v>1</v>
      </c>
      <c r="C19" s="3" t="s">
        <v>153</v>
      </c>
      <c r="D19" s="2" t="s">
        <v>154</v>
      </c>
      <c r="E19" s="3">
        <v>25</v>
      </c>
      <c r="F19" s="230" t="s">
        <v>115</v>
      </c>
      <c r="G19" s="203" t="str">
        <f>IFERROR(IF(VLOOKUP(TableHandbook[[#This Row],[UDC]],TableAvailabilities[],2,FALSE)&gt;0,"Y",""),"")</f>
        <v>Y</v>
      </c>
      <c r="H19" s="203" t="str">
        <f>IFERROR(IF(VLOOKUP(TableHandbook[[#This Row],[UDC]],TableAvailabilities[],3,FALSE)&gt;0,"Y",""),"")</f>
        <v/>
      </c>
      <c r="I19" s="203" t="str">
        <f>IFERROR(IF(VLOOKUP(TableHandbook[[#This Row],[UDC]],TableAvailabilities[],4,FALSE)&gt;0,"Y",""),"")</f>
        <v>Y</v>
      </c>
      <c r="J19" s="203" t="str">
        <f>IFERROR(IF(VLOOKUP(TableHandbook[[#This Row],[UDC]],TableAvailabilities[],5,FALSE)&gt;0,"Y",""),"")</f>
        <v/>
      </c>
      <c r="K19" s="2"/>
      <c r="L19" s="206" t="str">
        <f>IFERROR(VLOOKUP(TableHandbook[[#This Row],[UDC]],TableOMTEACH1[],7,FALSE),"")</f>
        <v/>
      </c>
      <c r="M19" s="204" t="str">
        <f>IFERROR(VLOOKUP(TableHandbook[[#This Row],[UDC]],TableOUMPTCHEC[],7,FALSE),"")</f>
        <v/>
      </c>
      <c r="N19" s="204" t="str">
        <f>IFERROR(VLOOKUP(TableHandbook[[#This Row],[UDC]],TableOUMPTCHPE[],7,FALSE),"")</f>
        <v/>
      </c>
      <c r="O19" s="204" t="str">
        <f>IFERROR(VLOOKUP(TableHandbook[[#This Row],[UDC]],TableOUMPTCHSE[],7,FALSE),"")</f>
        <v/>
      </c>
      <c r="P19" s="206" t="str">
        <f>IFERROR(VLOOKUP(TableHandbook[[#This Row],[UDC]],TableOCTESOL1[],7,FALSE),"")</f>
        <v/>
      </c>
      <c r="Q19" s="204" t="str">
        <f>IFERROR(VLOOKUP(TableHandbook[[#This Row],[UDC]],TableOCTESOL[],7,FALSE),"")</f>
        <v/>
      </c>
      <c r="R19" s="204" t="str">
        <f>IFERROR(VLOOKUP(TableHandbook[[#This Row],[UDC]],TableOMAPLING[],7,FALSE),"")</f>
        <v/>
      </c>
      <c r="S19" s="206" t="str">
        <f>IFERROR(VLOOKUP(TableHandbook[[#This Row],[UDC]],TableOCEDHE1[],7,FALSE),"")</f>
        <v>Core</v>
      </c>
      <c r="T19" s="204" t="str">
        <f>IFERROR(VLOOKUP(TableHandbook[[#This Row],[UDC]],TableOCEDHE[],7,FALSE),"")</f>
        <v>Core</v>
      </c>
      <c r="U19" s="204" t="str">
        <f>IFERROR(VLOOKUP(TableHandbook[[#This Row],[UDC]],TableOCEDUCS1[],7,FALSE),"")</f>
        <v/>
      </c>
      <c r="V19" s="204" t="str">
        <f>IFERROR(VLOOKUP(TableHandbook[[#This Row],[UDC]],TableOCEDUC[],7,FALSE),"")</f>
        <v/>
      </c>
      <c r="W19" s="204" t="str">
        <f>IFERROR(VLOOKUP(TableHandbook[[#This Row],[UDC]],TableOGEDUC[],7,FALSE),"")</f>
        <v/>
      </c>
      <c r="X19" s="204" t="str">
        <f>IFERROR(VLOOKUP(TableHandbook[[#This Row],[UDC]],TableOUMPEDUPR[],7,FALSE),"")</f>
        <v/>
      </c>
      <c r="Y19" s="204" t="str">
        <f>IFERROR(VLOOKUP(TableHandbook[[#This Row],[UDC]],TableOUMPEDUSC[],7,FALSE),"")</f>
        <v/>
      </c>
      <c r="Z19" s="206" t="str">
        <f>IFERROR(VLOOKUP(TableHandbook[[#This Row],[UDC]],TableOMEDUC[],7,FALSE),"")</f>
        <v/>
      </c>
      <c r="AA19" s="204" t="str">
        <f>IFERROR(VLOOKUP(TableHandbook[[#This Row],[UDC]],TableOSEPCULIN[],7,FALSE),"")</f>
        <v/>
      </c>
      <c r="AB19" s="204" t="str">
        <f>IFERROR(VLOOKUP(TableHandbook[[#This Row],[UDC]],TableOSEPLNTCH[],7,FALSE),"")</f>
        <v/>
      </c>
      <c r="AC19" s="204" t="str">
        <f>IFERROR(VLOOKUP(TableHandbook[[#This Row],[UDC]],TableOSEPSTEME[],7,FALSE),"")</f>
        <v/>
      </c>
    </row>
    <row r="20" spans="1:29" x14ac:dyDescent="0.25">
      <c r="A20" s="2" t="s">
        <v>155</v>
      </c>
      <c r="B20" s="3">
        <v>1</v>
      </c>
      <c r="C20" s="3" t="s">
        <v>156</v>
      </c>
      <c r="D20" s="2" t="s">
        <v>157</v>
      </c>
      <c r="E20" s="3">
        <v>25</v>
      </c>
      <c r="F20" s="230" t="s">
        <v>115</v>
      </c>
      <c r="G20" s="203" t="str">
        <f>IFERROR(IF(VLOOKUP(TableHandbook[[#This Row],[UDC]],TableAvailabilities[],2,FALSE)&gt;0,"Y",""),"")</f>
        <v/>
      </c>
      <c r="H20" s="203" t="str">
        <f>IFERROR(IF(VLOOKUP(TableHandbook[[#This Row],[UDC]],TableAvailabilities[],3,FALSE)&gt;0,"Y",""),"")</f>
        <v>Y</v>
      </c>
      <c r="I20" s="203" t="str">
        <f>IFERROR(IF(VLOOKUP(TableHandbook[[#This Row],[UDC]],TableAvailabilities[],4,FALSE)&gt;0,"Y",""),"")</f>
        <v/>
      </c>
      <c r="J20" s="203" t="str">
        <f>IFERROR(IF(VLOOKUP(TableHandbook[[#This Row],[UDC]],TableAvailabilities[],5,FALSE)&gt;0,"Y",""),"")</f>
        <v>Y</v>
      </c>
      <c r="K20" s="2"/>
      <c r="L20" s="206" t="str">
        <f>IFERROR(VLOOKUP(TableHandbook[[#This Row],[UDC]],TableOMTEACH1[],7,FALSE),"")</f>
        <v/>
      </c>
      <c r="M20" s="204" t="str">
        <f>IFERROR(VLOOKUP(TableHandbook[[#This Row],[UDC]],TableOUMPTCHEC[],7,FALSE),"")</f>
        <v/>
      </c>
      <c r="N20" s="204" t="str">
        <f>IFERROR(VLOOKUP(TableHandbook[[#This Row],[UDC]],TableOUMPTCHPE[],7,FALSE),"")</f>
        <v/>
      </c>
      <c r="O20" s="204" t="str">
        <f>IFERROR(VLOOKUP(TableHandbook[[#This Row],[UDC]],TableOUMPTCHSE[],7,FALSE),"")</f>
        <v/>
      </c>
      <c r="P20" s="206" t="str">
        <f>IFERROR(VLOOKUP(TableHandbook[[#This Row],[UDC]],TableOCTESOL1[],7,FALSE),"")</f>
        <v/>
      </c>
      <c r="Q20" s="204" t="str">
        <f>IFERROR(VLOOKUP(TableHandbook[[#This Row],[UDC]],TableOCTESOL[],7,FALSE),"")</f>
        <v/>
      </c>
      <c r="R20" s="204" t="str">
        <f>IFERROR(VLOOKUP(TableHandbook[[#This Row],[UDC]],TableOMAPLING[],7,FALSE),"")</f>
        <v/>
      </c>
      <c r="S20" s="206" t="str">
        <f>IFERROR(VLOOKUP(TableHandbook[[#This Row],[UDC]],TableOCEDHE1[],7,FALSE),"")</f>
        <v>Core</v>
      </c>
      <c r="T20" s="204" t="str">
        <f>IFERROR(VLOOKUP(TableHandbook[[#This Row],[UDC]],TableOCEDHE[],7,FALSE),"")</f>
        <v>Core</v>
      </c>
      <c r="U20" s="204" t="str">
        <f>IFERROR(VLOOKUP(TableHandbook[[#This Row],[UDC]],TableOCEDUCS1[],7,FALSE),"")</f>
        <v/>
      </c>
      <c r="V20" s="204" t="str">
        <f>IFERROR(VLOOKUP(TableHandbook[[#This Row],[UDC]],TableOCEDUC[],7,FALSE),"")</f>
        <v/>
      </c>
      <c r="W20" s="204" t="str">
        <f>IFERROR(VLOOKUP(TableHandbook[[#This Row],[UDC]],TableOGEDUC[],7,FALSE),"")</f>
        <v/>
      </c>
      <c r="X20" s="204" t="str">
        <f>IFERROR(VLOOKUP(TableHandbook[[#This Row],[UDC]],TableOUMPEDUPR[],7,FALSE),"")</f>
        <v/>
      </c>
      <c r="Y20" s="204" t="str">
        <f>IFERROR(VLOOKUP(TableHandbook[[#This Row],[UDC]],TableOUMPEDUSC[],7,FALSE),"")</f>
        <v/>
      </c>
      <c r="Z20" s="206" t="str">
        <f>IFERROR(VLOOKUP(TableHandbook[[#This Row],[UDC]],TableOMEDUC[],7,FALSE),"")</f>
        <v/>
      </c>
      <c r="AA20" s="204" t="str">
        <f>IFERROR(VLOOKUP(TableHandbook[[#This Row],[UDC]],TableOSEPCULIN[],7,FALSE),"")</f>
        <v/>
      </c>
      <c r="AB20" s="204" t="str">
        <f>IFERROR(VLOOKUP(TableHandbook[[#This Row],[UDC]],TableOSEPLNTCH[],7,FALSE),"")</f>
        <v/>
      </c>
      <c r="AC20" s="204" t="str">
        <f>IFERROR(VLOOKUP(TableHandbook[[#This Row],[UDC]],TableOSEPSTEME[],7,FALSE),"")</f>
        <v/>
      </c>
    </row>
    <row r="21" spans="1:29" x14ac:dyDescent="0.25">
      <c r="A21" s="2" t="s">
        <v>158</v>
      </c>
      <c r="B21" s="3">
        <v>1</v>
      </c>
      <c r="C21" s="3" t="s">
        <v>159</v>
      </c>
      <c r="D21" s="2" t="s">
        <v>160</v>
      </c>
      <c r="E21" s="3">
        <v>25</v>
      </c>
      <c r="F21" s="230" t="s">
        <v>115</v>
      </c>
      <c r="G21" s="203" t="str">
        <f>IFERROR(IF(VLOOKUP(TableHandbook[[#This Row],[UDC]],TableAvailabilities[],2,FALSE)&gt;0,"Y",""),"")</f>
        <v/>
      </c>
      <c r="H21" s="203" t="str">
        <f>IFERROR(IF(VLOOKUP(TableHandbook[[#This Row],[UDC]],TableAvailabilities[],3,FALSE)&gt;0,"Y",""),"")</f>
        <v>Y</v>
      </c>
      <c r="I21" s="203" t="str">
        <f>IFERROR(IF(VLOOKUP(TableHandbook[[#This Row],[UDC]],TableAvailabilities[],4,FALSE)&gt;0,"Y",""),"")</f>
        <v/>
      </c>
      <c r="J21" s="203" t="str">
        <f>IFERROR(IF(VLOOKUP(TableHandbook[[#This Row],[UDC]],TableAvailabilities[],5,FALSE)&gt;0,"Y",""),"")</f>
        <v>Y</v>
      </c>
      <c r="K21" s="2"/>
      <c r="L21" s="206" t="str">
        <f>IFERROR(VLOOKUP(TableHandbook[[#This Row],[UDC]],TableOMTEACH1[],7,FALSE),"")</f>
        <v/>
      </c>
      <c r="M21" s="204" t="str">
        <f>IFERROR(VLOOKUP(TableHandbook[[#This Row],[UDC]],TableOUMPTCHEC[],7,FALSE),"")</f>
        <v/>
      </c>
      <c r="N21" s="204" t="str">
        <f>IFERROR(VLOOKUP(TableHandbook[[#This Row],[UDC]],TableOUMPTCHPE[],7,FALSE),"")</f>
        <v>Core</v>
      </c>
      <c r="O21" s="204" t="str">
        <f>IFERROR(VLOOKUP(TableHandbook[[#This Row],[UDC]],TableOUMPTCHSE[],7,FALSE),"")</f>
        <v/>
      </c>
      <c r="P21" s="206" t="str">
        <f>IFERROR(VLOOKUP(TableHandbook[[#This Row],[UDC]],TableOCTESOL1[],7,FALSE),"")</f>
        <v/>
      </c>
      <c r="Q21" s="204" t="str">
        <f>IFERROR(VLOOKUP(TableHandbook[[#This Row],[UDC]],TableOCTESOL[],7,FALSE),"")</f>
        <v/>
      </c>
      <c r="R21" s="204" t="str">
        <f>IFERROR(VLOOKUP(TableHandbook[[#This Row],[UDC]],TableOMAPLING[],7,FALSE),"")</f>
        <v/>
      </c>
      <c r="S21" s="206" t="str">
        <f>IFERROR(VLOOKUP(TableHandbook[[#This Row],[UDC]],TableOCEDHE1[],7,FALSE),"")</f>
        <v/>
      </c>
      <c r="T21" s="204" t="str">
        <f>IFERROR(VLOOKUP(TableHandbook[[#This Row],[UDC]],TableOCEDHE[],7,FALSE),"")</f>
        <v/>
      </c>
      <c r="U21" s="204" t="str">
        <f>IFERROR(VLOOKUP(TableHandbook[[#This Row],[UDC]],TableOCEDUCS1[],7,FALSE),"")</f>
        <v>Option</v>
      </c>
      <c r="V21" s="204" t="str">
        <f>IFERROR(VLOOKUP(TableHandbook[[#This Row],[UDC]],TableOCEDUC[],7,FALSE),"")</f>
        <v>Option</v>
      </c>
      <c r="W21" s="204" t="str">
        <f>IFERROR(VLOOKUP(TableHandbook[[#This Row],[UDC]],TableOGEDUC[],7,FALSE),"")</f>
        <v/>
      </c>
      <c r="X21" s="204" t="str">
        <f>IFERROR(VLOOKUP(TableHandbook[[#This Row],[UDC]],TableOUMPEDUPR[],7,FALSE),"")</f>
        <v>Core</v>
      </c>
      <c r="Y21" s="204" t="str">
        <f>IFERROR(VLOOKUP(TableHandbook[[#This Row],[UDC]],TableOUMPEDUSC[],7,FALSE),"")</f>
        <v/>
      </c>
      <c r="Z21" s="206" t="str">
        <f>IFERROR(VLOOKUP(TableHandbook[[#This Row],[UDC]],TableOMEDUC[],7,FALSE),"")</f>
        <v/>
      </c>
      <c r="AA21" s="204" t="str">
        <f>IFERROR(VLOOKUP(TableHandbook[[#This Row],[UDC]],TableOSEPCULIN[],7,FALSE),"")</f>
        <v/>
      </c>
      <c r="AB21" s="204" t="str">
        <f>IFERROR(VLOOKUP(TableHandbook[[#This Row],[UDC]],TableOSEPLNTCH[],7,FALSE),"")</f>
        <v/>
      </c>
      <c r="AC21" s="204" t="str">
        <f>IFERROR(VLOOKUP(TableHandbook[[#This Row],[UDC]],TableOSEPSTEME[],7,FALSE),"")</f>
        <v/>
      </c>
    </row>
    <row r="22" spans="1:29" x14ac:dyDescent="0.25">
      <c r="A22" s="2" t="s">
        <v>161</v>
      </c>
      <c r="B22" s="3">
        <v>3</v>
      </c>
      <c r="C22" s="3" t="s">
        <v>162</v>
      </c>
      <c r="D22" s="2" t="s">
        <v>163</v>
      </c>
      <c r="E22" s="3">
        <v>25</v>
      </c>
      <c r="F22" s="230" t="s">
        <v>115</v>
      </c>
      <c r="G22" s="203" t="str">
        <f>IFERROR(IF(VLOOKUP(TableHandbook[[#This Row],[UDC]],TableAvailabilities[],2,FALSE)&gt;0,"Y",""),"")</f>
        <v>Y</v>
      </c>
      <c r="H22" s="203" t="str">
        <f>IFERROR(IF(VLOOKUP(TableHandbook[[#This Row],[UDC]],TableAvailabilities[],3,FALSE)&gt;0,"Y",""),"")</f>
        <v>Y</v>
      </c>
      <c r="I22" s="203" t="str">
        <f>IFERROR(IF(VLOOKUP(TableHandbook[[#This Row],[UDC]],TableAvailabilities[],4,FALSE)&gt;0,"Y",""),"")</f>
        <v/>
      </c>
      <c r="J22" s="203" t="str">
        <f>IFERROR(IF(VLOOKUP(TableHandbook[[#This Row],[UDC]],TableAvailabilities[],5,FALSE)&gt;0,"Y",""),"")</f>
        <v/>
      </c>
      <c r="K22" s="2"/>
      <c r="L22" s="206" t="str">
        <f>IFERROR(VLOOKUP(TableHandbook[[#This Row],[UDC]],TableOMTEACH1[],7,FALSE),"")</f>
        <v/>
      </c>
      <c r="M22" s="204" t="str">
        <f>IFERROR(VLOOKUP(TableHandbook[[#This Row],[UDC]],TableOUMPTCHEC[],7,FALSE),"")</f>
        <v/>
      </c>
      <c r="N22" s="204" t="str">
        <f>IFERROR(VLOOKUP(TableHandbook[[#This Row],[UDC]],TableOUMPTCHPE[],7,FALSE),"")</f>
        <v>Core</v>
      </c>
      <c r="O22" s="204" t="str">
        <f>IFERROR(VLOOKUP(TableHandbook[[#This Row],[UDC]],TableOUMPTCHSE[],7,FALSE),"")</f>
        <v/>
      </c>
      <c r="P22" s="206" t="str">
        <f>IFERROR(VLOOKUP(TableHandbook[[#This Row],[UDC]],TableOCTESOL1[],7,FALSE),"")</f>
        <v/>
      </c>
      <c r="Q22" s="204" t="str">
        <f>IFERROR(VLOOKUP(TableHandbook[[#This Row],[UDC]],TableOCTESOL[],7,FALSE),"")</f>
        <v/>
      </c>
      <c r="R22" s="204" t="str">
        <f>IFERROR(VLOOKUP(TableHandbook[[#This Row],[UDC]],TableOMAPLING[],7,FALSE),"")</f>
        <v/>
      </c>
      <c r="S22" s="206" t="str">
        <f>IFERROR(VLOOKUP(TableHandbook[[#This Row],[UDC]],TableOCEDHE1[],7,FALSE),"")</f>
        <v/>
      </c>
      <c r="T22" s="204" t="str">
        <f>IFERROR(VLOOKUP(TableHandbook[[#This Row],[UDC]],TableOCEDHE[],7,FALSE),"")</f>
        <v/>
      </c>
      <c r="U22" s="204" t="str">
        <f>IFERROR(VLOOKUP(TableHandbook[[#This Row],[UDC]],TableOCEDUCS1[],7,FALSE),"")</f>
        <v/>
      </c>
      <c r="V22" s="204" t="str">
        <f>IFERROR(VLOOKUP(TableHandbook[[#This Row],[UDC]],TableOCEDUC[],7,FALSE),"")</f>
        <v/>
      </c>
      <c r="W22" s="204" t="str">
        <f>IFERROR(VLOOKUP(TableHandbook[[#This Row],[UDC]],TableOGEDUC[],7,FALSE),"")</f>
        <v/>
      </c>
      <c r="X22" s="204" t="str">
        <f>IFERROR(VLOOKUP(TableHandbook[[#This Row],[UDC]],TableOUMPEDUPR[],7,FALSE),"")</f>
        <v>Core</v>
      </c>
      <c r="Y22" s="204" t="str">
        <f>IFERROR(VLOOKUP(TableHandbook[[#This Row],[UDC]],TableOUMPEDUSC[],7,FALSE),"")</f>
        <v/>
      </c>
      <c r="Z22" s="206" t="str">
        <f>IFERROR(VLOOKUP(TableHandbook[[#This Row],[UDC]],TableOMEDUC[],7,FALSE),"")</f>
        <v/>
      </c>
      <c r="AA22" s="204" t="str">
        <f>IFERROR(VLOOKUP(TableHandbook[[#This Row],[UDC]],TableOSEPCULIN[],7,FALSE),"")</f>
        <v/>
      </c>
      <c r="AB22" s="204" t="str">
        <f>IFERROR(VLOOKUP(TableHandbook[[#This Row],[UDC]],TableOSEPLNTCH[],7,FALSE),"")</f>
        <v/>
      </c>
      <c r="AC22" s="204" t="str">
        <f>IFERROR(VLOOKUP(TableHandbook[[#This Row],[UDC]],TableOSEPSTEME[],7,FALSE),"")</f>
        <v/>
      </c>
    </row>
    <row r="23" spans="1:29" x14ac:dyDescent="0.25">
      <c r="A23" s="2" t="s">
        <v>164</v>
      </c>
      <c r="B23" s="3">
        <v>1</v>
      </c>
      <c r="C23" s="3" t="s">
        <v>165</v>
      </c>
      <c r="D23" s="2" t="s">
        <v>166</v>
      </c>
      <c r="E23" s="3">
        <v>25</v>
      </c>
      <c r="F23" s="230" t="s">
        <v>115</v>
      </c>
      <c r="G23" s="203" t="str">
        <f>IFERROR(IF(VLOOKUP(TableHandbook[[#This Row],[UDC]],TableAvailabilities[],2,FALSE)&gt;0,"Y",""),"")</f>
        <v/>
      </c>
      <c r="H23" s="203" t="str">
        <f>IFERROR(IF(VLOOKUP(TableHandbook[[#This Row],[UDC]],TableAvailabilities[],3,FALSE)&gt;0,"Y",""),"")</f>
        <v>Y</v>
      </c>
      <c r="I23" s="203" t="str">
        <f>IFERROR(IF(VLOOKUP(TableHandbook[[#This Row],[UDC]],TableAvailabilities[],4,FALSE)&gt;0,"Y",""),"")</f>
        <v/>
      </c>
      <c r="J23" s="203" t="str">
        <f>IFERROR(IF(VLOOKUP(TableHandbook[[#This Row],[UDC]],TableAvailabilities[],5,FALSE)&gt;0,"Y",""),"")</f>
        <v/>
      </c>
      <c r="K23" s="2"/>
      <c r="L23" s="206" t="str">
        <f>IFERROR(VLOOKUP(TableHandbook[[#This Row],[UDC]],TableOMTEACH1[],7,FALSE),"")</f>
        <v/>
      </c>
      <c r="M23" s="204" t="str">
        <f>IFERROR(VLOOKUP(TableHandbook[[#This Row],[UDC]],TableOUMPTCHEC[],7,FALSE),"")</f>
        <v/>
      </c>
      <c r="N23" s="204" t="str">
        <f>IFERROR(VLOOKUP(TableHandbook[[#This Row],[UDC]],TableOUMPTCHPE[],7,FALSE),"")</f>
        <v>Core</v>
      </c>
      <c r="O23" s="204" t="str">
        <f>IFERROR(VLOOKUP(TableHandbook[[#This Row],[UDC]],TableOUMPTCHSE[],7,FALSE),"")</f>
        <v/>
      </c>
      <c r="P23" s="206" t="str">
        <f>IFERROR(VLOOKUP(TableHandbook[[#This Row],[UDC]],TableOCTESOL1[],7,FALSE),"")</f>
        <v/>
      </c>
      <c r="Q23" s="204" t="str">
        <f>IFERROR(VLOOKUP(TableHandbook[[#This Row],[UDC]],TableOCTESOL[],7,FALSE),"")</f>
        <v/>
      </c>
      <c r="R23" s="204" t="str">
        <f>IFERROR(VLOOKUP(TableHandbook[[#This Row],[UDC]],TableOMAPLING[],7,FALSE),"")</f>
        <v/>
      </c>
      <c r="S23" s="206" t="str">
        <f>IFERROR(VLOOKUP(TableHandbook[[#This Row],[UDC]],TableOCEDHE1[],7,FALSE),"")</f>
        <v/>
      </c>
      <c r="T23" s="204" t="str">
        <f>IFERROR(VLOOKUP(TableHandbook[[#This Row],[UDC]],TableOCEDHE[],7,FALSE),"")</f>
        <v/>
      </c>
      <c r="U23" s="204" t="str">
        <f>IFERROR(VLOOKUP(TableHandbook[[#This Row],[UDC]],TableOCEDUCS1[],7,FALSE),"")</f>
        <v>Option</v>
      </c>
      <c r="V23" s="204" t="str">
        <f>IFERROR(VLOOKUP(TableHandbook[[#This Row],[UDC]],TableOCEDUC[],7,FALSE),"")</f>
        <v>Option</v>
      </c>
      <c r="W23" s="204" t="str">
        <f>IFERROR(VLOOKUP(TableHandbook[[#This Row],[UDC]],TableOGEDUC[],7,FALSE),"")</f>
        <v/>
      </c>
      <c r="X23" s="204" t="str">
        <f>IFERROR(VLOOKUP(TableHandbook[[#This Row],[UDC]],TableOUMPEDUPR[],7,FALSE),"")</f>
        <v>Core</v>
      </c>
      <c r="Y23" s="204" t="str">
        <f>IFERROR(VLOOKUP(TableHandbook[[#This Row],[UDC]],TableOUMPEDUSC[],7,FALSE),"")</f>
        <v/>
      </c>
      <c r="Z23" s="206" t="str">
        <f>IFERROR(VLOOKUP(TableHandbook[[#This Row],[UDC]],TableOMEDUC[],7,FALSE),"")</f>
        <v/>
      </c>
      <c r="AA23" s="204" t="str">
        <f>IFERROR(VLOOKUP(TableHandbook[[#This Row],[UDC]],TableOSEPCULIN[],7,FALSE),"")</f>
        <v/>
      </c>
      <c r="AB23" s="204" t="str">
        <f>IFERROR(VLOOKUP(TableHandbook[[#This Row],[UDC]],TableOSEPLNTCH[],7,FALSE),"")</f>
        <v/>
      </c>
      <c r="AC23" s="204" t="str">
        <f>IFERROR(VLOOKUP(TableHandbook[[#This Row],[UDC]],TableOSEPSTEME[],7,FALSE),"")</f>
        <v/>
      </c>
    </row>
    <row r="24" spans="1:29" x14ac:dyDescent="0.25">
      <c r="A24" s="2" t="s">
        <v>167</v>
      </c>
      <c r="B24" s="3">
        <v>1</v>
      </c>
      <c r="C24" s="3" t="s">
        <v>168</v>
      </c>
      <c r="D24" s="2" t="s">
        <v>169</v>
      </c>
      <c r="E24" s="3">
        <v>25</v>
      </c>
      <c r="F24" s="230" t="s">
        <v>162</v>
      </c>
      <c r="G24" s="203" t="str">
        <f>IFERROR(IF(VLOOKUP(TableHandbook[[#This Row],[UDC]],TableAvailabilities[],2,FALSE)&gt;0,"Y",""),"")</f>
        <v/>
      </c>
      <c r="H24" s="203" t="str">
        <f>IFERROR(IF(VLOOKUP(TableHandbook[[#This Row],[UDC]],TableAvailabilities[],3,FALSE)&gt;0,"Y",""),"")</f>
        <v>Y</v>
      </c>
      <c r="I24" s="203" t="str">
        <f>IFERROR(IF(VLOOKUP(TableHandbook[[#This Row],[UDC]],TableAvailabilities[],4,FALSE)&gt;0,"Y",""),"")</f>
        <v>Y</v>
      </c>
      <c r="J24" s="203" t="str">
        <f>IFERROR(IF(VLOOKUP(TableHandbook[[#This Row],[UDC]],TableAvailabilities[],5,FALSE)&gt;0,"Y",""),"")</f>
        <v/>
      </c>
      <c r="K24" s="2"/>
      <c r="L24" s="206" t="str">
        <f>IFERROR(VLOOKUP(TableHandbook[[#This Row],[UDC]],TableOMTEACH1[],7,FALSE),"")</f>
        <v/>
      </c>
      <c r="M24" s="204" t="str">
        <f>IFERROR(VLOOKUP(TableHandbook[[#This Row],[UDC]],TableOUMPTCHEC[],7,FALSE),"")</f>
        <v/>
      </c>
      <c r="N24" s="204" t="str">
        <f>IFERROR(VLOOKUP(TableHandbook[[#This Row],[UDC]],TableOUMPTCHPE[],7,FALSE),"")</f>
        <v>Core</v>
      </c>
      <c r="O24" s="204" t="str">
        <f>IFERROR(VLOOKUP(TableHandbook[[#This Row],[UDC]],TableOUMPTCHSE[],7,FALSE),"")</f>
        <v/>
      </c>
      <c r="P24" s="206" t="str">
        <f>IFERROR(VLOOKUP(TableHandbook[[#This Row],[UDC]],TableOCTESOL1[],7,FALSE),"")</f>
        <v/>
      </c>
      <c r="Q24" s="204" t="str">
        <f>IFERROR(VLOOKUP(TableHandbook[[#This Row],[UDC]],TableOCTESOL[],7,FALSE),"")</f>
        <v/>
      </c>
      <c r="R24" s="204" t="str">
        <f>IFERROR(VLOOKUP(TableHandbook[[#This Row],[UDC]],TableOMAPLING[],7,FALSE),"")</f>
        <v/>
      </c>
      <c r="S24" s="206" t="str">
        <f>IFERROR(VLOOKUP(TableHandbook[[#This Row],[UDC]],TableOCEDHE1[],7,FALSE),"")</f>
        <v/>
      </c>
      <c r="T24" s="204" t="str">
        <f>IFERROR(VLOOKUP(TableHandbook[[#This Row],[UDC]],TableOCEDHE[],7,FALSE),"")</f>
        <v/>
      </c>
      <c r="U24" s="204" t="str">
        <f>IFERROR(VLOOKUP(TableHandbook[[#This Row],[UDC]],TableOCEDUCS1[],7,FALSE),"")</f>
        <v/>
      </c>
      <c r="V24" s="204" t="str">
        <f>IFERROR(VLOOKUP(TableHandbook[[#This Row],[UDC]],TableOCEDUC[],7,FALSE),"")</f>
        <v/>
      </c>
      <c r="W24" s="204" t="str">
        <f>IFERROR(VLOOKUP(TableHandbook[[#This Row],[UDC]],TableOGEDUC[],7,FALSE),"")</f>
        <v/>
      </c>
      <c r="X24" s="204" t="str">
        <f>IFERROR(VLOOKUP(TableHandbook[[#This Row],[UDC]],TableOUMPEDUPR[],7,FALSE),"")</f>
        <v>Core</v>
      </c>
      <c r="Y24" s="204" t="str">
        <f>IFERROR(VLOOKUP(TableHandbook[[#This Row],[UDC]],TableOUMPEDUSC[],7,FALSE),"")</f>
        <v/>
      </c>
      <c r="Z24" s="206" t="str">
        <f>IFERROR(VLOOKUP(TableHandbook[[#This Row],[UDC]],TableOMEDUC[],7,FALSE),"")</f>
        <v/>
      </c>
      <c r="AA24" s="204" t="str">
        <f>IFERROR(VLOOKUP(TableHandbook[[#This Row],[UDC]],TableOSEPCULIN[],7,FALSE),"")</f>
        <v/>
      </c>
      <c r="AB24" s="204" t="str">
        <f>IFERROR(VLOOKUP(TableHandbook[[#This Row],[UDC]],TableOSEPLNTCH[],7,FALSE),"")</f>
        <v/>
      </c>
      <c r="AC24" s="204" t="str">
        <f>IFERROR(VLOOKUP(TableHandbook[[#This Row],[UDC]],TableOSEPSTEME[],7,FALSE),"")</f>
        <v/>
      </c>
    </row>
    <row r="25" spans="1:29" x14ac:dyDescent="0.25">
      <c r="A25" s="2" t="s">
        <v>170</v>
      </c>
      <c r="B25" s="3">
        <v>2</v>
      </c>
      <c r="C25" s="3" t="s">
        <v>171</v>
      </c>
      <c r="D25" s="2" t="s">
        <v>172</v>
      </c>
      <c r="E25" s="3">
        <v>25</v>
      </c>
      <c r="F25" s="230" t="s">
        <v>115</v>
      </c>
      <c r="G25" s="203" t="str">
        <f>IFERROR(IF(VLOOKUP(TableHandbook[[#This Row],[UDC]],TableAvailabilities[],2,FALSE)&gt;0,"Y",""),"")</f>
        <v/>
      </c>
      <c r="H25" s="203" t="str">
        <f>IFERROR(IF(VLOOKUP(TableHandbook[[#This Row],[UDC]],TableAvailabilities[],3,FALSE)&gt;0,"Y",""),"")</f>
        <v>Y</v>
      </c>
      <c r="I25" s="203" t="str">
        <f>IFERROR(IF(VLOOKUP(TableHandbook[[#This Row],[UDC]],TableAvailabilities[],4,FALSE)&gt;0,"Y",""),"")</f>
        <v/>
      </c>
      <c r="J25" s="203" t="str">
        <f>IFERROR(IF(VLOOKUP(TableHandbook[[#This Row],[UDC]],TableAvailabilities[],5,FALSE)&gt;0,"Y",""),"")</f>
        <v/>
      </c>
      <c r="K25" s="2"/>
      <c r="L25" s="206" t="str">
        <f>IFERROR(VLOOKUP(TableHandbook[[#This Row],[UDC]],TableOMTEACH1[],7,FALSE),"")</f>
        <v/>
      </c>
      <c r="M25" s="204" t="str">
        <f>IFERROR(VLOOKUP(TableHandbook[[#This Row],[UDC]],TableOUMPTCHEC[],7,FALSE),"")</f>
        <v/>
      </c>
      <c r="N25" s="204" t="str">
        <f>IFERROR(VLOOKUP(TableHandbook[[#This Row],[UDC]],TableOUMPTCHPE[],7,FALSE),"")</f>
        <v>Core</v>
      </c>
      <c r="O25" s="204" t="str">
        <f>IFERROR(VLOOKUP(TableHandbook[[#This Row],[UDC]],TableOUMPTCHSE[],7,FALSE),"")</f>
        <v/>
      </c>
      <c r="P25" s="206" t="str">
        <f>IFERROR(VLOOKUP(TableHandbook[[#This Row],[UDC]],TableOCTESOL1[],7,FALSE),"")</f>
        <v/>
      </c>
      <c r="Q25" s="204" t="str">
        <f>IFERROR(VLOOKUP(TableHandbook[[#This Row],[UDC]],TableOCTESOL[],7,FALSE),"")</f>
        <v/>
      </c>
      <c r="R25" s="204" t="str">
        <f>IFERROR(VLOOKUP(TableHandbook[[#This Row],[UDC]],TableOMAPLING[],7,FALSE),"")</f>
        <v/>
      </c>
      <c r="S25" s="206" t="str">
        <f>IFERROR(VLOOKUP(TableHandbook[[#This Row],[UDC]],TableOCEDHE1[],7,FALSE),"")</f>
        <v/>
      </c>
      <c r="T25" s="204" t="str">
        <f>IFERROR(VLOOKUP(TableHandbook[[#This Row],[UDC]],TableOCEDHE[],7,FALSE),"")</f>
        <v/>
      </c>
      <c r="U25" s="204" t="str">
        <f>IFERROR(VLOOKUP(TableHandbook[[#This Row],[UDC]],TableOCEDUCS1[],7,FALSE),"")</f>
        <v/>
      </c>
      <c r="V25" s="204" t="str">
        <f>IFERROR(VLOOKUP(TableHandbook[[#This Row],[UDC]],TableOCEDUC[],7,FALSE),"")</f>
        <v/>
      </c>
      <c r="W25" s="204" t="str">
        <f>IFERROR(VLOOKUP(TableHandbook[[#This Row],[UDC]],TableOGEDUC[],7,FALSE),"")</f>
        <v/>
      </c>
      <c r="X25" s="204" t="str">
        <f>IFERROR(VLOOKUP(TableHandbook[[#This Row],[UDC]],TableOUMPEDUPR[],7,FALSE),"")</f>
        <v/>
      </c>
      <c r="Y25" s="204" t="str">
        <f>IFERROR(VLOOKUP(TableHandbook[[#This Row],[UDC]],TableOUMPEDUSC[],7,FALSE),"")</f>
        <v/>
      </c>
      <c r="Z25" s="206" t="str">
        <f>IFERROR(VLOOKUP(TableHandbook[[#This Row],[UDC]],TableOMEDUC[],7,FALSE),"")</f>
        <v/>
      </c>
      <c r="AA25" s="204" t="str">
        <f>IFERROR(VLOOKUP(TableHandbook[[#This Row],[UDC]],TableOSEPCULIN[],7,FALSE),"")</f>
        <v/>
      </c>
      <c r="AB25" s="204" t="str">
        <f>IFERROR(VLOOKUP(TableHandbook[[#This Row],[UDC]],TableOSEPLNTCH[],7,FALSE),"")</f>
        <v/>
      </c>
      <c r="AC25" s="204" t="str">
        <f>IFERROR(VLOOKUP(TableHandbook[[#This Row],[UDC]],TableOSEPSTEME[],7,FALSE),"")</f>
        <v/>
      </c>
    </row>
    <row r="26" spans="1:29" x14ac:dyDescent="0.25">
      <c r="A26" s="2" t="s">
        <v>173</v>
      </c>
      <c r="B26" s="3">
        <v>1</v>
      </c>
      <c r="C26" s="3" t="s">
        <v>174</v>
      </c>
      <c r="D26" s="2" t="s">
        <v>175</v>
      </c>
      <c r="E26" s="3">
        <v>25</v>
      </c>
      <c r="F26" s="230" t="s">
        <v>115</v>
      </c>
      <c r="G26" s="203" t="str">
        <f>IFERROR(IF(VLOOKUP(TableHandbook[[#This Row],[UDC]],TableAvailabilities[],2,FALSE)&gt;0,"Y",""),"")</f>
        <v>Y</v>
      </c>
      <c r="H26" s="203" t="str">
        <f>IFERROR(IF(VLOOKUP(TableHandbook[[#This Row],[UDC]],TableAvailabilities[],3,FALSE)&gt;0,"Y",""),"")</f>
        <v/>
      </c>
      <c r="I26" s="203" t="str">
        <f>IFERROR(IF(VLOOKUP(TableHandbook[[#This Row],[UDC]],TableAvailabilities[],4,FALSE)&gt;0,"Y",""),"")</f>
        <v/>
      </c>
      <c r="J26" s="203" t="str">
        <f>IFERROR(IF(VLOOKUP(TableHandbook[[#This Row],[UDC]],TableAvailabilities[],5,FALSE)&gt;0,"Y",""),"")</f>
        <v/>
      </c>
      <c r="K26" s="2"/>
      <c r="L26" s="206" t="str">
        <f>IFERROR(VLOOKUP(TableHandbook[[#This Row],[UDC]],TableOMTEACH1[],7,FALSE),"")</f>
        <v/>
      </c>
      <c r="M26" s="204" t="str">
        <f>IFERROR(VLOOKUP(TableHandbook[[#This Row],[UDC]],TableOUMPTCHEC[],7,FALSE),"")</f>
        <v/>
      </c>
      <c r="N26" s="204" t="str">
        <f>IFERROR(VLOOKUP(TableHandbook[[#This Row],[UDC]],TableOUMPTCHPE[],7,FALSE),"")</f>
        <v>Core</v>
      </c>
      <c r="O26" s="204" t="str">
        <f>IFERROR(VLOOKUP(TableHandbook[[#This Row],[UDC]],TableOUMPTCHSE[],7,FALSE),"")</f>
        <v/>
      </c>
      <c r="P26" s="206" t="str">
        <f>IFERROR(VLOOKUP(TableHandbook[[#This Row],[UDC]],TableOCTESOL1[],7,FALSE),"")</f>
        <v/>
      </c>
      <c r="Q26" s="204" t="str">
        <f>IFERROR(VLOOKUP(TableHandbook[[#This Row],[UDC]],TableOCTESOL[],7,FALSE),"")</f>
        <v/>
      </c>
      <c r="R26" s="204" t="str">
        <f>IFERROR(VLOOKUP(TableHandbook[[#This Row],[UDC]],TableOMAPLING[],7,FALSE),"")</f>
        <v/>
      </c>
      <c r="S26" s="206" t="str">
        <f>IFERROR(VLOOKUP(TableHandbook[[#This Row],[UDC]],TableOCEDHE1[],7,FALSE),"")</f>
        <v/>
      </c>
      <c r="T26" s="204" t="str">
        <f>IFERROR(VLOOKUP(TableHandbook[[#This Row],[UDC]],TableOCEDHE[],7,FALSE),"")</f>
        <v/>
      </c>
      <c r="U26" s="204" t="str">
        <f>IFERROR(VLOOKUP(TableHandbook[[#This Row],[UDC]],TableOCEDUCS1[],7,FALSE),"")</f>
        <v>Option</v>
      </c>
      <c r="V26" s="204" t="str">
        <f>IFERROR(VLOOKUP(TableHandbook[[#This Row],[UDC]],TableOCEDUC[],7,FALSE),"")</f>
        <v>Option</v>
      </c>
      <c r="W26" s="204" t="str">
        <f>IFERROR(VLOOKUP(TableHandbook[[#This Row],[UDC]],TableOGEDUC[],7,FALSE),"")</f>
        <v/>
      </c>
      <c r="X26" s="204" t="str">
        <f>IFERROR(VLOOKUP(TableHandbook[[#This Row],[UDC]],TableOUMPEDUPR[],7,FALSE),"")</f>
        <v/>
      </c>
      <c r="Y26" s="204" t="str">
        <f>IFERROR(VLOOKUP(TableHandbook[[#This Row],[UDC]],TableOUMPEDUSC[],7,FALSE),"")</f>
        <v/>
      </c>
      <c r="Z26" s="206" t="str">
        <f>IFERROR(VLOOKUP(TableHandbook[[#This Row],[UDC]],TableOMEDUC[],7,FALSE),"")</f>
        <v/>
      </c>
      <c r="AA26" s="204" t="str">
        <f>IFERROR(VLOOKUP(TableHandbook[[#This Row],[UDC]],TableOSEPCULIN[],7,FALSE),"")</f>
        <v/>
      </c>
      <c r="AB26" s="204" t="str">
        <f>IFERROR(VLOOKUP(TableHandbook[[#This Row],[UDC]],TableOSEPLNTCH[],7,FALSE),"")</f>
        <v/>
      </c>
      <c r="AC26" s="204" t="str">
        <f>IFERROR(VLOOKUP(TableHandbook[[#This Row],[UDC]],TableOSEPSTEME[],7,FALSE),"")</f>
        <v/>
      </c>
    </row>
    <row r="27" spans="1:29" x14ac:dyDescent="0.25">
      <c r="A27" s="2" t="s">
        <v>176</v>
      </c>
      <c r="B27" s="3">
        <v>1</v>
      </c>
      <c r="C27" s="3" t="s">
        <v>177</v>
      </c>
      <c r="D27" s="2" t="s">
        <v>178</v>
      </c>
      <c r="E27" s="3">
        <v>25</v>
      </c>
      <c r="F27" s="230" t="s">
        <v>115</v>
      </c>
      <c r="G27" s="203" t="str">
        <f>IFERROR(IF(VLOOKUP(TableHandbook[[#This Row],[UDC]],TableAvailabilities[],2,FALSE)&gt;0,"Y",""),"")</f>
        <v/>
      </c>
      <c r="H27" s="203" t="str">
        <f>IFERROR(IF(VLOOKUP(TableHandbook[[#This Row],[UDC]],TableAvailabilities[],3,FALSE)&gt;0,"Y",""),"")</f>
        <v/>
      </c>
      <c r="I27" s="203" t="str">
        <f>IFERROR(IF(VLOOKUP(TableHandbook[[#This Row],[UDC]],TableAvailabilities[],4,FALSE)&gt;0,"Y",""),"")</f>
        <v/>
      </c>
      <c r="J27" s="203" t="str">
        <f>IFERROR(IF(VLOOKUP(TableHandbook[[#This Row],[UDC]],TableAvailabilities[],5,FALSE)&gt;0,"Y",""),"")</f>
        <v>Y</v>
      </c>
      <c r="K27" s="2"/>
      <c r="L27" s="206" t="str">
        <f>IFERROR(VLOOKUP(TableHandbook[[#This Row],[UDC]],TableOMTEACH1[],7,FALSE),"")</f>
        <v/>
      </c>
      <c r="M27" s="204" t="str">
        <f>IFERROR(VLOOKUP(TableHandbook[[#This Row],[UDC]],TableOUMPTCHEC[],7,FALSE),"")</f>
        <v/>
      </c>
      <c r="N27" s="204" t="str">
        <f>IFERROR(VLOOKUP(TableHandbook[[#This Row],[UDC]],TableOUMPTCHPE[],7,FALSE),"")</f>
        <v>Core</v>
      </c>
      <c r="O27" s="204" t="str">
        <f>IFERROR(VLOOKUP(TableHandbook[[#This Row],[UDC]],TableOUMPTCHSE[],7,FALSE),"")</f>
        <v/>
      </c>
      <c r="P27" s="206" t="str">
        <f>IFERROR(VLOOKUP(TableHandbook[[#This Row],[UDC]],TableOCTESOL1[],7,FALSE),"")</f>
        <v/>
      </c>
      <c r="Q27" s="204" t="str">
        <f>IFERROR(VLOOKUP(TableHandbook[[#This Row],[UDC]],TableOCTESOL[],7,FALSE),"")</f>
        <v/>
      </c>
      <c r="R27" s="204" t="str">
        <f>IFERROR(VLOOKUP(TableHandbook[[#This Row],[UDC]],TableOMAPLING[],7,FALSE),"")</f>
        <v/>
      </c>
      <c r="S27" s="206" t="str">
        <f>IFERROR(VLOOKUP(TableHandbook[[#This Row],[UDC]],TableOCEDHE1[],7,FALSE),"")</f>
        <v/>
      </c>
      <c r="T27" s="204" t="str">
        <f>IFERROR(VLOOKUP(TableHandbook[[#This Row],[UDC]],TableOCEDHE[],7,FALSE),"")</f>
        <v/>
      </c>
      <c r="U27" s="204" t="str">
        <f>IFERROR(VLOOKUP(TableHandbook[[#This Row],[UDC]],TableOCEDUCS1[],7,FALSE),"")</f>
        <v>Option</v>
      </c>
      <c r="V27" s="204" t="str">
        <f>IFERROR(VLOOKUP(TableHandbook[[#This Row],[UDC]],TableOCEDUC[],7,FALSE),"")</f>
        <v>Option</v>
      </c>
      <c r="W27" s="204" t="str">
        <f>IFERROR(VLOOKUP(TableHandbook[[#This Row],[UDC]],TableOGEDUC[],7,FALSE),"")</f>
        <v/>
      </c>
      <c r="X27" s="204" t="str">
        <f>IFERROR(VLOOKUP(TableHandbook[[#This Row],[UDC]],TableOUMPEDUPR[],7,FALSE),"")</f>
        <v/>
      </c>
      <c r="Y27" s="204" t="str">
        <f>IFERROR(VLOOKUP(TableHandbook[[#This Row],[UDC]],TableOUMPEDUSC[],7,FALSE),"")</f>
        <v/>
      </c>
      <c r="Z27" s="206" t="str">
        <f>IFERROR(VLOOKUP(TableHandbook[[#This Row],[UDC]],TableOMEDUC[],7,FALSE),"")</f>
        <v/>
      </c>
      <c r="AA27" s="204" t="str">
        <f>IFERROR(VLOOKUP(TableHandbook[[#This Row],[UDC]],TableOSEPCULIN[],7,FALSE),"")</f>
        <v/>
      </c>
      <c r="AB27" s="204" t="str">
        <f>IFERROR(VLOOKUP(TableHandbook[[#This Row],[UDC]],TableOSEPLNTCH[],7,FALSE),"")</f>
        <v/>
      </c>
      <c r="AC27" s="204" t="str">
        <f>IFERROR(VLOOKUP(TableHandbook[[#This Row],[UDC]],TableOSEPSTEME[],7,FALSE),"")</f>
        <v/>
      </c>
    </row>
    <row r="28" spans="1:29" x14ac:dyDescent="0.25">
      <c r="A28" s="2" t="s">
        <v>179</v>
      </c>
      <c r="B28" s="3">
        <v>1</v>
      </c>
      <c r="C28" s="3" t="s">
        <v>180</v>
      </c>
      <c r="D28" s="2" t="s">
        <v>181</v>
      </c>
      <c r="E28" s="3">
        <v>25</v>
      </c>
      <c r="F28" s="230" t="s">
        <v>162</v>
      </c>
      <c r="G28" s="203" t="str">
        <f>IFERROR(IF(VLOOKUP(TableHandbook[[#This Row],[UDC]],TableAvailabilities[],2,FALSE)&gt;0,"Y",""),"")</f>
        <v/>
      </c>
      <c r="H28" s="203" t="str">
        <f>IFERROR(IF(VLOOKUP(TableHandbook[[#This Row],[UDC]],TableAvailabilities[],3,FALSE)&gt;0,"Y",""),"")</f>
        <v/>
      </c>
      <c r="I28" s="203" t="str">
        <f>IFERROR(IF(VLOOKUP(TableHandbook[[#This Row],[UDC]],TableAvailabilities[],4,FALSE)&gt;0,"Y",""),"")</f>
        <v>Y</v>
      </c>
      <c r="J28" s="203" t="str">
        <f>IFERROR(IF(VLOOKUP(TableHandbook[[#This Row],[UDC]],TableAvailabilities[],5,FALSE)&gt;0,"Y",""),"")</f>
        <v/>
      </c>
      <c r="K28" s="2"/>
      <c r="L28" s="206" t="str">
        <f>IFERROR(VLOOKUP(TableHandbook[[#This Row],[UDC]],TableOMTEACH1[],7,FALSE),"")</f>
        <v/>
      </c>
      <c r="M28" s="204" t="str">
        <f>IFERROR(VLOOKUP(TableHandbook[[#This Row],[UDC]],TableOUMPTCHEC[],7,FALSE),"")</f>
        <v/>
      </c>
      <c r="N28" s="204" t="str">
        <f>IFERROR(VLOOKUP(TableHandbook[[#This Row],[UDC]],TableOUMPTCHPE[],7,FALSE),"")</f>
        <v>Core</v>
      </c>
      <c r="O28" s="204" t="str">
        <f>IFERROR(VLOOKUP(TableHandbook[[#This Row],[UDC]],TableOUMPTCHSE[],7,FALSE),"")</f>
        <v/>
      </c>
      <c r="P28" s="206" t="str">
        <f>IFERROR(VLOOKUP(TableHandbook[[#This Row],[UDC]],TableOCTESOL1[],7,FALSE),"")</f>
        <v/>
      </c>
      <c r="Q28" s="204" t="str">
        <f>IFERROR(VLOOKUP(TableHandbook[[#This Row],[UDC]],TableOCTESOL[],7,FALSE),"")</f>
        <v/>
      </c>
      <c r="R28" s="204" t="str">
        <f>IFERROR(VLOOKUP(TableHandbook[[#This Row],[UDC]],TableOMAPLING[],7,FALSE),"")</f>
        <v/>
      </c>
      <c r="S28" s="206" t="str">
        <f>IFERROR(VLOOKUP(TableHandbook[[#This Row],[UDC]],TableOCEDHE1[],7,FALSE),"")</f>
        <v/>
      </c>
      <c r="T28" s="204" t="str">
        <f>IFERROR(VLOOKUP(TableHandbook[[#This Row],[UDC]],TableOCEDHE[],7,FALSE),"")</f>
        <v/>
      </c>
      <c r="U28" s="204" t="str">
        <f>IFERROR(VLOOKUP(TableHandbook[[#This Row],[UDC]],TableOCEDUCS1[],7,FALSE),"")</f>
        <v/>
      </c>
      <c r="V28" s="204" t="str">
        <f>IFERROR(VLOOKUP(TableHandbook[[#This Row],[UDC]],TableOCEDUC[],7,FALSE),"")</f>
        <v/>
      </c>
      <c r="W28" s="204" t="str">
        <f>IFERROR(VLOOKUP(TableHandbook[[#This Row],[UDC]],TableOGEDUC[],7,FALSE),"")</f>
        <v/>
      </c>
      <c r="X28" s="204" t="str">
        <f>IFERROR(VLOOKUP(TableHandbook[[#This Row],[UDC]],TableOUMPEDUPR[],7,FALSE),"")</f>
        <v/>
      </c>
      <c r="Y28" s="204" t="str">
        <f>IFERROR(VLOOKUP(TableHandbook[[#This Row],[UDC]],TableOUMPEDUSC[],7,FALSE),"")</f>
        <v/>
      </c>
      <c r="Z28" s="206" t="str">
        <f>IFERROR(VLOOKUP(TableHandbook[[#This Row],[UDC]],TableOMEDUC[],7,FALSE),"")</f>
        <v/>
      </c>
      <c r="AA28" s="204" t="str">
        <f>IFERROR(VLOOKUP(TableHandbook[[#This Row],[UDC]],TableOSEPCULIN[],7,FALSE),"")</f>
        <v/>
      </c>
      <c r="AB28" s="204" t="str">
        <f>IFERROR(VLOOKUP(TableHandbook[[#This Row],[UDC]],TableOSEPLNTCH[],7,FALSE),"")</f>
        <v/>
      </c>
      <c r="AC28" s="204" t="str">
        <f>IFERROR(VLOOKUP(TableHandbook[[#This Row],[UDC]],TableOSEPSTEME[],7,FALSE),"")</f>
        <v/>
      </c>
    </row>
    <row r="29" spans="1:29" x14ac:dyDescent="0.25">
      <c r="A29" s="2" t="s">
        <v>182</v>
      </c>
      <c r="B29" s="3">
        <v>1</v>
      </c>
      <c r="C29" s="3" t="s">
        <v>183</v>
      </c>
      <c r="D29" s="2" t="s">
        <v>184</v>
      </c>
      <c r="E29" s="3">
        <v>25</v>
      </c>
      <c r="F29" s="230" t="s">
        <v>115</v>
      </c>
      <c r="G29" s="203" t="str">
        <f>IFERROR(IF(VLOOKUP(TableHandbook[[#This Row],[UDC]],TableAvailabilities[],2,FALSE)&gt;0,"Y",""),"")</f>
        <v>Y</v>
      </c>
      <c r="H29" s="203" t="str">
        <f>IFERROR(IF(VLOOKUP(TableHandbook[[#This Row],[UDC]],TableAvailabilities[],3,FALSE)&gt;0,"Y",""),"")</f>
        <v>Y</v>
      </c>
      <c r="I29" s="203" t="str">
        <f>IFERROR(IF(VLOOKUP(TableHandbook[[#This Row],[UDC]],TableAvailabilities[],4,FALSE)&gt;0,"Y",""),"")</f>
        <v/>
      </c>
      <c r="J29" s="203" t="str">
        <f>IFERROR(IF(VLOOKUP(TableHandbook[[#This Row],[UDC]],TableAvailabilities[],5,FALSE)&gt;0,"Y",""),"")</f>
        <v/>
      </c>
      <c r="K29" s="2"/>
      <c r="L29" s="206" t="str">
        <f>IFERROR(VLOOKUP(TableHandbook[[#This Row],[UDC]],TableOMTEACH1[],7,FALSE),"")</f>
        <v/>
      </c>
      <c r="M29" s="204" t="str">
        <f>IFERROR(VLOOKUP(TableHandbook[[#This Row],[UDC]],TableOUMPTCHEC[],7,FALSE),"")</f>
        <v/>
      </c>
      <c r="N29" s="204" t="str">
        <f>IFERROR(VLOOKUP(TableHandbook[[#This Row],[UDC]],TableOUMPTCHPE[],7,FALSE),"")</f>
        <v/>
      </c>
      <c r="O29" s="204" t="str">
        <f>IFERROR(VLOOKUP(TableHandbook[[#This Row],[UDC]],TableOUMPTCHSE[],7,FALSE),"")</f>
        <v>Core</v>
      </c>
      <c r="P29" s="206" t="str">
        <f>IFERROR(VLOOKUP(TableHandbook[[#This Row],[UDC]],TableOCTESOL1[],7,FALSE),"")</f>
        <v/>
      </c>
      <c r="Q29" s="204" t="str">
        <f>IFERROR(VLOOKUP(TableHandbook[[#This Row],[UDC]],TableOCTESOL[],7,FALSE),"")</f>
        <v/>
      </c>
      <c r="R29" s="204" t="str">
        <f>IFERROR(VLOOKUP(TableHandbook[[#This Row],[UDC]],TableOMAPLING[],7,FALSE),"")</f>
        <v/>
      </c>
      <c r="S29" s="206" t="str">
        <f>IFERROR(VLOOKUP(TableHandbook[[#This Row],[UDC]],TableOCEDHE1[],7,FALSE),"")</f>
        <v/>
      </c>
      <c r="T29" s="204" t="str">
        <f>IFERROR(VLOOKUP(TableHandbook[[#This Row],[UDC]],TableOCEDHE[],7,FALSE),"")</f>
        <v/>
      </c>
      <c r="U29" s="204" t="str">
        <f>IFERROR(VLOOKUP(TableHandbook[[#This Row],[UDC]],TableOCEDUCS1[],7,FALSE),"")</f>
        <v/>
      </c>
      <c r="V29" s="204" t="str">
        <f>IFERROR(VLOOKUP(TableHandbook[[#This Row],[UDC]],TableOCEDUC[],7,FALSE),"")</f>
        <v/>
      </c>
      <c r="W29" s="204" t="str">
        <f>IFERROR(VLOOKUP(TableHandbook[[#This Row],[UDC]],TableOGEDUC[],7,FALSE),"")</f>
        <v/>
      </c>
      <c r="X29" s="204" t="str">
        <f>IFERROR(VLOOKUP(TableHandbook[[#This Row],[UDC]],TableOUMPEDUPR[],7,FALSE),"")</f>
        <v/>
      </c>
      <c r="Y29" s="204" t="str">
        <f>IFERROR(VLOOKUP(TableHandbook[[#This Row],[UDC]],TableOUMPEDUSC[],7,FALSE),"")</f>
        <v>Core</v>
      </c>
      <c r="Z29" s="206" t="str">
        <f>IFERROR(VLOOKUP(TableHandbook[[#This Row],[UDC]],TableOMEDUC[],7,FALSE),"")</f>
        <v/>
      </c>
      <c r="AA29" s="204" t="str">
        <f>IFERROR(VLOOKUP(TableHandbook[[#This Row],[UDC]],TableOSEPCULIN[],7,FALSE),"")</f>
        <v/>
      </c>
      <c r="AB29" s="204" t="str">
        <f>IFERROR(VLOOKUP(TableHandbook[[#This Row],[UDC]],TableOSEPLNTCH[],7,FALSE),"")</f>
        <v/>
      </c>
      <c r="AC29" s="204" t="str">
        <f>IFERROR(VLOOKUP(TableHandbook[[#This Row],[UDC]],TableOSEPSTEME[],7,FALSE),"")</f>
        <v/>
      </c>
    </row>
    <row r="30" spans="1:29" x14ac:dyDescent="0.25">
      <c r="A30" s="2" t="s">
        <v>185</v>
      </c>
      <c r="B30" s="3">
        <v>1</v>
      </c>
      <c r="C30" s="3" t="s">
        <v>186</v>
      </c>
      <c r="D30" s="2" t="s">
        <v>187</v>
      </c>
      <c r="E30" s="3">
        <v>25</v>
      </c>
      <c r="F30" s="230" t="s">
        <v>115</v>
      </c>
      <c r="G30" s="203" t="str">
        <f>IFERROR(IF(VLOOKUP(TableHandbook[[#This Row],[UDC]],TableAvailabilities[],2,FALSE)&gt;0,"Y",""),"")</f>
        <v/>
      </c>
      <c r="H30" s="203" t="str">
        <f>IFERROR(IF(VLOOKUP(TableHandbook[[#This Row],[UDC]],TableAvailabilities[],3,FALSE)&gt;0,"Y",""),"")</f>
        <v>Y</v>
      </c>
      <c r="I30" s="203" t="str">
        <f>IFERROR(IF(VLOOKUP(TableHandbook[[#This Row],[UDC]],TableAvailabilities[],4,FALSE)&gt;0,"Y",""),"")</f>
        <v/>
      </c>
      <c r="J30" s="203" t="str">
        <f>IFERROR(IF(VLOOKUP(TableHandbook[[#This Row],[UDC]],TableAvailabilities[],5,FALSE)&gt;0,"Y",""),"")</f>
        <v>Y</v>
      </c>
      <c r="K30" s="2"/>
      <c r="L30" s="206" t="str">
        <f>IFERROR(VLOOKUP(TableHandbook[[#This Row],[UDC]],TableOMTEACH1[],7,FALSE),"")</f>
        <v/>
      </c>
      <c r="M30" s="204" t="str">
        <f>IFERROR(VLOOKUP(TableHandbook[[#This Row],[UDC]],TableOUMPTCHEC[],7,FALSE),"")</f>
        <v/>
      </c>
      <c r="N30" s="204" t="str">
        <f>IFERROR(VLOOKUP(TableHandbook[[#This Row],[UDC]],TableOUMPTCHPE[],7,FALSE),"")</f>
        <v/>
      </c>
      <c r="O30" s="204" t="str">
        <f>IFERROR(VLOOKUP(TableHandbook[[#This Row],[UDC]],TableOUMPTCHSE[],7,FALSE),"")</f>
        <v>Core</v>
      </c>
      <c r="P30" s="206" t="str">
        <f>IFERROR(VLOOKUP(TableHandbook[[#This Row],[UDC]],TableOCTESOL1[],7,FALSE),"")</f>
        <v/>
      </c>
      <c r="Q30" s="204" t="str">
        <f>IFERROR(VLOOKUP(TableHandbook[[#This Row],[UDC]],TableOCTESOL[],7,FALSE),"")</f>
        <v/>
      </c>
      <c r="R30" s="204" t="str">
        <f>IFERROR(VLOOKUP(TableHandbook[[#This Row],[UDC]],TableOMAPLING[],7,FALSE),"")</f>
        <v/>
      </c>
      <c r="S30" s="206" t="str">
        <f>IFERROR(VLOOKUP(TableHandbook[[#This Row],[UDC]],TableOCEDHE1[],7,FALSE),"")</f>
        <v/>
      </c>
      <c r="T30" s="204" t="str">
        <f>IFERROR(VLOOKUP(TableHandbook[[#This Row],[UDC]],TableOCEDHE[],7,FALSE),"")</f>
        <v/>
      </c>
      <c r="U30" s="204" t="str">
        <f>IFERROR(VLOOKUP(TableHandbook[[#This Row],[UDC]],TableOCEDUCS1[],7,FALSE),"")</f>
        <v/>
      </c>
      <c r="V30" s="204" t="str">
        <f>IFERROR(VLOOKUP(TableHandbook[[#This Row],[UDC]],TableOCEDUC[],7,FALSE),"")</f>
        <v/>
      </c>
      <c r="W30" s="204" t="str">
        <f>IFERROR(VLOOKUP(TableHandbook[[#This Row],[UDC]],TableOGEDUC[],7,FALSE),"")</f>
        <v/>
      </c>
      <c r="X30" s="204" t="str">
        <f>IFERROR(VLOOKUP(TableHandbook[[#This Row],[UDC]],TableOUMPEDUPR[],7,FALSE),"")</f>
        <v/>
      </c>
      <c r="Y30" s="204" t="str">
        <f>IFERROR(VLOOKUP(TableHandbook[[#This Row],[UDC]],TableOUMPEDUSC[],7,FALSE),"")</f>
        <v/>
      </c>
      <c r="Z30" s="206" t="str">
        <f>IFERROR(VLOOKUP(TableHandbook[[#This Row],[UDC]],TableOMEDUC[],7,FALSE),"")</f>
        <v/>
      </c>
      <c r="AA30" s="204" t="str">
        <f>IFERROR(VLOOKUP(TableHandbook[[#This Row],[UDC]],TableOSEPCULIN[],7,FALSE),"")</f>
        <v/>
      </c>
      <c r="AB30" s="204" t="str">
        <f>IFERROR(VLOOKUP(TableHandbook[[#This Row],[UDC]],TableOSEPLNTCH[],7,FALSE),"")</f>
        <v/>
      </c>
      <c r="AC30" s="204" t="str">
        <f>IFERROR(VLOOKUP(TableHandbook[[#This Row],[UDC]],TableOSEPSTEME[],7,FALSE),"")</f>
        <v/>
      </c>
    </row>
    <row r="31" spans="1:29" x14ac:dyDescent="0.25">
      <c r="A31" s="2" t="s">
        <v>188</v>
      </c>
      <c r="B31" s="3">
        <v>1</v>
      </c>
      <c r="C31" s="3" t="s">
        <v>189</v>
      </c>
      <c r="D31" s="2" t="s">
        <v>190</v>
      </c>
      <c r="E31" s="3">
        <v>25</v>
      </c>
      <c r="F31" s="230" t="s">
        <v>115</v>
      </c>
      <c r="G31" s="203" t="str">
        <f>IFERROR(IF(VLOOKUP(TableHandbook[[#This Row],[UDC]],TableAvailabilities[],2,FALSE)&gt;0,"Y",""),"")</f>
        <v>Y</v>
      </c>
      <c r="H31" s="203" t="str">
        <f>IFERROR(IF(VLOOKUP(TableHandbook[[#This Row],[UDC]],TableAvailabilities[],3,FALSE)&gt;0,"Y",""),"")</f>
        <v>Y</v>
      </c>
      <c r="I31" s="203" t="str">
        <f>IFERROR(IF(VLOOKUP(TableHandbook[[#This Row],[UDC]],TableAvailabilities[],4,FALSE)&gt;0,"Y",""),"")</f>
        <v/>
      </c>
      <c r="J31" s="203" t="str">
        <f>IFERROR(IF(VLOOKUP(TableHandbook[[#This Row],[UDC]],TableAvailabilities[],5,FALSE)&gt;0,"Y",""),"")</f>
        <v/>
      </c>
      <c r="K31" s="2"/>
      <c r="L31" s="206" t="str">
        <f>IFERROR(VLOOKUP(TableHandbook[[#This Row],[UDC]],TableOMTEACH1[],7,FALSE),"")</f>
        <v/>
      </c>
      <c r="M31" s="204" t="str">
        <f>IFERROR(VLOOKUP(TableHandbook[[#This Row],[UDC]],TableOUMPTCHEC[],7,FALSE),"")</f>
        <v/>
      </c>
      <c r="N31" s="204" t="str">
        <f>IFERROR(VLOOKUP(TableHandbook[[#This Row],[UDC]],TableOUMPTCHPE[],7,FALSE),"")</f>
        <v/>
      </c>
      <c r="O31" s="204" t="str">
        <f>IFERROR(VLOOKUP(TableHandbook[[#This Row],[UDC]],TableOUMPTCHSE[],7,FALSE),"")</f>
        <v>Core</v>
      </c>
      <c r="P31" s="206" t="str">
        <f>IFERROR(VLOOKUP(TableHandbook[[#This Row],[UDC]],TableOCTESOL1[],7,FALSE),"")</f>
        <v/>
      </c>
      <c r="Q31" s="204" t="str">
        <f>IFERROR(VLOOKUP(TableHandbook[[#This Row],[UDC]],TableOCTESOL[],7,FALSE),"")</f>
        <v/>
      </c>
      <c r="R31" s="204" t="str">
        <f>IFERROR(VLOOKUP(TableHandbook[[#This Row],[UDC]],TableOMAPLING[],7,FALSE),"")</f>
        <v/>
      </c>
      <c r="S31" s="206" t="str">
        <f>IFERROR(VLOOKUP(TableHandbook[[#This Row],[UDC]],TableOCEDHE1[],7,FALSE),"")</f>
        <v/>
      </c>
      <c r="T31" s="204" t="str">
        <f>IFERROR(VLOOKUP(TableHandbook[[#This Row],[UDC]],TableOCEDHE[],7,FALSE),"")</f>
        <v/>
      </c>
      <c r="U31" s="204" t="str">
        <f>IFERROR(VLOOKUP(TableHandbook[[#This Row],[UDC]],TableOCEDUCS1[],7,FALSE),"")</f>
        <v/>
      </c>
      <c r="V31" s="204" t="str">
        <f>IFERROR(VLOOKUP(TableHandbook[[#This Row],[UDC]],TableOCEDUC[],7,FALSE),"")</f>
        <v/>
      </c>
      <c r="W31" s="204" t="str">
        <f>IFERROR(VLOOKUP(TableHandbook[[#This Row],[UDC]],TableOGEDUC[],7,FALSE),"")</f>
        <v/>
      </c>
      <c r="X31" s="204" t="str">
        <f>IFERROR(VLOOKUP(TableHandbook[[#This Row],[UDC]],TableOUMPEDUPR[],7,FALSE),"")</f>
        <v/>
      </c>
      <c r="Y31" s="204" t="str">
        <f>IFERROR(VLOOKUP(TableHandbook[[#This Row],[UDC]],TableOUMPEDUSC[],7,FALSE),"")</f>
        <v>Core</v>
      </c>
      <c r="Z31" s="206" t="str">
        <f>IFERROR(VLOOKUP(TableHandbook[[#This Row],[UDC]],TableOMEDUC[],7,FALSE),"")</f>
        <v/>
      </c>
      <c r="AA31" s="204" t="str">
        <f>IFERROR(VLOOKUP(TableHandbook[[#This Row],[UDC]],TableOSEPCULIN[],7,FALSE),"")</f>
        <v/>
      </c>
      <c r="AB31" s="204" t="str">
        <f>IFERROR(VLOOKUP(TableHandbook[[#This Row],[UDC]],TableOSEPLNTCH[],7,FALSE),"")</f>
        <v/>
      </c>
      <c r="AC31" s="204" t="str">
        <f>IFERROR(VLOOKUP(TableHandbook[[#This Row],[UDC]],TableOSEPSTEME[],7,FALSE),"")</f>
        <v/>
      </c>
    </row>
    <row r="32" spans="1:29" x14ac:dyDescent="0.25">
      <c r="A32" s="2" t="s">
        <v>191</v>
      </c>
      <c r="B32" s="3">
        <v>1</v>
      </c>
      <c r="C32" s="3" t="s">
        <v>192</v>
      </c>
      <c r="D32" s="2" t="s">
        <v>193</v>
      </c>
      <c r="E32" s="3">
        <v>25</v>
      </c>
      <c r="F32" s="230" t="s">
        <v>115</v>
      </c>
      <c r="G32" s="203" t="str">
        <f>IFERROR(IF(VLOOKUP(TableHandbook[[#This Row],[UDC]],TableAvailabilities[],2,FALSE)&gt;0,"Y",""),"")</f>
        <v>Y</v>
      </c>
      <c r="H32" s="203" t="str">
        <f>IFERROR(IF(VLOOKUP(TableHandbook[[#This Row],[UDC]],TableAvailabilities[],3,FALSE)&gt;0,"Y",""),"")</f>
        <v/>
      </c>
      <c r="I32" s="203" t="str">
        <f>IFERROR(IF(VLOOKUP(TableHandbook[[#This Row],[UDC]],TableAvailabilities[],4,FALSE)&gt;0,"Y",""),"")</f>
        <v>Y</v>
      </c>
      <c r="J32" s="203" t="str">
        <f>IFERROR(IF(VLOOKUP(TableHandbook[[#This Row],[UDC]],TableAvailabilities[],5,FALSE)&gt;0,"Y",""),"")</f>
        <v/>
      </c>
      <c r="K32" s="2"/>
      <c r="L32" s="206" t="str">
        <f>IFERROR(VLOOKUP(TableHandbook[[#This Row],[UDC]],TableOMTEACH1[],7,FALSE),"")</f>
        <v/>
      </c>
      <c r="M32" s="204" t="str">
        <f>IFERROR(VLOOKUP(TableHandbook[[#This Row],[UDC]],TableOUMPTCHEC[],7,FALSE),"")</f>
        <v/>
      </c>
      <c r="N32" s="204" t="str">
        <f>IFERROR(VLOOKUP(TableHandbook[[#This Row],[UDC]],TableOUMPTCHPE[],7,FALSE),"")</f>
        <v/>
      </c>
      <c r="O32" s="204" t="str">
        <f>IFERROR(VLOOKUP(TableHandbook[[#This Row],[UDC]],TableOUMPTCHSE[],7,FALSE),"")</f>
        <v>Core</v>
      </c>
      <c r="P32" s="206" t="str">
        <f>IFERROR(VLOOKUP(TableHandbook[[#This Row],[UDC]],TableOCTESOL1[],7,FALSE),"")</f>
        <v/>
      </c>
      <c r="Q32" s="204" t="str">
        <f>IFERROR(VLOOKUP(TableHandbook[[#This Row],[UDC]],TableOCTESOL[],7,FALSE),"")</f>
        <v/>
      </c>
      <c r="R32" s="204" t="str">
        <f>IFERROR(VLOOKUP(TableHandbook[[#This Row],[UDC]],TableOMAPLING[],7,FALSE),"")</f>
        <v/>
      </c>
      <c r="S32" s="206" t="str">
        <f>IFERROR(VLOOKUP(TableHandbook[[#This Row],[UDC]],TableOCEDHE1[],7,FALSE),"")</f>
        <v/>
      </c>
      <c r="T32" s="204" t="str">
        <f>IFERROR(VLOOKUP(TableHandbook[[#This Row],[UDC]],TableOCEDHE[],7,FALSE),"")</f>
        <v/>
      </c>
      <c r="U32" s="204" t="str">
        <f>IFERROR(VLOOKUP(TableHandbook[[#This Row],[UDC]],TableOCEDUCS1[],7,FALSE),"")</f>
        <v>Option</v>
      </c>
      <c r="V32" s="204" t="str">
        <f>IFERROR(VLOOKUP(TableHandbook[[#This Row],[UDC]],TableOCEDUC[],7,FALSE),"")</f>
        <v>Option</v>
      </c>
      <c r="W32" s="204" t="str">
        <f>IFERROR(VLOOKUP(TableHandbook[[#This Row],[UDC]],TableOGEDUC[],7,FALSE),"")</f>
        <v/>
      </c>
      <c r="X32" s="204" t="str">
        <f>IFERROR(VLOOKUP(TableHandbook[[#This Row],[UDC]],TableOUMPEDUPR[],7,FALSE),"")</f>
        <v/>
      </c>
      <c r="Y32" s="204" t="str">
        <f>IFERROR(VLOOKUP(TableHandbook[[#This Row],[UDC]],TableOUMPEDUSC[],7,FALSE),"")</f>
        <v/>
      </c>
      <c r="Z32" s="206" t="str">
        <f>IFERROR(VLOOKUP(TableHandbook[[#This Row],[UDC]],TableOMEDUC[],7,FALSE),"")</f>
        <v/>
      </c>
      <c r="AA32" s="204" t="str">
        <f>IFERROR(VLOOKUP(TableHandbook[[#This Row],[UDC]],TableOSEPCULIN[],7,FALSE),"")</f>
        <v/>
      </c>
      <c r="AB32" s="204" t="str">
        <f>IFERROR(VLOOKUP(TableHandbook[[#This Row],[UDC]],TableOSEPLNTCH[],7,FALSE),"")</f>
        <v/>
      </c>
      <c r="AC32" s="204" t="str">
        <f>IFERROR(VLOOKUP(TableHandbook[[#This Row],[UDC]],TableOSEPSTEME[],7,FALSE),"")</f>
        <v/>
      </c>
    </row>
    <row r="33" spans="1:29" x14ac:dyDescent="0.25">
      <c r="A33" s="2" t="s">
        <v>194</v>
      </c>
      <c r="B33" s="3">
        <v>1</v>
      </c>
      <c r="C33" s="3" t="s">
        <v>195</v>
      </c>
      <c r="D33" s="2" t="s">
        <v>196</v>
      </c>
      <c r="E33" s="3">
        <v>25</v>
      </c>
      <c r="F33" s="230" t="s">
        <v>115</v>
      </c>
      <c r="G33" s="203" t="str">
        <f>IFERROR(IF(VLOOKUP(TableHandbook[[#This Row],[UDC]],TableAvailabilities[],2,FALSE)&gt;0,"Y",""),"")</f>
        <v/>
      </c>
      <c r="H33" s="203" t="str">
        <f>IFERROR(IF(VLOOKUP(TableHandbook[[#This Row],[UDC]],TableAvailabilities[],3,FALSE)&gt;0,"Y",""),"")</f>
        <v>Y</v>
      </c>
      <c r="I33" s="203" t="str">
        <f>IFERROR(IF(VLOOKUP(TableHandbook[[#This Row],[UDC]],TableAvailabilities[],4,FALSE)&gt;0,"Y",""),"")</f>
        <v/>
      </c>
      <c r="J33" s="203" t="str">
        <f>IFERROR(IF(VLOOKUP(TableHandbook[[#This Row],[UDC]],TableAvailabilities[],5,FALSE)&gt;0,"Y",""),"")</f>
        <v>Y</v>
      </c>
      <c r="K33" s="2"/>
      <c r="L33" s="206" t="str">
        <f>IFERROR(VLOOKUP(TableHandbook[[#This Row],[UDC]],TableOMTEACH1[],7,FALSE),"")</f>
        <v/>
      </c>
      <c r="M33" s="204" t="str">
        <f>IFERROR(VLOOKUP(TableHandbook[[#This Row],[UDC]],TableOUMPTCHEC[],7,FALSE),"")</f>
        <v/>
      </c>
      <c r="N33" s="204" t="str">
        <f>IFERROR(VLOOKUP(TableHandbook[[#This Row],[UDC]],TableOUMPTCHPE[],7,FALSE),"")</f>
        <v/>
      </c>
      <c r="O33" s="204" t="str">
        <f>IFERROR(VLOOKUP(TableHandbook[[#This Row],[UDC]],TableOUMPTCHSE[],7,FALSE),"")</f>
        <v>Option</v>
      </c>
      <c r="P33" s="206" t="str">
        <f>IFERROR(VLOOKUP(TableHandbook[[#This Row],[UDC]],TableOCTESOL1[],7,FALSE),"")</f>
        <v/>
      </c>
      <c r="Q33" s="204" t="str">
        <f>IFERROR(VLOOKUP(TableHandbook[[#This Row],[UDC]],TableOCTESOL[],7,FALSE),"")</f>
        <v/>
      </c>
      <c r="R33" s="204" t="str">
        <f>IFERROR(VLOOKUP(TableHandbook[[#This Row],[UDC]],TableOMAPLING[],7,FALSE),"")</f>
        <v/>
      </c>
      <c r="S33" s="206" t="str">
        <f>IFERROR(VLOOKUP(TableHandbook[[#This Row],[UDC]],TableOCEDHE1[],7,FALSE),"")</f>
        <v/>
      </c>
      <c r="T33" s="204" t="str">
        <f>IFERROR(VLOOKUP(TableHandbook[[#This Row],[UDC]],TableOCEDHE[],7,FALSE),"")</f>
        <v/>
      </c>
      <c r="U33" s="204" t="str">
        <f>IFERROR(VLOOKUP(TableHandbook[[#This Row],[UDC]],TableOCEDUCS1[],7,FALSE),"")</f>
        <v/>
      </c>
      <c r="V33" s="204" t="str">
        <f>IFERROR(VLOOKUP(TableHandbook[[#This Row],[UDC]],TableOCEDUC[],7,FALSE),"")</f>
        <v/>
      </c>
      <c r="W33" s="204" t="str">
        <f>IFERROR(VLOOKUP(TableHandbook[[#This Row],[UDC]],TableOGEDUC[],7,FALSE),"")</f>
        <v/>
      </c>
      <c r="X33" s="204" t="str">
        <f>IFERROR(VLOOKUP(TableHandbook[[#This Row],[UDC]],TableOUMPEDUPR[],7,FALSE),"")</f>
        <v/>
      </c>
      <c r="Y33" s="204" t="str">
        <f>IFERROR(VLOOKUP(TableHandbook[[#This Row],[UDC]],TableOUMPEDUSC[],7,FALSE),"")</f>
        <v>Option</v>
      </c>
      <c r="Z33" s="206" t="str">
        <f>IFERROR(VLOOKUP(TableHandbook[[#This Row],[UDC]],TableOMEDUC[],7,FALSE),"")</f>
        <v/>
      </c>
      <c r="AA33" s="204" t="str">
        <f>IFERROR(VLOOKUP(TableHandbook[[#This Row],[UDC]],TableOSEPCULIN[],7,FALSE),"")</f>
        <v/>
      </c>
      <c r="AB33" s="204" t="str">
        <f>IFERROR(VLOOKUP(TableHandbook[[#This Row],[UDC]],TableOSEPLNTCH[],7,FALSE),"")</f>
        <v/>
      </c>
      <c r="AC33" s="204" t="str">
        <f>IFERROR(VLOOKUP(TableHandbook[[#This Row],[UDC]],TableOSEPSTEME[],7,FALSE),"")</f>
        <v/>
      </c>
    </row>
    <row r="34" spans="1:29" x14ac:dyDescent="0.25">
      <c r="A34" s="2" t="s">
        <v>197</v>
      </c>
      <c r="B34" s="3">
        <v>1</v>
      </c>
      <c r="C34" s="3" t="s">
        <v>198</v>
      </c>
      <c r="D34" s="2" t="s">
        <v>199</v>
      </c>
      <c r="E34" s="3">
        <v>25</v>
      </c>
      <c r="F34" s="230" t="s">
        <v>115</v>
      </c>
      <c r="G34" s="203" t="str">
        <f>IFERROR(IF(VLOOKUP(TableHandbook[[#This Row],[UDC]],TableAvailabilities[],2,FALSE)&gt;0,"Y",""),"")</f>
        <v/>
      </c>
      <c r="H34" s="203" t="str">
        <f>IFERROR(IF(VLOOKUP(TableHandbook[[#This Row],[UDC]],TableAvailabilities[],3,FALSE)&gt;0,"Y",""),"")</f>
        <v>Y</v>
      </c>
      <c r="I34" s="203" t="str">
        <f>IFERROR(IF(VLOOKUP(TableHandbook[[#This Row],[UDC]],TableAvailabilities[],4,FALSE)&gt;0,"Y",""),"")</f>
        <v/>
      </c>
      <c r="J34" s="203" t="str">
        <f>IFERROR(IF(VLOOKUP(TableHandbook[[#This Row],[UDC]],TableAvailabilities[],5,FALSE)&gt;0,"Y",""),"")</f>
        <v>Y</v>
      </c>
      <c r="K34" s="2"/>
      <c r="L34" s="206" t="str">
        <f>IFERROR(VLOOKUP(TableHandbook[[#This Row],[UDC]],TableOMTEACH1[],7,FALSE),"")</f>
        <v/>
      </c>
      <c r="M34" s="204" t="str">
        <f>IFERROR(VLOOKUP(TableHandbook[[#This Row],[UDC]],TableOUMPTCHEC[],7,FALSE),"")</f>
        <v/>
      </c>
      <c r="N34" s="204" t="str">
        <f>IFERROR(VLOOKUP(TableHandbook[[#This Row],[UDC]],TableOUMPTCHPE[],7,FALSE),"")</f>
        <v/>
      </c>
      <c r="O34" s="204" t="str">
        <f>IFERROR(VLOOKUP(TableHandbook[[#This Row],[UDC]],TableOUMPTCHSE[],7,FALSE),"")</f>
        <v>Option</v>
      </c>
      <c r="P34" s="206" t="str">
        <f>IFERROR(VLOOKUP(TableHandbook[[#This Row],[UDC]],TableOCTESOL1[],7,FALSE),"")</f>
        <v/>
      </c>
      <c r="Q34" s="204" t="str">
        <f>IFERROR(VLOOKUP(TableHandbook[[#This Row],[UDC]],TableOCTESOL[],7,FALSE),"")</f>
        <v/>
      </c>
      <c r="R34" s="204" t="str">
        <f>IFERROR(VLOOKUP(TableHandbook[[#This Row],[UDC]],TableOMAPLING[],7,FALSE),"")</f>
        <v/>
      </c>
      <c r="S34" s="206" t="str">
        <f>IFERROR(VLOOKUP(TableHandbook[[#This Row],[UDC]],TableOCEDHE1[],7,FALSE),"")</f>
        <v/>
      </c>
      <c r="T34" s="204" t="str">
        <f>IFERROR(VLOOKUP(TableHandbook[[#This Row],[UDC]],TableOCEDHE[],7,FALSE),"")</f>
        <v/>
      </c>
      <c r="U34" s="204" t="str">
        <f>IFERROR(VLOOKUP(TableHandbook[[#This Row],[UDC]],TableOCEDUCS1[],7,FALSE),"")</f>
        <v/>
      </c>
      <c r="V34" s="204" t="str">
        <f>IFERROR(VLOOKUP(TableHandbook[[#This Row],[UDC]],TableOCEDUC[],7,FALSE),"")</f>
        <v/>
      </c>
      <c r="W34" s="204" t="str">
        <f>IFERROR(VLOOKUP(TableHandbook[[#This Row],[UDC]],TableOGEDUC[],7,FALSE),"")</f>
        <v/>
      </c>
      <c r="X34" s="204" t="str">
        <f>IFERROR(VLOOKUP(TableHandbook[[#This Row],[UDC]],TableOUMPEDUPR[],7,FALSE),"")</f>
        <v/>
      </c>
      <c r="Y34" s="204" t="str">
        <f>IFERROR(VLOOKUP(TableHandbook[[#This Row],[UDC]],TableOUMPEDUSC[],7,FALSE),"")</f>
        <v>Option</v>
      </c>
      <c r="Z34" s="206" t="str">
        <f>IFERROR(VLOOKUP(TableHandbook[[#This Row],[UDC]],TableOMEDUC[],7,FALSE),"")</f>
        <v/>
      </c>
      <c r="AA34" s="204" t="str">
        <f>IFERROR(VLOOKUP(TableHandbook[[#This Row],[UDC]],TableOSEPCULIN[],7,FALSE),"")</f>
        <v/>
      </c>
      <c r="AB34" s="204" t="str">
        <f>IFERROR(VLOOKUP(TableHandbook[[#This Row],[UDC]],TableOSEPLNTCH[],7,FALSE),"")</f>
        <v/>
      </c>
      <c r="AC34" s="204" t="str">
        <f>IFERROR(VLOOKUP(TableHandbook[[#This Row],[UDC]],TableOSEPSTEME[],7,FALSE),"")</f>
        <v/>
      </c>
    </row>
    <row r="35" spans="1:29" x14ac:dyDescent="0.25">
      <c r="A35" s="2" t="s">
        <v>200</v>
      </c>
      <c r="B35" s="3">
        <v>1</v>
      </c>
      <c r="C35" s="3" t="s">
        <v>201</v>
      </c>
      <c r="D35" s="2" t="s">
        <v>202</v>
      </c>
      <c r="E35" s="3">
        <v>25</v>
      </c>
      <c r="F35" s="230" t="s">
        <v>115</v>
      </c>
      <c r="G35" s="203" t="str">
        <f>IFERROR(IF(VLOOKUP(TableHandbook[[#This Row],[UDC]],TableAvailabilities[],2,FALSE)&gt;0,"Y",""),"")</f>
        <v/>
      </c>
      <c r="H35" s="203" t="str">
        <f>IFERROR(IF(VLOOKUP(TableHandbook[[#This Row],[UDC]],TableAvailabilities[],3,FALSE)&gt;0,"Y",""),"")</f>
        <v>Y</v>
      </c>
      <c r="I35" s="203" t="str">
        <f>IFERROR(IF(VLOOKUP(TableHandbook[[#This Row],[UDC]],TableAvailabilities[],4,FALSE)&gt;0,"Y",""),"")</f>
        <v/>
      </c>
      <c r="J35" s="203" t="str">
        <f>IFERROR(IF(VLOOKUP(TableHandbook[[#This Row],[UDC]],TableAvailabilities[],5,FALSE)&gt;0,"Y",""),"")</f>
        <v>Y</v>
      </c>
      <c r="K35" s="2"/>
      <c r="L35" s="206" t="str">
        <f>IFERROR(VLOOKUP(TableHandbook[[#This Row],[UDC]],TableOMTEACH1[],7,FALSE),"")</f>
        <v/>
      </c>
      <c r="M35" s="204" t="str">
        <f>IFERROR(VLOOKUP(TableHandbook[[#This Row],[UDC]],TableOUMPTCHEC[],7,FALSE),"")</f>
        <v/>
      </c>
      <c r="N35" s="204" t="str">
        <f>IFERROR(VLOOKUP(TableHandbook[[#This Row],[UDC]],TableOUMPTCHPE[],7,FALSE),"")</f>
        <v/>
      </c>
      <c r="O35" s="204" t="str">
        <f>IFERROR(VLOOKUP(TableHandbook[[#This Row],[UDC]],TableOUMPTCHSE[],7,FALSE),"")</f>
        <v>Option</v>
      </c>
      <c r="P35" s="206" t="str">
        <f>IFERROR(VLOOKUP(TableHandbook[[#This Row],[UDC]],TableOCTESOL1[],7,FALSE),"")</f>
        <v/>
      </c>
      <c r="Q35" s="204" t="str">
        <f>IFERROR(VLOOKUP(TableHandbook[[#This Row],[UDC]],TableOCTESOL[],7,FALSE),"")</f>
        <v/>
      </c>
      <c r="R35" s="204" t="str">
        <f>IFERROR(VLOOKUP(TableHandbook[[#This Row],[UDC]],TableOMAPLING[],7,FALSE),"")</f>
        <v/>
      </c>
      <c r="S35" s="206" t="str">
        <f>IFERROR(VLOOKUP(TableHandbook[[#This Row],[UDC]],TableOCEDHE1[],7,FALSE),"")</f>
        <v/>
      </c>
      <c r="T35" s="204" t="str">
        <f>IFERROR(VLOOKUP(TableHandbook[[#This Row],[UDC]],TableOCEDHE[],7,FALSE),"")</f>
        <v/>
      </c>
      <c r="U35" s="204" t="str">
        <f>IFERROR(VLOOKUP(TableHandbook[[#This Row],[UDC]],TableOCEDUCS1[],7,FALSE),"")</f>
        <v/>
      </c>
      <c r="V35" s="204" t="str">
        <f>IFERROR(VLOOKUP(TableHandbook[[#This Row],[UDC]],TableOCEDUC[],7,FALSE),"")</f>
        <v/>
      </c>
      <c r="W35" s="204" t="str">
        <f>IFERROR(VLOOKUP(TableHandbook[[#This Row],[UDC]],TableOGEDUC[],7,FALSE),"")</f>
        <v/>
      </c>
      <c r="X35" s="204" t="str">
        <f>IFERROR(VLOOKUP(TableHandbook[[#This Row],[UDC]],TableOUMPEDUPR[],7,FALSE),"")</f>
        <v/>
      </c>
      <c r="Y35" s="204" t="str">
        <f>IFERROR(VLOOKUP(TableHandbook[[#This Row],[UDC]],TableOUMPEDUSC[],7,FALSE),"")</f>
        <v>Option</v>
      </c>
      <c r="Z35" s="206" t="str">
        <f>IFERROR(VLOOKUP(TableHandbook[[#This Row],[UDC]],TableOMEDUC[],7,FALSE),"")</f>
        <v/>
      </c>
      <c r="AA35" s="204" t="str">
        <f>IFERROR(VLOOKUP(TableHandbook[[#This Row],[UDC]],TableOSEPCULIN[],7,FALSE),"")</f>
        <v/>
      </c>
      <c r="AB35" s="204" t="str">
        <f>IFERROR(VLOOKUP(TableHandbook[[#This Row],[UDC]],TableOSEPLNTCH[],7,FALSE),"")</f>
        <v/>
      </c>
      <c r="AC35" s="204" t="str">
        <f>IFERROR(VLOOKUP(TableHandbook[[#This Row],[UDC]],TableOSEPSTEME[],7,FALSE),"")</f>
        <v/>
      </c>
    </row>
    <row r="36" spans="1:29" x14ac:dyDescent="0.25">
      <c r="A36" s="2" t="s">
        <v>203</v>
      </c>
      <c r="B36" s="3">
        <v>1</v>
      </c>
      <c r="C36" s="3" t="s">
        <v>204</v>
      </c>
      <c r="D36" s="2" t="s">
        <v>205</v>
      </c>
      <c r="E36" s="3">
        <v>25</v>
      </c>
      <c r="F36" s="230" t="s">
        <v>115</v>
      </c>
      <c r="G36" s="203" t="str">
        <f>IFERROR(IF(VLOOKUP(TableHandbook[[#This Row],[UDC]],TableAvailabilities[],2,FALSE)&gt;0,"Y",""),"")</f>
        <v/>
      </c>
      <c r="H36" s="203" t="str">
        <f>IFERROR(IF(VLOOKUP(TableHandbook[[#This Row],[UDC]],TableAvailabilities[],3,FALSE)&gt;0,"Y",""),"")</f>
        <v>Y</v>
      </c>
      <c r="I36" s="203" t="str">
        <f>IFERROR(IF(VLOOKUP(TableHandbook[[#This Row],[UDC]],TableAvailabilities[],4,FALSE)&gt;0,"Y",""),"")</f>
        <v/>
      </c>
      <c r="J36" s="203" t="str">
        <f>IFERROR(IF(VLOOKUP(TableHandbook[[#This Row],[UDC]],TableAvailabilities[],5,FALSE)&gt;0,"Y",""),"")</f>
        <v>Y</v>
      </c>
      <c r="K36" s="2"/>
      <c r="L36" s="206" t="str">
        <f>IFERROR(VLOOKUP(TableHandbook[[#This Row],[UDC]],TableOMTEACH1[],7,FALSE),"")</f>
        <v/>
      </c>
      <c r="M36" s="204" t="str">
        <f>IFERROR(VLOOKUP(TableHandbook[[#This Row],[UDC]],TableOUMPTCHEC[],7,FALSE),"")</f>
        <v/>
      </c>
      <c r="N36" s="204" t="str">
        <f>IFERROR(VLOOKUP(TableHandbook[[#This Row],[UDC]],TableOUMPTCHPE[],7,FALSE),"")</f>
        <v/>
      </c>
      <c r="O36" s="204" t="str">
        <f>IFERROR(VLOOKUP(TableHandbook[[#This Row],[UDC]],TableOUMPTCHSE[],7,FALSE),"")</f>
        <v>Option</v>
      </c>
      <c r="P36" s="206" t="str">
        <f>IFERROR(VLOOKUP(TableHandbook[[#This Row],[UDC]],TableOCTESOL1[],7,FALSE),"")</f>
        <v/>
      </c>
      <c r="Q36" s="204" t="str">
        <f>IFERROR(VLOOKUP(TableHandbook[[#This Row],[UDC]],TableOCTESOL[],7,FALSE),"")</f>
        <v/>
      </c>
      <c r="R36" s="204" t="str">
        <f>IFERROR(VLOOKUP(TableHandbook[[#This Row],[UDC]],TableOMAPLING[],7,FALSE),"")</f>
        <v/>
      </c>
      <c r="S36" s="206" t="str">
        <f>IFERROR(VLOOKUP(TableHandbook[[#This Row],[UDC]],TableOCEDHE1[],7,FALSE),"")</f>
        <v/>
      </c>
      <c r="T36" s="204" t="str">
        <f>IFERROR(VLOOKUP(TableHandbook[[#This Row],[UDC]],TableOCEDHE[],7,FALSE),"")</f>
        <v/>
      </c>
      <c r="U36" s="204" t="str">
        <f>IFERROR(VLOOKUP(TableHandbook[[#This Row],[UDC]],TableOCEDUCS1[],7,FALSE),"")</f>
        <v/>
      </c>
      <c r="V36" s="204" t="str">
        <f>IFERROR(VLOOKUP(TableHandbook[[#This Row],[UDC]],TableOCEDUC[],7,FALSE),"")</f>
        <v/>
      </c>
      <c r="W36" s="204" t="str">
        <f>IFERROR(VLOOKUP(TableHandbook[[#This Row],[UDC]],TableOGEDUC[],7,FALSE),"")</f>
        <v/>
      </c>
      <c r="X36" s="204" t="str">
        <f>IFERROR(VLOOKUP(TableHandbook[[#This Row],[UDC]],TableOUMPEDUPR[],7,FALSE),"")</f>
        <v/>
      </c>
      <c r="Y36" s="204" t="str">
        <f>IFERROR(VLOOKUP(TableHandbook[[#This Row],[UDC]],TableOUMPEDUSC[],7,FALSE),"")</f>
        <v>Option</v>
      </c>
      <c r="Z36" s="206" t="str">
        <f>IFERROR(VLOOKUP(TableHandbook[[#This Row],[UDC]],TableOMEDUC[],7,FALSE),"")</f>
        <v/>
      </c>
      <c r="AA36" s="204" t="str">
        <f>IFERROR(VLOOKUP(TableHandbook[[#This Row],[UDC]],TableOSEPCULIN[],7,FALSE),"")</f>
        <v/>
      </c>
      <c r="AB36" s="204" t="str">
        <f>IFERROR(VLOOKUP(TableHandbook[[#This Row],[UDC]],TableOSEPLNTCH[],7,FALSE),"")</f>
        <v/>
      </c>
      <c r="AC36" s="204" t="str">
        <f>IFERROR(VLOOKUP(TableHandbook[[#This Row],[UDC]],TableOSEPSTEME[],7,FALSE),"")</f>
        <v/>
      </c>
    </row>
    <row r="37" spans="1:29" x14ac:dyDescent="0.25">
      <c r="A37" s="2" t="s">
        <v>206</v>
      </c>
      <c r="B37" s="3">
        <v>1</v>
      </c>
      <c r="C37" s="3" t="s">
        <v>207</v>
      </c>
      <c r="D37" s="2" t="s">
        <v>208</v>
      </c>
      <c r="E37" s="3">
        <v>25</v>
      </c>
      <c r="F37" s="230" t="s">
        <v>115</v>
      </c>
      <c r="G37" s="203" t="str">
        <f>IFERROR(IF(VLOOKUP(TableHandbook[[#This Row],[UDC]],TableAvailabilities[],2,FALSE)&gt;0,"Y",""),"")</f>
        <v/>
      </c>
      <c r="H37" s="203" t="str">
        <f>IFERROR(IF(VLOOKUP(TableHandbook[[#This Row],[UDC]],TableAvailabilities[],3,FALSE)&gt;0,"Y",""),"")</f>
        <v>Y</v>
      </c>
      <c r="I37" s="203" t="str">
        <f>IFERROR(IF(VLOOKUP(TableHandbook[[#This Row],[UDC]],TableAvailabilities[],4,FALSE)&gt;0,"Y",""),"")</f>
        <v/>
      </c>
      <c r="J37" s="203" t="str">
        <f>IFERROR(IF(VLOOKUP(TableHandbook[[#This Row],[UDC]],TableAvailabilities[],5,FALSE)&gt;0,"Y",""),"")</f>
        <v>Y</v>
      </c>
      <c r="K37" s="2"/>
      <c r="L37" s="206" t="str">
        <f>IFERROR(VLOOKUP(TableHandbook[[#This Row],[UDC]],TableOMTEACH1[],7,FALSE),"")</f>
        <v/>
      </c>
      <c r="M37" s="204" t="str">
        <f>IFERROR(VLOOKUP(TableHandbook[[#This Row],[UDC]],TableOUMPTCHEC[],7,FALSE),"")</f>
        <v/>
      </c>
      <c r="N37" s="204" t="str">
        <f>IFERROR(VLOOKUP(TableHandbook[[#This Row],[UDC]],TableOUMPTCHPE[],7,FALSE),"")</f>
        <v/>
      </c>
      <c r="O37" s="204" t="str">
        <f>IFERROR(VLOOKUP(TableHandbook[[#This Row],[UDC]],TableOUMPTCHSE[],7,FALSE),"")</f>
        <v>Option</v>
      </c>
      <c r="P37" s="206" t="str">
        <f>IFERROR(VLOOKUP(TableHandbook[[#This Row],[UDC]],TableOCTESOL1[],7,FALSE),"")</f>
        <v/>
      </c>
      <c r="Q37" s="204" t="str">
        <f>IFERROR(VLOOKUP(TableHandbook[[#This Row],[UDC]],TableOCTESOL[],7,FALSE),"")</f>
        <v/>
      </c>
      <c r="R37" s="204" t="str">
        <f>IFERROR(VLOOKUP(TableHandbook[[#This Row],[UDC]],TableOMAPLING[],7,FALSE),"")</f>
        <v/>
      </c>
      <c r="S37" s="206" t="str">
        <f>IFERROR(VLOOKUP(TableHandbook[[#This Row],[UDC]],TableOCEDHE1[],7,FALSE),"")</f>
        <v/>
      </c>
      <c r="T37" s="204" t="str">
        <f>IFERROR(VLOOKUP(TableHandbook[[#This Row],[UDC]],TableOCEDHE[],7,FALSE),"")</f>
        <v/>
      </c>
      <c r="U37" s="204" t="str">
        <f>IFERROR(VLOOKUP(TableHandbook[[#This Row],[UDC]],TableOCEDUCS1[],7,FALSE),"")</f>
        <v/>
      </c>
      <c r="V37" s="204" t="str">
        <f>IFERROR(VLOOKUP(TableHandbook[[#This Row],[UDC]],TableOCEDUC[],7,FALSE),"")</f>
        <v/>
      </c>
      <c r="W37" s="204" t="str">
        <f>IFERROR(VLOOKUP(TableHandbook[[#This Row],[UDC]],TableOGEDUC[],7,FALSE),"")</f>
        <v/>
      </c>
      <c r="X37" s="204" t="str">
        <f>IFERROR(VLOOKUP(TableHandbook[[#This Row],[UDC]],TableOUMPEDUPR[],7,FALSE),"")</f>
        <v/>
      </c>
      <c r="Y37" s="204" t="str">
        <f>IFERROR(VLOOKUP(TableHandbook[[#This Row],[UDC]],TableOUMPEDUSC[],7,FALSE),"")</f>
        <v>Option</v>
      </c>
      <c r="Z37" s="206" t="str">
        <f>IFERROR(VLOOKUP(TableHandbook[[#This Row],[UDC]],TableOMEDUC[],7,FALSE),"")</f>
        <v/>
      </c>
      <c r="AA37" s="204" t="str">
        <f>IFERROR(VLOOKUP(TableHandbook[[#This Row],[UDC]],TableOSEPCULIN[],7,FALSE),"")</f>
        <v/>
      </c>
      <c r="AB37" s="204" t="str">
        <f>IFERROR(VLOOKUP(TableHandbook[[#This Row],[UDC]],TableOSEPLNTCH[],7,FALSE),"")</f>
        <v/>
      </c>
      <c r="AC37" s="204" t="str">
        <f>IFERROR(VLOOKUP(TableHandbook[[#This Row],[UDC]],TableOSEPSTEME[],7,FALSE),"")</f>
        <v/>
      </c>
    </row>
    <row r="38" spans="1:29" x14ac:dyDescent="0.25">
      <c r="A38" s="2" t="s">
        <v>209</v>
      </c>
      <c r="B38" s="3">
        <v>2</v>
      </c>
      <c r="C38" s="3" t="s">
        <v>210</v>
      </c>
      <c r="D38" s="2" t="s">
        <v>211</v>
      </c>
      <c r="E38" s="3">
        <v>25</v>
      </c>
      <c r="F38" s="230" t="s">
        <v>115</v>
      </c>
      <c r="G38" s="203" t="str">
        <f>IFERROR(IF(VLOOKUP(TableHandbook[[#This Row],[UDC]],TableAvailabilities[],2,FALSE)&gt;0,"Y",""),"")</f>
        <v/>
      </c>
      <c r="H38" s="203" t="str">
        <f>IFERROR(IF(VLOOKUP(TableHandbook[[#This Row],[UDC]],TableAvailabilities[],3,FALSE)&gt;0,"Y",""),"")</f>
        <v>Y</v>
      </c>
      <c r="I38" s="203" t="str">
        <f>IFERROR(IF(VLOOKUP(TableHandbook[[#This Row],[UDC]],TableAvailabilities[],4,FALSE)&gt;0,"Y",""),"")</f>
        <v/>
      </c>
      <c r="J38" s="203" t="str">
        <f>IFERROR(IF(VLOOKUP(TableHandbook[[#This Row],[UDC]],TableAvailabilities[],5,FALSE)&gt;0,"Y",""),"")</f>
        <v>Y</v>
      </c>
      <c r="K38" s="2"/>
      <c r="L38" s="206" t="str">
        <f>IFERROR(VLOOKUP(TableHandbook[[#This Row],[UDC]],TableOMTEACH1[],7,FALSE),"")</f>
        <v/>
      </c>
      <c r="M38" s="204" t="str">
        <f>IFERROR(VLOOKUP(TableHandbook[[#This Row],[UDC]],TableOUMPTCHEC[],7,FALSE),"")</f>
        <v/>
      </c>
      <c r="N38" s="204" t="str">
        <f>IFERROR(VLOOKUP(TableHandbook[[#This Row],[UDC]],TableOUMPTCHPE[],7,FALSE),"")</f>
        <v/>
      </c>
      <c r="O38" s="204" t="str">
        <f>IFERROR(VLOOKUP(TableHandbook[[#This Row],[UDC]],TableOUMPTCHSE[],7,FALSE),"")</f>
        <v>Option</v>
      </c>
      <c r="P38" s="206" t="str">
        <f>IFERROR(VLOOKUP(TableHandbook[[#This Row],[UDC]],TableOCTESOL1[],7,FALSE),"")</f>
        <v/>
      </c>
      <c r="Q38" s="204" t="str">
        <f>IFERROR(VLOOKUP(TableHandbook[[#This Row],[UDC]],TableOCTESOL[],7,FALSE),"")</f>
        <v/>
      </c>
      <c r="R38" s="204" t="str">
        <f>IFERROR(VLOOKUP(TableHandbook[[#This Row],[UDC]],TableOMAPLING[],7,FALSE),"")</f>
        <v/>
      </c>
      <c r="S38" s="206" t="str">
        <f>IFERROR(VLOOKUP(TableHandbook[[#This Row],[UDC]],TableOCEDHE1[],7,FALSE),"")</f>
        <v/>
      </c>
      <c r="T38" s="204" t="str">
        <f>IFERROR(VLOOKUP(TableHandbook[[#This Row],[UDC]],TableOCEDHE[],7,FALSE),"")</f>
        <v/>
      </c>
      <c r="U38" s="204" t="str">
        <f>IFERROR(VLOOKUP(TableHandbook[[#This Row],[UDC]],TableOCEDUCS1[],7,FALSE),"")</f>
        <v/>
      </c>
      <c r="V38" s="204" t="str">
        <f>IFERROR(VLOOKUP(TableHandbook[[#This Row],[UDC]],TableOCEDUC[],7,FALSE),"")</f>
        <v/>
      </c>
      <c r="W38" s="204" t="str">
        <f>IFERROR(VLOOKUP(TableHandbook[[#This Row],[UDC]],TableOGEDUC[],7,FALSE),"")</f>
        <v/>
      </c>
      <c r="X38" s="204" t="str">
        <f>IFERROR(VLOOKUP(TableHandbook[[#This Row],[UDC]],TableOUMPEDUPR[],7,FALSE),"")</f>
        <v/>
      </c>
      <c r="Y38" s="204" t="str">
        <f>IFERROR(VLOOKUP(TableHandbook[[#This Row],[UDC]],TableOUMPEDUSC[],7,FALSE),"")</f>
        <v>Option</v>
      </c>
      <c r="Z38" s="206" t="str">
        <f>IFERROR(VLOOKUP(TableHandbook[[#This Row],[UDC]],TableOMEDUC[],7,FALSE),"")</f>
        <v/>
      </c>
      <c r="AA38" s="204" t="str">
        <f>IFERROR(VLOOKUP(TableHandbook[[#This Row],[UDC]],TableOSEPCULIN[],7,FALSE),"")</f>
        <v/>
      </c>
      <c r="AB38" s="204" t="str">
        <f>IFERROR(VLOOKUP(TableHandbook[[#This Row],[UDC]],TableOSEPLNTCH[],7,FALSE),"")</f>
        <v/>
      </c>
      <c r="AC38" s="204" t="str">
        <f>IFERROR(VLOOKUP(TableHandbook[[#This Row],[UDC]],TableOSEPSTEME[],7,FALSE),"")</f>
        <v/>
      </c>
    </row>
    <row r="39" spans="1:29" x14ac:dyDescent="0.25">
      <c r="A39" s="2" t="s">
        <v>212</v>
      </c>
      <c r="B39" s="3">
        <v>2</v>
      </c>
      <c r="C39" s="3" t="s">
        <v>213</v>
      </c>
      <c r="D39" s="2" t="s">
        <v>214</v>
      </c>
      <c r="E39" s="3">
        <v>25</v>
      </c>
      <c r="F39" s="230" t="s">
        <v>115</v>
      </c>
      <c r="G39" s="203" t="str">
        <f>IFERROR(IF(VLOOKUP(TableHandbook[[#This Row],[UDC]],TableAvailabilities[],2,FALSE)&gt;0,"Y",""),"")</f>
        <v/>
      </c>
      <c r="H39" s="203" t="str">
        <f>IFERROR(IF(VLOOKUP(TableHandbook[[#This Row],[UDC]],TableAvailabilities[],3,FALSE)&gt;0,"Y",""),"")</f>
        <v>Y</v>
      </c>
      <c r="I39" s="203" t="str">
        <f>IFERROR(IF(VLOOKUP(TableHandbook[[#This Row],[UDC]],TableAvailabilities[],4,FALSE)&gt;0,"Y",""),"")</f>
        <v/>
      </c>
      <c r="J39" s="203" t="str">
        <f>IFERROR(IF(VLOOKUP(TableHandbook[[#This Row],[UDC]],TableAvailabilities[],5,FALSE)&gt;0,"Y",""),"")</f>
        <v>Y</v>
      </c>
      <c r="K39" s="2"/>
      <c r="L39" s="206" t="str">
        <f>IFERROR(VLOOKUP(TableHandbook[[#This Row],[UDC]],TableOMTEACH1[],7,FALSE),"")</f>
        <v/>
      </c>
      <c r="M39" s="204" t="str">
        <f>IFERROR(VLOOKUP(TableHandbook[[#This Row],[UDC]],TableOUMPTCHEC[],7,FALSE),"")</f>
        <v/>
      </c>
      <c r="N39" s="204" t="str">
        <f>IFERROR(VLOOKUP(TableHandbook[[#This Row],[UDC]],TableOUMPTCHPE[],7,FALSE),"")</f>
        <v/>
      </c>
      <c r="O39" s="204" t="str">
        <f>IFERROR(VLOOKUP(TableHandbook[[#This Row],[UDC]],TableOUMPTCHSE[],7,FALSE),"")</f>
        <v>Option</v>
      </c>
      <c r="P39" s="206" t="str">
        <f>IFERROR(VLOOKUP(TableHandbook[[#This Row],[UDC]],TableOCTESOL1[],7,FALSE),"")</f>
        <v/>
      </c>
      <c r="Q39" s="204" t="str">
        <f>IFERROR(VLOOKUP(TableHandbook[[#This Row],[UDC]],TableOCTESOL[],7,FALSE),"")</f>
        <v/>
      </c>
      <c r="R39" s="204" t="str">
        <f>IFERROR(VLOOKUP(TableHandbook[[#This Row],[UDC]],TableOMAPLING[],7,FALSE),"")</f>
        <v/>
      </c>
      <c r="S39" s="206" t="str">
        <f>IFERROR(VLOOKUP(TableHandbook[[#This Row],[UDC]],TableOCEDHE1[],7,FALSE),"")</f>
        <v/>
      </c>
      <c r="T39" s="204" t="str">
        <f>IFERROR(VLOOKUP(TableHandbook[[#This Row],[UDC]],TableOCEDHE[],7,FALSE),"")</f>
        <v/>
      </c>
      <c r="U39" s="204" t="str">
        <f>IFERROR(VLOOKUP(TableHandbook[[#This Row],[UDC]],TableOCEDUCS1[],7,FALSE),"")</f>
        <v/>
      </c>
      <c r="V39" s="204" t="str">
        <f>IFERROR(VLOOKUP(TableHandbook[[#This Row],[UDC]],TableOCEDUC[],7,FALSE),"")</f>
        <v/>
      </c>
      <c r="W39" s="204" t="str">
        <f>IFERROR(VLOOKUP(TableHandbook[[#This Row],[UDC]],TableOGEDUC[],7,FALSE),"")</f>
        <v/>
      </c>
      <c r="X39" s="204" t="str">
        <f>IFERROR(VLOOKUP(TableHandbook[[#This Row],[UDC]],TableOUMPEDUPR[],7,FALSE),"")</f>
        <v/>
      </c>
      <c r="Y39" s="204" t="str">
        <f>IFERROR(VLOOKUP(TableHandbook[[#This Row],[UDC]],TableOUMPEDUSC[],7,FALSE),"")</f>
        <v>Option</v>
      </c>
      <c r="Z39" s="206" t="str">
        <f>IFERROR(VLOOKUP(TableHandbook[[#This Row],[UDC]],TableOMEDUC[],7,FALSE),"")</f>
        <v/>
      </c>
      <c r="AA39" s="204" t="str">
        <f>IFERROR(VLOOKUP(TableHandbook[[#This Row],[UDC]],TableOSEPCULIN[],7,FALSE),"")</f>
        <v/>
      </c>
      <c r="AB39" s="204" t="str">
        <f>IFERROR(VLOOKUP(TableHandbook[[#This Row],[UDC]],TableOSEPLNTCH[],7,FALSE),"")</f>
        <v/>
      </c>
      <c r="AC39" s="204" t="str">
        <f>IFERROR(VLOOKUP(TableHandbook[[#This Row],[UDC]],TableOSEPSTEME[],7,FALSE),"")</f>
        <v/>
      </c>
    </row>
    <row r="40" spans="1:29" x14ac:dyDescent="0.25">
      <c r="A40" s="2" t="s">
        <v>215</v>
      </c>
      <c r="B40" s="3">
        <v>2</v>
      </c>
      <c r="C40" s="3" t="s">
        <v>216</v>
      </c>
      <c r="D40" s="2" t="s">
        <v>217</v>
      </c>
      <c r="E40" s="3">
        <v>25</v>
      </c>
      <c r="F40" s="230" t="s">
        <v>115</v>
      </c>
      <c r="G40" s="203" t="str">
        <f>IFERROR(IF(VLOOKUP(TableHandbook[[#This Row],[UDC]],TableAvailabilities[],2,FALSE)&gt;0,"Y",""),"")</f>
        <v/>
      </c>
      <c r="H40" s="203" t="str">
        <f>IFERROR(IF(VLOOKUP(TableHandbook[[#This Row],[UDC]],TableAvailabilities[],3,FALSE)&gt;0,"Y",""),"")</f>
        <v>Y</v>
      </c>
      <c r="I40" s="203" t="str">
        <f>IFERROR(IF(VLOOKUP(TableHandbook[[#This Row],[UDC]],TableAvailabilities[],4,FALSE)&gt;0,"Y",""),"")</f>
        <v/>
      </c>
      <c r="J40" s="203" t="str">
        <f>IFERROR(IF(VLOOKUP(TableHandbook[[#This Row],[UDC]],TableAvailabilities[],5,FALSE)&gt;0,"Y",""),"")</f>
        <v>Y</v>
      </c>
      <c r="K40" s="2"/>
      <c r="L40" s="206" t="str">
        <f>IFERROR(VLOOKUP(TableHandbook[[#This Row],[UDC]],TableOMTEACH1[],7,FALSE),"")</f>
        <v/>
      </c>
      <c r="M40" s="204" t="str">
        <f>IFERROR(VLOOKUP(TableHandbook[[#This Row],[UDC]],TableOUMPTCHEC[],7,FALSE),"")</f>
        <v/>
      </c>
      <c r="N40" s="204" t="str">
        <f>IFERROR(VLOOKUP(TableHandbook[[#This Row],[UDC]],TableOUMPTCHPE[],7,FALSE),"")</f>
        <v/>
      </c>
      <c r="O40" s="204" t="str">
        <f>IFERROR(VLOOKUP(TableHandbook[[#This Row],[UDC]],TableOUMPTCHSE[],7,FALSE),"")</f>
        <v>Option</v>
      </c>
      <c r="P40" s="206" t="str">
        <f>IFERROR(VLOOKUP(TableHandbook[[#This Row],[UDC]],TableOCTESOL1[],7,FALSE),"")</f>
        <v/>
      </c>
      <c r="Q40" s="204" t="str">
        <f>IFERROR(VLOOKUP(TableHandbook[[#This Row],[UDC]],TableOCTESOL[],7,FALSE),"")</f>
        <v/>
      </c>
      <c r="R40" s="204" t="str">
        <f>IFERROR(VLOOKUP(TableHandbook[[#This Row],[UDC]],TableOMAPLING[],7,FALSE),"")</f>
        <v/>
      </c>
      <c r="S40" s="206" t="str">
        <f>IFERROR(VLOOKUP(TableHandbook[[#This Row],[UDC]],TableOCEDHE1[],7,FALSE),"")</f>
        <v/>
      </c>
      <c r="T40" s="204" t="str">
        <f>IFERROR(VLOOKUP(TableHandbook[[#This Row],[UDC]],TableOCEDHE[],7,FALSE),"")</f>
        <v/>
      </c>
      <c r="U40" s="204" t="str">
        <f>IFERROR(VLOOKUP(TableHandbook[[#This Row],[UDC]],TableOCEDUCS1[],7,FALSE),"")</f>
        <v/>
      </c>
      <c r="V40" s="204" t="str">
        <f>IFERROR(VLOOKUP(TableHandbook[[#This Row],[UDC]],TableOCEDUC[],7,FALSE),"")</f>
        <v/>
      </c>
      <c r="W40" s="204" t="str">
        <f>IFERROR(VLOOKUP(TableHandbook[[#This Row],[UDC]],TableOGEDUC[],7,FALSE),"")</f>
        <v/>
      </c>
      <c r="X40" s="204" t="str">
        <f>IFERROR(VLOOKUP(TableHandbook[[#This Row],[UDC]],TableOUMPEDUPR[],7,FALSE),"")</f>
        <v/>
      </c>
      <c r="Y40" s="204" t="str">
        <f>IFERROR(VLOOKUP(TableHandbook[[#This Row],[UDC]],TableOUMPEDUSC[],7,FALSE),"")</f>
        <v>Option</v>
      </c>
      <c r="Z40" s="206" t="str">
        <f>IFERROR(VLOOKUP(TableHandbook[[#This Row],[UDC]],TableOMEDUC[],7,FALSE),"")</f>
        <v/>
      </c>
      <c r="AA40" s="204" t="str">
        <f>IFERROR(VLOOKUP(TableHandbook[[#This Row],[UDC]],TableOSEPCULIN[],7,FALSE),"")</f>
        <v/>
      </c>
      <c r="AB40" s="204" t="str">
        <f>IFERROR(VLOOKUP(TableHandbook[[#This Row],[UDC]],TableOSEPLNTCH[],7,FALSE),"")</f>
        <v/>
      </c>
      <c r="AC40" s="204" t="str">
        <f>IFERROR(VLOOKUP(TableHandbook[[#This Row],[UDC]],TableOSEPSTEME[],7,FALSE),"")</f>
        <v/>
      </c>
    </row>
    <row r="41" spans="1:29" x14ac:dyDescent="0.25">
      <c r="A41" s="2" t="s">
        <v>218</v>
      </c>
      <c r="B41" s="3">
        <v>2</v>
      </c>
      <c r="C41" s="3" t="s">
        <v>219</v>
      </c>
      <c r="D41" s="2" t="s">
        <v>220</v>
      </c>
      <c r="E41" s="3">
        <v>25</v>
      </c>
      <c r="F41" s="230" t="s">
        <v>115</v>
      </c>
      <c r="G41" s="203" t="str">
        <f>IFERROR(IF(VLOOKUP(TableHandbook[[#This Row],[UDC]],TableAvailabilities[],2,FALSE)&gt;0,"Y",""),"")</f>
        <v/>
      </c>
      <c r="H41" s="203" t="str">
        <f>IFERROR(IF(VLOOKUP(TableHandbook[[#This Row],[UDC]],TableAvailabilities[],3,FALSE)&gt;0,"Y",""),"")</f>
        <v>Y</v>
      </c>
      <c r="I41" s="203" t="str">
        <f>IFERROR(IF(VLOOKUP(TableHandbook[[#This Row],[UDC]],TableAvailabilities[],4,FALSE)&gt;0,"Y",""),"")</f>
        <v/>
      </c>
      <c r="J41" s="203" t="str">
        <f>IFERROR(IF(VLOOKUP(TableHandbook[[#This Row],[UDC]],TableAvailabilities[],5,FALSE)&gt;0,"Y",""),"")</f>
        <v>Y</v>
      </c>
      <c r="K41" s="2"/>
      <c r="L41" s="206" t="str">
        <f>IFERROR(VLOOKUP(TableHandbook[[#This Row],[UDC]],TableOMTEACH1[],7,FALSE),"")</f>
        <v/>
      </c>
      <c r="M41" s="204" t="str">
        <f>IFERROR(VLOOKUP(TableHandbook[[#This Row],[UDC]],TableOUMPTCHEC[],7,FALSE),"")</f>
        <v/>
      </c>
      <c r="N41" s="204" t="str">
        <f>IFERROR(VLOOKUP(TableHandbook[[#This Row],[UDC]],TableOUMPTCHPE[],7,FALSE),"")</f>
        <v/>
      </c>
      <c r="O41" s="204" t="str">
        <f>IFERROR(VLOOKUP(TableHandbook[[#This Row],[UDC]],TableOUMPTCHSE[],7,FALSE),"")</f>
        <v>Option</v>
      </c>
      <c r="P41" s="206" t="str">
        <f>IFERROR(VLOOKUP(TableHandbook[[#This Row],[UDC]],TableOCTESOL1[],7,FALSE),"")</f>
        <v/>
      </c>
      <c r="Q41" s="204" t="str">
        <f>IFERROR(VLOOKUP(TableHandbook[[#This Row],[UDC]],TableOCTESOL[],7,FALSE),"")</f>
        <v/>
      </c>
      <c r="R41" s="204" t="str">
        <f>IFERROR(VLOOKUP(TableHandbook[[#This Row],[UDC]],TableOMAPLING[],7,FALSE),"")</f>
        <v/>
      </c>
      <c r="S41" s="206" t="str">
        <f>IFERROR(VLOOKUP(TableHandbook[[#This Row],[UDC]],TableOCEDHE1[],7,FALSE),"")</f>
        <v/>
      </c>
      <c r="T41" s="204" t="str">
        <f>IFERROR(VLOOKUP(TableHandbook[[#This Row],[UDC]],TableOCEDHE[],7,FALSE),"")</f>
        <v/>
      </c>
      <c r="U41" s="204" t="str">
        <f>IFERROR(VLOOKUP(TableHandbook[[#This Row],[UDC]],TableOCEDUCS1[],7,FALSE),"")</f>
        <v/>
      </c>
      <c r="V41" s="204" t="str">
        <f>IFERROR(VLOOKUP(TableHandbook[[#This Row],[UDC]],TableOCEDUC[],7,FALSE),"")</f>
        <v/>
      </c>
      <c r="W41" s="204" t="str">
        <f>IFERROR(VLOOKUP(TableHandbook[[#This Row],[UDC]],TableOGEDUC[],7,FALSE),"")</f>
        <v/>
      </c>
      <c r="X41" s="204" t="str">
        <f>IFERROR(VLOOKUP(TableHandbook[[#This Row],[UDC]],TableOUMPEDUPR[],7,FALSE),"")</f>
        <v/>
      </c>
      <c r="Y41" s="204" t="str">
        <f>IFERROR(VLOOKUP(TableHandbook[[#This Row],[UDC]],TableOUMPEDUSC[],7,FALSE),"")</f>
        <v>Option</v>
      </c>
      <c r="Z41" s="206" t="str">
        <f>IFERROR(VLOOKUP(TableHandbook[[#This Row],[UDC]],TableOMEDUC[],7,FALSE),"")</f>
        <v/>
      </c>
      <c r="AA41" s="204" t="str">
        <f>IFERROR(VLOOKUP(TableHandbook[[#This Row],[UDC]],TableOSEPCULIN[],7,FALSE),"")</f>
        <v/>
      </c>
      <c r="AB41" s="204" t="str">
        <f>IFERROR(VLOOKUP(TableHandbook[[#This Row],[UDC]],TableOSEPLNTCH[],7,FALSE),"")</f>
        <v/>
      </c>
      <c r="AC41" s="204" t="str">
        <f>IFERROR(VLOOKUP(TableHandbook[[#This Row],[UDC]],TableOSEPSTEME[],7,FALSE),"")</f>
        <v/>
      </c>
    </row>
    <row r="42" spans="1:29" x14ac:dyDescent="0.25">
      <c r="A42" s="2" t="s">
        <v>221</v>
      </c>
      <c r="B42" s="3">
        <v>1</v>
      </c>
      <c r="C42" s="3" t="s">
        <v>222</v>
      </c>
      <c r="D42" s="2" t="s">
        <v>223</v>
      </c>
      <c r="E42" s="3">
        <v>25</v>
      </c>
      <c r="F42" s="230" t="s">
        <v>189</v>
      </c>
      <c r="G42" s="203" t="str">
        <f>IFERROR(IF(VLOOKUP(TableHandbook[[#This Row],[UDC]],TableAvailabilities[],2,FALSE)&gt;0,"Y",""),"")</f>
        <v/>
      </c>
      <c r="H42" s="203" t="str">
        <f>IFERROR(IF(VLOOKUP(TableHandbook[[#This Row],[UDC]],TableAvailabilities[],3,FALSE)&gt;0,"Y",""),"")</f>
        <v>Y</v>
      </c>
      <c r="I42" s="203" t="str">
        <f>IFERROR(IF(VLOOKUP(TableHandbook[[#This Row],[UDC]],TableAvailabilities[],4,FALSE)&gt;0,"Y",""),"")</f>
        <v>Y</v>
      </c>
      <c r="J42" s="203" t="str">
        <f>IFERROR(IF(VLOOKUP(TableHandbook[[#This Row],[UDC]],TableAvailabilities[],5,FALSE)&gt;0,"Y",""),"")</f>
        <v/>
      </c>
      <c r="K42" s="2"/>
      <c r="L42" s="206" t="str">
        <f>IFERROR(VLOOKUP(TableHandbook[[#This Row],[UDC]],TableOMTEACH1[],7,FALSE),"")</f>
        <v/>
      </c>
      <c r="M42" s="204" t="str">
        <f>IFERROR(VLOOKUP(TableHandbook[[#This Row],[UDC]],TableOUMPTCHEC[],7,FALSE),"")</f>
        <v/>
      </c>
      <c r="N42" s="204" t="str">
        <f>IFERROR(VLOOKUP(TableHandbook[[#This Row],[UDC]],TableOUMPTCHPE[],7,FALSE),"")</f>
        <v/>
      </c>
      <c r="O42" s="204" t="str">
        <f>IFERROR(VLOOKUP(TableHandbook[[#This Row],[UDC]],TableOUMPTCHSE[],7,FALSE),"")</f>
        <v>Core</v>
      </c>
      <c r="P42" s="206" t="str">
        <f>IFERROR(VLOOKUP(TableHandbook[[#This Row],[UDC]],TableOCTESOL1[],7,FALSE),"")</f>
        <v/>
      </c>
      <c r="Q42" s="204" t="str">
        <f>IFERROR(VLOOKUP(TableHandbook[[#This Row],[UDC]],TableOCTESOL[],7,FALSE),"")</f>
        <v/>
      </c>
      <c r="R42" s="204" t="str">
        <f>IFERROR(VLOOKUP(TableHandbook[[#This Row],[UDC]],TableOMAPLING[],7,FALSE),"")</f>
        <v/>
      </c>
      <c r="S42" s="206" t="str">
        <f>IFERROR(VLOOKUP(TableHandbook[[#This Row],[UDC]],TableOCEDHE1[],7,FALSE),"")</f>
        <v/>
      </c>
      <c r="T42" s="204" t="str">
        <f>IFERROR(VLOOKUP(TableHandbook[[#This Row],[UDC]],TableOCEDHE[],7,FALSE),"")</f>
        <v/>
      </c>
      <c r="U42" s="204" t="str">
        <f>IFERROR(VLOOKUP(TableHandbook[[#This Row],[UDC]],TableOCEDUCS1[],7,FALSE),"")</f>
        <v/>
      </c>
      <c r="V42" s="204" t="str">
        <f>IFERROR(VLOOKUP(TableHandbook[[#This Row],[UDC]],TableOCEDUC[],7,FALSE),"")</f>
        <v/>
      </c>
      <c r="W42" s="204" t="str">
        <f>IFERROR(VLOOKUP(TableHandbook[[#This Row],[UDC]],TableOGEDUC[],7,FALSE),"")</f>
        <v/>
      </c>
      <c r="X42" s="204" t="str">
        <f>IFERROR(VLOOKUP(TableHandbook[[#This Row],[UDC]],TableOUMPEDUPR[],7,FALSE),"")</f>
        <v/>
      </c>
      <c r="Y42" s="204" t="str">
        <f>IFERROR(VLOOKUP(TableHandbook[[#This Row],[UDC]],TableOUMPEDUSC[],7,FALSE),"")</f>
        <v>Core</v>
      </c>
      <c r="Z42" s="206" t="str">
        <f>IFERROR(VLOOKUP(TableHandbook[[#This Row],[UDC]],TableOMEDUC[],7,FALSE),"")</f>
        <v/>
      </c>
      <c r="AA42" s="204" t="str">
        <f>IFERROR(VLOOKUP(TableHandbook[[#This Row],[UDC]],TableOSEPCULIN[],7,FALSE),"")</f>
        <v/>
      </c>
      <c r="AB42" s="204" t="str">
        <f>IFERROR(VLOOKUP(TableHandbook[[#This Row],[UDC]],TableOSEPLNTCH[],7,FALSE),"")</f>
        <v/>
      </c>
      <c r="AC42" s="204" t="str">
        <f>IFERROR(VLOOKUP(TableHandbook[[#This Row],[UDC]],TableOSEPSTEME[],7,FALSE),"")</f>
        <v/>
      </c>
    </row>
    <row r="43" spans="1:29" x14ac:dyDescent="0.25">
      <c r="A43" s="2" t="s">
        <v>224</v>
      </c>
      <c r="B43" s="3">
        <v>1</v>
      </c>
      <c r="C43" s="3" t="s">
        <v>225</v>
      </c>
      <c r="D43" s="2" t="s">
        <v>226</v>
      </c>
      <c r="E43" s="3">
        <v>25</v>
      </c>
      <c r="F43" s="230" t="s">
        <v>115</v>
      </c>
      <c r="G43" s="203" t="str">
        <f>IFERROR(IF(VLOOKUP(TableHandbook[[#This Row],[UDC]],TableAvailabilities[],2,FALSE)&gt;0,"Y",""),"")</f>
        <v/>
      </c>
      <c r="H43" s="203" t="str">
        <f>IFERROR(IF(VLOOKUP(TableHandbook[[#This Row],[UDC]],TableAvailabilities[],3,FALSE)&gt;0,"Y",""),"")</f>
        <v>Y</v>
      </c>
      <c r="I43" s="203" t="str">
        <f>IFERROR(IF(VLOOKUP(TableHandbook[[#This Row],[UDC]],TableAvailabilities[],4,FALSE)&gt;0,"Y",""),"")</f>
        <v/>
      </c>
      <c r="J43" s="203" t="str">
        <f>IFERROR(IF(VLOOKUP(TableHandbook[[#This Row],[UDC]],TableAvailabilities[],5,FALSE)&gt;0,"Y",""),"")</f>
        <v>Y</v>
      </c>
      <c r="K43" s="2"/>
      <c r="L43" s="206" t="str">
        <f>IFERROR(VLOOKUP(TableHandbook[[#This Row],[UDC]],TableOMTEACH1[],7,FALSE),"")</f>
        <v/>
      </c>
      <c r="M43" s="204" t="str">
        <f>IFERROR(VLOOKUP(TableHandbook[[#This Row],[UDC]],TableOUMPTCHEC[],7,FALSE),"")</f>
        <v/>
      </c>
      <c r="N43" s="204" t="str">
        <f>IFERROR(VLOOKUP(TableHandbook[[#This Row],[UDC]],TableOUMPTCHPE[],7,FALSE),"")</f>
        <v/>
      </c>
      <c r="O43" s="204" t="str">
        <f>IFERROR(VLOOKUP(TableHandbook[[#This Row],[UDC]],TableOUMPTCHSE[],7,FALSE),"")</f>
        <v>Option</v>
      </c>
      <c r="P43" s="206" t="str">
        <f>IFERROR(VLOOKUP(TableHandbook[[#This Row],[UDC]],TableOCTESOL1[],7,FALSE),"")</f>
        <v/>
      </c>
      <c r="Q43" s="204" t="str">
        <f>IFERROR(VLOOKUP(TableHandbook[[#This Row],[UDC]],TableOCTESOL[],7,FALSE),"")</f>
        <v/>
      </c>
      <c r="R43" s="204" t="str">
        <f>IFERROR(VLOOKUP(TableHandbook[[#This Row],[UDC]],TableOMAPLING[],7,FALSE),"")</f>
        <v/>
      </c>
      <c r="S43" s="206" t="str">
        <f>IFERROR(VLOOKUP(TableHandbook[[#This Row],[UDC]],TableOCEDHE1[],7,FALSE),"")</f>
        <v/>
      </c>
      <c r="T43" s="204" t="str">
        <f>IFERROR(VLOOKUP(TableHandbook[[#This Row],[UDC]],TableOCEDHE[],7,FALSE),"")</f>
        <v/>
      </c>
      <c r="U43" s="204" t="str">
        <f>IFERROR(VLOOKUP(TableHandbook[[#This Row],[UDC]],TableOCEDUCS1[],7,FALSE),"")</f>
        <v/>
      </c>
      <c r="V43" s="204" t="str">
        <f>IFERROR(VLOOKUP(TableHandbook[[#This Row],[UDC]],TableOCEDUC[],7,FALSE),"")</f>
        <v/>
      </c>
      <c r="W43" s="204" t="str">
        <f>IFERROR(VLOOKUP(TableHandbook[[#This Row],[UDC]],TableOGEDUC[],7,FALSE),"")</f>
        <v/>
      </c>
      <c r="X43" s="204" t="str">
        <f>IFERROR(VLOOKUP(TableHandbook[[#This Row],[UDC]],TableOUMPEDUPR[],7,FALSE),"")</f>
        <v/>
      </c>
      <c r="Y43" s="204" t="str">
        <f>IFERROR(VLOOKUP(TableHandbook[[#This Row],[UDC]],TableOUMPEDUSC[],7,FALSE),"")</f>
        <v>Option</v>
      </c>
      <c r="Z43" s="206" t="str">
        <f>IFERROR(VLOOKUP(TableHandbook[[#This Row],[UDC]],TableOMEDUC[],7,FALSE),"")</f>
        <v/>
      </c>
      <c r="AA43" s="204" t="str">
        <f>IFERROR(VLOOKUP(TableHandbook[[#This Row],[UDC]],TableOSEPCULIN[],7,FALSE),"")</f>
        <v/>
      </c>
      <c r="AB43" s="204" t="str">
        <f>IFERROR(VLOOKUP(TableHandbook[[#This Row],[UDC]],TableOSEPLNTCH[],7,FALSE),"")</f>
        <v/>
      </c>
      <c r="AC43" s="204" t="str">
        <f>IFERROR(VLOOKUP(TableHandbook[[#This Row],[UDC]],TableOSEPSTEME[],7,FALSE),"")</f>
        <v/>
      </c>
    </row>
    <row r="44" spans="1:29" x14ac:dyDescent="0.25">
      <c r="A44" s="2" t="s">
        <v>227</v>
      </c>
      <c r="B44" s="3">
        <v>1</v>
      </c>
      <c r="C44" s="3" t="s">
        <v>228</v>
      </c>
      <c r="D44" s="2" t="s">
        <v>229</v>
      </c>
      <c r="E44" s="3">
        <v>25</v>
      </c>
      <c r="F44" s="230" t="s">
        <v>115</v>
      </c>
      <c r="G44" s="203" t="str">
        <f>IFERROR(IF(VLOOKUP(TableHandbook[[#This Row],[UDC]],TableAvailabilities[],2,FALSE)&gt;0,"Y",""),"")</f>
        <v/>
      </c>
      <c r="H44" s="203" t="str">
        <f>IFERROR(IF(VLOOKUP(TableHandbook[[#This Row],[UDC]],TableAvailabilities[],3,FALSE)&gt;0,"Y",""),"")</f>
        <v>Y</v>
      </c>
      <c r="I44" s="203" t="str">
        <f>IFERROR(IF(VLOOKUP(TableHandbook[[#This Row],[UDC]],TableAvailabilities[],4,FALSE)&gt;0,"Y",""),"")</f>
        <v/>
      </c>
      <c r="J44" s="203" t="str">
        <f>IFERROR(IF(VLOOKUP(TableHandbook[[#This Row],[UDC]],TableAvailabilities[],5,FALSE)&gt;0,"Y",""),"")</f>
        <v>Y</v>
      </c>
      <c r="K44" s="2"/>
      <c r="L44" s="206" t="str">
        <f>IFERROR(VLOOKUP(TableHandbook[[#This Row],[UDC]],TableOMTEACH1[],7,FALSE),"")</f>
        <v/>
      </c>
      <c r="M44" s="204" t="str">
        <f>IFERROR(VLOOKUP(TableHandbook[[#This Row],[UDC]],TableOUMPTCHEC[],7,FALSE),"")</f>
        <v/>
      </c>
      <c r="N44" s="204" t="str">
        <f>IFERROR(VLOOKUP(TableHandbook[[#This Row],[UDC]],TableOUMPTCHPE[],7,FALSE),"")</f>
        <v/>
      </c>
      <c r="O44" s="204" t="str">
        <f>IFERROR(VLOOKUP(TableHandbook[[#This Row],[UDC]],TableOUMPTCHSE[],7,FALSE),"")</f>
        <v>Option</v>
      </c>
      <c r="P44" s="206" t="str">
        <f>IFERROR(VLOOKUP(TableHandbook[[#This Row],[UDC]],TableOCTESOL1[],7,FALSE),"")</f>
        <v/>
      </c>
      <c r="Q44" s="204" t="str">
        <f>IFERROR(VLOOKUP(TableHandbook[[#This Row],[UDC]],TableOCTESOL[],7,FALSE),"")</f>
        <v/>
      </c>
      <c r="R44" s="204" t="str">
        <f>IFERROR(VLOOKUP(TableHandbook[[#This Row],[UDC]],TableOMAPLING[],7,FALSE),"")</f>
        <v/>
      </c>
      <c r="S44" s="206" t="str">
        <f>IFERROR(VLOOKUP(TableHandbook[[#This Row],[UDC]],TableOCEDHE1[],7,FALSE),"")</f>
        <v/>
      </c>
      <c r="T44" s="204" t="str">
        <f>IFERROR(VLOOKUP(TableHandbook[[#This Row],[UDC]],TableOCEDHE[],7,FALSE),"")</f>
        <v/>
      </c>
      <c r="U44" s="204" t="str">
        <f>IFERROR(VLOOKUP(TableHandbook[[#This Row],[UDC]],TableOCEDUCS1[],7,FALSE),"")</f>
        <v/>
      </c>
      <c r="V44" s="204" t="str">
        <f>IFERROR(VLOOKUP(TableHandbook[[#This Row],[UDC]],TableOCEDUC[],7,FALSE),"")</f>
        <v/>
      </c>
      <c r="W44" s="204" t="str">
        <f>IFERROR(VLOOKUP(TableHandbook[[#This Row],[UDC]],TableOGEDUC[],7,FALSE),"")</f>
        <v/>
      </c>
      <c r="X44" s="204" t="str">
        <f>IFERROR(VLOOKUP(TableHandbook[[#This Row],[UDC]],TableOUMPEDUPR[],7,FALSE),"")</f>
        <v/>
      </c>
      <c r="Y44" s="204" t="str">
        <f>IFERROR(VLOOKUP(TableHandbook[[#This Row],[UDC]],TableOUMPEDUSC[],7,FALSE),"")</f>
        <v>Option</v>
      </c>
      <c r="Z44" s="206" t="str">
        <f>IFERROR(VLOOKUP(TableHandbook[[#This Row],[UDC]],TableOMEDUC[],7,FALSE),"")</f>
        <v/>
      </c>
      <c r="AA44" s="204" t="str">
        <f>IFERROR(VLOOKUP(TableHandbook[[#This Row],[UDC]],TableOSEPCULIN[],7,FALSE),"")</f>
        <v/>
      </c>
      <c r="AB44" s="204" t="str">
        <f>IFERROR(VLOOKUP(TableHandbook[[#This Row],[UDC]],TableOSEPLNTCH[],7,FALSE),"")</f>
        <v/>
      </c>
      <c r="AC44" s="204" t="str">
        <f>IFERROR(VLOOKUP(TableHandbook[[#This Row],[UDC]],TableOSEPSTEME[],7,FALSE),"")</f>
        <v/>
      </c>
    </row>
    <row r="45" spans="1:29" x14ac:dyDescent="0.25">
      <c r="A45" s="2" t="s">
        <v>230</v>
      </c>
      <c r="B45" s="3">
        <v>1</v>
      </c>
      <c r="C45" s="3" t="s">
        <v>231</v>
      </c>
      <c r="D45" s="2" t="s">
        <v>232</v>
      </c>
      <c r="E45" s="3">
        <v>25</v>
      </c>
      <c r="F45" s="230" t="s">
        <v>115</v>
      </c>
      <c r="G45" s="203" t="str">
        <f>IFERROR(IF(VLOOKUP(TableHandbook[[#This Row],[UDC]],TableAvailabilities[],2,FALSE)&gt;0,"Y",""),"")</f>
        <v/>
      </c>
      <c r="H45" s="203" t="str">
        <f>IFERROR(IF(VLOOKUP(TableHandbook[[#This Row],[UDC]],TableAvailabilities[],3,FALSE)&gt;0,"Y",""),"")</f>
        <v>Y</v>
      </c>
      <c r="I45" s="203" t="str">
        <f>IFERROR(IF(VLOOKUP(TableHandbook[[#This Row],[UDC]],TableAvailabilities[],4,FALSE)&gt;0,"Y",""),"")</f>
        <v/>
      </c>
      <c r="J45" s="203" t="str">
        <f>IFERROR(IF(VLOOKUP(TableHandbook[[#This Row],[UDC]],TableAvailabilities[],5,FALSE)&gt;0,"Y",""),"")</f>
        <v>Y</v>
      </c>
      <c r="K45" s="2"/>
      <c r="L45" s="206" t="str">
        <f>IFERROR(VLOOKUP(TableHandbook[[#This Row],[UDC]],TableOMTEACH1[],7,FALSE),"")</f>
        <v/>
      </c>
      <c r="M45" s="204" t="str">
        <f>IFERROR(VLOOKUP(TableHandbook[[#This Row],[UDC]],TableOUMPTCHEC[],7,FALSE),"")</f>
        <v/>
      </c>
      <c r="N45" s="204" t="str">
        <f>IFERROR(VLOOKUP(TableHandbook[[#This Row],[UDC]],TableOUMPTCHPE[],7,FALSE),"")</f>
        <v/>
      </c>
      <c r="O45" s="204" t="str">
        <f>IFERROR(VLOOKUP(TableHandbook[[#This Row],[UDC]],TableOUMPTCHSE[],7,FALSE),"")</f>
        <v>Option</v>
      </c>
      <c r="P45" s="206" t="str">
        <f>IFERROR(VLOOKUP(TableHandbook[[#This Row],[UDC]],TableOCTESOL1[],7,FALSE),"")</f>
        <v/>
      </c>
      <c r="Q45" s="204" t="str">
        <f>IFERROR(VLOOKUP(TableHandbook[[#This Row],[UDC]],TableOCTESOL[],7,FALSE),"")</f>
        <v/>
      </c>
      <c r="R45" s="204" t="str">
        <f>IFERROR(VLOOKUP(TableHandbook[[#This Row],[UDC]],TableOMAPLING[],7,FALSE),"")</f>
        <v/>
      </c>
      <c r="S45" s="206" t="str">
        <f>IFERROR(VLOOKUP(TableHandbook[[#This Row],[UDC]],TableOCEDHE1[],7,FALSE),"")</f>
        <v/>
      </c>
      <c r="T45" s="204" t="str">
        <f>IFERROR(VLOOKUP(TableHandbook[[#This Row],[UDC]],TableOCEDHE[],7,FALSE),"")</f>
        <v/>
      </c>
      <c r="U45" s="204" t="str">
        <f>IFERROR(VLOOKUP(TableHandbook[[#This Row],[UDC]],TableOCEDUCS1[],7,FALSE),"")</f>
        <v/>
      </c>
      <c r="V45" s="204" t="str">
        <f>IFERROR(VLOOKUP(TableHandbook[[#This Row],[UDC]],TableOCEDUC[],7,FALSE),"")</f>
        <v/>
      </c>
      <c r="W45" s="204" t="str">
        <f>IFERROR(VLOOKUP(TableHandbook[[#This Row],[UDC]],TableOGEDUC[],7,FALSE),"")</f>
        <v/>
      </c>
      <c r="X45" s="204" t="str">
        <f>IFERROR(VLOOKUP(TableHandbook[[#This Row],[UDC]],TableOUMPEDUPR[],7,FALSE),"")</f>
        <v/>
      </c>
      <c r="Y45" s="204" t="str">
        <f>IFERROR(VLOOKUP(TableHandbook[[#This Row],[UDC]],TableOUMPEDUSC[],7,FALSE),"")</f>
        <v>Option</v>
      </c>
      <c r="Z45" s="206" t="str">
        <f>IFERROR(VLOOKUP(TableHandbook[[#This Row],[UDC]],TableOMEDUC[],7,FALSE),"")</f>
        <v/>
      </c>
      <c r="AA45" s="204" t="str">
        <f>IFERROR(VLOOKUP(TableHandbook[[#This Row],[UDC]],TableOSEPCULIN[],7,FALSE),"")</f>
        <v/>
      </c>
      <c r="AB45" s="204" t="str">
        <f>IFERROR(VLOOKUP(TableHandbook[[#This Row],[UDC]],TableOSEPLNTCH[],7,FALSE),"")</f>
        <v/>
      </c>
      <c r="AC45" s="204" t="str">
        <f>IFERROR(VLOOKUP(TableHandbook[[#This Row],[UDC]],TableOSEPSTEME[],7,FALSE),"")</f>
        <v/>
      </c>
    </row>
    <row r="46" spans="1:29" x14ac:dyDescent="0.25">
      <c r="A46" s="2" t="s">
        <v>233</v>
      </c>
      <c r="B46" s="3">
        <v>1</v>
      </c>
      <c r="C46" s="3" t="s">
        <v>234</v>
      </c>
      <c r="D46" s="2" t="s">
        <v>235</v>
      </c>
      <c r="E46" s="3">
        <v>25</v>
      </c>
      <c r="F46" s="230" t="s">
        <v>115</v>
      </c>
      <c r="G46" s="203" t="str">
        <f>IFERROR(IF(VLOOKUP(TableHandbook[[#This Row],[UDC]],TableAvailabilities[],2,FALSE)&gt;0,"Y",""),"")</f>
        <v/>
      </c>
      <c r="H46" s="203" t="str">
        <f>IFERROR(IF(VLOOKUP(TableHandbook[[#This Row],[UDC]],TableAvailabilities[],3,FALSE)&gt;0,"Y",""),"")</f>
        <v>Y</v>
      </c>
      <c r="I46" s="203" t="str">
        <f>IFERROR(IF(VLOOKUP(TableHandbook[[#This Row],[UDC]],TableAvailabilities[],4,FALSE)&gt;0,"Y",""),"")</f>
        <v/>
      </c>
      <c r="J46" s="203" t="str">
        <f>IFERROR(IF(VLOOKUP(TableHandbook[[#This Row],[UDC]],TableAvailabilities[],5,FALSE)&gt;0,"Y",""),"")</f>
        <v>Y</v>
      </c>
      <c r="K46" s="2"/>
      <c r="L46" s="206" t="str">
        <f>IFERROR(VLOOKUP(TableHandbook[[#This Row],[UDC]],TableOMTEACH1[],7,FALSE),"")</f>
        <v/>
      </c>
      <c r="M46" s="204" t="str">
        <f>IFERROR(VLOOKUP(TableHandbook[[#This Row],[UDC]],TableOUMPTCHEC[],7,FALSE),"")</f>
        <v/>
      </c>
      <c r="N46" s="204" t="str">
        <f>IFERROR(VLOOKUP(TableHandbook[[#This Row],[UDC]],TableOUMPTCHPE[],7,FALSE),"")</f>
        <v/>
      </c>
      <c r="O46" s="204" t="str">
        <f>IFERROR(VLOOKUP(TableHandbook[[#This Row],[UDC]],TableOUMPTCHSE[],7,FALSE),"")</f>
        <v>Option</v>
      </c>
      <c r="P46" s="206" t="str">
        <f>IFERROR(VLOOKUP(TableHandbook[[#This Row],[UDC]],TableOCTESOL1[],7,FALSE),"")</f>
        <v/>
      </c>
      <c r="Q46" s="204" t="str">
        <f>IFERROR(VLOOKUP(TableHandbook[[#This Row],[UDC]],TableOCTESOL[],7,FALSE),"")</f>
        <v/>
      </c>
      <c r="R46" s="204" t="str">
        <f>IFERROR(VLOOKUP(TableHandbook[[#This Row],[UDC]],TableOMAPLING[],7,FALSE),"")</f>
        <v/>
      </c>
      <c r="S46" s="206" t="str">
        <f>IFERROR(VLOOKUP(TableHandbook[[#This Row],[UDC]],TableOCEDHE1[],7,FALSE),"")</f>
        <v/>
      </c>
      <c r="T46" s="204" t="str">
        <f>IFERROR(VLOOKUP(TableHandbook[[#This Row],[UDC]],TableOCEDHE[],7,FALSE),"")</f>
        <v/>
      </c>
      <c r="U46" s="204" t="str">
        <f>IFERROR(VLOOKUP(TableHandbook[[#This Row],[UDC]],TableOCEDUCS1[],7,FALSE),"")</f>
        <v/>
      </c>
      <c r="V46" s="204" t="str">
        <f>IFERROR(VLOOKUP(TableHandbook[[#This Row],[UDC]],TableOCEDUC[],7,FALSE),"")</f>
        <v/>
      </c>
      <c r="W46" s="204" t="str">
        <f>IFERROR(VLOOKUP(TableHandbook[[#This Row],[UDC]],TableOGEDUC[],7,FALSE),"")</f>
        <v/>
      </c>
      <c r="X46" s="204" t="str">
        <f>IFERROR(VLOOKUP(TableHandbook[[#This Row],[UDC]],TableOUMPEDUPR[],7,FALSE),"")</f>
        <v/>
      </c>
      <c r="Y46" s="204" t="str">
        <f>IFERROR(VLOOKUP(TableHandbook[[#This Row],[UDC]],TableOUMPEDUSC[],7,FALSE),"")</f>
        <v/>
      </c>
      <c r="Z46" s="206" t="str">
        <f>IFERROR(VLOOKUP(TableHandbook[[#This Row],[UDC]],TableOMEDUC[],7,FALSE),"")</f>
        <v/>
      </c>
      <c r="AA46" s="204" t="str">
        <f>IFERROR(VLOOKUP(TableHandbook[[#This Row],[UDC]],TableOSEPCULIN[],7,FALSE),"")</f>
        <v/>
      </c>
      <c r="AB46" s="204" t="str">
        <f>IFERROR(VLOOKUP(TableHandbook[[#This Row],[UDC]],TableOSEPLNTCH[],7,FALSE),"")</f>
        <v/>
      </c>
      <c r="AC46" s="204" t="str">
        <f>IFERROR(VLOOKUP(TableHandbook[[#This Row],[UDC]],TableOSEPSTEME[],7,FALSE),"")</f>
        <v/>
      </c>
    </row>
    <row r="47" spans="1:29" x14ac:dyDescent="0.25">
      <c r="A47" s="2" t="s">
        <v>236</v>
      </c>
      <c r="B47" s="3">
        <v>1</v>
      </c>
      <c r="C47" s="3" t="s">
        <v>237</v>
      </c>
      <c r="D47" s="2" t="s">
        <v>238</v>
      </c>
      <c r="E47" s="3">
        <v>25</v>
      </c>
      <c r="F47" s="230" t="s">
        <v>115</v>
      </c>
      <c r="G47" s="203" t="str">
        <f>IFERROR(IF(VLOOKUP(TableHandbook[[#This Row],[UDC]],TableAvailabilities[],2,FALSE)&gt;0,"Y",""),"")</f>
        <v>Y</v>
      </c>
      <c r="H47" s="203" t="str">
        <f>IFERROR(IF(VLOOKUP(TableHandbook[[#This Row],[UDC]],TableAvailabilities[],3,FALSE)&gt;0,"Y",""),"")</f>
        <v/>
      </c>
      <c r="I47" s="203" t="str">
        <f>IFERROR(IF(VLOOKUP(TableHandbook[[#This Row],[UDC]],TableAvailabilities[],4,FALSE)&gt;0,"Y",""),"")</f>
        <v/>
      </c>
      <c r="J47" s="203" t="str">
        <f>IFERROR(IF(VLOOKUP(TableHandbook[[#This Row],[UDC]],TableAvailabilities[],5,FALSE)&gt;0,"Y",""),"")</f>
        <v/>
      </c>
      <c r="K47" s="2"/>
      <c r="L47" s="206" t="str">
        <f>IFERROR(VLOOKUP(TableHandbook[[#This Row],[UDC]],TableOMTEACH1[],7,FALSE),"")</f>
        <v/>
      </c>
      <c r="M47" s="204" t="str">
        <f>IFERROR(VLOOKUP(TableHandbook[[#This Row],[UDC]],TableOUMPTCHEC[],7,FALSE),"")</f>
        <v/>
      </c>
      <c r="N47" s="204" t="str">
        <f>IFERROR(VLOOKUP(TableHandbook[[#This Row],[UDC]],TableOUMPTCHPE[],7,FALSE),"")</f>
        <v/>
      </c>
      <c r="O47" s="204" t="str">
        <f>IFERROR(VLOOKUP(TableHandbook[[#This Row],[UDC]],TableOUMPTCHSE[],7,FALSE),"")</f>
        <v>Core</v>
      </c>
      <c r="P47" s="206" t="str">
        <f>IFERROR(VLOOKUP(TableHandbook[[#This Row],[UDC]],TableOCTESOL1[],7,FALSE),"")</f>
        <v/>
      </c>
      <c r="Q47" s="204" t="str">
        <f>IFERROR(VLOOKUP(TableHandbook[[#This Row],[UDC]],TableOCTESOL[],7,FALSE),"")</f>
        <v/>
      </c>
      <c r="R47" s="204" t="str">
        <f>IFERROR(VLOOKUP(TableHandbook[[#This Row],[UDC]],TableOMAPLING[],7,FALSE),"")</f>
        <v/>
      </c>
      <c r="S47" s="206" t="str">
        <f>IFERROR(VLOOKUP(TableHandbook[[#This Row],[UDC]],TableOCEDHE1[],7,FALSE),"")</f>
        <v/>
      </c>
      <c r="T47" s="204" t="str">
        <f>IFERROR(VLOOKUP(TableHandbook[[#This Row],[UDC]],TableOCEDHE[],7,FALSE),"")</f>
        <v/>
      </c>
      <c r="U47" s="204" t="str">
        <f>IFERROR(VLOOKUP(TableHandbook[[#This Row],[UDC]],TableOCEDUCS1[],7,FALSE),"")</f>
        <v/>
      </c>
      <c r="V47" s="204" t="str">
        <f>IFERROR(VLOOKUP(TableHandbook[[#This Row],[UDC]],TableOCEDUC[],7,FALSE),"")</f>
        <v/>
      </c>
      <c r="W47" s="204" t="str">
        <f>IFERROR(VLOOKUP(TableHandbook[[#This Row],[UDC]],TableOGEDUC[],7,FALSE),"")</f>
        <v/>
      </c>
      <c r="X47" s="204" t="str">
        <f>IFERROR(VLOOKUP(TableHandbook[[#This Row],[UDC]],TableOUMPEDUPR[],7,FALSE),"")</f>
        <v/>
      </c>
      <c r="Y47" s="204" t="str">
        <f>IFERROR(VLOOKUP(TableHandbook[[#This Row],[UDC]],TableOUMPEDUSC[],7,FALSE),"")</f>
        <v/>
      </c>
      <c r="Z47" s="206" t="str">
        <f>IFERROR(VLOOKUP(TableHandbook[[#This Row],[UDC]],TableOMEDUC[],7,FALSE),"")</f>
        <v/>
      </c>
      <c r="AA47" s="204" t="str">
        <f>IFERROR(VLOOKUP(TableHandbook[[#This Row],[UDC]],TableOSEPCULIN[],7,FALSE),"")</f>
        <v/>
      </c>
      <c r="AB47" s="204" t="str">
        <f>IFERROR(VLOOKUP(TableHandbook[[#This Row],[UDC]],TableOSEPLNTCH[],7,FALSE),"")</f>
        <v/>
      </c>
      <c r="AC47" s="204" t="str">
        <f>IFERROR(VLOOKUP(TableHandbook[[#This Row],[UDC]],TableOSEPSTEME[],7,FALSE),"")</f>
        <v/>
      </c>
    </row>
    <row r="48" spans="1:29" x14ac:dyDescent="0.25">
      <c r="A48" s="2" t="s">
        <v>239</v>
      </c>
      <c r="B48" s="3">
        <v>2</v>
      </c>
      <c r="C48" s="3" t="s">
        <v>119</v>
      </c>
      <c r="D48" s="2" t="s">
        <v>240</v>
      </c>
      <c r="E48" s="3">
        <v>25</v>
      </c>
      <c r="F48" s="230" t="s">
        <v>115</v>
      </c>
      <c r="G48" s="203" t="str">
        <f>IFERROR(IF(VLOOKUP(TableHandbook[[#This Row],[UDC]],TableAvailabilities[],2,FALSE)&gt;0,"Y",""),"")</f>
        <v>Y</v>
      </c>
      <c r="H48" s="203" t="str">
        <f>IFERROR(IF(VLOOKUP(TableHandbook[[#This Row],[UDC]],TableAvailabilities[],3,FALSE)&gt;0,"Y",""),"")</f>
        <v/>
      </c>
      <c r="I48" s="203" t="str">
        <f>IFERROR(IF(VLOOKUP(TableHandbook[[#This Row],[UDC]],TableAvailabilities[],4,FALSE)&gt;0,"Y",""),"")</f>
        <v>Y</v>
      </c>
      <c r="J48" s="203" t="str">
        <f>IFERROR(IF(VLOOKUP(TableHandbook[[#This Row],[UDC]],TableAvailabilities[],5,FALSE)&gt;0,"Y",""),"")</f>
        <v/>
      </c>
      <c r="K48" s="2"/>
      <c r="L48" s="206" t="str">
        <f>IFERROR(VLOOKUP(TableHandbook[[#This Row],[UDC]],TableOMTEACH1[],7,FALSE),"")</f>
        <v/>
      </c>
      <c r="M48" s="204" t="str">
        <f>IFERROR(VLOOKUP(TableHandbook[[#This Row],[UDC]],TableOUMPTCHEC[],7,FALSE),"")</f>
        <v>Core</v>
      </c>
      <c r="N48" s="204" t="str">
        <f>IFERROR(VLOOKUP(TableHandbook[[#This Row],[UDC]],TableOUMPTCHPE[],7,FALSE),"")</f>
        <v>Core</v>
      </c>
      <c r="O48" s="204" t="str">
        <f>IFERROR(VLOOKUP(TableHandbook[[#This Row],[UDC]],TableOUMPTCHSE[],7,FALSE),"")</f>
        <v>Core</v>
      </c>
      <c r="P48" s="206" t="str">
        <f>IFERROR(VLOOKUP(TableHandbook[[#This Row],[UDC]],TableOCTESOL1[],7,FALSE),"")</f>
        <v/>
      </c>
      <c r="Q48" s="204" t="str">
        <f>IFERROR(VLOOKUP(TableHandbook[[#This Row],[UDC]],TableOCTESOL[],7,FALSE),"")</f>
        <v/>
      </c>
      <c r="R48" s="204" t="str">
        <f>IFERROR(VLOOKUP(TableHandbook[[#This Row],[UDC]],TableOMAPLING[],7,FALSE),"")</f>
        <v/>
      </c>
      <c r="S48" s="206" t="str">
        <f>IFERROR(VLOOKUP(TableHandbook[[#This Row],[UDC]],TableOCEDHE1[],7,FALSE),"")</f>
        <v/>
      </c>
      <c r="T48" s="204" t="str">
        <f>IFERROR(VLOOKUP(TableHandbook[[#This Row],[UDC]],TableOCEDHE[],7,FALSE),"")</f>
        <v/>
      </c>
      <c r="U48" s="204" t="str">
        <f>IFERROR(VLOOKUP(TableHandbook[[#This Row],[UDC]],TableOCEDUCS1[],7,FALSE),"")</f>
        <v>Option</v>
      </c>
      <c r="V48" s="204" t="str">
        <f>IFERROR(VLOOKUP(TableHandbook[[#This Row],[UDC]],TableOCEDUC[],7,FALSE),"")</f>
        <v>Option</v>
      </c>
      <c r="W48" s="204" t="str">
        <f>IFERROR(VLOOKUP(TableHandbook[[#This Row],[UDC]],TableOGEDUC[],7,FALSE),"")</f>
        <v/>
      </c>
      <c r="X48" s="204" t="str">
        <f>IFERROR(VLOOKUP(TableHandbook[[#This Row],[UDC]],TableOUMPEDUPR[],7,FALSE),"")</f>
        <v>Core</v>
      </c>
      <c r="Y48" s="204" t="str">
        <f>IFERROR(VLOOKUP(TableHandbook[[#This Row],[UDC]],TableOUMPEDUSC[],7,FALSE),"")</f>
        <v/>
      </c>
      <c r="Z48" s="206" t="str">
        <f>IFERROR(VLOOKUP(TableHandbook[[#This Row],[UDC]],TableOMEDUC[],7,FALSE),"")</f>
        <v/>
      </c>
      <c r="AA48" s="204" t="str">
        <f>IFERROR(VLOOKUP(TableHandbook[[#This Row],[UDC]],TableOSEPCULIN[],7,FALSE),"")</f>
        <v/>
      </c>
      <c r="AB48" s="204" t="str">
        <f>IFERROR(VLOOKUP(TableHandbook[[#This Row],[UDC]],TableOSEPLNTCH[],7,FALSE),"")</f>
        <v/>
      </c>
      <c r="AC48" s="204" t="str">
        <f>IFERROR(VLOOKUP(TableHandbook[[#This Row],[UDC]],TableOSEPSTEME[],7,FALSE),"")</f>
        <v/>
      </c>
    </row>
    <row r="49" spans="1:29" x14ac:dyDescent="0.25">
      <c r="A49" s="2" t="s">
        <v>241</v>
      </c>
      <c r="B49" s="3">
        <v>1</v>
      </c>
      <c r="C49" s="3" t="s">
        <v>242</v>
      </c>
      <c r="D49" s="2" t="s">
        <v>243</v>
      </c>
      <c r="E49" s="3">
        <v>25</v>
      </c>
      <c r="F49" s="230" t="s">
        <v>115</v>
      </c>
      <c r="G49" s="203" t="str">
        <f>IFERROR(IF(VLOOKUP(TableHandbook[[#This Row],[UDC]],TableAvailabilities[],2,FALSE)&gt;0,"Y",""),"")</f>
        <v/>
      </c>
      <c r="H49" s="203" t="str">
        <f>IFERROR(IF(VLOOKUP(TableHandbook[[#This Row],[UDC]],TableAvailabilities[],3,FALSE)&gt;0,"Y",""),"")</f>
        <v>Y</v>
      </c>
      <c r="I49" s="203" t="str">
        <f>IFERROR(IF(VLOOKUP(TableHandbook[[#This Row],[UDC]],TableAvailabilities[],4,FALSE)&gt;0,"Y",""),"")</f>
        <v/>
      </c>
      <c r="J49" s="203" t="str">
        <f>IFERROR(IF(VLOOKUP(TableHandbook[[#This Row],[UDC]],TableAvailabilities[],5,FALSE)&gt;0,"Y",""),"")</f>
        <v>Y</v>
      </c>
      <c r="K49" s="2"/>
      <c r="L49" s="206" t="str">
        <f>IFERROR(VLOOKUP(TableHandbook[[#This Row],[UDC]],TableOMTEACH1[],7,FALSE),"")</f>
        <v/>
      </c>
      <c r="M49" s="204" t="str">
        <f>IFERROR(VLOOKUP(TableHandbook[[#This Row],[UDC]],TableOUMPTCHEC[],7,FALSE),"")</f>
        <v>Core</v>
      </c>
      <c r="N49" s="204" t="str">
        <f>IFERROR(VLOOKUP(TableHandbook[[#This Row],[UDC]],TableOUMPTCHPE[],7,FALSE),"")</f>
        <v>Core</v>
      </c>
      <c r="O49" s="204" t="str">
        <f>IFERROR(VLOOKUP(TableHandbook[[#This Row],[UDC]],TableOUMPTCHSE[],7,FALSE),"")</f>
        <v/>
      </c>
      <c r="P49" s="206" t="str">
        <f>IFERROR(VLOOKUP(TableHandbook[[#This Row],[UDC]],TableOCTESOL1[],7,FALSE),"")</f>
        <v/>
      </c>
      <c r="Q49" s="204" t="str">
        <f>IFERROR(VLOOKUP(TableHandbook[[#This Row],[UDC]],TableOCTESOL[],7,FALSE),"")</f>
        <v/>
      </c>
      <c r="R49" s="204" t="str">
        <f>IFERROR(VLOOKUP(TableHandbook[[#This Row],[UDC]],TableOMAPLING[],7,FALSE),"")</f>
        <v/>
      </c>
      <c r="S49" s="206" t="str">
        <f>IFERROR(VLOOKUP(TableHandbook[[#This Row],[UDC]],TableOCEDHE1[],7,FALSE),"")</f>
        <v/>
      </c>
      <c r="T49" s="204" t="str">
        <f>IFERROR(VLOOKUP(TableHandbook[[#This Row],[UDC]],TableOCEDHE[],7,FALSE),"")</f>
        <v/>
      </c>
      <c r="U49" s="204" t="str">
        <f>IFERROR(VLOOKUP(TableHandbook[[#This Row],[UDC]],TableOCEDUCS1[],7,FALSE),"")</f>
        <v>Option</v>
      </c>
      <c r="V49" s="204" t="str">
        <f>IFERROR(VLOOKUP(TableHandbook[[#This Row],[UDC]],TableOCEDUC[],7,FALSE),"")</f>
        <v>Option</v>
      </c>
      <c r="W49" s="204" t="str">
        <f>IFERROR(VLOOKUP(TableHandbook[[#This Row],[UDC]],TableOGEDUC[],7,FALSE),"")</f>
        <v/>
      </c>
      <c r="X49" s="204" t="str">
        <f>IFERROR(VLOOKUP(TableHandbook[[#This Row],[UDC]],TableOUMPEDUPR[],7,FALSE),"")</f>
        <v/>
      </c>
      <c r="Y49" s="204" t="str">
        <f>IFERROR(VLOOKUP(TableHandbook[[#This Row],[UDC]],TableOUMPEDUSC[],7,FALSE),"")</f>
        <v/>
      </c>
      <c r="Z49" s="206" t="str">
        <f>IFERROR(VLOOKUP(TableHandbook[[#This Row],[UDC]],TableOMEDUC[],7,FALSE),"")</f>
        <v/>
      </c>
      <c r="AA49" s="204" t="str">
        <f>IFERROR(VLOOKUP(TableHandbook[[#This Row],[UDC]],TableOSEPCULIN[],7,FALSE),"")</f>
        <v/>
      </c>
      <c r="AB49" s="204" t="str">
        <f>IFERROR(VLOOKUP(TableHandbook[[#This Row],[UDC]],TableOSEPLNTCH[],7,FALSE),"")</f>
        <v/>
      </c>
      <c r="AC49" s="204" t="str">
        <f>IFERROR(VLOOKUP(TableHandbook[[#This Row],[UDC]],TableOSEPSTEME[],7,FALSE),"")</f>
        <v/>
      </c>
    </row>
    <row r="50" spans="1:29" x14ac:dyDescent="0.25">
      <c r="A50" s="2" t="s">
        <v>244</v>
      </c>
      <c r="B50" s="3">
        <v>1</v>
      </c>
      <c r="C50" s="3" t="s">
        <v>245</v>
      </c>
      <c r="D50" s="2" t="s">
        <v>246</v>
      </c>
      <c r="E50" s="3">
        <v>25</v>
      </c>
      <c r="F50" s="230" t="s">
        <v>115</v>
      </c>
      <c r="G50" s="203" t="str">
        <f>IFERROR(IF(VLOOKUP(TableHandbook[[#This Row],[UDC]],TableAvailabilities[],2,FALSE)&gt;0,"Y",""),"")</f>
        <v>Y</v>
      </c>
      <c r="H50" s="203" t="str">
        <f>IFERROR(IF(VLOOKUP(TableHandbook[[#This Row],[UDC]],TableAvailabilities[],3,FALSE)&gt;0,"Y",""),"")</f>
        <v/>
      </c>
      <c r="I50" s="203" t="str">
        <f>IFERROR(IF(VLOOKUP(TableHandbook[[#This Row],[UDC]],TableAvailabilities[],4,FALSE)&gt;0,"Y",""),"")</f>
        <v>Y</v>
      </c>
      <c r="J50" s="203" t="str">
        <f>IFERROR(IF(VLOOKUP(TableHandbook[[#This Row],[UDC]],TableAvailabilities[],5,FALSE)&gt;0,"Y",""),"")</f>
        <v/>
      </c>
      <c r="K50" s="2"/>
      <c r="L50" s="206" t="str">
        <f>IFERROR(VLOOKUP(TableHandbook[[#This Row],[UDC]],TableOMTEACH1[],7,FALSE),"")</f>
        <v/>
      </c>
      <c r="M50" s="204" t="str">
        <f>IFERROR(VLOOKUP(TableHandbook[[#This Row],[UDC]],TableOUMPTCHEC[],7,FALSE),"")</f>
        <v/>
      </c>
      <c r="N50" s="204" t="str">
        <f>IFERROR(VLOOKUP(TableHandbook[[#This Row],[UDC]],TableOUMPTCHPE[],7,FALSE),"")</f>
        <v>Core</v>
      </c>
      <c r="O50" s="204" t="str">
        <f>IFERROR(VLOOKUP(TableHandbook[[#This Row],[UDC]],TableOUMPTCHSE[],7,FALSE),"")</f>
        <v>Core</v>
      </c>
      <c r="P50" s="206" t="str">
        <f>IFERROR(VLOOKUP(TableHandbook[[#This Row],[UDC]],TableOCTESOL1[],7,FALSE),"")</f>
        <v/>
      </c>
      <c r="Q50" s="204" t="str">
        <f>IFERROR(VLOOKUP(TableHandbook[[#This Row],[UDC]],TableOCTESOL[],7,FALSE),"")</f>
        <v/>
      </c>
      <c r="R50" s="204" t="str">
        <f>IFERROR(VLOOKUP(TableHandbook[[#This Row],[UDC]],TableOMAPLING[],7,FALSE),"")</f>
        <v/>
      </c>
      <c r="S50" s="206" t="str">
        <f>IFERROR(VLOOKUP(TableHandbook[[#This Row],[UDC]],TableOCEDHE1[],7,FALSE),"")</f>
        <v/>
      </c>
      <c r="T50" s="204" t="str">
        <f>IFERROR(VLOOKUP(TableHandbook[[#This Row],[UDC]],TableOCEDHE[],7,FALSE),"")</f>
        <v/>
      </c>
      <c r="U50" s="204" t="str">
        <f>IFERROR(VLOOKUP(TableHandbook[[#This Row],[UDC]],TableOCEDUCS1[],7,FALSE),"")</f>
        <v>Option</v>
      </c>
      <c r="V50" s="204" t="str">
        <f>IFERROR(VLOOKUP(TableHandbook[[#This Row],[UDC]],TableOCEDUC[],7,FALSE),"")</f>
        <v>Option</v>
      </c>
      <c r="W50" s="204" t="str">
        <f>IFERROR(VLOOKUP(TableHandbook[[#This Row],[UDC]],TableOGEDUC[],7,FALSE),"")</f>
        <v/>
      </c>
      <c r="X50" s="204" t="str">
        <f>IFERROR(VLOOKUP(TableHandbook[[#This Row],[UDC]],TableOUMPEDUPR[],7,FALSE),"")</f>
        <v/>
      </c>
      <c r="Y50" s="204" t="str">
        <f>IFERROR(VLOOKUP(TableHandbook[[#This Row],[UDC]],TableOUMPEDUSC[],7,FALSE),"")</f>
        <v>Core</v>
      </c>
      <c r="Z50" s="206" t="str">
        <f>IFERROR(VLOOKUP(TableHandbook[[#This Row],[UDC]],TableOMEDUC[],7,FALSE),"")</f>
        <v/>
      </c>
      <c r="AA50" s="204" t="str">
        <f>IFERROR(VLOOKUP(TableHandbook[[#This Row],[UDC]],TableOSEPCULIN[],7,FALSE),"")</f>
        <v/>
      </c>
      <c r="AB50" s="204" t="str">
        <f>IFERROR(VLOOKUP(TableHandbook[[#This Row],[UDC]],TableOSEPLNTCH[],7,FALSE),"")</f>
        <v/>
      </c>
      <c r="AC50" s="204" t="str">
        <f>IFERROR(VLOOKUP(TableHandbook[[#This Row],[UDC]],TableOSEPSTEME[],7,FALSE),"")</f>
        <v/>
      </c>
    </row>
    <row r="51" spans="1:29" x14ac:dyDescent="0.25">
      <c r="A51" s="2" t="s">
        <v>247</v>
      </c>
      <c r="B51" s="3">
        <v>1</v>
      </c>
      <c r="C51" s="3" t="s">
        <v>248</v>
      </c>
      <c r="D51" s="2" t="s">
        <v>249</v>
      </c>
      <c r="E51" s="3">
        <v>25</v>
      </c>
      <c r="F51" s="230" t="s">
        <v>115</v>
      </c>
      <c r="G51" s="203" t="str">
        <f>IFERROR(IF(VLOOKUP(TableHandbook[[#This Row],[UDC]],TableAvailabilities[],2,FALSE)&gt;0,"Y",""),"")</f>
        <v/>
      </c>
      <c r="H51" s="203" t="str">
        <f>IFERROR(IF(VLOOKUP(TableHandbook[[#This Row],[UDC]],TableAvailabilities[],3,FALSE)&gt;0,"Y",""),"")</f>
        <v>Y</v>
      </c>
      <c r="I51" s="203" t="str">
        <f>IFERROR(IF(VLOOKUP(TableHandbook[[#This Row],[UDC]],TableAvailabilities[],4,FALSE)&gt;0,"Y",""),"")</f>
        <v>Y</v>
      </c>
      <c r="J51" s="203" t="str">
        <f>IFERROR(IF(VLOOKUP(TableHandbook[[#This Row],[UDC]],TableAvailabilities[],5,FALSE)&gt;0,"Y",""),"")</f>
        <v>Y</v>
      </c>
      <c r="K51" s="2"/>
      <c r="L51" s="206" t="str">
        <f>IFERROR(VLOOKUP(TableHandbook[[#This Row],[UDC]],TableOMTEACH1[],7,FALSE),"")</f>
        <v/>
      </c>
      <c r="M51" s="204" t="str">
        <f>IFERROR(VLOOKUP(TableHandbook[[#This Row],[UDC]],TableOUMPTCHEC[],7,FALSE),"")</f>
        <v>Core</v>
      </c>
      <c r="N51" s="204" t="str">
        <f>IFERROR(VLOOKUP(TableHandbook[[#This Row],[UDC]],TableOUMPTCHPE[],7,FALSE),"")</f>
        <v>Core</v>
      </c>
      <c r="O51" s="204" t="str">
        <f>IFERROR(VLOOKUP(TableHandbook[[#This Row],[UDC]],TableOUMPTCHSE[],7,FALSE),"")</f>
        <v>Core</v>
      </c>
      <c r="P51" s="206" t="str">
        <f>IFERROR(VLOOKUP(TableHandbook[[#This Row],[UDC]],TableOCTESOL1[],7,FALSE),"")</f>
        <v/>
      </c>
      <c r="Q51" s="204" t="str">
        <f>IFERROR(VLOOKUP(TableHandbook[[#This Row],[UDC]],TableOCTESOL[],7,FALSE),"")</f>
        <v/>
      </c>
      <c r="R51" s="204" t="str">
        <f>IFERROR(VLOOKUP(TableHandbook[[#This Row],[UDC]],TableOMAPLING[],7,FALSE),"")</f>
        <v/>
      </c>
      <c r="S51" s="206" t="str">
        <f>IFERROR(VLOOKUP(TableHandbook[[#This Row],[UDC]],TableOCEDHE1[],7,FALSE),"")</f>
        <v/>
      </c>
      <c r="T51" s="204" t="str">
        <f>IFERROR(VLOOKUP(TableHandbook[[#This Row],[UDC]],TableOCEDHE[],7,FALSE),"")</f>
        <v/>
      </c>
      <c r="U51" s="204" t="str">
        <f>IFERROR(VLOOKUP(TableHandbook[[#This Row],[UDC]],TableOCEDUCS1[],7,FALSE),"")</f>
        <v>Option</v>
      </c>
      <c r="V51" s="204" t="str">
        <f>IFERROR(VLOOKUP(TableHandbook[[#This Row],[UDC]],TableOCEDUC[],7,FALSE),"")</f>
        <v>Option</v>
      </c>
      <c r="W51" s="204" t="str">
        <f>IFERROR(VLOOKUP(TableHandbook[[#This Row],[UDC]],TableOGEDUC[],7,FALSE),"")</f>
        <v/>
      </c>
      <c r="X51" s="204" t="str">
        <f>IFERROR(VLOOKUP(TableHandbook[[#This Row],[UDC]],TableOUMPEDUPR[],7,FALSE),"")</f>
        <v>Core</v>
      </c>
      <c r="Y51" s="204" t="str">
        <f>IFERROR(VLOOKUP(TableHandbook[[#This Row],[UDC]],TableOUMPEDUSC[],7,FALSE),"")</f>
        <v>Core</v>
      </c>
      <c r="Z51" s="206" t="str">
        <f>IFERROR(VLOOKUP(TableHandbook[[#This Row],[UDC]],TableOMEDUC[],7,FALSE),"")</f>
        <v/>
      </c>
      <c r="AA51" s="204" t="str">
        <f>IFERROR(VLOOKUP(TableHandbook[[#This Row],[UDC]],TableOSEPCULIN[],7,FALSE),"")</f>
        <v/>
      </c>
      <c r="AB51" s="204" t="str">
        <f>IFERROR(VLOOKUP(TableHandbook[[#This Row],[UDC]],TableOSEPLNTCH[],7,FALSE),"")</f>
        <v/>
      </c>
      <c r="AC51" s="204" t="str">
        <f>IFERROR(VLOOKUP(TableHandbook[[#This Row],[UDC]],TableOSEPSTEME[],7,FALSE),"")</f>
        <v/>
      </c>
    </row>
    <row r="52" spans="1:29" x14ac:dyDescent="0.25">
      <c r="A52" s="2" t="s">
        <v>250</v>
      </c>
      <c r="B52" s="3">
        <v>1</v>
      </c>
      <c r="C52" s="3" t="s">
        <v>251</v>
      </c>
      <c r="D52" s="2" t="s">
        <v>252</v>
      </c>
      <c r="E52" s="3">
        <v>25</v>
      </c>
      <c r="F52" s="230" t="s">
        <v>115</v>
      </c>
      <c r="G52" s="203" t="str">
        <f>IFERROR(IF(VLOOKUP(TableHandbook[[#This Row],[UDC]],TableAvailabilities[],2,FALSE)&gt;0,"Y",""),"")</f>
        <v/>
      </c>
      <c r="H52" s="203" t="str">
        <f>IFERROR(IF(VLOOKUP(TableHandbook[[#This Row],[UDC]],TableAvailabilities[],3,FALSE)&gt;0,"Y",""),"")</f>
        <v>Y</v>
      </c>
      <c r="I52" s="203" t="str">
        <f>IFERROR(IF(VLOOKUP(TableHandbook[[#This Row],[UDC]],TableAvailabilities[],4,FALSE)&gt;0,"Y",""),"")</f>
        <v/>
      </c>
      <c r="J52" s="203" t="str">
        <f>IFERROR(IF(VLOOKUP(TableHandbook[[#This Row],[UDC]],TableAvailabilities[],5,FALSE)&gt;0,"Y",""),"")</f>
        <v>Y</v>
      </c>
      <c r="K52" s="2"/>
      <c r="L52" s="206" t="str">
        <f>IFERROR(VLOOKUP(TableHandbook[[#This Row],[UDC]],TableOMTEACH1[],7,FALSE),"")</f>
        <v/>
      </c>
      <c r="M52" s="204" t="str">
        <f>IFERROR(VLOOKUP(TableHandbook[[#This Row],[UDC]],TableOUMPTCHEC[],7,FALSE),"")</f>
        <v/>
      </c>
      <c r="N52" s="204" t="str">
        <f>IFERROR(VLOOKUP(TableHandbook[[#This Row],[UDC]],TableOUMPTCHPE[],7,FALSE),"")</f>
        <v/>
      </c>
      <c r="O52" s="204" t="str">
        <f>IFERROR(VLOOKUP(TableHandbook[[#This Row],[UDC]],TableOUMPTCHSE[],7,FALSE),"")</f>
        <v/>
      </c>
      <c r="P52" s="206" t="str">
        <f>IFERROR(VLOOKUP(TableHandbook[[#This Row],[UDC]],TableOCTESOL1[],7,FALSE),"")</f>
        <v>Core</v>
      </c>
      <c r="Q52" s="204" t="str">
        <f>IFERROR(VLOOKUP(TableHandbook[[#This Row],[UDC]],TableOCTESOL[],7,FALSE),"")</f>
        <v>Core</v>
      </c>
      <c r="R52" s="204" t="str">
        <f>IFERROR(VLOOKUP(TableHandbook[[#This Row],[UDC]],TableOMAPLING[],7,FALSE),"")</f>
        <v/>
      </c>
      <c r="S52" s="206" t="str">
        <f>IFERROR(VLOOKUP(TableHandbook[[#This Row],[UDC]],TableOCEDHE1[],7,FALSE),"")</f>
        <v/>
      </c>
      <c r="T52" s="204" t="str">
        <f>IFERROR(VLOOKUP(TableHandbook[[#This Row],[UDC]],TableOCEDHE[],7,FALSE),"")</f>
        <v/>
      </c>
      <c r="U52" s="204" t="str">
        <f>IFERROR(VLOOKUP(TableHandbook[[#This Row],[UDC]],TableOCEDUCS1[],7,FALSE),"")</f>
        <v/>
      </c>
      <c r="V52" s="204" t="str">
        <f>IFERROR(VLOOKUP(TableHandbook[[#This Row],[UDC]],TableOCEDUC[],7,FALSE),"")</f>
        <v/>
      </c>
      <c r="W52" s="204" t="str">
        <f>IFERROR(VLOOKUP(TableHandbook[[#This Row],[UDC]],TableOGEDUC[],7,FALSE),"")</f>
        <v/>
      </c>
      <c r="X52" s="204" t="str">
        <f>IFERROR(VLOOKUP(TableHandbook[[#This Row],[UDC]],TableOUMPEDUPR[],7,FALSE),"")</f>
        <v/>
      </c>
      <c r="Y52" s="204" t="str">
        <f>IFERROR(VLOOKUP(TableHandbook[[#This Row],[UDC]],TableOUMPEDUSC[],7,FALSE),"")</f>
        <v/>
      </c>
      <c r="Z52" s="206" t="str">
        <f>IFERROR(VLOOKUP(TableHandbook[[#This Row],[UDC]],TableOMEDUC[],7,FALSE),"")</f>
        <v/>
      </c>
      <c r="AA52" s="204" t="str">
        <f>IFERROR(VLOOKUP(TableHandbook[[#This Row],[UDC]],TableOSEPCULIN[],7,FALSE),"")</f>
        <v/>
      </c>
      <c r="AB52" s="204" t="str">
        <f>IFERROR(VLOOKUP(TableHandbook[[#This Row],[UDC]],TableOSEPLNTCH[],7,FALSE),"")</f>
        <v/>
      </c>
      <c r="AC52" s="204" t="str">
        <f>IFERROR(VLOOKUP(TableHandbook[[#This Row],[UDC]],TableOSEPSTEME[],7,FALSE),"")</f>
        <v/>
      </c>
    </row>
    <row r="53" spans="1:29" x14ac:dyDescent="0.25">
      <c r="A53" s="2" t="s">
        <v>253</v>
      </c>
      <c r="B53" s="3">
        <v>1</v>
      </c>
      <c r="C53" s="3" t="s">
        <v>254</v>
      </c>
      <c r="D53" s="2" t="s">
        <v>255</v>
      </c>
      <c r="E53" s="3">
        <v>25</v>
      </c>
      <c r="F53" s="230" t="s">
        <v>115</v>
      </c>
      <c r="G53" s="203" t="str">
        <f>IFERROR(IF(VLOOKUP(TableHandbook[[#This Row],[UDC]],TableAvailabilities[],2,FALSE)&gt;0,"Y",""),"")</f>
        <v>Y</v>
      </c>
      <c r="H53" s="203" t="str">
        <f>IFERROR(IF(VLOOKUP(TableHandbook[[#This Row],[UDC]],TableAvailabilities[],3,FALSE)&gt;0,"Y",""),"")</f>
        <v/>
      </c>
      <c r="I53" s="203" t="str">
        <f>IFERROR(IF(VLOOKUP(TableHandbook[[#This Row],[UDC]],TableAvailabilities[],4,FALSE)&gt;0,"Y",""),"")</f>
        <v>Y</v>
      </c>
      <c r="J53" s="203" t="str">
        <f>IFERROR(IF(VLOOKUP(TableHandbook[[#This Row],[UDC]],TableAvailabilities[],5,FALSE)&gt;0,"Y",""),"")</f>
        <v/>
      </c>
      <c r="K53" s="2"/>
      <c r="L53" s="206" t="str">
        <f>IFERROR(VLOOKUP(TableHandbook[[#This Row],[UDC]],TableOMTEACH1[],7,FALSE),"")</f>
        <v/>
      </c>
      <c r="M53" s="204" t="str">
        <f>IFERROR(VLOOKUP(TableHandbook[[#This Row],[UDC]],TableOUMPTCHEC[],7,FALSE),"")</f>
        <v/>
      </c>
      <c r="N53" s="204" t="str">
        <f>IFERROR(VLOOKUP(TableHandbook[[#This Row],[UDC]],TableOUMPTCHPE[],7,FALSE),"")</f>
        <v/>
      </c>
      <c r="O53" s="204" t="str">
        <f>IFERROR(VLOOKUP(TableHandbook[[#This Row],[UDC]],TableOUMPTCHSE[],7,FALSE),"")</f>
        <v/>
      </c>
      <c r="P53" s="206" t="str">
        <f>IFERROR(VLOOKUP(TableHandbook[[#This Row],[UDC]],TableOCTESOL1[],7,FALSE),"")</f>
        <v>AltCore</v>
      </c>
      <c r="Q53" s="204" t="str">
        <f>IFERROR(VLOOKUP(TableHandbook[[#This Row],[UDC]],TableOCTESOL[],7,FALSE),"")</f>
        <v>AltCore</v>
      </c>
      <c r="R53" s="204" t="str">
        <f>IFERROR(VLOOKUP(TableHandbook[[#This Row],[UDC]],TableOMAPLING[],7,FALSE),"")</f>
        <v/>
      </c>
      <c r="S53" s="206" t="str">
        <f>IFERROR(VLOOKUP(TableHandbook[[#This Row],[UDC]],TableOCEDHE1[],7,FALSE),"")</f>
        <v/>
      </c>
      <c r="T53" s="204" t="str">
        <f>IFERROR(VLOOKUP(TableHandbook[[#This Row],[UDC]],TableOCEDHE[],7,FALSE),"")</f>
        <v/>
      </c>
      <c r="U53" s="204" t="str">
        <f>IFERROR(VLOOKUP(TableHandbook[[#This Row],[UDC]],TableOCEDUCS1[],7,FALSE),"")</f>
        <v/>
      </c>
      <c r="V53" s="204" t="str">
        <f>IFERROR(VLOOKUP(TableHandbook[[#This Row],[UDC]],TableOCEDUC[],7,FALSE),"")</f>
        <v/>
      </c>
      <c r="W53" s="204" t="str">
        <f>IFERROR(VLOOKUP(TableHandbook[[#This Row],[UDC]],TableOGEDUC[],7,FALSE),"")</f>
        <v/>
      </c>
      <c r="X53" s="204" t="str">
        <f>IFERROR(VLOOKUP(TableHandbook[[#This Row],[UDC]],TableOUMPEDUPR[],7,FALSE),"")</f>
        <v/>
      </c>
      <c r="Y53" s="204" t="str">
        <f>IFERROR(VLOOKUP(TableHandbook[[#This Row],[UDC]],TableOUMPEDUSC[],7,FALSE),"")</f>
        <v/>
      </c>
      <c r="Z53" s="206" t="str">
        <f>IFERROR(VLOOKUP(TableHandbook[[#This Row],[UDC]],TableOMEDUC[],7,FALSE),"")</f>
        <v/>
      </c>
      <c r="AA53" s="204" t="str">
        <f>IFERROR(VLOOKUP(TableHandbook[[#This Row],[UDC]],TableOSEPCULIN[],7,FALSE),"")</f>
        <v/>
      </c>
      <c r="AB53" s="204" t="str">
        <f>IFERROR(VLOOKUP(TableHandbook[[#This Row],[UDC]],TableOSEPLNTCH[],7,FALSE),"")</f>
        <v/>
      </c>
      <c r="AC53" s="204" t="str">
        <f>IFERROR(VLOOKUP(TableHandbook[[#This Row],[UDC]],TableOSEPSTEME[],7,FALSE),"")</f>
        <v/>
      </c>
    </row>
    <row r="54" spans="1:29" x14ac:dyDescent="0.25">
      <c r="A54" s="2" t="s">
        <v>256</v>
      </c>
      <c r="B54" s="3">
        <v>1</v>
      </c>
      <c r="C54" s="3" t="s">
        <v>257</v>
      </c>
      <c r="D54" s="2" t="s">
        <v>258</v>
      </c>
      <c r="E54" s="3">
        <v>25</v>
      </c>
      <c r="F54" s="230" t="s">
        <v>115</v>
      </c>
      <c r="G54" s="203" t="str">
        <f>IFERROR(IF(VLOOKUP(TableHandbook[[#This Row],[UDC]],TableAvailabilities[],2,FALSE)&gt;0,"Y",""),"")</f>
        <v>Y</v>
      </c>
      <c r="H54" s="203" t="str">
        <f>IFERROR(IF(VLOOKUP(TableHandbook[[#This Row],[UDC]],TableAvailabilities[],3,FALSE)&gt;0,"Y",""),"")</f>
        <v/>
      </c>
      <c r="I54" s="203" t="str">
        <f>IFERROR(IF(VLOOKUP(TableHandbook[[#This Row],[UDC]],TableAvailabilities[],4,FALSE)&gt;0,"Y",""),"")</f>
        <v>Y</v>
      </c>
      <c r="J54" s="203" t="str">
        <f>IFERROR(IF(VLOOKUP(TableHandbook[[#This Row],[UDC]],TableAvailabilities[],5,FALSE)&gt;0,"Y",""),"")</f>
        <v/>
      </c>
      <c r="K54" s="2"/>
      <c r="L54" s="206" t="str">
        <f>IFERROR(VLOOKUP(TableHandbook[[#This Row],[UDC]],TableOMTEACH1[],7,FALSE),"")</f>
        <v/>
      </c>
      <c r="M54" s="204" t="str">
        <f>IFERROR(VLOOKUP(TableHandbook[[#This Row],[UDC]],TableOUMPTCHEC[],7,FALSE),"")</f>
        <v/>
      </c>
      <c r="N54" s="204" t="str">
        <f>IFERROR(VLOOKUP(TableHandbook[[#This Row],[UDC]],TableOUMPTCHPE[],7,FALSE),"")</f>
        <v/>
      </c>
      <c r="O54" s="204" t="str">
        <f>IFERROR(VLOOKUP(TableHandbook[[#This Row],[UDC]],TableOUMPTCHSE[],7,FALSE),"")</f>
        <v/>
      </c>
      <c r="P54" s="206" t="str">
        <f>IFERROR(VLOOKUP(TableHandbook[[#This Row],[UDC]],TableOCTESOL1[],7,FALSE),"")</f>
        <v>Core</v>
      </c>
      <c r="Q54" s="204" t="str">
        <f>IFERROR(VLOOKUP(TableHandbook[[#This Row],[UDC]],TableOCTESOL[],7,FALSE),"")</f>
        <v>Core</v>
      </c>
      <c r="R54" s="204" t="str">
        <f>IFERROR(VLOOKUP(TableHandbook[[#This Row],[UDC]],TableOMAPLING[],7,FALSE),"")</f>
        <v/>
      </c>
      <c r="S54" s="206" t="str">
        <f>IFERROR(VLOOKUP(TableHandbook[[#This Row],[UDC]],TableOCEDHE1[],7,FALSE),"")</f>
        <v/>
      </c>
      <c r="T54" s="204" t="str">
        <f>IFERROR(VLOOKUP(TableHandbook[[#This Row],[UDC]],TableOCEDHE[],7,FALSE),"")</f>
        <v/>
      </c>
      <c r="U54" s="204" t="str">
        <f>IFERROR(VLOOKUP(TableHandbook[[#This Row],[UDC]],TableOCEDUCS1[],7,FALSE),"")</f>
        <v/>
      </c>
      <c r="V54" s="204" t="str">
        <f>IFERROR(VLOOKUP(TableHandbook[[#This Row],[UDC]],TableOCEDUC[],7,FALSE),"")</f>
        <v/>
      </c>
      <c r="W54" s="204" t="str">
        <f>IFERROR(VLOOKUP(TableHandbook[[#This Row],[UDC]],TableOGEDUC[],7,FALSE),"")</f>
        <v/>
      </c>
      <c r="X54" s="204" t="str">
        <f>IFERROR(VLOOKUP(TableHandbook[[#This Row],[UDC]],TableOUMPEDUPR[],7,FALSE),"")</f>
        <v/>
      </c>
      <c r="Y54" s="204" t="str">
        <f>IFERROR(VLOOKUP(TableHandbook[[#This Row],[UDC]],TableOUMPEDUSC[],7,FALSE),"")</f>
        <v/>
      </c>
      <c r="Z54" s="206" t="str">
        <f>IFERROR(VLOOKUP(TableHandbook[[#This Row],[UDC]],TableOMEDUC[],7,FALSE),"")</f>
        <v/>
      </c>
      <c r="AA54" s="204" t="str">
        <f>IFERROR(VLOOKUP(TableHandbook[[#This Row],[UDC]],TableOSEPCULIN[],7,FALSE),"")</f>
        <v/>
      </c>
      <c r="AB54" s="204" t="str">
        <f>IFERROR(VLOOKUP(TableHandbook[[#This Row],[UDC]],TableOSEPLNTCH[],7,FALSE),"")</f>
        <v/>
      </c>
      <c r="AC54" s="204" t="str">
        <f>IFERROR(VLOOKUP(TableHandbook[[#This Row],[UDC]],TableOSEPSTEME[],7,FALSE),"")</f>
        <v/>
      </c>
    </row>
    <row r="55" spans="1:29" x14ac:dyDescent="0.25">
      <c r="A55" s="2" t="s">
        <v>259</v>
      </c>
      <c r="B55" s="3">
        <v>1</v>
      </c>
      <c r="C55" s="3" t="s">
        <v>260</v>
      </c>
      <c r="D55" s="2" t="s">
        <v>261</v>
      </c>
      <c r="E55" s="3">
        <v>25</v>
      </c>
      <c r="F55" s="230" t="s">
        <v>115</v>
      </c>
      <c r="G55" s="203" t="str">
        <f>IFERROR(IF(VLOOKUP(TableHandbook[[#This Row],[UDC]],TableAvailabilities[],2,FALSE)&gt;0,"Y",""),"")</f>
        <v/>
      </c>
      <c r="H55" s="203" t="str">
        <f>IFERROR(IF(VLOOKUP(TableHandbook[[#This Row],[UDC]],TableAvailabilities[],3,FALSE)&gt;0,"Y",""),"")</f>
        <v>Y</v>
      </c>
      <c r="I55" s="203" t="str">
        <f>IFERROR(IF(VLOOKUP(TableHandbook[[#This Row],[UDC]],TableAvailabilities[],4,FALSE)&gt;0,"Y",""),"")</f>
        <v/>
      </c>
      <c r="J55" s="203" t="str">
        <f>IFERROR(IF(VLOOKUP(TableHandbook[[#This Row],[UDC]],TableAvailabilities[],5,FALSE)&gt;0,"Y",""),"")</f>
        <v>Y</v>
      </c>
      <c r="K55" s="2"/>
      <c r="L55" s="206" t="str">
        <f>IFERROR(VLOOKUP(TableHandbook[[#This Row],[UDC]],TableOMTEACH1[],7,FALSE),"")</f>
        <v/>
      </c>
      <c r="M55" s="204" t="str">
        <f>IFERROR(VLOOKUP(TableHandbook[[#This Row],[UDC]],TableOUMPTCHEC[],7,FALSE),"")</f>
        <v/>
      </c>
      <c r="N55" s="204" t="str">
        <f>IFERROR(VLOOKUP(TableHandbook[[#This Row],[UDC]],TableOUMPTCHPE[],7,FALSE),"")</f>
        <v/>
      </c>
      <c r="O55" s="204" t="str">
        <f>IFERROR(VLOOKUP(TableHandbook[[#This Row],[UDC]],TableOUMPTCHSE[],7,FALSE),"")</f>
        <v/>
      </c>
      <c r="P55" s="206" t="str">
        <f>IFERROR(VLOOKUP(TableHandbook[[#This Row],[UDC]],TableOCTESOL1[],7,FALSE),"")</f>
        <v>Core</v>
      </c>
      <c r="Q55" s="204" t="str">
        <f>IFERROR(VLOOKUP(TableHandbook[[#This Row],[UDC]],TableOCTESOL[],7,FALSE),"")</f>
        <v>Core</v>
      </c>
      <c r="R55" s="204" t="str">
        <f>IFERROR(VLOOKUP(TableHandbook[[#This Row],[UDC]],TableOMAPLING[],7,FALSE),"")</f>
        <v/>
      </c>
      <c r="S55" s="206" t="str">
        <f>IFERROR(VLOOKUP(TableHandbook[[#This Row],[UDC]],TableOCEDHE1[],7,FALSE),"")</f>
        <v/>
      </c>
      <c r="T55" s="204" t="str">
        <f>IFERROR(VLOOKUP(TableHandbook[[#This Row],[UDC]],TableOCEDHE[],7,FALSE),"")</f>
        <v/>
      </c>
      <c r="U55" s="204" t="str">
        <f>IFERROR(VLOOKUP(TableHandbook[[#This Row],[UDC]],TableOCEDUCS1[],7,FALSE),"")</f>
        <v/>
      </c>
      <c r="V55" s="204" t="str">
        <f>IFERROR(VLOOKUP(TableHandbook[[#This Row],[UDC]],TableOCEDUC[],7,FALSE),"")</f>
        <v/>
      </c>
      <c r="W55" s="204" t="str">
        <f>IFERROR(VLOOKUP(TableHandbook[[#This Row],[UDC]],TableOGEDUC[],7,FALSE),"")</f>
        <v/>
      </c>
      <c r="X55" s="204" t="str">
        <f>IFERROR(VLOOKUP(TableHandbook[[#This Row],[UDC]],TableOUMPEDUPR[],7,FALSE),"")</f>
        <v/>
      </c>
      <c r="Y55" s="204" t="str">
        <f>IFERROR(VLOOKUP(TableHandbook[[#This Row],[UDC]],TableOUMPEDUSC[],7,FALSE),"")</f>
        <v/>
      </c>
      <c r="Z55" s="206" t="str">
        <f>IFERROR(VLOOKUP(TableHandbook[[#This Row],[UDC]],TableOMEDUC[],7,FALSE),"")</f>
        <v/>
      </c>
      <c r="AA55" s="204" t="str">
        <f>IFERROR(VLOOKUP(TableHandbook[[#This Row],[UDC]],TableOSEPCULIN[],7,FALSE),"")</f>
        <v/>
      </c>
      <c r="AB55" s="204" t="str">
        <f>IFERROR(VLOOKUP(TableHandbook[[#This Row],[UDC]],TableOSEPLNTCH[],7,FALSE),"")</f>
        <v/>
      </c>
      <c r="AC55" s="204" t="str">
        <f>IFERROR(VLOOKUP(TableHandbook[[#This Row],[UDC]],TableOSEPSTEME[],7,FALSE),"")</f>
        <v/>
      </c>
    </row>
    <row r="56" spans="1:29" x14ac:dyDescent="0.25">
      <c r="A56" s="2" t="s">
        <v>262</v>
      </c>
      <c r="B56" s="3">
        <v>2</v>
      </c>
      <c r="C56" s="3" t="s">
        <v>263</v>
      </c>
      <c r="D56" s="2" t="s">
        <v>264</v>
      </c>
      <c r="E56" s="3">
        <v>25</v>
      </c>
      <c r="F56" s="230" t="s">
        <v>115</v>
      </c>
      <c r="G56" s="203" t="str">
        <f>IFERROR(IF(VLOOKUP(TableHandbook[[#This Row],[UDC]],TableAvailabilities[],2,FALSE)&gt;0,"Y",""),"")</f>
        <v>Y</v>
      </c>
      <c r="H56" s="203" t="str">
        <f>IFERROR(IF(VLOOKUP(TableHandbook[[#This Row],[UDC]],TableAvailabilities[],3,FALSE)&gt;0,"Y",""),"")</f>
        <v/>
      </c>
      <c r="I56" s="203" t="str">
        <f>IFERROR(IF(VLOOKUP(TableHandbook[[#This Row],[UDC]],TableAvailabilities[],4,FALSE)&gt;0,"Y",""),"")</f>
        <v>Y</v>
      </c>
      <c r="J56" s="203" t="str">
        <f>IFERROR(IF(VLOOKUP(TableHandbook[[#This Row],[UDC]],TableAvailabilities[],5,FALSE)&gt;0,"Y",""),"")</f>
        <v/>
      </c>
      <c r="K56" s="2"/>
      <c r="L56" s="206" t="str">
        <f>IFERROR(VLOOKUP(TableHandbook[[#This Row],[UDC]],TableOMTEACH1[],7,FALSE),"")</f>
        <v/>
      </c>
      <c r="M56" s="204" t="str">
        <f>IFERROR(VLOOKUP(TableHandbook[[#This Row],[UDC]],TableOUMPTCHEC[],7,FALSE),"")</f>
        <v/>
      </c>
      <c r="N56" s="204" t="str">
        <f>IFERROR(VLOOKUP(TableHandbook[[#This Row],[UDC]],TableOUMPTCHPE[],7,FALSE),"")</f>
        <v/>
      </c>
      <c r="O56" s="204" t="str">
        <f>IFERROR(VLOOKUP(TableHandbook[[#This Row],[UDC]],TableOUMPTCHSE[],7,FALSE),"")</f>
        <v/>
      </c>
      <c r="P56" s="206" t="str">
        <f>IFERROR(VLOOKUP(TableHandbook[[#This Row],[UDC]],TableOCTESOL1[],7,FALSE),"")</f>
        <v>AltCore</v>
      </c>
      <c r="Q56" s="204" t="str">
        <f>IFERROR(VLOOKUP(TableHandbook[[#This Row],[UDC]],TableOCTESOL[],7,FALSE),"")</f>
        <v>AltCore</v>
      </c>
      <c r="R56" s="204" t="str">
        <f>IFERROR(VLOOKUP(TableHandbook[[#This Row],[UDC]],TableOMAPLING[],7,FALSE),"")</f>
        <v/>
      </c>
      <c r="S56" s="206" t="str">
        <f>IFERROR(VLOOKUP(TableHandbook[[#This Row],[UDC]],TableOCEDHE1[],7,FALSE),"")</f>
        <v/>
      </c>
      <c r="T56" s="204" t="str">
        <f>IFERROR(VLOOKUP(TableHandbook[[#This Row],[UDC]],TableOCEDHE[],7,FALSE),"")</f>
        <v/>
      </c>
      <c r="U56" s="204" t="str">
        <f>IFERROR(VLOOKUP(TableHandbook[[#This Row],[UDC]],TableOCEDUCS1[],7,FALSE),"")</f>
        <v/>
      </c>
      <c r="V56" s="204" t="str">
        <f>IFERROR(VLOOKUP(TableHandbook[[#This Row],[UDC]],TableOCEDUC[],7,FALSE),"")</f>
        <v/>
      </c>
      <c r="W56" s="204" t="str">
        <f>IFERROR(VLOOKUP(TableHandbook[[#This Row],[UDC]],TableOGEDUC[],7,FALSE),"")</f>
        <v/>
      </c>
      <c r="X56" s="204" t="str">
        <f>IFERROR(VLOOKUP(TableHandbook[[#This Row],[UDC]],TableOUMPEDUPR[],7,FALSE),"")</f>
        <v/>
      </c>
      <c r="Y56" s="204" t="str">
        <f>IFERROR(VLOOKUP(TableHandbook[[#This Row],[UDC]],TableOUMPEDUSC[],7,FALSE),"")</f>
        <v/>
      </c>
      <c r="Z56" s="206" t="str">
        <f>IFERROR(VLOOKUP(TableHandbook[[#This Row],[UDC]],TableOMEDUC[],7,FALSE),"")</f>
        <v/>
      </c>
      <c r="AA56" s="204" t="str">
        <f>IFERROR(VLOOKUP(TableHandbook[[#This Row],[UDC]],TableOSEPCULIN[],7,FALSE),"")</f>
        <v/>
      </c>
      <c r="AB56" s="204" t="str">
        <f>IFERROR(VLOOKUP(TableHandbook[[#This Row],[UDC]],TableOSEPLNTCH[],7,FALSE),"")</f>
        <v/>
      </c>
      <c r="AC56" s="204" t="str">
        <f>IFERROR(VLOOKUP(TableHandbook[[#This Row],[UDC]],TableOSEPSTEME[],7,FALSE),"")</f>
        <v/>
      </c>
    </row>
    <row r="57" spans="1:29" x14ac:dyDescent="0.25">
      <c r="A57" s="2" t="s">
        <v>265</v>
      </c>
      <c r="B57" s="3">
        <v>1</v>
      </c>
      <c r="C57" s="3" t="s">
        <v>266</v>
      </c>
      <c r="D57" s="2" t="s">
        <v>267</v>
      </c>
      <c r="E57" s="3">
        <v>25</v>
      </c>
      <c r="F57" s="230" t="s">
        <v>115</v>
      </c>
      <c r="G57" s="203" t="str">
        <f>IFERROR(IF(VLOOKUP(TableHandbook[[#This Row],[UDC]],TableAvailabilities[],2,FALSE)&gt;0,"Y",""),"")</f>
        <v>Y</v>
      </c>
      <c r="H57" s="203" t="str">
        <f>IFERROR(IF(VLOOKUP(TableHandbook[[#This Row],[UDC]],TableAvailabilities[],3,FALSE)&gt;0,"Y",""),"")</f>
        <v/>
      </c>
      <c r="I57" s="203" t="str">
        <f>IFERROR(IF(VLOOKUP(TableHandbook[[#This Row],[UDC]],TableAvailabilities[],4,FALSE)&gt;0,"Y",""),"")</f>
        <v>Y</v>
      </c>
      <c r="J57" s="203" t="str">
        <f>IFERROR(IF(VLOOKUP(TableHandbook[[#This Row],[UDC]],TableAvailabilities[],5,FALSE)&gt;0,"Y",""),"")</f>
        <v/>
      </c>
      <c r="K57" s="2"/>
      <c r="L57" s="206" t="str">
        <f>IFERROR(VLOOKUP(TableHandbook[[#This Row],[UDC]],TableOMTEACH1[],7,FALSE),"")</f>
        <v/>
      </c>
      <c r="M57" s="204" t="str">
        <f>IFERROR(VLOOKUP(TableHandbook[[#This Row],[UDC]],TableOUMPTCHEC[],7,FALSE),"")</f>
        <v>Core</v>
      </c>
      <c r="N57" s="204" t="str">
        <f>IFERROR(VLOOKUP(TableHandbook[[#This Row],[UDC]],TableOUMPTCHPE[],7,FALSE),"")</f>
        <v>Core</v>
      </c>
      <c r="O57" s="204" t="str">
        <f>IFERROR(VLOOKUP(TableHandbook[[#This Row],[UDC]],TableOUMPTCHSE[],7,FALSE),"")</f>
        <v/>
      </c>
      <c r="P57" s="206" t="str">
        <f>IFERROR(VLOOKUP(TableHandbook[[#This Row],[UDC]],TableOCTESOL1[],7,FALSE),"")</f>
        <v/>
      </c>
      <c r="Q57" s="204" t="str">
        <f>IFERROR(VLOOKUP(TableHandbook[[#This Row],[UDC]],TableOCTESOL[],7,FALSE),"")</f>
        <v/>
      </c>
      <c r="R57" s="204" t="str">
        <f>IFERROR(VLOOKUP(TableHandbook[[#This Row],[UDC]],TableOMAPLING[],7,FALSE),"")</f>
        <v/>
      </c>
      <c r="S57" s="206" t="str">
        <f>IFERROR(VLOOKUP(TableHandbook[[#This Row],[UDC]],TableOCEDHE1[],7,FALSE),"")</f>
        <v/>
      </c>
      <c r="T57" s="204" t="str">
        <f>IFERROR(VLOOKUP(TableHandbook[[#This Row],[UDC]],TableOCEDHE[],7,FALSE),"")</f>
        <v/>
      </c>
      <c r="U57" s="204" t="str">
        <f>IFERROR(VLOOKUP(TableHandbook[[#This Row],[UDC]],TableOCEDUCS1[],7,FALSE),"")</f>
        <v/>
      </c>
      <c r="V57" s="204" t="str">
        <f>IFERROR(VLOOKUP(TableHandbook[[#This Row],[UDC]],TableOCEDUC[],7,FALSE),"")</f>
        <v/>
      </c>
      <c r="W57" s="204" t="str">
        <f>IFERROR(VLOOKUP(TableHandbook[[#This Row],[UDC]],TableOGEDUC[],7,FALSE),"")</f>
        <v/>
      </c>
      <c r="X57" s="204" t="str">
        <f>IFERROR(VLOOKUP(TableHandbook[[#This Row],[UDC]],TableOUMPEDUPR[],7,FALSE),"")</f>
        <v>Core</v>
      </c>
      <c r="Y57" s="204" t="str">
        <f>IFERROR(VLOOKUP(TableHandbook[[#This Row],[UDC]],TableOUMPEDUSC[],7,FALSE),"")</f>
        <v/>
      </c>
      <c r="Z57" s="206" t="str">
        <f>IFERROR(VLOOKUP(TableHandbook[[#This Row],[UDC]],TableOMEDUC[],7,FALSE),"")</f>
        <v/>
      </c>
      <c r="AA57" s="204" t="str">
        <f>IFERROR(VLOOKUP(TableHandbook[[#This Row],[UDC]],TableOSEPCULIN[],7,FALSE),"")</f>
        <v/>
      </c>
      <c r="AB57" s="204" t="str">
        <f>IFERROR(VLOOKUP(TableHandbook[[#This Row],[UDC]],TableOSEPLNTCH[],7,FALSE),"")</f>
        <v/>
      </c>
      <c r="AC57" s="204" t="str">
        <f>IFERROR(VLOOKUP(TableHandbook[[#This Row],[UDC]],TableOSEPSTEME[],7,FALSE),"")</f>
        <v/>
      </c>
    </row>
    <row r="58" spans="1:29" x14ac:dyDescent="0.25">
      <c r="A58" s="2" t="s">
        <v>268</v>
      </c>
      <c r="B58" s="3">
        <v>1</v>
      </c>
      <c r="C58" s="3" t="s">
        <v>269</v>
      </c>
      <c r="D58" s="2" t="s">
        <v>270</v>
      </c>
      <c r="E58" s="3">
        <v>25</v>
      </c>
      <c r="F58" s="230" t="s">
        <v>115</v>
      </c>
      <c r="G58" s="203" t="str">
        <f>IFERROR(IF(VLOOKUP(TableHandbook[[#This Row],[UDC]],TableAvailabilities[],2,FALSE)&gt;0,"Y",""),"")</f>
        <v/>
      </c>
      <c r="H58" s="203" t="str">
        <f>IFERROR(IF(VLOOKUP(TableHandbook[[#This Row],[UDC]],TableAvailabilities[],3,FALSE)&gt;0,"Y",""),"")</f>
        <v>Y</v>
      </c>
      <c r="I58" s="203" t="str">
        <f>IFERROR(IF(VLOOKUP(TableHandbook[[#This Row],[UDC]],TableAvailabilities[],4,FALSE)&gt;0,"Y",""),"")</f>
        <v/>
      </c>
      <c r="J58" s="203" t="str">
        <f>IFERROR(IF(VLOOKUP(TableHandbook[[#This Row],[UDC]],TableAvailabilities[],5,FALSE)&gt;0,"Y",""),"")</f>
        <v>Y</v>
      </c>
      <c r="K58" s="2"/>
      <c r="L58" s="206" t="str">
        <f>IFERROR(VLOOKUP(TableHandbook[[#This Row],[UDC]],TableOMTEACH1[],7,FALSE),"")</f>
        <v/>
      </c>
      <c r="M58" s="204" t="str">
        <f>IFERROR(VLOOKUP(TableHandbook[[#This Row],[UDC]],TableOUMPTCHEC[],7,FALSE),"")</f>
        <v/>
      </c>
      <c r="N58" s="204" t="str">
        <f>IFERROR(VLOOKUP(TableHandbook[[#This Row],[UDC]],TableOUMPTCHPE[],7,FALSE),"")</f>
        <v/>
      </c>
      <c r="O58" s="204" t="str">
        <f>IFERROR(VLOOKUP(TableHandbook[[#This Row],[UDC]],TableOUMPTCHSE[],7,FALSE),"")</f>
        <v>Option</v>
      </c>
      <c r="P58" s="206" t="str">
        <f>IFERROR(VLOOKUP(TableHandbook[[#This Row],[UDC]],TableOCTESOL1[],7,FALSE),"")</f>
        <v/>
      </c>
      <c r="Q58" s="204" t="str">
        <f>IFERROR(VLOOKUP(TableHandbook[[#This Row],[UDC]],TableOCTESOL[],7,FALSE),"")</f>
        <v/>
      </c>
      <c r="R58" s="204" t="str">
        <f>IFERROR(VLOOKUP(TableHandbook[[#This Row],[UDC]],TableOMAPLING[],7,FALSE),"")</f>
        <v/>
      </c>
      <c r="S58" s="206" t="str">
        <f>IFERROR(VLOOKUP(TableHandbook[[#This Row],[UDC]],TableOCEDHE1[],7,FALSE),"")</f>
        <v/>
      </c>
      <c r="T58" s="204" t="str">
        <f>IFERROR(VLOOKUP(TableHandbook[[#This Row],[UDC]],TableOCEDHE[],7,FALSE),"")</f>
        <v/>
      </c>
      <c r="U58" s="204" t="str">
        <f>IFERROR(VLOOKUP(TableHandbook[[#This Row],[UDC]],TableOCEDUCS1[],7,FALSE),"")</f>
        <v>Option</v>
      </c>
      <c r="V58" s="204" t="str">
        <f>IFERROR(VLOOKUP(TableHandbook[[#This Row],[UDC]],TableOCEDUC[],7,FALSE),"")</f>
        <v>Option</v>
      </c>
      <c r="W58" s="204" t="str">
        <f>IFERROR(VLOOKUP(TableHandbook[[#This Row],[UDC]],TableOGEDUC[],7,FALSE),"")</f>
        <v/>
      </c>
      <c r="X58" s="204" t="str">
        <f>IFERROR(VLOOKUP(TableHandbook[[#This Row],[UDC]],TableOUMPEDUPR[],7,FALSE),"")</f>
        <v/>
      </c>
      <c r="Y58" s="204" t="str">
        <f>IFERROR(VLOOKUP(TableHandbook[[#This Row],[UDC]],TableOUMPEDUSC[],7,FALSE),"")</f>
        <v/>
      </c>
      <c r="Z58" s="206" t="str">
        <f>IFERROR(VLOOKUP(TableHandbook[[#This Row],[UDC]],TableOMEDUC[],7,FALSE),"")</f>
        <v/>
      </c>
      <c r="AA58" s="204" t="str">
        <f>IFERROR(VLOOKUP(TableHandbook[[#This Row],[UDC]],TableOSEPCULIN[],7,FALSE),"")</f>
        <v/>
      </c>
      <c r="AB58" s="204" t="str">
        <f>IFERROR(VLOOKUP(TableHandbook[[#This Row],[UDC]],TableOSEPLNTCH[],7,FALSE),"")</f>
        <v/>
      </c>
      <c r="AC58" s="204" t="str">
        <f>IFERROR(VLOOKUP(TableHandbook[[#This Row],[UDC]],TableOSEPSTEME[],7,FALSE),"")</f>
        <v/>
      </c>
    </row>
    <row r="59" spans="1:29" x14ac:dyDescent="0.25">
      <c r="A59" s="2" t="s">
        <v>271</v>
      </c>
      <c r="B59" s="3">
        <v>2</v>
      </c>
      <c r="C59" s="3" t="s">
        <v>272</v>
      </c>
      <c r="D59" s="2" t="s">
        <v>273</v>
      </c>
      <c r="E59" s="3">
        <v>25</v>
      </c>
      <c r="F59" s="230" t="s">
        <v>115</v>
      </c>
      <c r="G59" s="203" t="str">
        <f>IFERROR(IF(VLOOKUP(TableHandbook[[#This Row],[UDC]],TableAvailabilities[],2,FALSE)&gt;0,"Y",""),"")</f>
        <v/>
      </c>
      <c r="H59" s="203" t="str">
        <f>IFERROR(IF(VLOOKUP(TableHandbook[[#This Row],[UDC]],TableAvailabilities[],3,FALSE)&gt;0,"Y",""),"")</f>
        <v/>
      </c>
      <c r="I59" s="203" t="str">
        <f>IFERROR(IF(VLOOKUP(TableHandbook[[#This Row],[UDC]],TableAvailabilities[],4,FALSE)&gt;0,"Y",""),"")</f>
        <v>Y</v>
      </c>
      <c r="J59" s="203" t="str">
        <f>IFERROR(IF(VLOOKUP(TableHandbook[[#This Row],[UDC]],TableAvailabilities[],5,FALSE)&gt;0,"Y",""),"")</f>
        <v/>
      </c>
      <c r="K59" s="2"/>
      <c r="L59" s="206" t="str">
        <f>IFERROR(VLOOKUP(TableHandbook[[#This Row],[UDC]],TableOMTEACH1[],7,FALSE),"")</f>
        <v/>
      </c>
      <c r="M59" s="204" t="str">
        <f>IFERROR(VLOOKUP(TableHandbook[[#This Row],[UDC]],TableOUMPTCHEC[],7,FALSE),"")</f>
        <v/>
      </c>
      <c r="N59" s="204" t="str">
        <f>IFERROR(VLOOKUP(TableHandbook[[#This Row],[UDC]],TableOUMPTCHPE[],7,FALSE),"")</f>
        <v/>
      </c>
      <c r="O59" s="204" t="str">
        <f>IFERROR(VLOOKUP(TableHandbook[[#This Row],[UDC]],TableOUMPTCHSE[],7,FALSE),"")</f>
        <v/>
      </c>
      <c r="P59" s="206" t="str">
        <f>IFERROR(VLOOKUP(TableHandbook[[#This Row],[UDC]],TableOCTESOL1[],7,FALSE),"")</f>
        <v/>
      </c>
      <c r="Q59" s="204" t="str">
        <f>IFERROR(VLOOKUP(TableHandbook[[#This Row],[UDC]],TableOCTESOL[],7,FALSE),"")</f>
        <v/>
      </c>
      <c r="R59" s="204" t="str">
        <f>IFERROR(VLOOKUP(TableHandbook[[#This Row],[UDC]],TableOMAPLING[],7,FALSE),"")</f>
        <v>Core</v>
      </c>
      <c r="S59" s="206" t="str">
        <f>IFERROR(VLOOKUP(TableHandbook[[#This Row],[UDC]],TableOCEDHE1[],7,FALSE),"")</f>
        <v/>
      </c>
      <c r="T59" s="204" t="str">
        <f>IFERROR(VLOOKUP(TableHandbook[[#This Row],[UDC]],TableOCEDHE[],7,FALSE),"")</f>
        <v/>
      </c>
      <c r="U59" s="204" t="str">
        <f>IFERROR(VLOOKUP(TableHandbook[[#This Row],[UDC]],TableOCEDUCS1[],7,FALSE),"")</f>
        <v/>
      </c>
      <c r="V59" s="204" t="str">
        <f>IFERROR(VLOOKUP(TableHandbook[[#This Row],[UDC]],TableOCEDUC[],7,FALSE),"")</f>
        <v/>
      </c>
      <c r="W59" s="204" t="str">
        <f>IFERROR(VLOOKUP(TableHandbook[[#This Row],[UDC]],TableOGEDUC[],7,FALSE),"")</f>
        <v/>
      </c>
      <c r="X59" s="204" t="str">
        <f>IFERROR(VLOOKUP(TableHandbook[[#This Row],[UDC]],TableOUMPEDUPR[],7,FALSE),"")</f>
        <v/>
      </c>
      <c r="Y59" s="204" t="str">
        <f>IFERROR(VLOOKUP(TableHandbook[[#This Row],[UDC]],TableOUMPEDUSC[],7,FALSE),"")</f>
        <v/>
      </c>
      <c r="Z59" s="206" t="str">
        <f>IFERROR(VLOOKUP(TableHandbook[[#This Row],[UDC]],TableOMEDUC[],7,FALSE),"")</f>
        <v>Option</v>
      </c>
      <c r="AA59" s="204" t="str">
        <f>IFERROR(VLOOKUP(TableHandbook[[#This Row],[UDC]],TableOSEPCULIN[],7,FALSE),"")</f>
        <v>Core</v>
      </c>
      <c r="AB59" s="204" t="str">
        <f>IFERROR(VLOOKUP(TableHandbook[[#This Row],[UDC]],TableOSEPLNTCH[],7,FALSE),"")</f>
        <v/>
      </c>
      <c r="AC59" s="204" t="str">
        <f>IFERROR(VLOOKUP(TableHandbook[[#This Row],[UDC]],TableOSEPSTEME[],7,FALSE),"")</f>
        <v/>
      </c>
    </row>
    <row r="60" spans="1:29" x14ac:dyDescent="0.25">
      <c r="A60" s="2" t="s">
        <v>274</v>
      </c>
      <c r="B60" s="3">
        <v>1</v>
      </c>
      <c r="C60" s="3" t="s">
        <v>275</v>
      </c>
      <c r="D60" s="2" t="s">
        <v>276</v>
      </c>
      <c r="E60" s="3">
        <v>25</v>
      </c>
      <c r="F60" s="230" t="s">
        <v>115</v>
      </c>
      <c r="G60" s="203" t="str">
        <f>IFERROR(IF(VLOOKUP(TableHandbook[[#This Row],[UDC]],TableAvailabilities[],2,FALSE)&gt;0,"Y",""),"")</f>
        <v/>
      </c>
      <c r="H60" s="203" t="str">
        <f>IFERROR(IF(VLOOKUP(TableHandbook[[#This Row],[UDC]],TableAvailabilities[],3,FALSE)&gt;0,"Y",""),"")</f>
        <v>Y</v>
      </c>
      <c r="I60" s="203" t="str">
        <f>IFERROR(IF(VLOOKUP(TableHandbook[[#This Row],[UDC]],TableAvailabilities[],4,FALSE)&gt;0,"Y",""),"")</f>
        <v/>
      </c>
      <c r="J60" s="203" t="str">
        <f>IFERROR(IF(VLOOKUP(TableHandbook[[#This Row],[UDC]],TableAvailabilities[],5,FALSE)&gt;0,"Y",""),"")</f>
        <v>Y</v>
      </c>
      <c r="K60" s="2"/>
      <c r="L60" s="206" t="str">
        <f>IFERROR(VLOOKUP(TableHandbook[[#This Row],[UDC]],TableOMTEACH1[],7,FALSE),"")</f>
        <v/>
      </c>
      <c r="M60" s="204" t="str">
        <f>IFERROR(VLOOKUP(TableHandbook[[#This Row],[UDC]],TableOUMPTCHEC[],7,FALSE),"")</f>
        <v/>
      </c>
      <c r="N60" s="204" t="str">
        <f>IFERROR(VLOOKUP(TableHandbook[[#This Row],[UDC]],TableOUMPTCHPE[],7,FALSE),"")</f>
        <v/>
      </c>
      <c r="O60" s="204" t="str">
        <f>IFERROR(VLOOKUP(TableHandbook[[#This Row],[UDC]],TableOUMPTCHSE[],7,FALSE),"")</f>
        <v/>
      </c>
      <c r="P60" s="206" t="str">
        <f>IFERROR(VLOOKUP(TableHandbook[[#This Row],[UDC]],TableOCTESOL1[],7,FALSE),"")</f>
        <v/>
      </c>
      <c r="Q60" s="204" t="str">
        <f>IFERROR(VLOOKUP(TableHandbook[[#This Row],[UDC]],TableOCTESOL[],7,FALSE),"")</f>
        <v/>
      </c>
      <c r="R60" s="204" t="str">
        <f>IFERROR(VLOOKUP(TableHandbook[[#This Row],[UDC]],TableOMAPLING[],7,FALSE),"")</f>
        <v>Core</v>
      </c>
      <c r="S60" s="206" t="str">
        <f>IFERROR(VLOOKUP(TableHandbook[[#This Row],[UDC]],TableOCEDHE1[],7,FALSE),"")</f>
        <v/>
      </c>
      <c r="T60" s="204" t="str">
        <f>IFERROR(VLOOKUP(TableHandbook[[#This Row],[UDC]],TableOCEDHE[],7,FALSE),"")</f>
        <v/>
      </c>
      <c r="U60" s="204" t="str">
        <f>IFERROR(VLOOKUP(TableHandbook[[#This Row],[UDC]],TableOCEDUCS1[],7,FALSE),"")</f>
        <v/>
      </c>
      <c r="V60" s="204" t="str">
        <f>IFERROR(VLOOKUP(TableHandbook[[#This Row],[UDC]],TableOCEDUC[],7,FALSE),"")</f>
        <v/>
      </c>
      <c r="W60" s="204" t="str">
        <f>IFERROR(VLOOKUP(TableHandbook[[#This Row],[UDC]],TableOGEDUC[],7,FALSE),"")</f>
        <v/>
      </c>
      <c r="X60" s="204" t="str">
        <f>IFERROR(VLOOKUP(TableHandbook[[#This Row],[UDC]],TableOUMPEDUPR[],7,FALSE),"")</f>
        <v/>
      </c>
      <c r="Y60" s="204" t="str">
        <f>IFERROR(VLOOKUP(TableHandbook[[#This Row],[UDC]],TableOUMPEDUSC[],7,FALSE),"")</f>
        <v/>
      </c>
      <c r="Z60" s="206" t="str">
        <f>IFERROR(VLOOKUP(TableHandbook[[#This Row],[UDC]],TableOMEDUC[],7,FALSE),"")</f>
        <v/>
      </c>
      <c r="AA60" s="204" t="str">
        <f>IFERROR(VLOOKUP(TableHandbook[[#This Row],[UDC]],TableOSEPCULIN[],7,FALSE),"")</f>
        <v/>
      </c>
      <c r="AB60" s="204" t="str">
        <f>IFERROR(VLOOKUP(TableHandbook[[#This Row],[UDC]],TableOSEPLNTCH[],7,FALSE),"")</f>
        <v/>
      </c>
      <c r="AC60" s="204" t="str">
        <f>IFERROR(VLOOKUP(TableHandbook[[#This Row],[UDC]],TableOSEPSTEME[],7,FALSE),"")</f>
        <v/>
      </c>
    </row>
    <row r="61" spans="1:29" x14ac:dyDescent="0.25">
      <c r="A61" s="2" t="s">
        <v>277</v>
      </c>
      <c r="B61" s="3">
        <v>2</v>
      </c>
      <c r="C61" s="3" t="s">
        <v>278</v>
      </c>
      <c r="D61" s="2" t="s">
        <v>279</v>
      </c>
      <c r="E61" s="3">
        <v>25</v>
      </c>
      <c r="F61" s="230" t="s">
        <v>115</v>
      </c>
      <c r="G61" s="203" t="str">
        <f>IFERROR(IF(VLOOKUP(TableHandbook[[#This Row],[UDC]],TableAvailabilities[],2,FALSE)&gt;0,"Y",""),"")</f>
        <v>Y</v>
      </c>
      <c r="H61" s="203" t="str">
        <f>IFERROR(IF(VLOOKUP(TableHandbook[[#This Row],[UDC]],TableAvailabilities[],3,FALSE)&gt;0,"Y",""),"")</f>
        <v/>
      </c>
      <c r="I61" s="203" t="str">
        <f>IFERROR(IF(VLOOKUP(TableHandbook[[#This Row],[UDC]],TableAvailabilities[],4,FALSE)&gt;0,"Y",""),"")</f>
        <v>Y</v>
      </c>
      <c r="J61" s="203" t="str">
        <f>IFERROR(IF(VLOOKUP(TableHandbook[[#This Row],[UDC]],TableAvailabilities[],5,FALSE)&gt;0,"Y",""),"")</f>
        <v/>
      </c>
      <c r="K61" s="2"/>
      <c r="L61" s="206" t="str">
        <f>IFERROR(VLOOKUP(TableHandbook[[#This Row],[UDC]],TableOMTEACH1[],7,FALSE),"")</f>
        <v/>
      </c>
      <c r="M61" s="204" t="str">
        <f>IFERROR(VLOOKUP(TableHandbook[[#This Row],[UDC]],TableOUMPTCHEC[],7,FALSE),"")</f>
        <v/>
      </c>
      <c r="N61" s="204" t="str">
        <f>IFERROR(VLOOKUP(TableHandbook[[#This Row],[UDC]],TableOUMPTCHPE[],7,FALSE),"")</f>
        <v/>
      </c>
      <c r="O61" s="204" t="str">
        <f>IFERROR(VLOOKUP(TableHandbook[[#This Row],[UDC]],TableOUMPTCHSE[],7,FALSE),"")</f>
        <v/>
      </c>
      <c r="P61" s="206" t="str">
        <f>IFERROR(VLOOKUP(TableHandbook[[#This Row],[UDC]],TableOCTESOL1[],7,FALSE),"")</f>
        <v/>
      </c>
      <c r="Q61" s="204" t="str">
        <f>IFERROR(VLOOKUP(TableHandbook[[#This Row],[UDC]],TableOCTESOL[],7,FALSE),"")</f>
        <v/>
      </c>
      <c r="R61" s="204" t="str">
        <f>IFERROR(VLOOKUP(TableHandbook[[#This Row],[UDC]],TableOMAPLING[],7,FALSE),"")</f>
        <v/>
      </c>
      <c r="S61" s="206" t="str">
        <f>IFERROR(VLOOKUP(TableHandbook[[#This Row],[UDC]],TableOCEDHE1[],7,FALSE),"")</f>
        <v/>
      </c>
      <c r="T61" s="204" t="str">
        <f>IFERROR(VLOOKUP(TableHandbook[[#This Row],[UDC]],TableOCEDHE[],7,FALSE),"")</f>
        <v/>
      </c>
      <c r="U61" s="204" t="str">
        <f>IFERROR(VLOOKUP(TableHandbook[[#This Row],[UDC]],TableOCEDUCS1[],7,FALSE),"")</f>
        <v/>
      </c>
      <c r="V61" s="204" t="str">
        <f>IFERROR(VLOOKUP(TableHandbook[[#This Row],[UDC]],TableOCEDUC[],7,FALSE),"")</f>
        <v/>
      </c>
      <c r="W61" s="204" t="str">
        <f>IFERROR(VLOOKUP(TableHandbook[[#This Row],[UDC]],TableOGEDUC[],7,FALSE),"")</f>
        <v/>
      </c>
      <c r="X61" s="204" t="str">
        <f>IFERROR(VLOOKUP(TableHandbook[[#This Row],[UDC]],TableOUMPEDUPR[],7,FALSE),"")</f>
        <v/>
      </c>
      <c r="Y61" s="204" t="str">
        <f>IFERROR(VLOOKUP(TableHandbook[[#This Row],[UDC]],TableOUMPEDUSC[],7,FALSE),"")</f>
        <v/>
      </c>
      <c r="Z61" s="206" t="str">
        <f>IFERROR(VLOOKUP(TableHandbook[[#This Row],[UDC]],TableOMEDUC[],7,FALSE),"")</f>
        <v>Core</v>
      </c>
      <c r="AA61" s="204" t="str">
        <f>IFERROR(VLOOKUP(TableHandbook[[#This Row],[UDC]],TableOSEPCULIN[],7,FALSE),"")</f>
        <v/>
      </c>
      <c r="AB61" s="204" t="str">
        <f>IFERROR(VLOOKUP(TableHandbook[[#This Row],[UDC]],TableOSEPLNTCH[],7,FALSE),"")</f>
        <v/>
      </c>
      <c r="AC61" s="204" t="str">
        <f>IFERROR(VLOOKUP(TableHandbook[[#This Row],[UDC]],TableOSEPSTEME[],7,FALSE),"")</f>
        <v/>
      </c>
    </row>
    <row r="62" spans="1:29" x14ac:dyDescent="0.25">
      <c r="A62" s="2" t="s">
        <v>280</v>
      </c>
      <c r="B62" s="3">
        <v>2</v>
      </c>
      <c r="C62" s="3" t="s">
        <v>281</v>
      </c>
      <c r="D62" s="2" t="s">
        <v>282</v>
      </c>
      <c r="E62" s="3">
        <v>50</v>
      </c>
      <c r="F62" s="230" t="s">
        <v>283</v>
      </c>
      <c r="G62" s="203" t="str">
        <f>IFERROR(IF(VLOOKUP(TableHandbook[[#This Row],[UDC]],TableAvailabilities[],2,FALSE)&gt;0,"Y",""),"")</f>
        <v/>
      </c>
      <c r="H62" s="203" t="str">
        <f>IFERROR(IF(VLOOKUP(TableHandbook[[#This Row],[UDC]],TableAvailabilities[],3,FALSE)&gt;0,"Y",""),"")</f>
        <v>Y</v>
      </c>
      <c r="I62" s="203" t="str">
        <f>IFERROR(IF(VLOOKUP(TableHandbook[[#This Row],[UDC]],TableAvailabilities[],4,FALSE)&gt;0,"Y",""),"")</f>
        <v/>
      </c>
      <c r="J62" s="203" t="str">
        <f>IFERROR(IF(VLOOKUP(TableHandbook[[#This Row],[UDC]],TableAvailabilities[],5,FALSE)&gt;0,"Y",""),"")</f>
        <v>Y</v>
      </c>
      <c r="K62" s="2"/>
      <c r="L62" s="206" t="str">
        <f>IFERROR(VLOOKUP(TableHandbook[[#This Row],[UDC]],TableOMTEACH1[],7,FALSE),"")</f>
        <v/>
      </c>
      <c r="M62" s="204" t="str">
        <f>IFERROR(VLOOKUP(TableHandbook[[#This Row],[UDC]],TableOUMPTCHEC[],7,FALSE),"")</f>
        <v/>
      </c>
      <c r="N62" s="204" t="str">
        <f>IFERROR(VLOOKUP(TableHandbook[[#This Row],[UDC]],TableOUMPTCHPE[],7,FALSE),"")</f>
        <v/>
      </c>
      <c r="O62" s="204" t="str">
        <f>IFERROR(VLOOKUP(TableHandbook[[#This Row],[UDC]],TableOUMPTCHSE[],7,FALSE),"")</f>
        <v/>
      </c>
      <c r="P62" s="206" t="str">
        <f>IFERROR(VLOOKUP(TableHandbook[[#This Row],[UDC]],TableOCTESOL1[],7,FALSE),"")</f>
        <v/>
      </c>
      <c r="Q62" s="204" t="str">
        <f>IFERROR(VLOOKUP(TableHandbook[[#This Row],[UDC]],TableOCTESOL[],7,FALSE),"")</f>
        <v/>
      </c>
      <c r="R62" s="204" t="str">
        <f>IFERROR(VLOOKUP(TableHandbook[[#This Row],[UDC]],TableOMAPLING[],7,FALSE),"")</f>
        <v>Core</v>
      </c>
      <c r="S62" s="206" t="str">
        <f>IFERROR(VLOOKUP(TableHandbook[[#This Row],[UDC]],TableOCEDHE1[],7,FALSE),"")</f>
        <v/>
      </c>
      <c r="T62" s="204" t="str">
        <f>IFERROR(VLOOKUP(TableHandbook[[#This Row],[UDC]],TableOCEDHE[],7,FALSE),"")</f>
        <v/>
      </c>
      <c r="U62" s="204" t="str">
        <f>IFERROR(VLOOKUP(TableHandbook[[#This Row],[UDC]],TableOCEDUCS1[],7,FALSE),"")</f>
        <v/>
      </c>
      <c r="V62" s="204" t="str">
        <f>IFERROR(VLOOKUP(TableHandbook[[#This Row],[UDC]],TableOCEDUC[],7,FALSE),"")</f>
        <v/>
      </c>
      <c r="W62" s="204" t="str">
        <f>IFERROR(VLOOKUP(TableHandbook[[#This Row],[UDC]],TableOGEDUC[],7,FALSE),"")</f>
        <v/>
      </c>
      <c r="X62" s="204" t="str">
        <f>IFERROR(VLOOKUP(TableHandbook[[#This Row],[UDC]],TableOUMPEDUPR[],7,FALSE),"")</f>
        <v/>
      </c>
      <c r="Y62" s="204" t="str">
        <f>IFERROR(VLOOKUP(TableHandbook[[#This Row],[UDC]],TableOUMPEDUSC[],7,FALSE),"")</f>
        <v/>
      </c>
      <c r="Z62" s="206" t="str">
        <f>IFERROR(VLOOKUP(TableHandbook[[#This Row],[UDC]],TableOMEDUC[],7,FALSE),"")</f>
        <v>Core</v>
      </c>
      <c r="AA62" s="204" t="str">
        <f>IFERROR(VLOOKUP(TableHandbook[[#This Row],[UDC]],TableOSEPCULIN[],7,FALSE),"")</f>
        <v/>
      </c>
      <c r="AB62" s="204" t="str">
        <f>IFERROR(VLOOKUP(TableHandbook[[#This Row],[UDC]],TableOSEPLNTCH[],7,FALSE),"")</f>
        <v/>
      </c>
      <c r="AC62" s="204" t="str">
        <f>IFERROR(VLOOKUP(TableHandbook[[#This Row],[UDC]],TableOSEPSTEME[],7,FALSE),"")</f>
        <v/>
      </c>
    </row>
    <row r="63" spans="1:29" x14ac:dyDescent="0.25">
      <c r="A63" s="2" t="s">
        <v>284</v>
      </c>
      <c r="B63" s="3">
        <v>1</v>
      </c>
      <c r="C63" s="3" t="s">
        <v>285</v>
      </c>
      <c r="D63" s="2" t="s">
        <v>286</v>
      </c>
      <c r="E63" s="3">
        <v>25</v>
      </c>
      <c r="F63" s="230" t="s">
        <v>115</v>
      </c>
      <c r="G63" s="203" t="str">
        <f>IFERROR(IF(VLOOKUP(TableHandbook[[#This Row],[UDC]],TableAvailabilities[],2,FALSE)&gt;0,"Y",""),"")</f>
        <v/>
      </c>
      <c r="H63" s="203" t="str">
        <f>IFERROR(IF(VLOOKUP(TableHandbook[[#This Row],[UDC]],TableAvailabilities[],3,FALSE)&gt;0,"Y",""),"")</f>
        <v>Y</v>
      </c>
      <c r="I63" s="203" t="str">
        <f>IFERROR(IF(VLOOKUP(TableHandbook[[#This Row],[UDC]],TableAvailabilities[],4,FALSE)&gt;0,"Y",""),"")</f>
        <v/>
      </c>
      <c r="J63" s="203" t="str">
        <f>IFERROR(IF(VLOOKUP(TableHandbook[[#This Row],[UDC]],TableAvailabilities[],5,FALSE)&gt;0,"Y",""),"")</f>
        <v>Y</v>
      </c>
      <c r="K63" s="2"/>
      <c r="L63" s="206" t="str">
        <f>IFERROR(VLOOKUP(TableHandbook[[#This Row],[UDC]],TableOMTEACH1[],7,FALSE),"")</f>
        <v/>
      </c>
      <c r="M63" s="204" t="str">
        <f>IFERROR(VLOOKUP(TableHandbook[[#This Row],[UDC]],TableOUMPTCHEC[],7,FALSE),"")</f>
        <v/>
      </c>
      <c r="N63" s="204" t="str">
        <f>IFERROR(VLOOKUP(TableHandbook[[#This Row],[UDC]],TableOUMPTCHPE[],7,FALSE),"")</f>
        <v/>
      </c>
      <c r="O63" s="204" t="str">
        <f>IFERROR(VLOOKUP(TableHandbook[[#This Row],[UDC]],TableOUMPTCHSE[],7,FALSE),"")</f>
        <v/>
      </c>
      <c r="P63" s="206" t="str">
        <f>IFERROR(VLOOKUP(TableHandbook[[#This Row],[UDC]],TableOCTESOL1[],7,FALSE),"")</f>
        <v/>
      </c>
      <c r="Q63" s="204" t="str">
        <f>IFERROR(VLOOKUP(TableHandbook[[#This Row],[UDC]],TableOCTESOL[],7,FALSE),"")</f>
        <v/>
      </c>
      <c r="R63" s="204" t="str">
        <f>IFERROR(VLOOKUP(TableHandbook[[#This Row],[UDC]],TableOMAPLING[],7,FALSE),"")</f>
        <v>Core</v>
      </c>
      <c r="S63" s="206" t="str">
        <f>IFERROR(VLOOKUP(TableHandbook[[#This Row],[UDC]],TableOCEDHE1[],7,FALSE),"")</f>
        <v/>
      </c>
      <c r="T63" s="204" t="str">
        <f>IFERROR(VLOOKUP(TableHandbook[[#This Row],[UDC]],TableOCEDHE[],7,FALSE),"")</f>
        <v/>
      </c>
      <c r="U63" s="204" t="str">
        <f>IFERROR(VLOOKUP(TableHandbook[[#This Row],[UDC]],TableOCEDUCS1[],7,FALSE),"")</f>
        <v/>
      </c>
      <c r="V63" s="204" t="str">
        <f>IFERROR(VLOOKUP(TableHandbook[[#This Row],[UDC]],TableOCEDUC[],7,FALSE),"")</f>
        <v/>
      </c>
      <c r="W63" s="204" t="str">
        <f>IFERROR(VLOOKUP(TableHandbook[[#This Row],[UDC]],TableOGEDUC[],7,FALSE),"")</f>
        <v/>
      </c>
      <c r="X63" s="204" t="str">
        <f>IFERROR(VLOOKUP(TableHandbook[[#This Row],[UDC]],TableOUMPEDUPR[],7,FALSE),"")</f>
        <v/>
      </c>
      <c r="Y63" s="204" t="str">
        <f>IFERROR(VLOOKUP(TableHandbook[[#This Row],[UDC]],TableOUMPEDUSC[],7,FALSE),"")</f>
        <v/>
      </c>
      <c r="Z63" s="206" t="str">
        <f>IFERROR(VLOOKUP(TableHandbook[[#This Row],[UDC]],TableOMEDUC[],7,FALSE),"")</f>
        <v/>
      </c>
      <c r="AA63" s="204" t="str">
        <f>IFERROR(VLOOKUP(TableHandbook[[#This Row],[UDC]],TableOSEPCULIN[],7,FALSE),"")</f>
        <v/>
      </c>
      <c r="AB63" s="204" t="str">
        <f>IFERROR(VLOOKUP(TableHandbook[[#This Row],[UDC]],TableOSEPLNTCH[],7,FALSE),"")</f>
        <v/>
      </c>
      <c r="AC63" s="204" t="str">
        <f>IFERROR(VLOOKUP(TableHandbook[[#This Row],[UDC]],TableOSEPSTEME[],7,FALSE),"")</f>
        <v/>
      </c>
    </row>
    <row r="64" spans="1:29" x14ac:dyDescent="0.25">
      <c r="A64" s="2" t="s">
        <v>287</v>
      </c>
      <c r="B64" s="3">
        <v>1</v>
      </c>
      <c r="C64" s="3" t="s">
        <v>288</v>
      </c>
      <c r="D64" s="2" t="s">
        <v>289</v>
      </c>
      <c r="E64" s="3">
        <v>25</v>
      </c>
      <c r="F64" s="230" t="s">
        <v>115</v>
      </c>
      <c r="G64" s="203" t="str">
        <f>IFERROR(IF(VLOOKUP(TableHandbook[[#This Row],[UDC]],TableAvailabilities[],2,FALSE)&gt;0,"Y",""),"")</f>
        <v>Y</v>
      </c>
      <c r="H64" s="203" t="str">
        <f>IFERROR(IF(VLOOKUP(TableHandbook[[#This Row],[UDC]],TableAvailabilities[],3,FALSE)&gt;0,"Y",""),"")</f>
        <v/>
      </c>
      <c r="I64" s="203" t="str">
        <f>IFERROR(IF(VLOOKUP(TableHandbook[[#This Row],[UDC]],TableAvailabilities[],4,FALSE)&gt;0,"Y",""),"")</f>
        <v>Y</v>
      </c>
      <c r="J64" s="203" t="str">
        <f>IFERROR(IF(VLOOKUP(TableHandbook[[#This Row],[UDC]],TableAvailabilities[],5,FALSE)&gt;0,"Y",""),"")</f>
        <v/>
      </c>
      <c r="K64" s="2"/>
      <c r="L64" s="206" t="str">
        <f>IFERROR(VLOOKUP(TableHandbook[[#This Row],[UDC]],TableOMTEACH1[],7,FALSE),"")</f>
        <v/>
      </c>
      <c r="M64" s="204" t="str">
        <f>IFERROR(VLOOKUP(TableHandbook[[#This Row],[UDC]],TableOUMPTCHEC[],7,FALSE),"")</f>
        <v/>
      </c>
      <c r="N64" s="204" t="str">
        <f>IFERROR(VLOOKUP(TableHandbook[[#This Row],[UDC]],TableOUMPTCHPE[],7,FALSE),"")</f>
        <v/>
      </c>
      <c r="O64" s="204" t="str">
        <f>IFERROR(VLOOKUP(TableHandbook[[#This Row],[UDC]],TableOUMPTCHSE[],7,FALSE),"")</f>
        <v/>
      </c>
      <c r="P64" s="206" t="str">
        <f>IFERROR(VLOOKUP(TableHandbook[[#This Row],[UDC]],TableOCTESOL1[],7,FALSE),"")</f>
        <v/>
      </c>
      <c r="Q64" s="204" t="str">
        <f>IFERROR(VLOOKUP(TableHandbook[[#This Row],[UDC]],TableOCTESOL[],7,FALSE),"")</f>
        <v/>
      </c>
      <c r="R64" s="204" t="str">
        <f>IFERROR(VLOOKUP(TableHandbook[[#This Row],[UDC]],TableOMAPLING[],7,FALSE),"")</f>
        <v>Core</v>
      </c>
      <c r="S64" s="206" t="str">
        <f>IFERROR(VLOOKUP(TableHandbook[[#This Row],[UDC]],TableOCEDHE1[],7,FALSE),"")</f>
        <v/>
      </c>
      <c r="T64" s="204" t="str">
        <f>IFERROR(VLOOKUP(TableHandbook[[#This Row],[UDC]],TableOCEDHE[],7,FALSE),"")</f>
        <v/>
      </c>
      <c r="U64" s="204" t="str">
        <f>IFERROR(VLOOKUP(TableHandbook[[#This Row],[UDC]],TableOCEDUCS1[],7,FALSE),"")</f>
        <v/>
      </c>
      <c r="V64" s="204" t="str">
        <f>IFERROR(VLOOKUP(TableHandbook[[#This Row],[UDC]],TableOCEDUC[],7,FALSE),"")</f>
        <v/>
      </c>
      <c r="W64" s="204" t="str">
        <f>IFERROR(VLOOKUP(TableHandbook[[#This Row],[UDC]],TableOGEDUC[],7,FALSE),"")</f>
        <v/>
      </c>
      <c r="X64" s="204" t="str">
        <f>IFERROR(VLOOKUP(TableHandbook[[#This Row],[UDC]],TableOUMPEDUPR[],7,FALSE),"")</f>
        <v/>
      </c>
      <c r="Y64" s="204" t="str">
        <f>IFERROR(VLOOKUP(TableHandbook[[#This Row],[UDC]],TableOUMPEDUSC[],7,FALSE),"")</f>
        <v/>
      </c>
      <c r="Z64" s="206" t="str">
        <f>IFERROR(VLOOKUP(TableHandbook[[#This Row],[UDC]],TableOMEDUC[],7,FALSE),"")</f>
        <v/>
      </c>
      <c r="AA64" s="204" t="str">
        <f>IFERROR(VLOOKUP(TableHandbook[[#This Row],[UDC]],TableOSEPCULIN[],7,FALSE),"")</f>
        <v/>
      </c>
      <c r="AB64" s="204" t="str">
        <f>IFERROR(VLOOKUP(TableHandbook[[#This Row],[UDC]],TableOSEPLNTCH[],7,FALSE),"")</f>
        <v/>
      </c>
      <c r="AC64" s="204" t="str">
        <f>IFERROR(VLOOKUP(TableHandbook[[#This Row],[UDC]],TableOSEPSTEME[],7,FALSE),"")</f>
        <v/>
      </c>
    </row>
    <row r="65" spans="1:29" x14ac:dyDescent="0.25">
      <c r="A65" s="2" t="s">
        <v>290</v>
      </c>
      <c r="B65" s="3">
        <v>1</v>
      </c>
      <c r="C65" s="3" t="s">
        <v>291</v>
      </c>
      <c r="D65" s="2" t="s">
        <v>292</v>
      </c>
      <c r="E65" s="3">
        <v>25</v>
      </c>
      <c r="F65" s="230" t="s">
        <v>115</v>
      </c>
      <c r="G65" s="203" t="str">
        <f>IFERROR(IF(VLOOKUP(TableHandbook[[#This Row],[UDC]],TableAvailabilities[],2,FALSE)&gt;0,"Y",""),"")</f>
        <v/>
      </c>
      <c r="H65" s="203" t="str">
        <f>IFERROR(IF(VLOOKUP(TableHandbook[[#This Row],[UDC]],TableAvailabilities[],3,FALSE)&gt;0,"Y",""),"")</f>
        <v>Y</v>
      </c>
      <c r="I65" s="203" t="str">
        <f>IFERROR(IF(VLOOKUP(TableHandbook[[#This Row],[UDC]],TableAvailabilities[],4,FALSE)&gt;0,"Y",""),"")</f>
        <v/>
      </c>
      <c r="J65" s="203" t="str">
        <f>IFERROR(IF(VLOOKUP(TableHandbook[[#This Row],[UDC]],TableAvailabilities[],5,FALSE)&gt;0,"Y",""),"")</f>
        <v>Y</v>
      </c>
      <c r="K65" s="2"/>
      <c r="L65" s="206" t="str">
        <f>IFERROR(VLOOKUP(TableHandbook[[#This Row],[UDC]],TableOMTEACH1[],7,FALSE),"")</f>
        <v/>
      </c>
      <c r="M65" s="204" t="str">
        <f>IFERROR(VLOOKUP(TableHandbook[[#This Row],[UDC]],TableOUMPTCHEC[],7,FALSE),"")</f>
        <v/>
      </c>
      <c r="N65" s="204" t="str">
        <f>IFERROR(VLOOKUP(TableHandbook[[#This Row],[UDC]],TableOUMPTCHPE[],7,FALSE),"")</f>
        <v/>
      </c>
      <c r="O65" s="204" t="str">
        <f>IFERROR(VLOOKUP(TableHandbook[[#This Row],[UDC]],TableOUMPTCHSE[],7,FALSE),"")</f>
        <v/>
      </c>
      <c r="P65" s="206" t="str">
        <f>IFERROR(VLOOKUP(TableHandbook[[#This Row],[UDC]],TableOCTESOL1[],7,FALSE),"")</f>
        <v/>
      </c>
      <c r="Q65" s="204" t="str">
        <f>IFERROR(VLOOKUP(TableHandbook[[#This Row],[UDC]],TableOCTESOL[],7,FALSE),"")</f>
        <v/>
      </c>
      <c r="R65" s="204" t="str">
        <f>IFERROR(VLOOKUP(TableHandbook[[#This Row],[UDC]],TableOMAPLING[],7,FALSE),"")</f>
        <v/>
      </c>
      <c r="S65" s="206" t="str">
        <f>IFERROR(VLOOKUP(TableHandbook[[#This Row],[UDC]],TableOCEDHE1[],7,FALSE),"")</f>
        <v/>
      </c>
      <c r="T65" s="204" t="str">
        <f>IFERROR(VLOOKUP(TableHandbook[[#This Row],[UDC]],TableOCEDHE[],7,FALSE),"")</f>
        <v/>
      </c>
      <c r="U65" s="204" t="str">
        <f>IFERROR(VLOOKUP(TableHandbook[[#This Row],[UDC]],TableOCEDUCS1[],7,FALSE),"")</f>
        <v/>
      </c>
      <c r="V65" s="204" t="str">
        <f>IFERROR(VLOOKUP(TableHandbook[[#This Row],[UDC]],TableOCEDUC[],7,FALSE),"")</f>
        <v/>
      </c>
      <c r="W65" s="204" t="str">
        <f>IFERROR(VLOOKUP(TableHandbook[[#This Row],[UDC]],TableOGEDUC[],7,FALSE),"")</f>
        <v/>
      </c>
      <c r="X65" s="204" t="str">
        <f>IFERROR(VLOOKUP(TableHandbook[[#This Row],[UDC]],TableOUMPEDUPR[],7,FALSE),"")</f>
        <v/>
      </c>
      <c r="Y65" s="204" t="str">
        <f>IFERROR(VLOOKUP(TableHandbook[[#This Row],[UDC]],TableOUMPEDUSC[],7,FALSE),"")</f>
        <v/>
      </c>
      <c r="Z65" s="206" t="str">
        <f>IFERROR(VLOOKUP(TableHandbook[[#This Row],[UDC]],TableOMEDUC[],7,FALSE),"")</f>
        <v>Core</v>
      </c>
      <c r="AA65" s="204" t="str">
        <f>IFERROR(VLOOKUP(TableHandbook[[#This Row],[UDC]],TableOSEPCULIN[],7,FALSE),"")</f>
        <v/>
      </c>
      <c r="AB65" s="204" t="str">
        <f>IFERROR(VLOOKUP(TableHandbook[[#This Row],[UDC]],TableOSEPLNTCH[],7,FALSE),"")</f>
        <v/>
      </c>
      <c r="AC65" s="204" t="str">
        <f>IFERROR(VLOOKUP(TableHandbook[[#This Row],[UDC]],TableOSEPSTEME[],7,FALSE),"")</f>
        <v/>
      </c>
    </row>
    <row r="66" spans="1:29" x14ac:dyDescent="0.25">
      <c r="A66" s="2" t="s">
        <v>293</v>
      </c>
      <c r="B66" s="3">
        <v>1</v>
      </c>
      <c r="C66" s="3" t="s">
        <v>294</v>
      </c>
      <c r="D66" s="2" t="s">
        <v>295</v>
      </c>
      <c r="E66" s="3">
        <v>25</v>
      </c>
      <c r="F66" s="230" t="s">
        <v>115</v>
      </c>
      <c r="G66" s="203" t="str">
        <f>IFERROR(IF(VLOOKUP(TableHandbook[[#This Row],[UDC]],TableAvailabilities[],2,FALSE)&gt;0,"Y",""),"")</f>
        <v/>
      </c>
      <c r="H66" s="203" t="str">
        <f>IFERROR(IF(VLOOKUP(TableHandbook[[#This Row],[UDC]],TableAvailabilities[],3,FALSE)&gt;0,"Y",""),"")</f>
        <v/>
      </c>
      <c r="I66" s="203" t="str">
        <f>IFERROR(IF(VLOOKUP(TableHandbook[[#This Row],[UDC]],TableAvailabilities[],4,FALSE)&gt;0,"Y",""),"")</f>
        <v>Y</v>
      </c>
      <c r="J66" s="203" t="str">
        <f>IFERROR(IF(VLOOKUP(TableHandbook[[#This Row],[UDC]],TableAvailabilities[],5,FALSE)&gt;0,"Y",""),"")</f>
        <v/>
      </c>
      <c r="K66" s="2"/>
      <c r="L66" s="206" t="str">
        <f>IFERROR(VLOOKUP(TableHandbook[[#This Row],[UDC]],TableOMTEACH1[],7,FALSE),"")</f>
        <v/>
      </c>
      <c r="M66" s="204" t="str">
        <f>IFERROR(VLOOKUP(TableHandbook[[#This Row],[UDC]],TableOUMPTCHEC[],7,FALSE),"")</f>
        <v/>
      </c>
      <c r="N66" s="204" t="str">
        <f>IFERROR(VLOOKUP(TableHandbook[[#This Row],[UDC]],TableOUMPTCHPE[],7,FALSE),"")</f>
        <v/>
      </c>
      <c r="O66" s="204" t="str">
        <f>IFERROR(VLOOKUP(TableHandbook[[#This Row],[UDC]],TableOUMPTCHSE[],7,FALSE),"")</f>
        <v/>
      </c>
      <c r="P66" s="206" t="str">
        <f>IFERROR(VLOOKUP(TableHandbook[[#This Row],[UDC]],TableOCTESOL1[],7,FALSE),"")</f>
        <v/>
      </c>
      <c r="Q66" s="204" t="str">
        <f>IFERROR(VLOOKUP(TableHandbook[[#This Row],[UDC]],TableOCTESOL[],7,FALSE),"")</f>
        <v/>
      </c>
      <c r="R66" s="204" t="str">
        <f>IFERROR(VLOOKUP(TableHandbook[[#This Row],[UDC]],TableOMAPLING[],7,FALSE),"")</f>
        <v/>
      </c>
      <c r="S66" s="206" t="str">
        <f>IFERROR(VLOOKUP(TableHandbook[[#This Row],[UDC]],TableOCEDHE1[],7,FALSE),"")</f>
        <v/>
      </c>
      <c r="T66" s="204" t="str">
        <f>IFERROR(VLOOKUP(TableHandbook[[#This Row],[UDC]],TableOCEDHE[],7,FALSE),"")</f>
        <v/>
      </c>
      <c r="U66" s="204" t="str">
        <f>IFERROR(VLOOKUP(TableHandbook[[#This Row],[UDC]],TableOCEDUCS1[],7,FALSE),"")</f>
        <v/>
      </c>
      <c r="V66" s="204" t="str">
        <f>IFERROR(VLOOKUP(TableHandbook[[#This Row],[UDC]],TableOCEDUC[],7,FALSE),"")</f>
        <v/>
      </c>
      <c r="W66" s="204" t="str">
        <f>IFERROR(VLOOKUP(TableHandbook[[#This Row],[UDC]],TableOGEDUC[],7,FALSE),"")</f>
        <v/>
      </c>
      <c r="X66" s="204" t="str">
        <f>IFERROR(VLOOKUP(TableHandbook[[#This Row],[UDC]],TableOUMPEDUPR[],7,FALSE),"")</f>
        <v/>
      </c>
      <c r="Y66" s="204" t="str">
        <f>IFERROR(VLOOKUP(TableHandbook[[#This Row],[UDC]],TableOUMPEDUSC[],7,FALSE),"")</f>
        <v/>
      </c>
      <c r="Z66" s="206" t="str">
        <f>IFERROR(VLOOKUP(TableHandbook[[#This Row],[UDC]],TableOMEDUC[],7,FALSE),"")</f>
        <v>Option</v>
      </c>
      <c r="AA66" s="204" t="str">
        <f>IFERROR(VLOOKUP(TableHandbook[[#This Row],[UDC]],TableOSEPCULIN[],7,FALSE),"")</f>
        <v/>
      </c>
      <c r="AB66" s="204" t="str">
        <f>IFERROR(VLOOKUP(TableHandbook[[#This Row],[UDC]],TableOSEPLNTCH[],7,FALSE),"")</f>
        <v/>
      </c>
      <c r="AC66" s="204" t="str">
        <f>IFERROR(VLOOKUP(TableHandbook[[#This Row],[UDC]],TableOSEPSTEME[],7,FALSE),"")</f>
        <v>Core</v>
      </c>
    </row>
    <row r="67" spans="1:29" x14ac:dyDescent="0.25">
      <c r="A67" s="2" t="s">
        <v>296</v>
      </c>
      <c r="B67" s="3">
        <v>1</v>
      </c>
      <c r="C67" s="3" t="s">
        <v>297</v>
      </c>
      <c r="D67" s="2" t="s">
        <v>298</v>
      </c>
      <c r="E67" s="3">
        <v>25</v>
      </c>
      <c r="F67" s="230" t="s">
        <v>115</v>
      </c>
      <c r="G67" s="203" t="str">
        <f>IFERROR(IF(VLOOKUP(TableHandbook[[#This Row],[UDC]],TableAvailabilities[],2,FALSE)&gt;0,"Y",""),"")</f>
        <v>Y</v>
      </c>
      <c r="H67" s="203" t="str">
        <f>IFERROR(IF(VLOOKUP(TableHandbook[[#This Row],[UDC]],TableAvailabilities[],3,FALSE)&gt;0,"Y",""),"")</f>
        <v/>
      </c>
      <c r="I67" s="203" t="str">
        <f>IFERROR(IF(VLOOKUP(TableHandbook[[#This Row],[UDC]],TableAvailabilities[],4,FALSE)&gt;0,"Y",""),"")</f>
        <v>Y</v>
      </c>
      <c r="J67" s="203" t="str">
        <f>IFERROR(IF(VLOOKUP(TableHandbook[[#This Row],[UDC]],TableAvailabilities[],5,FALSE)&gt;0,"Y",""),"")</f>
        <v/>
      </c>
      <c r="K67" s="2"/>
      <c r="L67" s="206" t="str">
        <f>IFERROR(VLOOKUP(TableHandbook[[#This Row],[UDC]],TableOMTEACH1[],7,FALSE),"")</f>
        <v/>
      </c>
      <c r="M67" s="204" t="str">
        <f>IFERROR(VLOOKUP(TableHandbook[[#This Row],[UDC]],TableOUMPTCHEC[],7,FALSE),"")</f>
        <v/>
      </c>
      <c r="N67" s="204" t="str">
        <f>IFERROR(VLOOKUP(TableHandbook[[#This Row],[UDC]],TableOUMPTCHPE[],7,FALSE),"")</f>
        <v/>
      </c>
      <c r="O67" s="204" t="str">
        <f>IFERROR(VLOOKUP(TableHandbook[[#This Row],[UDC]],TableOUMPTCHSE[],7,FALSE),"")</f>
        <v/>
      </c>
      <c r="P67" s="206" t="str">
        <f>IFERROR(VLOOKUP(TableHandbook[[#This Row],[UDC]],TableOCTESOL1[],7,FALSE),"")</f>
        <v/>
      </c>
      <c r="Q67" s="204" t="str">
        <f>IFERROR(VLOOKUP(TableHandbook[[#This Row],[UDC]],TableOCTESOL[],7,FALSE),"")</f>
        <v/>
      </c>
      <c r="R67" s="204" t="str">
        <f>IFERROR(VLOOKUP(TableHandbook[[#This Row],[UDC]],TableOMAPLING[],7,FALSE),"")</f>
        <v/>
      </c>
      <c r="S67" s="206" t="str">
        <f>IFERROR(VLOOKUP(TableHandbook[[#This Row],[UDC]],TableOCEDHE1[],7,FALSE),"")</f>
        <v/>
      </c>
      <c r="T67" s="204" t="str">
        <f>IFERROR(VLOOKUP(TableHandbook[[#This Row],[UDC]],TableOCEDHE[],7,FALSE),"")</f>
        <v/>
      </c>
      <c r="U67" s="204" t="str">
        <f>IFERROR(VLOOKUP(TableHandbook[[#This Row],[UDC]],TableOCEDUCS1[],7,FALSE),"")</f>
        <v/>
      </c>
      <c r="V67" s="204" t="str">
        <f>IFERROR(VLOOKUP(TableHandbook[[#This Row],[UDC]],TableOCEDUC[],7,FALSE),"")</f>
        <v/>
      </c>
      <c r="W67" s="204" t="str">
        <f>IFERROR(VLOOKUP(TableHandbook[[#This Row],[UDC]],TableOGEDUC[],7,FALSE),"")</f>
        <v/>
      </c>
      <c r="X67" s="204" t="str">
        <f>IFERROR(VLOOKUP(TableHandbook[[#This Row],[UDC]],TableOUMPEDUPR[],7,FALSE),"")</f>
        <v/>
      </c>
      <c r="Y67" s="204" t="str">
        <f>IFERROR(VLOOKUP(TableHandbook[[#This Row],[UDC]],TableOUMPEDUSC[],7,FALSE),"")</f>
        <v/>
      </c>
      <c r="Z67" s="206" t="str">
        <f>IFERROR(VLOOKUP(TableHandbook[[#This Row],[UDC]],TableOMEDUC[],7,FALSE),"")</f>
        <v>Option</v>
      </c>
      <c r="AA67" s="204" t="str">
        <f>IFERROR(VLOOKUP(TableHandbook[[#This Row],[UDC]],TableOSEPCULIN[],7,FALSE),"")</f>
        <v/>
      </c>
      <c r="AB67" s="204" t="str">
        <f>IFERROR(VLOOKUP(TableHandbook[[#This Row],[UDC]],TableOSEPLNTCH[],7,FALSE),"")</f>
        <v>Core</v>
      </c>
      <c r="AC67" s="204" t="str">
        <f>IFERROR(VLOOKUP(TableHandbook[[#This Row],[UDC]],TableOSEPSTEME[],7,FALSE),"")</f>
        <v>Core</v>
      </c>
    </row>
    <row r="68" spans="1:29" x14ac:dyDescent="0.25">
      <c r="A68" s="2" t="s">
        <v>299</v>
      </c>
      <c r="B68" s="3">
        <v>1</v>
      </c>
      <c r="C68" s="3" t="s">
        <v>300</v>
      </c>
      <c r="D68" s="2" t="s">
        <v>301</v>
      </c>
      <c r="E68" s="3">
        <v>25</v>
      </c>
      <c r="F68" s="230" t="s">
        <v>115</v>
      </c>
      <c r="G68" s="203" t="str">
        <f>IFERROR(IF(VLOOKUP(TableHandbook[[#This Row],[UDC]],TableAvailabilities[],2,FALSE)&gt;0,"Y",""),"")</f>
        <v/>
      </c>
      <c r="H68" s="203" t="str">
        <f>IFERROR(IF(VLOOKUP(TableHandbook[[#This Row],[UDC]],TableAvailabilities[],3,FALSE)&gt;0,"Y",""),"")</f>
        <v>Y</v>
      </c>
      <c r="I68" s="203" t="str">
        <f>IFERROR(IF(VLOOKUP(TableHandbook[[#This Row],[UDC]],TableAvailabilities[],4,FALSE)&gt;0,"Y",""),"")</f>
        <v/>
      </c>
      <c r="J68" s="203" t="str">
        <f>IFERROR(IF(VLOOKUP(TableHandbook[[#This Row],[UDC]],TableAvailabilities[],5,FALSE)&gt;0,"Y",""),"")</f>
        <v>Y</v>
      </c>
      <c r="K68" s="2"/>
      <c r="L68" s="206" t="str">
        <f>IFERROR(VLOOKUP(TableHandbook[[#This Row],[UDC]],TableOMTEACH1[],7,FALSE),"")</f>
        <v/>
      </c>
      <c r="M68" s="204" t="str">
        <f>IFERROR(VLOOKUP(TableHandbook[[#This Row],[UDC]],TableOUMPTCHEC[],7,FALSE),"")</f>
        <v/>
      </c>
      <c r="N68" s="204" t="str">
        <f>IFERROR(VLOOKUP(TableHandbook[[#This Row],[UDC]],TableOUMPTCHPE[],7,FALSE),"")</f>
        <v/>
      </c>
      <c r="O68" s="204" t="str">
        <f>IFERROR(VLOOKUP(TableHandbook[[#This Row],[UDC]],TableOUMPTCHSE[],7,FALSE),"")</f>
        <v/>
      </c>
      <c r="P68" s="206" t="str">
        <f>IFERROR(VLOOKUP(TableHandbook[[#This Row],[UDC]],TableOCTESOL1[],7,FALSE),"")</f>
        <v/>
      </c>
      <c r="Q68" s="204" t="str">
        <f>IFERROR(VLOOKUP(TableHandbook[[#This Row],[UDC]],TableOCTESOL[],7,FALSE),"")</f>
        <v/>
      </c>
      <c r="R68" s="204" t="str">
        <f>IFERROR(VLOOKUP(TableHandbook[[#This Row],[UDC]],TableOMAPLING[],7,FALSE),"")</f>
        <v/>
      </c>
      <c r="S68" s="206" t="str">
        <f>IFERROR(VLOOKUP(TableHandbook[[#This Row],[UDC]],TableOCEDHE1[],7,FALSE),"")</f>
        <v/>
      </c>
      <c r="T68" s="204" t="str">
        <f>IFERROR(VLOOKUP(TableHandbook[[#This Row],[UDC]],TableOCEDHE[],7,FALSE),"")</f>
        <v/>
      </c>
      <c r="U68" s="204" t="str">
        <f>IFERROR(VLOOKUP(TableHandbook[[#This Row],[UDC]],TableOCEDUCS1[],7,FALSE),"")</f>
        <v/>
      </c>
      <c r="V68" s="204" t="str">
        <f>IFERROR(VLOOKUP(TableHandbook[[#This Row],[UDC]],TableOCEDUC[],7,FALSE),"")</f>
        <v/>
      </c>
      <c r="W68" s="204" t="str">
        <f>IFERROR(VLOOKUP(TableHandbook[[#This Row],[UDC]],TableOGEDUC[],7,FALSE),"")</f>
        <v/>
      </c>
      <c r="X68" s="204" t="str">
        <f>IFERROR(VLOOKUP(TableHandbook[[#This Row],[UDC]],TableOUMPEDUPR[],7,FALSE),"")</f>
        <v/>
      </c>
      <c r="Y68" s="204" t="str">
        <f>IFERROR(VLOOKUP(TableHandbook[[#This Row],[UDC]],TableOUMPEDUSC[],7,FALSE),"")</f>
        <v/>
      </c>
      <c r="Z68" s="206" t="str">
        <f>IFERROR(VLOOKUP(TableHandbook[[#This Row],[UDC]],TableOMEDUC[],7,FALSE),"")</f>
        <v>Option</v>
      </c>
      <c r="AA68" s="204" t="str">
        <f>IFERROR(VLOOKUP(TableHandbook[[#This Row],[UDC]],TableOSEPCULIN[],7,FALSE),"")</f>
        <v>Core</v>
      </c>
      <c r="AB68" s="204" t="str">
        <f>IFERROR(VLOOKUP(TableHandbook[[#This Row],[UDC]],TableOSEPLNTCH[],7,FALSE),"")</f>
        <v>Core</v>
      </c>
      <c r="AC68" s="204" t="str">
        <f>IFERROR(VLOOKUP(TableHandbook[[#This Row],[UDC]],TableOSEPSTEME[],7,FALSE),"")</f>
        <v>Core</v>
      </c>
    </row>
    <row r="69" spans="1:29" x14ac:dyDescent="0.25">
      <c r="A69" s="2" t="s">
        <v>302</v>
      </c>
      <c r="B69" s="3">
        <v>1</v>
      </c>
      <c r="C69" s="3" t="s">
        <v>303</v>
      </c>
      <c r="D69" s="2" t="s">
        <v>304</v>
      </c>
      <c r="E69" s="3">
        <v>25</v>
      </c>
      <c r="F69" s="230" t="s">
        <v>115</v>
      </c>
      <c r="G69" s="203" t="str">
        <f>IFERROR(IF(VLOOKUP(TableHandbook[[#This Row],[UDC]],TableAvailabilities[],2,FALSE)&gt;0,"Y",""),"")</f>
        <v>Y</v>
      </c>
      <c r="H69" s="203" t="str">
        <f>IFERROR(IF(VLOOKUP(TableHandbook[[#This Row],[UDC]],TableAvailabilities[],3,FALSE)&gt;0,"Y",""),"")</f>
        <v/>
      </c>
      <c r="I69" s="203" t="str">
        <f>IFERROR(IF(VLOOKUP(TableHandbook[[#This Row],[UDC]],TableAvailabilities[],4,FALSE)&gt;0,"Y",""),"")</f>
        <v/>
      </c>
      <c r="J69" s="203" t="str">
        <f>IFERROR(IF(VLOOKUP(TableHandbook[[#This Row],[UDC]],TableAvailabilities[],5,FALSE)&gt;0,"Y",""),"")</f>
        <v/>
      </c>
      <c r="K69" s="2"/>
      <c r="L69" s="206" t="str">
        <f>IFERROR(VLOOKUP(TableHandbook[[#This Row],[UDC]],TableOMTEACH1[],7,FALSE),"")</f>
        <v/>
      </c>
      <c r="M69" s="204" t="str">
        <f>IFERROR(VLOOKUP(TableHandbook[[#This Row],[UDC]],TableOUMPTCHEC[],7,FALSE),"")</f>
        <v/>
      </c>
      <c r="N69" s="204" t="str">
        <f>IFERROR(VLOOKUP(TableHandbook[[#This Row],[UDC]],TableOUMPTCHPE[],7,FALSE),"")</f>
        <v/>
      </c>
      <c r="O69" s="204" t="str">
        <f>IFERROR(VLOOKUP(TableHandbook[[#This Row],[UDC]],TableOUMPTCHSE[],7,FALSE),"")</f>
        <v/>
      </c>
      <c r="P69" s="206" t="str">
        <f>IFERROR(VLOOKUP(TableHandbook[[#This Row],[UDC]],TableOCTESOL1[],7,FALSE),"")</f>
        <v/>
      </c>
      <c r="Q69" s="204" t="str">
        <f>IFERROR(VLOOKUP(TableHandbook[[#This Row],[UDC]],TableOCTESOL[],7,FALSE),"")</f>
        <v/>
      </c>
      <c r="R69" s="204" t="str">
        <f>IFERROR(VLOOKUP(TableHandbook[[#This Row],[UDC]],TableOMAPLING[],7,FALSE),"")</f>
        <v/>
      </c>
      <c r="S69" s="206" t="str">
        <f>IFERROR(VLOOKUP(TableHandbook[[#This Row],[UDC]],TableOCEDHE1[],7,FALSE),"")</f>
        <v/>
      </c>
      <c r="T69" s="204" t="str">
        <f>IFERROR(VLOOKUP(TableHandbook[[#This Row],[UDC]],TableOCEDHE[],7,FALSE),"")</f>
        <v/>
      </c>
      <c r="U69" s="204" t="str">
        <f>IFERROR(VLOOKUP(TableHandbook[[#This Row],[UDC]],TableOCEDUCS1[],7,FALSE),"")</f>
        <v/>
      </c>
      <c r="V69" s="204" t="str">
        <f>IFERROR(VLOOKUP(TableHandbook[[#This Row],[UDC]],TableOCEDUC[],7,FALSE),"")</f>
        <v/>
      </c>
      <c r="W69" s="204" t="str">
        <f>IFERROR(VLOOKUP(TableHandbook[[#This Row],[UDC]],TableOGEDUC[],7,FALSE),"")</f>
        <v/>
      </c>
      <c r="X69" s="204" t="str">
        <f>IFERROR(VLOOKUP(TableHandbook[[#This Row],[UDC]],TableOUMPEDUPR[],7,FALSE),"")</f>
        <v/>
      </c>
      <c r="Y69" s="204" t="str">
        <f>IFERROR(VLOOKUP(TableHandbook[[#This Row],[UDC]],TableOUMPEDUSC[],7,FALSE),"")</f>
        <v/>
      </c>
      <c r="Z69" s="206" t="str">
        <f>IFERROR(VLOOKUP(TableHandbook[[#This Row],[UDC]],TableOMEDUC[],7,FALSE),"")</f>
        <v>Option</v>
      </c>
      <c r="AA69" s="204" t="str">
        <f>IFERROR(VLOOKUP(TableHandbook[[#This Row],[UDC]],TableOSEPCULIN[],7,FALSE),"")</f>
        <v/>
      </c>
      <c r="AB69" s="204" t="str">
        <f>IFERROR(VLOOKUP(TableHandbook[[#This Row],[UDC]],TableOSEPLNTCH[],7,FALSE),"")</f>
        <v>Core</v>
      </c>
      <c r="AC69" s="204" t="str">
        <f>IFERROR(VLOOKUP(TableHandbook[[#This Row],[UDC]],TableOSEPSTEME[],7,FALSE),"")</f>
        <v/>
      </c>
    </row>
    <row r="70" spans="1:29" x14ac:dyDescent="0.25">
      <c r="A70" s="2" t="s">
        <v>305</v>
      </c>
      <c r="B70" s="3">
        <v>1</v>
      </c>
      <c r="C70" s="3" t="s">
        <v>306</v>
      </c>
      <c r="D70" s="2" t="s">
        <v>307</v>
      </c>
      <c r="E70" s="3">
        <v>25</v>
      </c>
      <c r="F70" s="230" t="s">
        <v>115</v>
      </c>
      <c r="G70" s="203" t="str">
        <f>IFERROR(IF(VLOOKUP(TableHandbook[[#This Row],[UDC]],TableAvailabilities[],2,FALSE)&gt;0,"Y",""),"")</f>
        <v>Y</v>
      </c>
      <c r="H70" s="203" t="str">
        <f>IFERROR(IF(VLOOKUP(TableHandbook[[#This Row],[UDC]],TableAvailabilities[],3,FALSE)&gt;0,"Y",""),"")</f>
        <v/>
      </c>
      <c r="I70" s="203" t="str">
        <f>IFERROR(IF(VLOOKUP(TableHandbook[[#This Row],[UDC]],TableAvailabilities[],4,FALSE)&gt;0,"Y",""),"")</f>
        <v/>
      </c>
      <c r="J70" s="203" t="str">
        <f>IFERROR(IF(VLOOKUP(TableHandbook[[#This Row],[UDC]],TableAvailabilities[],5,FALSE)&gt;0,"Y",""),"")</f>
        <v/>
      </c>
      <c r="K70" s="2"/>
      <c r="L70" s="206" t="str">
        <f>IFERROR(VLOOKUP(TableHandbook[[#This Row],[UDC]],TableOMTEACH1[],7,FALSE),"")</f>
        <v/>
      </c>
      <c r="M70" s="204" t="str">
        <f>IFERROR(VLOOKUP(TableHandbook[[#This Row],[UDC]],TableOUMPTCHEC[],7,FALSE),"")</f>
        <v/>
      </c>
      <c r="N70" s="204" t="str">
        <f>IFERROR(VLOOKUP(TableHandbook[[#This Row],[UDC]],TableOUMPTCHPE[],7,FALSE),"")</f>
        <v/>
      </c>
      <c r="O70" s="204" t="str">
        <f>IFERROR(VLOOKUP(TableHandbook[[#This Row],[UDC]],TableOUMPTCHSE[],7,FALSE),"")</f>
        <v/>
      </c>
      <c r="P70" s="206" t="str">
        <f>IFERROR(VLOOKUP(TableHandbook[[#This Row],[UDC]],TableOCTESOL1[],7,FALSE),"")</f>
        <v/>
      </c>
      <c r="Q70" s="204" t="str">
        <f>IFERROR(VLOOKUP(TableHandbook[[#This Row],[UDC]],TableOCTESOL[],7,FALSE),"")</f>
        <v/>
      </c>
      <c r="R70" s="204" t="str">
        <f>IFERROR(VLOOKUP(TableHandbook[[#This Row],[UDC]],TableOMAPLING[],7,FALSE),"")</f>
        <v/>
      </c>
      <c r="S70" s="206" t="str">
        <f>IFERROR(VLOOKUP(TableHandbook[[#This Row],[UDC]],TableOCEDHE1[],7,FALSE),"")</f>
        <v/>
      </c>
      <c r="T70" s="204" t="str">
        <f>IFERROR(VLOOKUP(TableHandbook[[#This Row],[UDC]],TableOCEDHE[],7,FALSE),"")</f>
        <v/>
      </c>
      <c r="U70" s="204" t="str">
        <f>IFERROR(VLOOKUP(TableHandbook[[#This Row],[UDC]],TableOCEDUCS1[],7,FALSE),"")</f>
        <v/>
      </c>
      <c r="V70" s="204" t="str">
        <f>IFERROR(VLOOKUP(TableHandbook[[#This Row],[UDC]],TableOCEDUC[],7,FALSE),"")</f>
        <v/>
      </c>
      <c r="W70" s="204" t="str">
        <f>IFERROR(VLOOKUP(TableHandbook[[#This Row],[UDC]],TableOGEDUC[],7,FALSE),"")</f>
        <v/>
      </c>
      <c r="X70" s="204" t="str">
        <f>IFERROR(VLOOKUP(TableHandbook[[#This Row],[UDC]],TableOUMPEDUPR[],7,FALSE),"")</f>
        <v/>
      </c>
      <c r="Y70" s="204" t="str">
        <f>IFERROR(VLOOKUP(TableHandbook[[#This Row],[UDC]],TableOUMPEDUSC[],7,FALSE),"")</f>
        <v/>
      </c>
      <c r="Z70" s="206" t="str">
        <f>IFERROR(VLOOKUP(TableHandbook[[#This Row],[UDC]],TableOMEDUC[],7,FALSE),"")</f>
        <v>Option</v>
      </c>
      <c r="AA70" s="204" t="str">
        <f>IFERROR(VLOOKUP(TableHandbook[[#This Row],[UDC]],TableOSEPCULIN[],7,FALSE),"")</f>
        <v>Core</v>
      </c>
      <c r="AB70" s="204" t="str">
        <f>IFERROR(VLOOKUP(TableHandbook[[#This Row],[UDC]],TableOSEPLNTCH[],7,FALSE),"")</f>
        <v/>
      </c>
      <c r="AC70" s="204" t="str">
        <f>IFERROR(VLOOKUP(TableHandbook[[#This Row],[UDC]],TableOSEPSTEME[],7,FALSE),"")</f>
        <v/>
      </c>
    </row>
    <row r="71" spans="1:29" x14ac:dyDescent="0.25">
      <c r="A71" s="2" t="s">
        <v>308</v>
      </c>
      <c r="B71" s="3">
        <v>1</v>
      </c>
      <c r="C71" s="3" t="s">
        <v>309</v>
      </c>
      <c r="D71" s="2" t="s">
        <v>310</v>
      </c>
      <c r="E71" s="3">
        <v>25</v>
      </c>
      <c r="F71" s="230" t="s">
        <v>115</v>
      </c>
      <c r="G71" s="203" t="str">
        <f>IFERROR(IF(VLOOKUP(TableHandbook[[#This Row],[UDC]],TableAvailabilities[],2,FALSE)&gt;0,"Y",""),"")</f>
        <v/>
      </c>
      <c r="H71" s="203" t="str">
        <f>IFERROR(IF(VLOOKUP(TableHandbook[[#This Row],[UDC]],TableAvailabilities[],3,FALSE)&gt;0,"Y",""),"")</f>
        <v/>
      </c>
      <c r="I71" s="203" t="str">
        <f>IFERROR(IF(VLOOKUP(TableHandbook[[#This Row],[UDC]],TableAvailabilities[],4,FALSE)&gt;0,"Y",""),"")</f>
        <v>Y</v>
      </c>
      <c r="J71" s="203" t="str">
        <f>IFERROR(IF(VLOOKUP(TableHandbook[[#This Row],[UDC]],TableAvailabilities[],5,FALSE)&gt;0,"Y",""),"")</f>
        <v/>
      </c>
      <c r="K71" s="2"/>
      <c r="L71" s="206" t="str">
        <f>IFERROR(VLOOKUP(TableHandbook[[#This Row],[UDC]],TableOMTEACH1[],7,FALSE),"")</f>
        <v/>
      </c>
      <c r="M71" s="204" t="str">
        <f>IFERROR(VLOOKUP(TableHandbook[[#This Row],[UDC]],TableOUMPTCHEC[],7,FALSE),"")</f>
        <v/>
      </c>
      <c r="N71" s="204" t="str">
        <f>IFERROR(VLOOKUP(TableHandbook[[#This Row],[UDC]],TableOUMPTCHPE[],7,FALSE),"")</f>
        <v/>
      </c>
      <c r="O71" s="204" t="str">
        <f>IFERROR(VLOOKUP(TableHandbook[[#This Row],[UDC]],TableOUMPTCHSE[],7,FALSE),"")</f>
        <v/>
      </c>
      <c r="P71" s="206" t="str">
        <f>IFERROR(VLOOKUP(TableHandbook[[#This Row],[UDC]],TableOCTESOL1[],7,FALSE),"")</f>
        <v/>
      </c>
      <c r="Q71" s="204" t="str">
        <f>IFERROR(VLOOKUP(TableHandbook[[#This Row],[UDC]],TableOCTESOL[],7,FALSE),"")</f>
        <v/>
      </c>
      <c r="R71" s="204" t="str">
        <f>IFERROR(VLOOKUP(TableHandbook[[#This Row],[UDC]],TableOMAPLING[],7,FALSE),"")</f>
        <v/>
      </c>
      <c r="S71" s="206" t="str">
        <f>IFERROR(VLOOKUP(TableHandbook[[#This Row],[UDC]],TableOCEDHE1[],7,FALSE),"")</f>
        <v/>
      </c>
      <c r="T71" s="204" t="str">
        <f>IFERROR(VLOOKUP(TableHandbook[[#This Row],[UDC]],TableOCEDHE[],7,FALSE),"")</f>
        <v/>
      </c>
      <c r="U71" s="204" t="str">
        <f>IFERROR(VLOOKUP(TableHandbook[[#This Row],[UDC]],TableOCEDUCS1[],7,FALSE),"")</f>
        <v/>
      </c>
      <c r="V71" s="204" t="str">
        <f>IFERROR(VLOOKUP(TableHandbook[[#This Row],[UDC]],TableOCEDUC[],7,FALSE),"")</f>
        <v/>
      </c>
      <c r="W71" s="204" t="str">
        <f>IFERROR(VLOOKUP(TableHandbook[[#This Row],[UDC]],TableOGEDUC[],7,FALSE),"")</f>
        <v/>
      </c>
      <c r="X71" s="204" t="str">
        <f>IFERROR(VLOOKUP(TableHandbook[[#This Row],[UDC]],TableOUMPEDUPR[],7,FALSE),"")</f>
        <v/>
      </c>
      <c r="Y71" s="204" t="str">
        <f>IFERROR(VLOOKUP(TableHandbook[[#This Row],[UDC]],TableOUMPEDUSC[],7,FALSE),"")</f>
        <v/>
      </c>
      <c r="Z71" s="206" t="str">
        <f>IFERROR(VLOOKUP(TableHandbook[[#This Row],[UDC]],TableOMEDUC[],7,FALSE),"")</f>
        <v>Option</v>
      </c>
      <c r="AA71" s="204" t="str">
        <f>IFERROR(VLOOKUP(TableHandbook[[#This Row],[UDC]],TableOSEPCULIN[],7,FALSE),"")</f>
        <v/>
      </c>
      <c r="AB71" s="204" t="str">
        <f>IFERROR(VLOOKUP(TableHandbook[[#This Row],[UDC]],TableOSEPLNTCH[],7,FALSE),"")</f>
        <v>Core</v>
      </c>
      <c r="AC71" s="204" t="str">
        <f>IFERROR(VLOOKUP(TableHandbook[[#This Row],[UDC]],TableOSEPSTEME[],7,FALSE),"")</f>
        <v/>
      </c>
    </row>
    <row r="72" spans="1:29" x14ac:dyDescent="0.25">
      <c r="A72" s="2" t="s">
        <v>311</v>
      </c>
      <c r="B72" s="3">
        <v>1</v>
      </c>
      <c r="C72" s="3" t="s">
        <v>312</v>
      </c>
      <c r="D72" s="2" t="s">
        <v>313</v>
      </c>
      <c r="E72" s="3">
        <v>25</v>
      </c>
      <c r="F72" s="230" t="s">
        <v>115</v>
      </c>
      <c r="G72" s="203" t="str">
        <f>IFERROR(IF(VLOOKUP(TableHandbook[[#This Row],[UDC]],TableAvailabilities[],2,FALSE)&gt;0,"Y",""),"")</f>
        <v>Y</v>
      </c>
      <c r="H72" s="203" t="str">
        <f>IFERROR(IF(VLOOKUP(TableHandbook[[#This Row],[UDC]],TableAvailabilities[],3,FALSE)&gt;0,"Y",""),"")</f>
        <v/>
      </c>
      <c r="I72" s="203" t="str">
        <f>IFERROR(IF(VLOOKUP(TableHandbook[[#This Row],[UDC]],TableAvailabilities[],4,FALSE)&gt;0,"Y",""),"")</f>
        <v/>
      </c>
      <c r="J72" s="203" t="str">
        <f>IFERROR(IF(VLOOKUP(TableHandbook[[#This Row],[UDC]],TableAvailabilities[],5,FALSE)&gt;0,"Y",""),"")</f>
        <v/>
      </c>
      <c r="K72" s="2"/>
      <c r="L72" s="206" t="str">
        <f>IFERROR(VLOOKUP(TableHandbook[[#This Row],[UDC]],TableOMTEACH1[],7,FALSE),"")</f>
        <v/>
      </c>
      <c r="M72" s="204" t="str">
        <f>IFERROR(VLOOKUP(TableHandbook[[#This Row],[UDC]],TableOUMPTCHEC[],7,FALSE),"")</f>
        <v/>
      </c>
      <c r="N72" s="204" t="str">
        <f>IFERROR(VLOOKUP(TableHandbook[[#This Row],[UDC]],TableOUMPTCHPE[],7,FALSE),"")</f>
        <v/>
      </c>
      <c r="O72" s="204" t="str">
        <f>IFERROR(VLOOKUP(TableHandbook[[#This Row],[UDC]],TableOUMPTCHSE[],7,FALSE),"")</f>
        <v/>
      </c>
      <c r="P72" s="206" t="str">
        <f>IFERROR(VLOOKUP(TableHandbook[[#This Row],[UDC]],TableOCTESOL1[],7,FALSE),"")</f>
        <v/>
      </c>
      <c r="Q72" s="204" t="str">
        <f>IFERROR(VLOOKUP(TableHandbook[[#This Row],[UDC]],TableOCTESOL[],7,FALSE),"")</f>
        <v/>
      </c>
      <c r="R72" s="204" t="str">
        <f>IFERROR(VLOOKUP(TableHandbook[[#This Row],[UDC]],TableOMAPLING[],7,FALSE),"")</f>
        <v/>
      </c>
      <c r="S72" s="206" t="str">
        <f>IFERROR(VLOOKUP(TableHandbook[[#This Row],[UDC]],TableOCEDHE1[],7,FALSE),"")</f>
        <v/>
      </c>
      <c r="T72" s="204" t="str">
        <f>IFERROR(VLOOKUP(TableHandbook[[#This Row],[UDC]],TableOCEDHE[],7,FALSE),"")</f>
        <v/>
      </c>
      <c r="U72" s="204" t="str">
        <f>IFERROR(VLOOKUP(TableHandbook[[#This Row],[UDC]],TableOCEDUCS1[],7,FALSE),"")</f>
        <v/>
      </c>
      <c r="V72" s="204" t="str">
        <f>IFERROR(VLOOKUP(TableHandbook[[#This Row],[UDC]],TableOCEDUC[],7,FALSE),"")</f>
        <v/>
      </c>
      <c r="W72" s="204" t="str">
        <f>IFERROR(VLOOKUP(TableHandbook[[#This Row],[UDC]],TableOGEDUC[],7,FALSE),"")</f>
        <v/>
      </c>
      <c r="X72" s="204" t="str">
        <f>IFERROR(VLOOKUP(TableHandbook[[#This Row],[UDC]],TableOUMPEDUPR[],7,FALSE),"")</f>
        <v/>
      </c>
      <c r="Y72" s="204" t="str">
        <f>IFERROR(VLOOKUP(TableHandbook[[#This Row],[UDC]],TableOUMPEDUSC[],7,FALSE),"")</f>
        <v/>
      </c>
      <c r="Z72" s="206" t="str">
        <f>IFERROR(VLOOKUP(TableHandbook[[#This Row],[UDC]],TableOMEDUC[],7,FALSE),"")</f>
        <v>Option</v>
      </c>
      <c r="AA72" s="204" t="str">
        <f>IFERROR(VLOOKUP(TableHandbook[[#This Row],[UDC]],TableOSEPCULIN[],7,FALSE),"")</f>
        <v/>
      </c>
      <c r="AB72" s="204" t="str">
        <f>IFERROR(VLOOKUP(TableHandbook[[#This Row],[UDC]],TableOSEPLNTCH[],7,FALSE),"")</f>
        <v/>
      </c>
      <c r="AC72" s="204" t="str">
        <f>IFERROR(VLOOKUP(TableHandbook[[#This Row],[UDC]],TableOSEPSTEME[],7,FALSE),"")</f>
        <v>Core</v>
      </c>
    </row>
    <row r="73" spans="1:29" x14ac:dyDescent="0.25">
      <c r="A73" s="2" t="s">
        <v>314</v>
      </c>
      <c r="B73" s="3">
        <v>1</v>
      </c>
      <c r="C73" s="3" t="s">
        <v>315</v>
      </c>
      <c r="D73" s="2" t="s">
        <v>316</v>
      </c>
      <c r="E73" s="3">
        <v>25</v>
      </c>
      <c r="F73" s="230" t="s">
        <v>317</v>
      </c>
      <c r="G73" s="203" t="str">
        <f>IFERROR(IF(VLOOKUP(TableHandbook[[#This Row],[UDC]],TableAvailabilities[],2,FALSE)&gt;0,"Y",""),"")</f>
        <v>Y</v>
      </c>
      <c r="H73" s="203" t="str">
        <f>IFERROR(IF(VLOOKUP(TableHandbook[[#This Row],[UDC]],TableAvailabilities[],3,FALSE)&gt;0,"Y",""),"")</f>
        <v/>
      </c>
      <c r="I73" s="203" t="str">
        <f>IFERROR(IF(VLOOKUP(TableHandbook[[#This Row],[UDC]],TableAvailabilities[],4,FALSE)&gt;0,"Y",""),"")</f>
        <v>Y</v>
      </c>
      <c r="J73" s="203" t="str">
        <f>IFERROR(IF(VLOOKUP(TableHandbook[[#This Row],[UDC]],TableAvailabilities[],5,FALSE)&gt;0,"Y",""),"")</f>
        <v/>
      </c>
      <c r="K73" s="2"/>
      <c r="L73" s="206" t="str">
        <f>IFERROR(VLOOKUP(TableHandbook[[#This Row],[UDC]],TableOMTEACH1[],7,FALSE),"")</f>
        <v/>
      </c>
      <c r="M73" s="204" t="str">
        <f>IFERROR(VLOOKUP(TableHandbook[[#This Row],[UDC]],TableOUMPTCHEC[],7,FALSE),"")</f>
        <v>Core</v>
      </c>
      <c r="N73" s="204" t="str">
        <f>IFERROR(VLOOKUP(TableHandbook[[#This Row],[UDC]],TableOUMPTCHPE[],7,FALSE),"")</f>
        <v>Core</v>
      </c>
      <c r="O73" s="204" t="str">
        <f>IFERROR(VLOOKUP(TableHandbook[[#This Row],[UDC]],TableOUMPTCHSE[],7,FALSE),"")</f>
        <v>Core</v>
      </c>
      <c r="P73" s="206" t="str">
        <f>IFERROR(VLOOKUP(TableHandbook[[#This Row],[UDC]],TableOCTESOL1[],7,FALSE),"")</f>
        <v/>
      </c>
      <c r="Q73" s="204" t="str">
        <f>IFERROR(VLOOKUP(TableHandbook[[#This Row],[UDC]],TableOCTESOL[],7,FALSE),"")</f>
        <v/>
      </c>
      <c r="R73" s="204" t="str">
        <f>IFERROR(VLOOKUP(TableHandbook[[#This Row],[UDC]],TableOMAPLING[],7,FALSE),"")</f>
        <v/>
      </c>
      <c r="S73" s="206" t="str">
        <f>IFERROR(VLOOKUP(TableHandbook[[#This Row],[UDC]],TableOCEDHE1[],7,FALSE),"")</f>
        <v/>
      </c>
      <c r="T73" s="204" t="str">
        <f>IFERROR(VLOOKUP(TableHandbook[[#This Row],[UDC]],TableOCEDHE[],7,FALSE),"")</f>
        <v/>
      </c>
      <c r="U73" s="204" t="str">
        <f>IFERROR(VLOOKUP(TableHandbook[[#This Row],[UDC]],TableOCEDUCS1[],7,FALSE),"")</f>
        <v/>
      </c>
      <c r="V73" s="204" t="str">
        <f>IFERROR(VLOOKUP(TableHandbook[[#This Row],[UDC]],TableOCEDUC[],7,FALSE),"")</f>
        <v/>
      </c>
      <c r="W73" s="204" t="str">
        <f>IFERROR(VLOOKUP(TableHandbook[[#This Row],[UDC]],TableOGEDUC[],7,FALSE),"")</f>
        <v/>
      </c>
      <c r="X73" s="204" t="str">
        <f>IFERROR(VLOOKUP(TableHandbook[[#This Row],[UDC]],TableOUMPEDUPR[],7,FALSE),"")</f>
        <v>Core</v>
      </c>
      <c r="Y73" s="204" t="str">
        <f>IFERROR(VLOOKUP(TableHandbook[[#This Row],[UDC]],TableOUMPEDUSC[],7,FALSE),"")</f>
        <v>Core</v>
      </c>
      <c r="Z73" s="206" t="str">
        <f>IFERROR(VLOOKUP(TableHandbook[[#This Row],[UDC]],TableOMEDUC[],7,FALSE),"")</f>
        <v/>
      </c>
      <c r="AA73" s="204" t="str">
        <f>IFERROR(VLOOKUP(TableHandbook[[#This Row],[UDC]],TableOSEPCULIN[],7,FALSE),"")</f>
        <v/>
      </c>
      <c r="AB73" s="204" t="str">
        <f>IFERROR(VLOOKUP(TableHandbook[[#This Row],[UDC]],TableOSEPLNTCH[],7,FALSE),"")</f>
        <v/>
      </c>
      <c r="AC73" s="204" t="str">
        <f>IFERROR(VLOOKUP(TableHandbook[[#This Row],[UDC]],TableOSEPSTEME[],7,FALSE),"")</f>
        <v/>
      </c>
    </row>
    <row r="74" spans="1:29" x14ac:dyDescent="0.25">
      <c r="A74" s="2" t="s">
        <v>318</v>
      </c>
      <c r="B74" s="3">
        <v>1</v>
      </c>
      <c r="C74" s="3" t="s">
        <v>319</v>
      </c>
      <c r="D74" s="2" t="s">
        <v>320</v>
      </c>
      <c r="E74" s="3">
        <v>25</v>
      </c>
      <c r="F74" s="230" t="s">
        <v>315</v>
      </c>
      <c r="G74" s="203" t="str">
        <f>IFERROR(IF(VLOOKUP(TableHandbook[[#This Row],[UDC]],TableAvailabilities[],2,FALSE)&gt;0,"Y",""),"")</f>
        <v>Y</v>
      </c>
      <c r="H74" s="203" t="str">
        <f>IFERROR(IF(VLOOKUP(TableHandbook[[#This Row],[UDC]],TableAvailabilities[],3,FALSE)&gt;0,"Y",""),"")</f>
        <v>Y</v>
      </c>
      <c r="I74" s="203" t="str">
        <f>IFERROR(IF(VLOOKUP(TableHandbook[[#This Row],[UDC]],TableAvailabilities[],4,FALSE)&gt;0,"Y",""),"")</f>
        <v>Y</v>
      </c>
      <c r="J74" s="203" t="str">
        <f>IFERROR(IF(VLOOKUP(TableHandbook[[#This Row],[UDC]],TableAvailabilities[],5,FALSE)&gt;0,"Y",""),"")</f>
        <v>Y</v>
      </c>
      <c r="K74" s="2"/>
      <c r="L74" s="206" t="str">
        <f>IFERROR(VLOOKUP(TableHandbook[[#This Row],[UDC]],TableOMTEACH1[],7,FALSE),"")</f>
        <v/>
      </c>
      <c r="M74" s="204" t="str">
        <f>IFERROR(VLOOKUP(TableHandbook[[#This Row],[UDC]],TableOUMPTCHEC[],7,FALSE),"")</f>
        <v>Core</v>
      </c>
      <c r="N74" s="204" t="str">
        <f>IFERROR(VLOOKUP(TableHandbook[[#This Row],[UDC]],TableOUMPTCHPE[],7,FALSE),"")</f>
        <v>Core</v>
      </c>
      <c r="O74" s="204" t="str">
        <f>IFERROR(VLOOKUP(TableHandbook[[#This Row],[UDC]],TableOUMPTCHSE[],7,FALSE),"")</f>
        <v>Core</v>
      </c>
      <c r="P74" s="206" t="str">
        <f>IFERROR(VLOOKUP(TableHandbook[[#This Row],[UDC]],TableOCTESOL1[],7,FALSE),"")</f>
        <v/>
      </c>
      <c r="Q74" s="204" t="str">
        <f>IFERROR(VLOOKUP(TableHandbook[[#This Row],[UDC]],TableOCTESOL[],7,FALSE),"")</f>
        <v/>
      </c>
      <c r="R74" s="204" t="str">
        <f>IFERROR(VLOOKUP(TableHandbook[[#This Row],[UDC]],TableOMAPLING[],7,FALSE),"")</f>
        <v/>
      </c>
      <c r="S74" s="206" t="str">
        <f>IFERROR(VLOOKUP(TableHandbook[[#This Row],[UDC]],TableOCEDHE1[],7,FALSE),"")</f>
        <v/>
      </c>
      <c r="T74" s="204" t="str">
        <f>IFERROR(VLOOKUP(TableHandbook[[#This Row],[UDC]],TableOCEDHE[],7,FALSE),"")</f>
        <v/>
      </c>
      <c r="U74" s="204" t="str">
        <f>IFERROR(VLOOKUP(TableHandbook[[#This Row],[UDC]],TableOCEDUCS1[],7,FALSE),"")</f>
        <v/>
      </c>
      <c r="V74" s="204" t="str">
        <f>IFERROR(VLOOKUP(TableHandbook[[#This Row],[UDC]],TableOCEDUC[],7,FALSE),"")</f>
        <v/>
      </c>
      <c r="W74" s="204" t="str">
        <f>IFERROR(VLOOKUP(TableHandbook[[#This Row],[UDC]],TableOGEDUC[],7,FALSE),"")</f>
        <v/>
      </c>
      <c r="X74" s="204" t="str">
        <f>IFERROR(VLOOKUP(TableHandbook[[#This Row],[UDC]],TableOUMPEDUPR[],7,FALSE),"")</f>
        <v/>
      </c>
      <c r="Y74" s="204" t="str">
        <f>IFERROR(VLOOKUP(TableHandbook[[#This Row],[UDC]],TableOUMPEDUSC[],7,FALSE),"")</f>
        <v/>
      </c>
      <c r="Z74" s="206" t="str">
        <f>IFERROR(VLOOKUP(TableHandbook[[#This Row],[UDC]],TableOMEDUC[],7,FALSE),"")</f>
        <v/>
      </c>
      <c r="AA74" s="204" t="str">
        <f>IFERROR(VLOOKUP(TableHandbook[[#This Row],[UDC]],TableOSEPCULIN[],7,FALSE),"")</f>
        <v/>
      </c>
      <c r="AB74" s="204" t="str">
        <f>IFERROR(VLOOKUP(TableHandbook[[#This Row],[UDC]],TableOSEPLNTCH[],7,FALSE),"")</f>
        <v/>
      </c>
      <c r="AC74" s="204" t="str">
        <f>IFERROR(VLOOKUP(TableHandbook[[#This Row],[UDC]],TableOSEPSTEME[],7,FALSE),"")</f>
        <v/>
      </c>
    </row>
    <row r="75" spans="1:29" x14ac:dyDescent="0.25">
      <c r="A75" s="2" t="s">
        <v>321</v>
      </c>
      <c r="B75" s="3">
        <v>1</v>
      </c>
      <c r="C75" s="3" t="s">
        <v>322</v>
      </c>
      <c r="D75" s="2" t="s">
        <v>323</v>
      </c>
      <c r="E75" s="3">
        <v>25</v>
      </c>
      <c r="F75" s="230" t="s">
        <v>115</v>
      </c>
      <c r="G75" s="203" t="str">
        <f>IFERROR(IF(VLOOKUP(TableHandbook[[#This Row],[UDC]],TableAvailabilities[],2,FALSE)&gt;0,"Y",""),"")</f>
        <v>Y</v>
      </c>
      <c r="H75" s="203" t="str">
        <f>IFERROR(IF(VLOOKUP(TableHandbook[[#This Row],[UDC]],TableAvailabilities[],3,FALSE)&gt;0,"Y",""),"")</f>
        <v/>
      </c>
      <c r="I75" s="203" t="str">
        <f>IFERROR(IF(VLOOKUP(TableHandbook[[#This Row],[UDC]],TableAvailabilities[],4,FALSE)&gt;0,"Y",""),"")</f>
        <v/>
      </c>
      <c r="J75" s="203" t="str">
        <f>IFERROR(IF(VLOOKUP(TableHandbook[[#This Row],[UDC]],TableAvailabilities[],5,FALSE)&gt;0,"Y",""),"")</f>
        <v>Y</v>
      </c>
      <c r="K75" s="2"/>
      <c r="L75" s="206" t="str">
        <f>IFERROR(VLOOKUP(TableHandbook[[#This Row],[UDC]],TableOMTEACH1[],7,FALSE),"")</f>
        <v/>
      </c>
      <c r="M75" s="204" t="str">
        <f>IFERROR(VLOOKUP(TableHandbook[[#This Row],[UDC]],TableOUMPTCHEC[],7,FALSE),"")</f>
        <v/>
      </c>
      <c r="N75" s="204" t="str">
        <f>IFERROR(VLOOKUP(TableHandbook[[#This Row],[UDC]],TableOUMPTCHPE[],7,FALSE),"")</f>
        <v>Core</v>
      </c>
      <c r="O75" s="204" t="str">
        <f>IFERROR(VLOOKUP(TableHandbook[[#This Row],[UDC]],TableOUMPTCHSE[],7,FALSE),"")</f>
        <v>Core</v>
      </c>
      <c r="P75" s="206" t="str">
        <f>IFERROR(VLOOKUP(TableHandbook[[#This Row],[UDC]],TableOCTESOL1[],7,FALSE),"")</f>
        <v/>
      </c>
      <c r="Q75" s="204" t="str">
        <f>IFERROR(VLOOKUP(TableHandbook[[#This Row],[UDC]],TableOCTESOL[],7,FALSE),"")</f>
        <v/>
      </c>
      <c r="R75" s="204" t="str">
        <f>IFERROR(VLOOKUP(TableHandbook[[#This Row],[UDC]],TableOMAPLING[],7,FALSE),"")</f>
        <v/>
      </c>
      <c r="S75" s="206" t="str">
        <f>IFERROR(VLOOKUP(TableHandbook[[#This Row],[UDC]],TableOCEDHE1[],7,FALSE),"")</f>
        <v/>
      </c>
      <c r="T75" s="204" t="str">
        <f>IFERROR(VLOOKUP(TableHandbook[[#This Row],[UDC]],TableOCEDHE[],7,FALSE),"")</f>
        <v/>
      </c>
      <c r="U75" s="204" t="str">
        <f>IFERROR(VLOOKUP(TableHandbook[[#This Row],[UDC]],TableOCEDUCS1[],7,FALSE),"")</f>
        <v/>
      </c>
      <c r="V75" s="204" t="str">
        <f>IFERROR(VLOOKUP(TableHandbook[[#This Row],[UDC]],TableOCEDUC[],7,FALSE),"")</f>
        <v/>
      </c>
      <c r="W75" s="204" t="str">
        <f>IFERROR(VLOOKUP(TableHandbook[[#This Row],[UDC]],TableOGEDUC[],7,FALSE),"")</f>
        <v/>
      </c>
      <c r="X75" s="204" t="str">
        <f>IFERROR(VLOOKUP(TableHandbook[[#This Row],[UDC]],TableOUMPEDUPR[],7,FALSE),"")</f>
        <v/>
      </c>
      <c r="Y75" s="204" t="str">
        <f>IFERROR(VLOOKUP(TableHandbook[[#This Row],[UDC]],TableOUMPEDUSC[],7,FALSE),"")</f>
        <v/>
      </c>
      <c r="Z75" s="206" t="str">
        <f>IFERROR(VLOOKUP(TableHandbook[[#This Row],[UDC]],TableOMEDUC[],7,FALSE),"")</f>
        <v/>
      </c>
      <c r="AA75" s="204" t="str">
        <f>IFERROR(VLOOKUP(TableHandbook[[#This Row],[UDC]],TableOSEPCULIN[],7,FALSE),"")</f>
        <v/>
      </c>
      <c r="AB75" s="204" t="str">
        <f>IFERROR(VLOOKUP(TableHandbook[[#This Row],[UDC]],TableOSEPLNTCH[],7,FALSE),"")</f>
        <v/>
      </c>
      <c r="AC75" s="204" t="str">
        <f>IFERROR(VLOOKUP(TableHandbook[[#This Row],[UDC]],TableOSEPSTEME[],7,FALSE),"")</f>
        <v/>
      </c>
    </row>
    <row r="76" spans="1:29" x14ac:dyDescent="0.25">
      <c r="A76" s="2" t="s">
        <v>324</v>
      </c>
      <c r="B76" s="3"/>
      <c r="C76" s="3"/>
      <c r="D76" s="2" t="s">
        <v>325</v>
      </c>
      <c r="E76" s="3"/>
      <c r="F76" s="265"/>
      <c r="G76" s="203" t="str">
        <f>IFERROR(IF(VLOOKUP(TableHandbook[[#This Row],[UDC]],TableAvailabilities[],2,FALSE)&gt;0,"Y",""),"")</f>
        <v/>
      </c>
      <c r="H76" s="203" t="str">
        <f>IFERROR(IF(VLOOKUP(TableHandbook[[#This Row],[UDC]],TableAvailabilities[],3,FALSE)&gt;0,"Y",""),"")</f>
        <v/>
      </c>
      <c r="I76" s="203" t="str">
        <f>IFERROR(IF(VLOOKUP(TableHandbook[[#This Row],[UDC]],TableAvailabilities[],4,FALSE)&gt;0,"Y",""),"")</f>
        <v/>
      </c>
      <c r="J76" s="203" t="str">
        <f>IFERROR(IF(VLOOKUP(TableHandbook[[#This Row],[UDC]],TableAvailabilities[],5,FALSE)&gt;0,"Y",""),"")</f>
        <v/>
      </c>
      <c r="K76" s="2"/>
      <c r="L76" s="206" t="str">
        <f>IFERROR(VLOOKUP(TableHandbook[[#This Row],[UDC]],TableOMTEACH1[],7,FALSE),"")</f>
        <v/>
      </c>
      <c r="M76" s="204" t="str">
        <f>IFERROR(VLOOKUP(TableHandbook[[#This Row],[UDC]],TableOUMPTCHEC[],7,FALSE),"")</f>
        <v/>
      </c>
      <c r="N76" s="204" t="str">
        <f>IFERROR(VLOOKUP(TableHandbook[[#This Row],[UDC]],TableOUMPTCHPE[],7,FALSE),"")</f>
        <v/>
      </c>
      <c r="O76" s="204" t="str">
        <f>IFERROR(VLOOKUP(TableHandbook[[#This Row],[UDC]],TableOUMPTCHSE[],7,FALSE),"")</f>
        <v>Option</v>
      </c>
      <c r="P76" s="206" t="str">
        <f>IFERROR(VLOOKUP(TableHandbook[[#This Row],[UDC]],TableOCTESOL1[],7,FALSE),"")</f>
        <v/>
      </c>
      <c r="Q76" s="204" t="str">
        <f>IFERROR(VLOOKUP(TableHandbook[[#This Row],[UDC]],TableOCTESOL[],7,FALSE),"")</f>
        <v/>
      </c>
      <c r="R76" s="204" t="str">
        <f>IFERROR(VLOOKUP(TableHandbook[[#This Row],[UDC]],TableOMAPLING[],7,FALSE),"")</f>
        <v/>
      </c>
      <c r="S76" s="206" t="str">
        <f>IFERROR(VLOOKUP(TableHandbook[[#This Row],[UDC]],TableOCEDHE1[],7,FALSE),"")</f>
        <v/>
      </c>
      <c r="T76" s="204" t="str">
        <f>IFERROR(VLOOKUP(TableHandbook[[#This Row],[UDC]],TableOCEDHE[],7,FALSE),"")</f>
        <v/>
      </c>
      <c r="U76" s="204" t="str">
        <f>IFERROR(VLOOKUP(TableHandbook[[#This Row],[UDC]],TableOCEDUCS1[],7,FALSE),"")</f>
        <v/>
      </c>
      <c r="V76" s="204" t="str">
        <f>IFERROR(VLOOKUP(TableHandbook[[#This Row],[UDC]],TableOCEDUC[],7,FALSE),"")</f>
        <v/>
      </c>
      <c r="W76" s="204" t="str">
        <f>IFERROR(VLOOKUP(TableHandbook[[#This Row],[UDC]],TableOGEDUC[],7,FALSE),"")</f>
        <v/>
      </c>
      <c r="X76" s="204" t="str">
        <f>IFERROR(VLOOKUP(TableHandbook[[#This Row],[UDC]],TableOUMPEDUPR[],7,FALSE),"")</f>
        <v/>
      </c>
      <c r="Y76" s="204" t="str">
        <f>IFERROR(VLOOKUP(TableHandbook[[#This Row],[UDC]],TableOUMPEDUSC[],7,FALSE),"")</f>
        <v/>
      </c>
      <c r="Z76" s="206" t="str">
        <f>IFERROR(VLOOKUP(TableHandbook[[#This Row],[UDC]],TableOMEDUC[],7,FALSE),"")</f>
        <v/>
      </c>
      <c r="AA76" s="204" t="str">
        <f>IFERROR(VLOOKUP(TableHandbook[[#This Row],[UDC]],TableOSEPCULIN[],7,FALSE),"")</f>
        <v/>
      </c>
      <c r="AB76" s="204" t="str">
        <f>IFERROR(VLOOKUP(TableHandbook[[#This Row],[UDC]],TableOSEPLNTCH[],7,FALSE),"")</f>
        <v/>
      </c>
      <c r="AC76" s="204" t="str">
        <f>IFERROR(VLOOKUP(TableHandbook[[#This Row],[UDC]],TableOSEPSTEME[],7,FALSE),"")</f>
        <v/>
      </c>
    </row>
    <row r="77" spans="1:29" x14ac:dyDescent="0.25">
      <c r="A77" s="2" t="s">
        <v>326</v>
      </c>
      <c r="B77" s="3"/>
      <c r="C77" s="3"/>
      <c r="D77" s="2" t="s">
        <v>327</v>
      </c>
      <c r="E77" s="3"/>
      <c r="F77" s="265"/>
      <c r="G77" s="203" t="str">
        <f>IFERROR(IF(VLOOKUP(TableHandbook[[#This Row],[UDC]],TableAvailabilities[],2,FALSE)&gt;0,"Y",""),"")</f>
        <v/>
      </c>
      <c r="H77" s="203" t="str">
        <f>IFERROR(IF(VLOOKUP(TableHandbook[[#This Row],[UDC]],TableAvailabilities[],3,FALSE)&gt;0,"Y",""),"")</f>
        <v/>
      </c>
      <c r="I77" s="203" t="str">
        <f>IFERROR(IF(VLOOKUP(TableHandbook[[#This Row],[UDC]],TableAvailabilities[],4,FALSE)&gt;0,"Y",""),"")</f>
        <v/>
      </c>
      <c r="J77" s="203" t="str">
        <f>IFERROR(IF(VLOOKUP(TableHandbook[[#This Row],[UDC]],TableAvailabilities[],5,FALSE)&gt;0,"Y",""),"")</f>
        <v/>
      </c>
      <c r="K77" s="2"/>
      <c r="L77" s="206" t="str">
        <f>IFERROR(VLOOKUP(TableHandbook[[#This Row],[UDC]],TableOMTEACH1[],7,FALSE),"")</f>
        <v/>
      </c>
      <c r="M77" s="204" t="str">
        <f>IFERROR(VLOOKUP(TableHandbook[[#This Row],[UDC]],TableOUMPTCHEC[],7,FALSE),"")</f>
        <v/>
      </c>
      <c r="N77" s="204" t="str">
        <f>IFERROR(VLOOKUP(TableHandbook[[#This Row],[UDC]],TableOUMPTCHPE[],7,FALSE),"")</f>
        <v/>
      </c>
      <c r="O77" s="204" t="str">
        <f>IFERROR(VLOOKUP(TableHandbook[[#This Row],[UDC]],TableOUMPTCHSE[],7,FALSE),"")</f>
        <v/>
      </c>
      <c r="P77" s="206" t="str">
        <f>IFERROR(VLOOKUP(TableHandbook[[#This Row],[UDC]],TableOCTESOL1[],7,FALSE),"")</f>
        <v/>
      </c>
      <c r="Q77" s="204" t="str">
        <f>IFERROR(VLOOKUP(TableHandbook[[#This Row],[UDC]],TableOCTESOL[],7,FALSE),"")</f>
        <v/>
      </c>
      <c r="R77" s="204" t="str">
        <f>IFERROR(VLOOKUP(TableHandbook[[#This Row],[UDC]],TableOMAPLING[],7,FALSE),"")</f>
        <v/>
      </c>
      <c r="S77" s="206" t="str">
        <f>IFERROR(VLOOKUP(TableHandbook[[#This Row],[UDC]],TableOCEDHE1[],7,FALSE),"")</f>
        <v/>
      </c>
      <c r="T77" s="204" t="str">
        <f>IFERROR(VLOOKUP(TableHandbook[[#This Row],[UDC]],TableOCEDHE[],7,FALSE),"")</f>
        <v/>
      </c>
      <c r="U77" s="204" t="str">
        <f>IFERROR(VLOOKUP(TableHandbook[[#This Row],[UDC]],TableOCEDUCS1[],7,FALSE),"")</f>
        <v/>
      </c>
      <c r="V77" s="204" t="str">
        <f>IFERROR(VLOOKUP(TableHandbook[[#This Row],[UDC]],TableOCEDUC[],7,FALSE),"")</f>
        <v/>
      </c>
      <c r="W77" s="204" t="str">
        <f>IFERROR(VLOOKUP(TableHandbook[[#This Row],[UDC]],TableOGEDUC[],7,FALSE),"")</f>
        <v/>
      </c>
      <c r="X77" s="204" t="str">
        <f>IFERROR(VLOOKUP(TableHandbook[[#This Row],[UDC]],TableOUMPEDUPR[],7,FALSE),"")</f>
        <v/>
      </c>
      <c r="Y77" s="204" t="str">
        <f>IFERROR(VLOOKUP(TableHandbook[[#This Row],[UDC]],TableOUMPEDUSC[],7,FALSE),"")</f>
        <v/>
      </c>
      <c r="Z77" s="206" t="str">
        <f>IFERROR(VLOOKUP(TableHandbook[[#This Row],[UDC]],TableOMEDUC[],7,FALSE),"")</f>
        <v/>
      </c>
      <c r="AA77" s="204" t="str">
        <f>IFERROR(VLOOKUP(TableHandbook[[#This Row],[UDC]],TableOSEPCULIN[],7,FALSE),"")</f>
        <v/>
      </c>
      <c r="AB77" s="204" t="str">
        <f>IFERROR(VLOOKUP(TableHandbook[[#This Row],[UDC]],TableOSEPLNTCH[],7,FALSE),"")</f>
        <v/>
      </c>
      <c r="AC77" s="204" t="str">
        <f>IFERROR(VLOOKUP(TableHandbook[[#This Row],[UDC]],TableOSEPSTEME[],7,FALSE),"")</f>
        <v/>
      </c>
    </row>
    <row r="78" spans="1:29" x14ac:dyDescent="0.25">
      <c r="A78" s="2" t="s">
        <v>328</v>
      </c>
      <c r="B78" s="3"/>
      <c r="C78" s="3"/>
      <c r="D78" s="2" t="s">
        <v>329</v>
      </c>
      <c r="E78" s="3">
        <v>25</v>
      </c>
      <c r="F78" s="265" t="s">
        <v>111</v>
      </c>
      <c r="G78" s="203" t="str">
        <f>IFERROR(IF(VLOOKUP(TableHandbook[[#This Row],[UDC]],TableAvailabilities[],2,FALSE)&gt;0,"Y",""),"")</f>
        <v/>
      </c>
      <c r="H78" s="203" t="str">
        <f>IFERROR(IF(VLOOKUP(TableHandbook[[#This Row],[UDC]],TableAvailabilities[],3,FALSE)&gt;0,"Y",""),"")</f>
        <v/>
      </c>
      <c r="I78" s="203" t="str">
        <f>IFERROR(IF(VLOOKUP(TableHandbook[[#This Row],[UDC]],TableAvailabilities[],4,FALSE)&gt;0,"Y",""),"")</f>
        <v/>
      </c>
      <c r="J78" s="203" t="str">
        <f>IFERROR(IF(VLOOKUP(TableHandbook[[#This Row],[UDC]],TableAvailabilities[],5,FALSE)&gt;0,"Y",""),"")</f>
        <v/>
      </c>
      <c r="K78" s="2"/>
      <c r="L78" s="206" t="str">
        <f>IFERROR(VLOOKUP(TableHandbook[[#This Row],[UDC]],TableOMTEACH1[],7,FALSE),"")</f>
        <v/>
      </c>
      <c r="M78" s="204" t="str">
        <f>IFERROR(VLOOKUP(TableHandbook[[#This Row],[UDC]],TableOUMPTCHEC[],7,FALSE),"")</f>
        <v/>
      </c>
      <c r="N78" s="204" t="str">
        <f>IFERROR(VLOOKUP(TableHandbook[[#This Row],[UDC]],TableOUMPTCHPE[],7,FALSE),"")</f>
        <v/>
      </c>
      <c r="O78" s="204" t="str">
        <f>IFERROR(VLOOKUP(TableHandbook[[#This Row],[UDC]],TableOUMPTCHSE[],7,FALSE),"")</f>
        <v/>
      </c>
      <c r="P78" s="206" t="str">
        <f>IFERROR(VLOOKUP(TableHandbook[[#This Row],[UDC]],TableOCTESOL1[],7,FALSE),"")</f>
        <v/>
      </c>
      <c r="Q78" s="204" t="str">
        <f>IFERROR(VLOOKUP(TableHandbook[[#This Row],[UDC]],TableOCTESOL[],7,FALSE),"")</f>
        <v/>
      </c>
      <c r="R78" s="204" t="str">
        <f>IFERROR(VLOOKUP(TableHandbook[[#This Row],[UDC]],TableOMAPLING[],7,FALSE),"")</f>
        <v/>
      </c>
      <c r="S78" s="206" t="str">
        <f>IFERROR(VLOOKUP(TableHandbook[[#This Row],[UDC]],TableOCEDHE1[],7,FALSE),"")</f>
        <v/>
      </c>
      <c r="T78" s="204" t="str">
        <f>IFERROR(VLOOKUP(TableHandbook[[#This Row],[UDC]],TableOCEDHE[],7,FALSE),"")</f>
        <v/>
      </c>
      <c r="U78" s="204" t="str">
        <f>IFERROR(VLOOKUP(TableHandbook[[#This Row],[UDC]],TableOCEDUCS1[],7,FALSE),"")</f>
        <v/>
      </c>
      <c r="V78" s="204" t="str">
        <f>IFERROR(VLOOKUP(TableHandbook[[#This Row],[UDC]],TableOCEDUC[],7,FALSE),"")</f>
        <v/>
      </c>
      <c r="W78" s="204" t="str">
        <f>IFERROR(VLOOKUP(TableHandbook[[#This Row],[UDC]],TableOGEDUC[],7,FALSE),"")</f>
        <v/>
      </c>
      <c r="X78" s="204" t="str">
        <f>IFERROR(VLOOKUP(TableHandbook[[#This Row],[UDC]],TableOUMPEDUPR[],7,FALSE),"")</f>
        <v/>
      </c>
      <c r="Y78" s="204" t="str">
        <f>IFERROR(VLOOKUP(TableHandbook[[#This Row],[UDC]],TableOUMPEDUSC[],7,FALSE),"")</f>
        <v/>
      </c>
      <c r="Z78" s="206" t="str">
        <f>IFERROR(VLOOKUP(TableHandbook[[#This Row],[UDC]],TableOMEDUC[],7,FALSE),"")</f>
        <v/>
      </c>
      <c r="AA78" s="204" t="str">
        <f>IFERROR(VLOOKUP(TableHandbook[[#This Row],[UDC]],TableOSEPCULIN[],7,FALSE),"")</f>
        <v/>
      </c>
      <c r="AB78" s="204" t="str">
        <f>IFERROR(VLOOKUP(TableHandbook[[#This Row],[UDC]],TableOSEPLNTCH[],7,FALSE),"")</f>
        <v/>
      </c>
      <c r="AC78" s="204" t="str">
        <f>IFERROR(VLOOKUP(TableHandbook[[#This Row],[UDC]],TableOSEPSTEME[],7,FALSE),"")</f>
        <v/>
      </c>
    </row>
    <row r="79" spans="1:29" x14ac:dyDescent="0.25">
      <c r="A79" s="2" t="s">
        <v>330</v>
      </c>
      <c r="B79" s="3"/>
      <c r="C79" s="3"/>
      <c r="D79" s="2" t="s">
        <v>331</v>
      </c>
      <c r="E79" s="3">
        <v>25</v>
      </c>
      <c r="F79" s="265" t="s">
        <v>111</v>
      </c>
      <c r="G79" s="203" t="str">
        <f>IFERROR(IF(VLOOKUP(TableHandbook[[#This Row],[UDC]],TableAvailabilities[],2,FALSE)&gt;0,"Y",""),"")</f>
        <v/>
      </c>
      <c r="H79" s="203" t="str">
        <f>IFERROR(IF(VLOOKUP(TableHandbook[[#This Row],[UDC]],TableAvailabilities[],3,FALSE)&gt;0,"Y",""),"")</f>
        <v/>
      </c>
      <c r="I79" s="203" t="str">
        <f>IFERROR(IF(VLOOKUP(TableHandbook[[#This Row],[UDC]],TableAvailabilities[],4,FALSE)&gt;0,"Y",""),"")</f>
        <v/>
      </c>
      <c r="J79" s="203" t="str">
        <f>IFERROR(IF(VLOOKUP(TableHandbook[[#This Row],[UDC]],TableAvailabilities[],5,FALSE)&gt;0,"Y",""),"")</f>
        <v/>
      </c>
      <c r="K79" s="2"/>
      <c r="L79" s="206" t="str">
        <f>IFERROR(VLOOKUP(TableHandbook[[#This Row],[UDC]],TableOMTEACH1[],7,FALSE),"")</f>
        <v/>
      </c>
      <c r="M79" s="204" t="str">
        <f>IFERROR(VLOOKUP(TableHandbook[[#This Row],[UDC]],TableOUMPTCHEC[],7,FALSE),"")</f>
        <v/>
      </c>
      <c r="N79" s="204" t="str">
        <f>IFERROR(VLOOKUP(TableHandbook[[#This Row],[UDC]],TableOUMPTCHPE[],7,FALSE),"")</f>
        <v/>
      </c>
      <c r="O79" s="204" t="str">
        <f>IFERROR(VLOOKUP(TableHandbook[[#This Row],[UDC]],TableOUMPTCHSE[],7,FALSE),"")</f>
        <v/>
      </c>
      <c r="P79" s="206" t="str">
        <f>IFERROR(VLOOKUP(TableHandbook[[#This Row],[UDC]],TableOCTESOL1[],7,FALSE),"")</f>
        <v/>
      </c>
      <c r="Q79" s="204" t="str">
        <f>IFERROR(VLOOKUP(TableHandbook[[#This Row],[UDC]],TableOCTESOL[],7,FALSE),"")</f>
        <v/>
      </c>
      <c r="R79" s="204" t="str">
        <f>IFERROR(VLOOKUP(TableHandbook[[#This Row],[UDC]],TableOMAPLING[],7,FALSE),"")</f>
        <v/>
      </c>
      <c r="S79" s="206" t="str">
        <f>IFERROR(VLOOKUP(TableHandbook[[#This Row],[UDC]],TableOCEDHE1[],7,FALSE),"")</f>
        <v/>
      </c>
      <c r="T79" s="204" t="str">
        <f>IFERROR(VLOOKUP(TableHandbook[[#This Row],[UDC]],TableOCEDHE[],7,FALSE),"")</f>
        <v/>
      </c>
      <c r="U79" s="204" t="str">
        <f>IFERROR(VLOOKUP(TableHandbook[[#This Row],[UDC]],TableOCEDUCS1[],7,FALSE),"")</f>
        <v/>
      </c>
      <c r="V79" s="204" t="str">
        <f>IFERROR(VLOOKUP(TableHandbook[[#This Row],[UDC]],TableOCEDUC[],7,FALSE),"")</f>
        <v/>
      </c>
      <c r="W79" s="204" t="str">
        <f>IFERROR(VLOOKUP(TableHandbook[[#This Row],[UDC]],TableOGEDUC[],7,FALSE),"")</f>
        <v/>
      </c>
      <c r="X79" s="204" t="str">
        <f>IFERROR(VLOOKUP(TableHandbook[[#This Row],[UDC]],TableOUMPEDUPR[],7,FALSE),"")</f>
        <v/>
      </c>
      <c r="Y79" s="204" t="str">
        <f>IFERROR(VLOOKUP(TableHandbook[[#This Row],[UDC]],TableOUMPEDUSC[],7,FALSE),"")</f>
        <v/>
      </c>
      <c r="Z79" s="206" t="str">
        <f>IFERROR(VLOOKUP(TableHandbook[[#This Row],[UDC]],TableOMEDUC[],7,FALSE),"")</f>
        <v/>
      </c>
      <c r="AA79" s="204" t="str">
        <f>IFERROR(VLOOKUP(TableHandbook[[#This Row],[UDC]],TableOSEPCULIN[],7,FALSE),"")</f>
        <v/>
      </c>
      <c r="AB79" s="204" t="str">
        <f>IFERROR(VLOOKUP(TableHandbook[[#This Row],[UDC]],TableOSEPLNTCH[],7,FALSE),"")</f>
        <v/>
      </c>
      <c r="AC79" s="204" t="str">
        <f>IFERROR(VLOOKUP(TableHandbook[[#This Row],[UDC]],TableOSEPSTEME[],7,FALSE),"")</f>
        <v/>
      </c>
    </row>
    <row r="80" spans="1:29" x14ac:dyDescent="0.25">
      <c r="A80" s="2" t="s">
        <v>332</v>
      </c>
      <c r="B80" s="3"/>
      <c r="C80" s="3"/>
      <c r="D80" s="2" t="s">
        <v>333</v>
      </c>
      <c r="E80" s="3">
        <v>25</v>
      </c>
      <c r="F80" s="265" t="s">
        <v>111</v>
      </c>
      <c r="G80" s="203" t="str">
        <f>IFERROR(IF(VLOOKUP(TableHandbook[[#This Row],[UDC]],TableAvailabilities[],2,FALSE)&gt;0,"Y",""),"")</f>
        <v/>
      </c>
      <c r="H80" s="203" t="str">
        <f>IFERROR(IF(VLOOKUP(TableHandbook[[#This Row],[UDC]],TableAvailabilities[],3,FALSE)&gt;0,"Y",""),"")</f>
        <v/>
      </c>
      <c r="I80" s="203" t="str">
        <f>IFERROR(IF(VLOOKUP(TableHandbook[[#This Row],[UDC]],TableAvailabilities[],4,FALSE)&gt;0,"Y",""),"")</f>
        <v/>
      </c>
      <c r="J80" s="203" t="str">
        <f>IFERROR(IF(VLOOKUP(TableHandbook[[#This Row],[UDC]],TableAvailabilities[],5,FALSE)&gt;0,"Y",""),"")</f>
        <v/>
      </c>
      <c r="K80" s="2"/>
      <c r="L80" s="206" t="str">
        <f>IFERROR(VLOOKUP(TableHandbook[[#This Row],[UDC]],TableOMTEACH1[],7,FALSE),"")</f>
        <v/>
      </c>
      <c r="M80" s="204" t="str">
        <f>IFERROR(VLOOKUP(TableHandbook[[#This Row],[UDC]],TableOUMPTCHEC[],7,FALSE),"")</f>
        <v/>
      </c>
      <c r="N80" s="204" t="str">
        <f>IFERROR(VLOOKUP(TableHandbook[[#This Row],[UDC]],TableOUMPTCHPE[],7,FALSE),"")</f>
        <v/>
      </c>
      <c r="O80" s="204" t="str">
        <f>IFERROR(VLOOKUP(TableHandbook[[#This Row],[UDC]],TableOUMPTCHSE[],7,FALSE),"")</f>
        <v/>
      </c>
      <c r="P80" s="206" t="str">
        <f>IFERROR(VLOOKUP(TableHandbook[[#This Row],[UDC]],TableOCTESOL1[],7,FALSE),"")</f>
        <v/>
      </c>
      <c r="Q80" s="204" t="str">
        <f>IFERROR(VLOOKUP(TableHandbook[[#This Row],[UDC]],TableOCTESOL[],7,FALSE),"")</f>
        <v/>
      </c>
      <c r="R80" s="204" t="str">
        <f>IFERROR(VLOOKUP(TableHandbook[[#This Row],[UDC]],TableOMAPLING[],7,FALSE),"")</f>
        <v/>
      </c>
      <c r="S80" s="206" t="str">
        <f>IFERROR(VLOOKUP(TableHandbook[[#This Row],[UDC]],TableOCEDHE1[],7,FALSE),"")</f>
        <v/>
      </c>
      <c r="T80" s="204" t="str">
        <f>IFERROR(VLOOKUP(TableHandbook[[#This Row],[UDC]],TableOCEDHE[],7,FALSE),"")</f>
        <v/>
      </c>
      <c r="U80" s="204" t="str">
        <f>IFERROR(VLOOKUP(TableHandbook[[#This Row],[UDC]],TableOCEDUCS1[],7,FALSE),"")</f>
        <v/>
      </c>
      <c r="V80" s="204" t="str">
        <f>IFERROR(VLOOKUP(TableHandbook[[#This Row],[UDC]],TableOCEDUC[],7,FALSE),"")</f>
        <v/>
      </c>
      <c r="W80" s="204" t="str">
        <f>IFERROR(VLOOKUP(TableHandbook[[#This Row],[UDC]],TableOGEDUC[],7,FALSE),"")</f>
        <v/>
      </c>
      <c r="X80" s="204" t="str">
        <f>IFERROR(VLOOKUP(TableHandbook[[#This Row],[UDC]],TableOUMPEDUPR[],7,FALSE),"")</f>
        <v/>
      </c>
      <c r="Y80" s="204" t="str">
        <f>IFERROR(VLOOKUP(TableHandbook[[#This Row],[UDC]],TableOUMPEDUSC[],7,FALSE),"")</f>
        <v/>
      </c>
      <c r="Z80" s="206" t="str">
        <f>IFERROR(VLOOKUP(TableHandbook[[#This Row],[UDC]],TableOMEDUC[],7,FALSE),"")</f>
        <v/>
      </c>
      <c r="AA80" s="204" t="str">
        <f>IFERROR(VLOOKUP(TableHandbook[[#This Row],[UDC]],TableOSEPCULIN[],7,FALSE),"")</f>
        <v/>
      </c>
      <c r="AB80" s="204" t="str">
        <f>IFERROR(VLOOKUP(TableHandbook[[#This Row],[UDC]],TableOSEPLNTCH[],7,FALSE),"")</f>
        <v/>
      </c>
      <c r="AC80" s="204" t="str">
        <f>IFERROR(VLOOKUP(TableHandbook[[#This Row],[UDC]],TableOSEPSTEME[],7,FALSE),"")</f>
        <v/>
      </c>
    </row>
    <row r="81" spans="1:29" x14ac:dyDescent="0.25">
      <c r="A81" s="2" t="s">
        <v>334</v>
      </c>
      <c r="B81" s="3"/>
      <c r="C81" s="3"/>
      <c r="D81" s="2" t="s">
        <v>335</v>
      </c>
      <c r="E81" s="3">
        <v>25</v>
      </c>
      <c r="F81" s="265" t="s">
        <v>111</v>
      </c>
      <c r="G81" s="203" t="str">
        <f>IFERROR(IF(VLOOKUP(TableHandbook[[#This Row],[UDC]],TableAvailabilities[],2,FALSE)&gt;0,"Y",""),"")</f>
        <v/>
      </c>
      <c r="H81" s="203" t="str">
        <f>IFERROR(IF(VLOOKUP(TableHandbook[[#This Row],[UDC]],TableAvailabilities[],3,FALSE)&gt;0,"Y",""),"")</f>
        <v/>
      </c>
      <c r="I81" s="203" t="str">
        <f>IFERROR(IF(VLOOKUP(TableHandbook[[#This Row],[UDC]],TableAvailabilities[],4,FALSE)&gt;0,"Y",""),"")</f>
        <v/>
      </c>
      <c r="J81" s="203" t="str">
        <f>IFERROR(IF(VLOOKUP(TableHandbook[[#This Row],[UDC]],TableAvailabilities[],5,FALSE)&gt;0,"Y",""),"")</f>
        <v/>
      </c>
      <c r="K81" s="2"/>
      <c r="L81" s="206" t="str">
        <f>IFERROR(VLOOKUP(TableHandbook[[#This Row],[UDC]],TableOMTEACH1[],7,FALSE),"")</f>
        <v/>
      </c>
      <c r="M81" s="204" t="str">
        <f>IFERROR(VLOOKUP(TableHandbook[[#This Row],[UDC]],TableOUMPTCHEC[],7,FALSE),"")</f>
        <v/>
      </c>
      <c r="N81" s="204" t="str">
        <f>IFERROR(VLOOKUP(TableHandbook[[#This Row],[UDC]],TableOUMPTCHPE[],7,FALSE),"")</f>
        <v/>
      </c>
      <c r="O81" s="204" t="str">
        <f>IFERROR(VLOOKUP(TableHandbook[[#This Row],[UDC]],TableOUMPTCHSE[],7,FALSE),"")</f>
        <v/>
      </c>
      <c r="P81" s="206" t="str">
        <f>IFERROR(VLOOKUP(TableHandbook[[#This Row],[UDC]],TableOCTESOL1[],7,FALSE),"")</f>
        <v/>
      </c>
      <c r="Q81" s="204" t="str">
        <f>IFERROR(VLOOKUP(TableHandbook[[#This Row],[UDC]],TableOCTESOL[],7,FALSE),"")</f>
        <v/>
      </c>
      <c r="R81" s="204" t="str">
        <f>IFERROR(VLOOKUP(TableHandbook[[#This Row],[UDC]],TableOMAPLING[],7,FALSE),"")</f>
        <v/>
      </c>
      <c r="S81" s="206" t="str">
        <f>IFERROR(VLOOKUP(TableHandbook[[#This Row],[UDC]],TableOCEDHE1[],7,FALSE),"")</f>
        <v/>
      </c>
      <c r="T81" s="204" t="str">
        <f>IFERROR(VLOOKUP(TableHandbook[[#This Row],[UDC]],TableOCEDHE[],7,FALSE),"")</f>
        <v/>
      </c>
      <c r="U81" s="204" t="str">
        <f>IFERROR(VLOOKUP(TableHandbook[[#This Row],[UDC]],TableOCEDUCS1[],7,FALSE),"")</f>
        <v/>
      </c>
      <c r="V81" s="204" t="str">
        <f>IFERROR(VLOOKUP(TableHandbook[[#This Row],[UDC]],TableOCEDUC[],7,FALSE),"")</f>
        <v/>
      </c>
      <c r="W81" s="204" t="str">
        <f>IFERROR(VLOOKUP(TableHandbook[[#This Row],[UDC]],TableOGEDUC[],7,FALSE),"")</f>
        <v/>
      </c>
      <c r="X81" s="204" t="str">
        <f>IFERROR(VLOOKUP(TableHandbook[[#This Row],[UDC]],TableOUMPEDUPR[],7,FALSE),"")</f>
        <v/>
      </c>
      <c r="Y81" s="204" t="str">
        <f>IFERROR(VLOOKUP(TableHandbook[[#This Row],[UDC]],TableOUMPEDUSC[],7,FALSE),"")</f>
        <v/>
      </c>
      <c r="Z81" s="206" t="str">
        <f>IFERROR(VLOOKUP(TableHandbook[[#This Row],[UDC]],TableOMEDUC[],7,FALSE),"")</f>
        <v/>
      </c>
      <c r="AA81" s="204" t="str">
        <f>IFERROR(VLOOKUP(TableHandbook[[#This Row],[UDC]],TableOSEPCULIN[],7,FALSE),"")</f>
        <v/>
      </c>
      <c r="AB81" s="204" t="str">
        <f>IFERROR(VLOOKUP(TableHandbook[[#This Row],[UDC]],TableOSEPLNTCH[],7,FALSE),"")</f>
        <v/>
      </c>
      <c r="AC81" s="204" t="str">
        <f>IFERROR(VLOOKUP(TableHandbook[[#This Row],[UDC]],TableOSEPSTEME[],7,FALSE),"")</f>
        <v/>
      </c>
    </row>
    <row r="82" spans="1:29" x14ac:dyDescent="0.25">
      <c r="A82" s="2" t="s">
        <v>336</v>
      </c>
      <c r="B82" s="3">
        <v>1</v>
      </c>
      <c r="C82" s="3" t="s">
        <v>337</v>
      </c>
      <c r="D82" s="2" t="s">
        <v>338</v>
      </c>
      <c r="E82" s="3">
        <v>25</v>
      </c>
      <c r="F82" s="230" t="s">
        <v>115</v>
      </c>
      <c r="G82" s="203" t="str">
        <f>IFERROR(IF(VLOOKUP(TableHandbook[[#This Row],[UDC]],TableAvailabilities[],2,FALSE)&gt;0,"Y",""),"")</f>
        <v>Y</v>
      </c>
      <c r="H82" s="203" t="str">
        <f>IFERROR(IF(VLOOKUP(TableHandbook[[#This Row],[UDC]],TableAvailabilities[],3,FALSE)&gt;0,"Y",""),"")</f>
        <v/>
      </c>
      <c r="I82" s="203" t="str">
        <f>IFERROR(IF(VLOOKUP(TableHandbook[[#This Row],[UDC]],TableAvailabilities[],4,FALSE)&gt;0,"Y",""),"")</f>
        <v>Y</v>
      </c>
      <c r="J82" s="203" t="str">
        <f>IFERROR(IF(VLOOKUP(TableHandbook[[#This Row],[UDC]],TableAvailabilities[],5,FALSE)&gt;0,"Y",""),"")</f>
        <v/>
      </c>
      <c r="K82" s="2"/>
      <c r="L82" s="206" t="str">
        <f>IFERROR(VLOOKUP(TableHandbook[[#This Row],[UDC]],TableOMTEACH1[],7,FALSE),"")</f>
        <v/>
      </c>
      <c r="M82" s="204" t="str">
        <f>IFERROR(VLOOKUP(TableHandbook[[#This Row],[UDC]],TableOUMPTCHEC[],7,FALSE),"")</f>
        <v/>
      </c>
      <c r="N82" s="204" t="str">
        <f>IFERROR(VLOOKUP(TableHandbook[[#This Row],[UDC]],TableOUMPTCHPE[],7,FALSE),"")</f>
        <v/>
      </c>
      <c r="O82" s="204" t="str">
        <f>IFERROR(VLOOKUP(TableHandbook[[#This Row],[UDC]],TableOUMPTCHSE[],7,FALSE),"")</f>
        <v/>
      </c>
      <c r="P82" s="206" t="str">
        <f>IFERROR(VLOOKUP(TableHandbook[[#This Row],[UDC]],TableOCTESOL1[],7,FALSE),"")</f>
        <v/>
      </c>
      <c r="Q82" s="204" t="str">
        <f>IFERROR(VLOOKUP(TableHandbook[[#This Row],[UDC]],TableOCTESOL[],7,FALSE),"")</f>
        <v/>
      </c>
      <c r="R82" s="204" t="str">
        <f>IFERROR(VLOOKUP(TableHandbook[[#This Row],[UDC]],TableOMAPLING[],7,FALSE),"")</f>
        <v>Core</v>
      </c>
      <c r="S82" s="206" t="str">
        <f>IFERROR(VLOOKUP(TableHandbook[[#This Row],[UDC]],TableOCEDHE1[],7,FALSE),"")</f>
        <v/>
      </c>
      <c r="T82" s="204" t="str">
        <f>IFERROR(VLOOKUP(TableHandbook[[#This Row],[UDC]],TableOCEDHE[],7,FALSE),"")</f>
        <v/>
      </c>
      <c r="U82" s="204" t="str">
        <f>IFERROR(VLOOKUP(TableHandbook[[#This Row],[UDC]],TableOCEDUCS1[],7,FALSE),"")</f>
        <v/>
      </c>
      <c r="V82" s="204" t="str">
        <f>IFERROR(VLOOKUP(TableHandbook[[#This Row],[UDC]],TableOCEDUC[],7,FALSE),"")</f>
        <v/>
      </c>
      <c r="W82" s="204" t="str">
        <f>IFERROR(VLOOKUP(TableHandbook[[#This Row],[UDC]],TableOGEDUC[],7,FALSE),"")</f>
        <v/>
      </c>
      <c r="X82" s="204" t="str">
        <f>IFERROR(VLOOKUP(TableHandbook[[#This Row],[UDC]],TableOUMPEDUPR[],7,FALSE),"")</f>
        <v/>
      </c>
      <c r="Y82" s="204" t="str">
        <f>IFERROR(VLOOKUP(TableHandbook[[#This Row],[UDC]],TableOUMPEDUSC[],7,FALSE),"")</f>
        <v/>
      </c>
      <c r="Z82" s="206" t="str">
        <f>IFERROR(VLOOKUP(TableHandbook[[#This Row],[UDC]],TableOMEDUC[],7,FALSE),"")</f>
        <v>Option</v>
      </c>
      <c r="AA82" s="204" t="str">
        <f>IFERROR(VLOOKUP(TableHandbook[[#This Row],[UDC]],TableOSEPCULIN[],7,FALSE),"")</f>
        <v>Core</v>
      </c>
      <c r="AB82" s="204" t="str">
        <f>IFERROR(VLOOKUP(TableHandbook[[#This Row],[UDC]],TableOSEPLNTCH[],7,FALSE),"")</f>
        <v/>
      </c>
      <c r="AC82" s="204" t="str">
        <f>IFERROR(VLOOKUP(TableHandbook[[#This Row],[UDC]],TableOSEPSTEME[],7,FALSE),"")</f>
        <v/>
      </c>
    </row>
    <row r="83" spans="1:29" x14ac:dyDescent="0.25">
      <c r="A83" s="2" t="s">
        <v>339</v>
      </c>
      <c r="B83" s="3">
        <v>1</v>
      </c>
      <c r="C83" s="3" t="s">
        <v>340</v>
      </c>
      <c r="D83" s="2" t="s">
        <v>341</v>
      </c>
      <c r="E83" s="3">
        <v>25</v>
      </c>
      <c r="F83" s="230" t="s">
        <v>115</v>
      </c>
      <c r="G83" s="203" t="str">
        <f>IFERROR(IF(VLOOKUP(TableHandbook[[#This Row],[UDC]],TableAvailabilities[],2,FALSE)&gt;0,"Y",""),"")</f>
        <v>Y</v>
      </c>
      <c r="H83" s="203" t="str">
        <f>IFERROR(IF(VLOOKUP(TableHandbook[[#This Row],[UDC]],TableAvailabilities[],3,FALSE)&gt;0,"Y",""),"")</f>
        <v/>
      </c>
      <c r="I83" s="203" t="str">
        <f>IFERROR(IF(VLOOKUP(TableHandbook[[#This Row],[UDC]],TableAvailabilities[],4,FALSE)&gt;0,"Y",""),"")</f>
        <v/>
      </c>
      <c r="J83" s="203" t="str">
        <f>IFERROR(IF(VLOOKUP(TableHandbook[[#This Row],[UDC]],TableAvailabilities[],5,FALSE)&gt;0,"Y",""),"")</f>
        <v/>
      </c>
      <c r="K83" s="2"/>
      <c r="L83" s="206" t="str">
        <f>IFERROR(VLOOKUP(TableHandbook[[#This Row],[UDC]],TableOMTEACH1[],7,FALSE),"")</f>
        <v/>
      </c>
      <c r="M83" s="204" t="str">
        <f>IFERROR(VLOOKUP(TableHandbook[[#This Row],[UDC]],TableOUMPTCHEC[],7,FALSE),"")</f>
        <v/>
      </c>
      <c r="N83" s="204" t="str">
        <f>IFERROR(VLOOKUP(TableHandbook[[#This Row],[UDC]],TableOUMPTCHPE[],7,FALSE),"")</f>
        <v/>
      </c>
      <c r="O83" s="204" t="str">
        <f>IFERROR(VLOOKUP(TableHandbook[[#This Row],[UDC]],TableOUMPTCHSE[],7,FALSE),"")</f>
        <v/>
      </c>
      <c r="P83" s="206" t="str">
        <f>IFERROR(VLOOKUP(TableHandbook[[#This Row],[UDC]],TableOCTESOL1[],7,FALSE),"")</f>
        <v/>
      </c>
      <c r="Q83" s="204" t="str">
        <f>IFERROR(VLOOKUP(TableHandbook[[#This Row],[UDC]],TableOCTESOL[],7,FALSE),"")</f>
        <v/>
      </c>
      <c r="R83" s="204" t="str">
        <f>IFERROR(VLOOKUP(TableHandbook[[#This Row],[UDC]],TableOMAPLING[],7,FALSE),"")</f>
        <v>Core</v>
      </c>
      <c r="S83" s="206" t="str">
        <f>IFERROR(VLOOKUP(TableHandbook[[#This Row],[UDC]],TableOCEDHE1[],7,FALSE),"")</f>
        <v/>
      </c>
      <c r="T83" s="204" t="str">
        <f>IFERROR(VLOOKUP(TableHandbook[[#This Row],[UDC]],TableOCEDHE[],7,FALSE),"")</f>
        <v/>
      </c>
      <c r="U83" s="204" t="str">
        <f>IFERROR(VLOOKUP(TableHandbook[[#This Row],[UDC]],TableOCEDUCS1[],7,FALSE),"")</f>
        <v/>
      </c>
      <c r="V83" s="204" t="str">
        <f>IFERROR(VLOOKUP(TableHandbook[[#This Row],[UDC]],TableOCEDUC[],7,FALSE),"")</f>
        <v/>
      </c>
      <c r="W83" s="204" t="str">
        <f>IFERROR(VLOOKUP(TableHandbook[[#This Row],[UDC]],TableOGEDUC[],7,FALSE),"")</f>
        <v/>
      </c>
      <c r="X83" s="204" t="str">
        <f>IFERROR(VLOOKUP(TableHandbook[[#This Row],[UDC]],TableOUMPEDUPR[],7,FALSE),"")</f>
        <v/>
      </c>
      <c r="Y83" s="204" t="str">
        <f>IFERROR(VLOOKUP(TableHandbook[[#This Row],[UDC]],TableOUMPEDUSC[],7,FALSE),"")</f>
        <v/>
      </c>
      <c r="Z83" s="206" t="str">
        <f>IFERROR(VLOOKUP(TableHandbook[[#This Row],[UDC]],TableOMEDUC[],7,FALSE),"")</f>
        <v/>
      </c>
      <c r="AA83" s="204" t="str">
        <f>IFERROR(VLOOKUP(TableHandbook[[#This Row],[UDC]],TableOSEPCULIN[],7,FALSE),"")</f>
        <v/>
      </c>
      <c r="AB83" s="204" t="str">
        <f>IFERROR(VLOOKUP(TableHandbook[[#This Row],[UDC]],TableOSEPLNTCH[],7,FALSE),"")</f>
        <v/>
      </c>
      <c r="AC83" s="204" t="str">
        <f>IFERROR(VLOOKUP(TableHandbook[[#This Row],[UDC]],TableOSEPSTEME[],7,FALSE),"")</f>
        <v/>
      </c>
    </row>
    <row r="84" spans="1:29" x14ac:dyDescent="0.25">
      <c r="A84" s="2" t="s">
        <v>342</v>
      </c>
      <c r="B84" s="3"/>
      <c r="C84" s="3"/>
      <c r="D84" s="2" t="s">
        <v>343</v>
      </c>
      <c r="E84" s="3" t="s">
        <v>344</v>
      </c>
      <c r="F84" s="265"/>
      <c r="G84" s="203" t="str">
        <f>IFERROR(IF(VLOOKUP(TableHandbook[[#This Row],[UDC]],TableAvailabilities[],2,FALSE)&gt;0,"Y",""),"")</f>
        <v/>
      </c>
      <c r="H84" s="203" t="str">
        <f>IFERROR(IF(VLOOKUP(TableHandbook[[#This Row],[UDC]],TableAvailabilities[],3,FALSE)&gt;0,"Y",""),"")</f>
        <v/>
      </c>
      <c r="I84" s="203" t="str">
        <f>IFERROR(IF(VLOOKUP(TableHandbook[[#This Row],[UDC]],TableAvailabilities[],4,FALSE)&gt;0,"Y",""),"")</f>
        <v/>
      </c>
      <c r="J84" s="203" t="str">
        <f>IFERROR(IF(VLOOKUP(TableHandbook[[#This Row],[UDC]],TableAvailabilities[],5,FALSE)&gt;0,"Y",""),"")</f>
        <v/>
      </c>
      <c r="K84" s="2"/>
      <c r="L84" s="206" t="str">
        <f>IFERROR(VLOOKUP(TableHandbook[[#This Row],[UDC]],TableOMTEACH1[],7,FALSE),"")</f>
        <v/>
      </c>
      <c r="M84" s="204" t="str">
        <f>IFERROR(VLOOKUP(TableHandbook[[#This Row],[UDC]],TableOUMPTCHEC[],7,FALSE),"")</f>
        <v/>
      </c>
      <c r="N84" s="204" t="str">
        <f>IFERROR(VLOOKUP(TableHandbook[[#This Row],[UDC]],TableOUMPTCHPE[],7,FALSE),"")</f>
        <v/>
      </c>
      <c r="O84" s="204" t="str">
        <f>IFERROR(VLOOKUP(TableHandbook[[#This Row],[UDC]],TableOUMPTCHSE[],7,FALSE),"")</f>
        <v/>
      </c>
      <c r="P84" s="206" t="str">
        <f>IFERROR(VLOOKUP(TableHandbook[[#This Row],[UDC]],TableOCTESOL1[],7,FALSE),"")</f>
        <v/>
      </c>
      <c r="Q84" s="204" t="str">
        <f>IFERROR(VLOOKUP(TableHandbook[[#This Row],[UDC]],TableOCTESOL[],7,FALSE),"")</f>
        <v/>
      </c>
      <c r="R84" s="204" t="str">
        <f>IFERROR(VLOOKUP(TableHandbook[[#This Row],[UDC]],TableOMAPLING[],7,FALSE),"")</f>
        <v/>
      </c>
      <c r="S84" s="206" t="str">
        <f>IFERROR(VLOOKUP(TableHandbook[[#This Row],[UDC]],TableOCEDHE1[],7,FALSE),"")</f>
        <v/>
      </c>
      <c r="T84" s="204" t="str">
        <f>IFERROR(VLOOKUP(TableHandbook[[#This Row],[UDC]],TableOCEDHE[],7,FALSE),"")</f>
        <v/>
      </c>
      <c r="U84" s="204" t="str">
        <f>IFERROR(VLOOKUP(TableHandbook[[#This Row],[UDC]],TableOCEDUCS1[],7,FALSE),"")</f>
        <v/>
      </c>
      <c r="V84" s="204" t="str">
        <f>IFERROR(VLOOKUP(TableHandbook[[#This Row],[UDC]],TableOCEDUC[],7,FALSE),"")</f>
        <v/>
      </c>
      <c r="W84" s="204" t="str">
        <f>IFERROR(VLOOKUP(TableHandbook[[#This Row],[UDC]],TableOGEDUC[],7,FALSE),"")</f>
        <v/>
      </c>
      <c r="X84" s="204" t="str">
        <f>IFERROR(VLOOKUP(TableHandbook[[#This Row],[UDC]],TableOUMPEDUPR[],7,FALSE),"")</f>
        <v/>
      </c>
      <c r="Y84" s="204" t="str">
        <f>IFERROR(VLOOKUP(TableHandbook[[#This Row],[UDC]],TableOUMPEDUSC[],7,FALSE),"")</f>
        <v/>
      </c>
      <c r="Z84" s="206" t="str">
        <f>IFERROR(VLOOKUP(TableHandbook[[#This Row],[UDC]],TableOMEDUC[],7,FALSE),"")</f>
        <v/>
      </c>
      <c r="AA84" s="204" t="str">
        <f>IFERROR(VLOOKUP(TableHandbook[[#This Row],[UDC]],TableOSEPCULIN[],7,FALSE),"")</f>
        <v/>
      </c>
      <c r="AB84" s="204" t="str">
        <f>IFERROR(VLOOKUP(TableHandbook[[#This Row],[UDC]],TableOSEPLNTCH[],7,FALSE),"")</f>
        <v/>
      </c>
      <c r="AC84" s="204" t="str">
        <f>IFERROR(VLOOKUP(TableHandbook[[#This Row],[UDC]],TableOSEPSTEME[],7,FALSE),"")</f>
        <v/>
      </c>
    </row>
    <row r="85" spans="1:29" x14ac:dyDescent="0.25">
      <c r="A85" s="2" t="s">
        <v>345</v>
      </c>
      <c r="B85" s="3">
        <v>0</v>
      </c>
      <c r="C85" s="3"/>
      <c r="D85" s="2" t="s">
        <v>346</v>
      </c>
      <c r="E85" s="3">
        <v>100</v>
      </c>
      <c r="F85" s="265"/>
      <c r="G85" s="203" t="str">
        <f>IFERROR(IF(VLOOKUP(TableHandbook[[#This Row],[UDC]],TableAvailabilities[],2,FALSE)&gt;0,"Y",""),"")</f>
        <v/>
      </c>
      <c r="H85" s="203" t="str">
        <f>IFERROR(IF(VLOOKUP(TableHandbook[[#This Row],[UDC]],TableAvailabilities[],3,FALSE)&gt;0,"Y",""),"")</f>
        <v/>
      </c>
      <c r="I85" s="203" t="str">
        <f>IFERROR(IF(VLOOKUP(TableHandbook[[#This Row],[UDC]],TableAvailabilities[],4,FALSE)&gt;0,"Y",""),"")</f>
        <v/>
      </c>
      <c r="J85" s="203" t="str">
        <f>IFERROR(IF(VLOOKUP(TableHandbook[[#This Row],[UDC]],TableAvailabilities[],5,FALSE)&gt;0,"Y",""),"")</f>
        <v/>
      </c>
      <c r="K85" s="3"/>
      <c r="L85" s="206" t="str">
        <f>IFERROR(VLOOKUP(TableHandbook[[#This Row],[UDC]],TableOMTEACH1[],7,FALSE),"")</f>
        <v/>
      </c>
      <c r="M85" s="204" t="str">
        <f>IFERROR(VLOOKUP(TableHandbook[[#This Row],[UDC]],TableOUMPTCHEC[],7,FALSE),"")</f>
        <v/>
      </c>
      <c r="N85" s="204" t="str">
        <f>IFERROR(VLOOKUP(TableHandbook[[#This Row],[UDC]],TableOUMPTCHPE[],7,FALSE),"")</f>
        <v/>
      </c>
      <c r="O85" s="204" t="str">
        <f>IFERROR(VLOOKUP(TableHandbook[[#This Row],[UDC]],TableOUMPTCHSE[],7,FALSE),"")</f>
        <v/>
      </c>
      <c r="P85" s="206" t="str">
        <f>IFERROR(VLOOKUP(TableHandbook[[#This Row],[UDC]],TableOCTESOL1[],7,FALSE),"")</f>
        <v/>
      </c>
      <c r="Q85" s="204" t="str">
        <f>IFERROR(VLOOKUP(TableHandbook[[#This Row],[UDC]],TableOCTESOL[],7,FALSE),"")</f>
        <v/>
      </c>
      <c r="R85" s="204" t="str">
        <f>IFERROR(VLOOKUP(TableHandbook[[#This Row],[UDC]],TableOMAPLING[],7,FALSE),"")</f>
        <v/>
      </c>
      <c r="S85" s="206" t="str">
        <f>IFERROR(VLOOKUP(TableHandbook[[#This Row],[UDC]],TableOCEDHE1[],7,FALSE),"")</f>
        <v/>
      </c>
      <c r="T85" s="204" t="str">
        <f>IFERROR(VLOOKUP(TableHandbook[[#This Row],[UDC]],TableOCEDHE[],7,FALSE),"")</f>
        <v/>
      </c>
      <c r="U85" s="204" t="str">
        <f>IFERROR(VLOOKUP(TableHandbook[[#This Row],[UDC]],TableOCEDUCS1[],7,FALSE),"")</f>
        <v/>
      </c>
      <c r="V85" s="204" t="str">
        <f>IFERROR(VLOOKUP(TableHandbook[[#This Row],[UDC]],TableOCEDUC[],7,FALSE),"")</f>
        <v/>
      </c>
      <c r="W85" s="204" t="str">
        <f>IFERROR(VLOOKUP(TableHandbook[[#This Row],[UDC]],TableOGEDUC[],7,FALSE),"")</f>
        <v/>
      </c>
      <c r="X85" s="204" t="str">
        <f>IFERROR(VLOOKUP(TableHandbook[[#This Row],[UDC]],TableOUMPEDUPR[],7,FALSE),"")</f>
        <v/>
      </c>
      <c r="Y85" s="204" t="str">
        <f>IFERROR(VLOOKUP(TableHandbook[[#This Row],[UDC]],TableOUMPEDUSC[],7,FALSE),"")</f>
        <v/>
      </c>
      <c r="Z85" s="206" t="str">
        <f>IFERROR(VLOOKUP(TableHandbook[[#This Row],[UDC]],TableOMEDUC[],7,FALSE),"")</f>
        <v>Option</v>
      </c>
      <c r="AA85" s="204" t="str">
        <f>IFERROR(VLOOKUP(TableHandbook[[#This Row],[UDC]],TableOSEPCULIN[],7,FALSE),"")</f>
        <v/>
      </c>
      <c r="AB85" s="204" t="str">
        <f>IFERROR(VLOOKUP(TableHandbook[[#This Row],[UDC]],TableOSEPLNTCH[],7,FALSE),"")</f>
        <v/>
      </c>
      <c r="AC85" s="204" t="str">
        <f>IFERROR(VLOOKUP(TableHandbook[[#This Row],[UDC]],TableOSEPSTEME[],7,FALSE),"")</f>
        <v/>
      </c>
    </row>
    <row r="86" spans="1:29" x14ac:dyDescent="0.25">
      <c r="A86" s="2" t="s">
        <v>347</v>
      </c>
      <c r="B86" s="3"/>
      <c r="C86" s="3"/>
      <c r="D86" s="2" t="s">
        <v>348</v>
      </c>
      <c r="E86" s="3">
        <v>100</v>
      </c>
      <c r="F86" s="265"/>
      <c r="G86" s="203" t="str">
        <f>IFERROR(IF(VLOOKUP(TableHandbook[[#This Row],[UDC]],TableAvailabilities[],2,FALSE)&gt;0,"Y",""),"")</f>
        <v/>
      </c>
      <c r="H86" s="203" t="str">
        <f>IFERROR(IF(VLOOKUP(TableHandbook[[#This Row],[UDC]],TableAvailabilities[],3,FALSE)&gt;0,"Y",""),"")</f>
        <v/>
      </c>
      <c r="I86" s="203" t="str">
        <f>IFERROR(IF(VLOOKUP(TableHandbook[[#This Row],[UDC]],TableAvailabilities[],4,FALSE)&gt;0,"Y",""),"")</f>
        <v/>
      </c>
      <c r="J86" s="203" t="str">
        <f>IFERROR(IF(VLOOKUP(TableHandbook[[#This Row],[UDC]],TableAvailabilities[],5,FALSE)&gt;0,"Y",""),"")</f>
        <v/>
      </c>
      <c r="K86" s="2"/>
      <c r="L86" s="206" t="str">
        <f>IFERROR(VLOOKUP(TableHandbook[[#This Row],[UDC]],TableOMTEACH1[],7,FALSE),"")</f>
        <v/>
      </c>
      <c r="M86" s="204" t="str">
        <f>IFERROR(VLOOKUP(TableHandbook[[#This Row],[UDC]],TableOUMPTCHEC[],7,FALSE),"")</f>
        <v/>
      </c>
      <c r="N86" s="204" t="str">
        <f>IFERROR(VLOOKUP(TableHandbook[[#This Row],[UDC]],TableOUMPTCHPE[],7,FALSE),"")</f>
        <v/>
      </c>
      <c r="O86" s="204" t="str">
        <f>IFERROR(VLOOKUP(TableHandbook[[#This Row],[UDC]],TableOUMPTCHSE[],7,FALSE),"")</f>
        <v/>
      </c>
      <c r="P86" s="206" t="str">
        <f>IFERROR(VLOOKUP(TableHandbook[[#This Row],[UDC]],TableOCTESOL1[],7,FALSE),"")</f>
        <v/>
      </c>
      <c r="Q86" s="204" t="str">
        <f>IFERROR(VLOOKUP(TableHandbook[[#This Row],[UDC]],TableOCTESOL[],7,FALSE),"")</f>
        <v/>
      </c>
      <c r="R86" s="204" t="str">
        <f>IFERROR(VLOOKUP(TableHandbook[[#This Row],[UDC]],TableOMAPLING[],7,FALSE),"")</f>
        <v/>
      </c>
      <c r="S86" s="206" t="str">
        <f>IFERROR(VLOOKUP(TableHandbook[[#This Row],[UDC]],TableOCEDHE1[],7,FALSE),"")</f>
        <v/>
      </c>
      <c r="T86" s="204" t="str">
        <f>IFERROR(VLOOKUP(TableHandbook[[#This Row],[UDC]],TableOCEDHE[],7,FALSE),"")</f>
        <v/>
      </c>
      <c r="U86" s="204" t="str">
        <f>IFERROR(VLOOKUP(TableHandbook[[#This Row],[UDC]],TableOCEDUCS1[],7,FALSE),"")</f>
        <v>Option</v>
      </c>
      <c r="V86" s="204" t="str">
        <f>IFERROR(VLOOKUP(TableHandbook[[#This Row],[UDC]],TableOCEDUC[],7,FALSE),"")</f>
        <v>Option</v>
      </c>
      <c r="W86" s="204" t="str">
        <f>IFERROR(VLOOKUP(TableHandbook[[#This Row],[UDC]],TableOGEDUC[],7,FALSE),"")</f>
        <v/>
      </c>
      <c r="X86" s="204" t="str">
        <f>IFERROR(VLOOKUP(TableHandbook[[#This Row],[UDC]],TableOUMPEDUPR[],7,FALSE),"")</f>
        <v/>
      </c>
      <c r="Y86" s="204" t="str">
        <f>IFERROR(VLOOKUP(TableHandbook[[#This Row],[UDC]],TableOUMPEDUSC[],7,FALSE),"")</f>
        <v/>
      </c>
      <c r="Z86" s="206" t="str">
        <f>IFERROR(VLOOKUP(TableHandbook[[#This Row],[UDC]],TableOMEDUC[],7,FALSE),"")</f>
        <v/>
      </c>
      <c r="AA86" s="204" t="str">
        <f>IFERROR(VLOOKUP(TableHandbook[[#This Row],[UDC]],TableOSEPCULIN[],7,FALSE),"")</f>
        <v/>
      </c>
      <c r="AB86" s="204" t="str">
        <f>IFERROR(VLOOKUP(TableHandbook[[#This Row],[UDC]],TableOSEPLNTCH[],7,FALSE),"")</f>
        <v/>
      </c>
      <c r="AC86" s="204" t="str">
        <f>IFERROR(VLOOKUP(TableHandbook[[#This Row],[UDC]],TableOSEPSTEME[],7,FALSE),"")</f>
        <v/>
      </c>
    </row>
    <row r="87" spans="1:29" x14ac:dyDescent="0.25">
      <c r="A87" s="2" t="s">
        <v>60</v>
      </c>
      <c r="B87" s="3">
        <v>1</v>
      </c>
      <c r="C87" s="3"/>
      <c r="D87" s="2" t="s">
        <v>59</v>
      </c>
      <c r="E87" s="3">
        <v>100</v>
      </c>
      <c r="F87" s="265"/>
      <c r="G87" s="203" t="str">
        <f>IFERROR(IF(VLOOKUP(TableHandbook[[#This Row],[UDC]],TableAvailabilities[],2,FALSE)&gt;0,"Y",""),"")</f>
        <v/>
      </c>
      <c r="H87" s="203" t="str">
        <f>IFERROR(IF(VLOOKUP(TableHandbook[[#This Row],[UDC]],TableAvailabilities[],3,FALSE)&gt;0,"Y",""),"")</f>
        <v/>
      </c>
      <c r="I87" s="203" t="str">
        <f>IFERROR(IF(VLOOKUP(TableHandbook[[#This Row],[UDC]],TableAvailabilities[],4,FALSE)&gt;0,"Y",""),"")</f>
        <v/>
      </c>
      <c r="J87" s="203" t="str">
        <f>IFERROR(IF(VLOOKUP(TableHandbook[[#This Row],[UDC]],TableAvailabilities[],5,FALSE)&gt;0,"Y",""),"")</f>
        <v/>
      </c>
      <c r="K87" s="2"/>
      <c r="L87" s="206" t="str">
        <f>IFERROR(VLOOKUP(TableHandbook[[#This Row],[UDC]],TableOMTEACH1[],7,FALSE),"")</f>
        <v/>
      </c>
      <c r="M87" s="204" t="str">
        <f>IFERROR(VLOOKUP(TableHandbook[[#This Row],[UDC]],TableOUMPTCHEC[],7,FALSE),"")</f>
        <v/>
      </c>
      <c r="N87" s="204" t="str">
        <f>IFERROR(VLOOKUP(TableHandbook[[#This Row],[UDC]],TableOUMPTCHPE[],7,FALSE),"")</f>
        <v/>
      </c>
      <c r="O87" s="204" t="str">
        <f>IFERROR(VLOOKUP(TableHandbook[[#This Row],[UDC]],TableOUMPTCHSE[],7,FALSE),"")</f>
        <v/>
      </c>
      <c r="P87" s="206" t="str">
        <f>IFERROR(VLOOKUP(TableHandbook[[#This Row],[UDC]],TableOCTESOL1[],7,FALSE),"")</f>
        <v/>
      </c>
      <c r="Q87" s="204" t="str">
        <f>IFERROR(VLOOKUP(TableHandbook[[#This Row],[UDC]],TableOCTESOL[],7,FALSE),"")</f>
        <v/>
      </c>
      <c r="R87" s="204" t="str">
        <f>IFERROR(VLOOKUP(TableHandbook[[#This Row],[UDC]],TableOMAPLING[],7,FALSE),"")</f>
        <v/>
      </c>
      <c r="S87" s="206" t="str">
        <f>IFERROR(VLOOKUP(TableHandbook[[#This Row],[UDC]],TableOCEDHE1[],7,FALSE),"")</f>
        <v/>
      </c>
      <c r="T87" s="204" t="str">
        <f>IFERROR(VLOOKUP(TableHandbook[[#This Row],[UDC]],TableOCEDHE[],7,FALSE),"")</f>
        <v/>
      </c>
      <c r="U87" s="204" t="str">
        <f>IFERROR(VLOOKUP(TableHandbook[[#This Row],[UDC]],TableOCEDUCS1[],7,FALSE),"")</f>
        <v/>
      </c>
      <c r="V87" s="204" t="str">
        <f>IFERROR(VLOOKUP(TableHandbook[[#This Row],[UDC]],TableOCEDUC[],7,FALSE),"")</f>
        <v/>
      </c>
      <c r="W87" s="204" t="str">
        <f>IFERROR(VLOOKUP(TableHandbook[[#This Row],[UDC]],TableOGEDUC[],7,FALSE),"")</f>
        <v/>
      </c>
      <c r="X87" s="204" t="str">
        <f>IFERROR(VLOOKUP(TableHandbook[[#This Row],[UDC]],TableOUMPEDUPR[],7,FALSE),"")</f>
        <v/>
      </c>
      <c r="Y87" s="204" t="str">
        <f>IFERROR(VLOOKUP(TableHandbook[[#This Row],[UDC]],TableOUMPEDUSC[],7,FALSE),"")</f>
        <v/>
      </c>
      <c r="Z87" s="206" t="str">
        <f>IFERROR(VLOOKUP(TableHandbook[[#This Row],[UDC]],TableOMEDUC[],7,FALSE),"")</f>
        <v>Option</v>
      </c>
      <c r="AA87" s="204" t="str">
        <f>IFERROR(VLOOKUP(TableHandbook[[#This Row],[UDC]],TableOSEPCULIN[],7,FALSE),"")</f>
        <v/>
      </c>
      <c r="AB87" s="204" t="str">
        <f>IFERROR(VLOOKUP(TableHandbook[[#This Row],[UDC]],TableOSEPLNTCH[],7,FALSE),"")</f>
        <v/>
      </c>
      <c r="AC87" s="204" t="str">
        <f>IFERROR(VLOOKUP(TableHandbook[[#This Row],[UDC]],TableOSEPSTEME[],7,FALSE),"")</f>
        <v/>
      </c>
    </row>
    <row r="88" spans="1:29" x14ac:dyDescent="0.25">
      <c r="A88" s="2" t="s">
        <v>62</v>
      </c>
      <c r="B88" s="3">
        <v>1</v>
      </c>
      <c r="C88" s="3"/>
      <c r="D88" s="2" t="s">
        <v>61</v>
      </c>
      <c r="E88" s="3">
        <v>100</v>
      </c>
      <c r="F88" s="265"/>
      <c r="G88" s="203" t="str">
        <f>IFERROR(IF(VLOOKUP(TableHandbook[[#This Row],[UDC]],TableAvailabilities[],2,FALSE)&gt;0,"Y",""),"")</f>
        <v/>
      </c>
      <c r="H88" s="203" t="str">
        <f>IFERROR(IF(VLOOKUP(TableHandbook[[#This Row],[UDC]],TableAvailabilities[],3,FALSE)&gt;0,"Y",""),"")</f>
        <v/>
      </c>
      <c r="I88" s="203" t="str">
        <f>IFERROR(IF(VLOOKUP(TableHandbook[[#This Row],[UDC]],TableAvailabilities[],4,FALSE)&gt;0,"Y",""),"")</f>
        <v/>
      </c>
      <c r="J88" s="203" t="str">
        <f>IFERROR(IF(VLOOKUP(TableHandbook[[#This Row],[UDC]],TableAvailabilities[],5,FALSE)&gt;0,"Y",""),"")</f>
        <v/>
      </c>
      <c r="K88" s="2"/>
      <c r="L88" s="206" t="str">
        <f>IFERROR(VLOOKUP(TableHandbook[[#This Row],[UDC]],TableOMTEACH1[],7,FALSE),"")</f>
        <v/>
      </c>
      <c r="M88" s="204" t="str">
        <f>IFERROR(VLOOKUP(TableHandbook[[#This Row],[UDC]],TableOUMPTCHEC[],7,FALSE),"")</f>
        <v/>
      </c>
      <c r="N88" s="204" t="str">
        <f>IFERROR(VLOOKUP(TableHandbook[[#This Row],[UDC]],TableOUMPTCHPE[],7,FALSE),"")</f>
        <v/>
      </c>
      <c r="O88" s="204" t="str">
        <f>IFERROR(VLOOKUP(TableHandbook[[#This Row],[UDC]],TableOUMPTCHSE[],7,FALSE),"")</f>
        <v/>
      </c>
      <c r="P88" s="206" t="str">
        <f>IFERROR(VLOOKUP(TableHandbook[[#This Row],[UDC]],TableOCTESOL1[],7,FALSE),"")</f>
        <v/>
      </c>
      <c r="Q88" s="204" t="str">
        <f>IFERROR(VLOOKUP(TableHandbook[[#This Row],[UDC]],TableOCTESOL[],7,FALSE),"")</f>
        <v/>
      </c>
      <c r="R88" s="204" t="str">
        <f>IFERROR(VLOOKUP(TableHandbook[[#This Row],[UDC]],TableOMAPLING[],7,FALSE),"")</f>
        <v/>
      </c>
      <c r="S88" s="206" t="str">
        <f>IFERROR(VLOOKUP(TableHandbook[[#This Row],[UDC]],TableOCEDHE1[],7,FALSE),"")</f>
        <v/>
      </c>
      <c r="T88" s="204" t="str">
        <f>IFERROR(VLOOKUP(TableHandbook[[#This Row],[UDC]],TableOCEDHE[],7,FALSE),"")</f>
        <v/>
      </c>
      <c r="U88" s="204" t="str">
        <f>IFERROR(VLOOKUP(TableHandbook[[#This Row],[UDC]],TableOCEDUCS1[],7,FALSE),"")</f>
        <v/>
      </c>
      <c r="V88" s="204" t="str">
        <f>IFERROR(VLOOKUP(TableHandbook[[#This Row],[UDC]],TableOCEDUC[],7,FALSE),"")</f>
        <v/>
      </c>
      <c r="W88" s="204" t="str">
        <f>IFERROR(VLOOKUP(TableHandbook[[#This Row],[UDC]],TableOGEDUC[],7,FALSE),"")</f>
        <v/>
      </c>
      <c r="X88" s="204" t="str">
        <f>IFERROR(VLOOKUP(TableHandbook[[#This Row],[UDC]],TableOUMPEDUPR[],7,FALSE),"")</f>
        <v/>
      </c>
      <c r="Y88" s="204" t="str">
        <f>IFERROR(VLOOKUP(TableHandbook[[#This Row],[UDC]],TableOUMPEDUSC[],7,FALSE),"")</f>
        <v/>
      </c>
      <c r="Z88" s="206" t="str">
        <f>IFERROR(VLOOKUP(TableHandbook[[#This Row],[UDC]],TableOMEDUC[],7,FALSE),"")</f>
        <v>Option</v>
      </c>
      <c r="AA88" s="204" t="str">
        <f>IFERROR(VLOOKUP(TableHandbook[[#This Row],[UDC]],TableOSEPCULIN[],7,FALSE),"")</f>
        <v/>
      </c>
      <c r="AB88" s="204" t="str">
        <f>IFERROR(VLOOKUP(TableHandbook[[#This Row],[UDC]],TableOSEPLNTCH[],7,FALSE),"")</f>
        <v/>
      </c>
      <c r="AC88" s="204" t="str">
        <f>IFERROR(VLOOKUP(TableHandbook[[#This Row],[UDC]],TableOSEPSTEME[],7,FALSE),"")</f>
        <v/>
      </c>
    </row>
    <row r="89" spans="1:29" x14ac:dyDescent="0.25">
      <c r="A89" s="2" t="s">
        <v>64</v>
      </c>
      <c r="B89" s="3">
        <v>1</v>
      </c>
      <c r="C89" s="3"/>
      <c r="D89" s="2" t="s">
        <v>63</v>
      </c>
      <c r="E89" s="3">
        <v>100</v>
      </c>
      <c r="F89" s="265"/>
      <c r="G89" s="203" t="str">
        <f>IFERROR(IF(VLOOKUP(TableHandbook[[#This Row],[UDC]],TableAvailabilities[],2,FALSE)&gt;0,"Y",""),"")</f>
        <v/>
      </c>
      <c r="H89" s="203" t="str">
        <f>IFERROR(IF(VLOOKUP(TableHandbook[[#This Row],[UDC]],TableAvailabilities[],3,FALSE)&gt;0,"Y",""),"")</f>
        <v/>
      </c>
      <c r="I89" s="203" t="str">
        <f>IFERROR(IF(VLOOKUP(TableHandbook[[#This Row],[UDC]],TableAvailabilities[],4,FALSE)&gt;0,"Y",""),"")</f>
        <v/>
      </c>
      <c r="J89" s="203" t="str">
        <f>IFERROR(IF(VLOOKUP(TableHandbook[[#This Row],[UDC]],TableAvailabilities[],5,FALSE)&gt;0,"Y",""),"")</f>
        <v/>
      </c>
      <c r="K89" s="2"/>
      <c r="L89" s="206" t="str">
        <f>IFERROR(VLOOKUP(TableHandbook[[#This Row],[UDC]],TableOMTEACH1[],7,FALSE),"")</f>
        <v/>
      </c>
      <c r="M89" s="204" t="str">
        <f>IFERROR(VLOOKUP(TableHandbook[[#This Row],[UDC]],TableOUMPTCHEC[],7,FALSE),"")</f>
        <v/>
      </c>
      <c r="N89" s="204" t="str">
        <f>IFERROR(VLOOKUP(TableHandbook[[#This Row],[UDC]],TableOUMPTCHPE[],7,FALSE),"")</f>
        <v/>
      </c>
      <c r="O89" s="204" t="str">
        <f>IFERROR(VLOOKUP(TableHandbook[[#This Row],[UDC]],TableOUMPTCHSE[],7,FALSE),"")</f>
        <v/>
      </c>
      <c r="P89" s="206" t="str">
        <f>IFERROR(VLOOKUP(TableHandbook[[#This Row],[UDC]],TableOCTESOL1[],7,FALSE),"")</f>
        <v/>
      </c>
      <c r="Q89" s="204" t="str">
        <f>IFERROR(VLOOKUP(TableHandbook[[#This Row],[UDC]],TableOCTESOL[],7,FALSE),"")</f>
        <v/>
      </c>
      <c r="R89" s="204" t="str">
        <f>IFERROR(VLOOKUP(TableHandbook[[#This Row],[UDC]],TableOMAPLING[],7,FALSE),"")</f>
        <v/>
      </c>
      <c r="S89" s="206" t="str">
        <f>IFERROR(VLOOKUP(TableHandbook[[#This Row],[UDC]],TableOCEDHE1[],7,FALSE),"")</f>
        <v/>
      </c>
      <c r="T89" s="204" t="str">
        <f>IFERROR(VLOOKUP(TableHandbook[[#This Row],[UDC]],TableOCEDHE[],7,FALSE),"")</f>
        <v/>
      </c>
      <c r="U89" s="204" t="str">
        <f>IFERROR(VLOOKUP(TableHandbook[[#This Row],[UDC]],TableOCEDUCS1[],7,FALSE),"")</f>
        <v/>
      </c>
      <c r="V89" s="204" t="str">
        <f>IFERROR(VLOOKUP(TableHandbook[[#This Row],[UDC]],TableOCEDUC[],7,FALSE),"")</f>
        <v/>
      </c>
      <c r="W89" s="204" t="str">
        <f>IFERROR(VLOOKUP(TableHandbook[[#This Row],[UDC]],TableOGEDUC[],7,FALSE),"")</f>
        <v/>
      </c>
      <c r="X89" s="204" t="str">
        <f>IFERROR(VLOOKUP(TableHandbook[[#This Row],[UDC]],TableOUMPEDUPR[],7,FALSE),"")</f>
        <v/>
      </c>
      <c r="Y89" s="204" t="str">
        <f>IFERROR(VLOOKUP(TableHandbook[[#This Row],[UDC]],TableOUMPEDUSC[],7,FALSE),"")</f>
        <v/>
      </c>
      <c r="Z89" s="206" t="str">
        <f>IFERROR(VLOOKUP(TableHandbook[[#This Row],[UDC]],TableOMEDUC[],7,FALSE),"")</f>
        <v>Option</v>
      </c>
      <c r="AA89" s="204" t="str">
        <f>IFERROR(VLOOKUP(TableHandbook[[#This Row],[UDC]],TableOSEPCULIN[],7,FALSE),"")</f>
        <v/>
      </c>
      <c r="AB89" s="204" t="str">
        <f>IFERROR(VLOOKUP(TableHandbook[[#This Row],[UDC]],TableOSEPLNTCH[],7,FALSE),"")</f>
        <v/>
      </c>
      <c r="AC89" s="204" t="str">
        <f>IFERROR(VLOOKUP(TableHandbook[[#This Row],[UDC]],TableOSEPSTEME[],7,FALSE),"")</f>
        <v/>
      </c>
    </row>
    <row r="90" spans="1:29" x14ac:dyDescent="0.25">
      <c r="A90" s="2" t="s">
        <v>52</v>
      </c>
      <c r="B90" s="3">
        <v>1</v>
      </c>
      <c r="C90" s="3"/>
      <c r="D90" s="2" t="s">
        <v>51</v>
      </c>
      <c r="E90" s="3">
        <v>200</v>
      </c>
      <c r="F90" s="265"/>
      <c r="G90" s="203" t="str">
        <f>IFERROR(IF(VLOOKUP(TableHandbook[[#This Row],[UDC]],TableAvailabilities[],2,FALSE)&gt;0,"Y",""),"")</f>
        <v/>
      </c>
      <c r="H90" s="203" t="str">
        <f>IFERROR(IF(VLOOKUP(TableHandbook[[#This Row],[UDC]],TableAvailabilities[],3,FALSE)&gt;0,"Y",""),"")</f>
        <v/>
      </c>
      <c r="I90" s="203" t="str">
        <f>IFERROR(IF(VLOOKUP(TableHandbook[[#This Row],[UDC]],TableAvailabilities[],4,FALSE)&gt;0,"Y",""),"")</f>
        <v/>
      </c>
      <c r="J90" s="203" t="str">
        <f>IFERROR(IF(VLOOKUP(TableHandbook[[#This Row],[UDC]],TableAvailabilities[],5,FALSE)&gt;0,"Y",""),"")</f>
        <v/>
      </c>
      <c r="K90" s="2"/>
      <c r="L90" s="206" t="str">
        <f>IFERROR(VLOOKUP(TableHandbook[[#This Row],[UDC]],TableOMTEACH1[],7,FALSE),"")</f>
        <v/>
      </c>
      <c r="M90" s="204" t="str">
        <f>IFERROR(VLOOKUP(TableHandbook[[#This Row],[UDC]],TableOUMPTCHEC[],7,FALSE),"")</f>
        <v/>
      </c>
      <c r="N90" s="204" t="str">
        <f>IFERROR(VLOOKUP(TableHandbook[[#This Row],[UDC]],TableOUMPTCHPE[],7,FALSE),"")</f>
        <v/>
      </c>
      <c r="O90" s="204" t="str">
        <f>IFERROR(VLOOKUP(TableHandbook[[#This Row],[UDC]],TableOUMPTCHSE[],7,FALSE),"")</f>
        <v/>
      </c>
      <c r="P90" s="206" t="str">
        <f>IFERROR(VLOOKUP(TableHandbook[[#This Row],[UDC]],TableOCTESOL1[],7,FALSE),"")</f>
        <v/>
      </c>
      <c r="Q90" s="204" t="str">
        <f>IFERROR(VLOOKUP(TableHandbook[[#This Row],[UDC]],TableOCTESOL[],7,FALSE),"")</f>
        <v/>
      </c>
      <c r="R90" s="204" t="str">
        <f>IFERROR(VLOOKUP(TableHandbook[[#This Row],[UDC]],TableOMAPLING[],7,FALSE),"")</f>
        <v/>
      </c>
      <c r="S90" s="206" t="str">
        <f>IFERROR(VLOOKUP(TableHandbook[[#This Row],[UDC]],TableOCEDHE1[],7,FALSE),"")</f>
        <v/>
      </c>
      <c r="T90" s="204" t="str">
        <f>IFERROR(VLOOKUP(TableHandbook[[#This Row],[UDC]],TableOCEDHE[],7,FALSE),"")</f>
        <v/>
      </c>
      <c r="U90" s="204" t="str">
        <f>IFERROR(VLOOKUP(TableHandbook[[#This Row],[UDC]],TableOCEDUCS1[],7,FALSE),"")</f>
        <v/>
      </c>
      <c r="V90" s="204" t="str">
        <f>IFERROR(VLOOKUP(TableHandbook[[#This Row],[UDC]],TableOCEDUC[],7,FALSE),"")</f>
        <v/>
      </c>
      <c r="W90" s="204" t="str">
        <f>IFERROR(VLOOKUP(TableHandbook[[#This Row],[UDC]],TableOGEDUC[],7,FALSE),"")</f>
        <v>AltCore</v>
      </c>
      <c r="X90" s="204" t="str">
        <f>IFERROR(VLOOKUP(TableHandbook[[#This Row],[UDC]],TableOUMPEDUPR[],7,FALSE),"")</f>
        <v/>
      </c>
      <c r="Y90" s="204" t="str">
        <f>IFERROR(VLOOKUP(TableHandbook[[#This Row],[UDC]],TableOUMPEDUSC[],7,FALSE),"")</f>
        <v/>
      </c>
      <c r="Z90" s="206" t="str">
        <f>IFERROR(VLOOKUP(TableHandbook[[#This Row],[UDC]],TableOMEDUC[],7,FALSE),"")</f>
        <v/>
      </c>
      <c r="AA90" s="204" t="str">
        <f>IFERROR(VLOOKUP(TableHandbook[[#This Row],[UDC]],TableOSEPCULIN[],7,FALSE),"")</f>
        <v/>
      </c>
      <c r="AB90" s="204" t="str">
        <f>IFERROR(VLOOKUP(TableHandbook[[#This Row],[UDC]],TableOSEPLNTCH[],7,FALSE),"")</f>
        <v/>
      </c>
      <c r="AC90" s="204" t="str">
        <f>IFERROR(VLOOKUP(TableHandbook[[#This Row],[UDC]],TableOSEPSTEME[],7,FALSE),"")</f>
        <v/>
      </c>
    </row>
    <row r="91" spans="1:29" x14ac:dyDescent="0.25">
      <c r="A91" s="2" t="s">
        <v>54</v>
      </c>
      <c r="B91" s="3">
        <v>1</v>
      </c>
      <c r="C91" s="3"/>
      <c r="D91" s="2" t="s">
        <v>53</v>
      </c>
      <c r="E91" s="3">
        <v>200</v>
      </c>
      <c r="F91" s="265"/>
      <c r="G91" s="203" t="str">
        <f>IFERROR(IF(VLOOKUP(TableHandbook[[#This Row],[UDC]],TableAvailabilities[],2,FALSE)&gt;0,"Y",""),"")</f>
        <v/>
      </c>
      <c r="H91" s="203" t="str">
        <f>IFERROR(IF(VLOOKUP(TableHandbook[[#This Row],[UDC]],TableAvailabilities[],3,FALSE)&gt;0,"Y",""),"")</f>
        <v/>
      </c>
      <c r="I91" s="203" t="str">
        <f>IFERROR(IF(VLOOKUP(TableHandbook[[#This Row],[UDC]],TableAvailabilities[],4,FALSE)&gt;0,"Y",""),"")</f>
        <v/>
      </c>
      <c r="J91" s="203" t="str">
        <f>IFERROR(IF(VLOOKUP(TableHandbook[[#This Row],[UDC]],TableAvailabilities[],5,FALSE)&gt;0,"Y",""),"")</f>
        <v/>
      </c>
      <c r="K91" s="2"/>
      <c r="L91" s="206" t="str">
        <f>IFERROR(VLOOKUP(TableHandbook[[#This Row],[UDC]],TableOMTEACH1[],7,FALSE),"")</f>
        <v/>
      </c>
      <c r="M91" s="204" t="str">
        <f>IFERROR(VLOOKUP(TableHandbook[[#This Row],[UDC]],TableOUMPTCHEC[],7,FALSE),"")</f>
        <v/>
      </c>
      <c r="N91" s="204" t="str">
        <f>IFERROR(VLOOKUP(TableHandbook[[#This Row],[UDC]],TableOUMPTCHPE[],7,FALSE),"")</f>
        <v/>
      </c>
      <c r="O91" s="204" t="str">
        <f>IFERROR(VLOOKUP(TableHandbook[[#This Row],[UDC]],TableOUMPTCHSE[],7,FALSE),"")</f>
        <v/>
      </c>
      <c r="P91" s="206" t="str">
        <f>IFERROR(VLOOKUP(TableHandbook[[#This Row],[UDC]],TableOCTESOL1[],7,FALSE),"")</f>
        <v/>
      </c>
      <c r="Q91" s="204" t="str">
        <f>IFERROR(VLOOKUP(TableHandbook[[#This Row],[UDC]],TableOCTESOL[],7,FALSE),"")</f>
        <v/>
      </c>
      <c r="R91" s="204" t="str">
        <f>IFERROR(VLOOKUP(TableHandbook[[#This Row],[UDC]],TableOMAPLING[],7,FALSE),"")</f>
        <v/>
      </c>
      <c r="S91" s="206" t="str">
        <f>IFERROR(VLOOKUP(TableHandbook[[#This Row],[UDC]],TableOCEDHE1[],7,FALSE),"")</f>
        <v/>
      </c>
      <c r="T91" s="204" t="str">
        <f>IFERROR(VLOOKUP(TableHandbook[[#This Row],[UDC]],TableOCEDHE[],7,FALSE),"")</f>
        <v/>
      </c>
      <c r="U91" s="204" t="str">
        <f>IFERROR(VLOOKUP(TableHandbook[[#This Row],[UDC]],TableOCEDUCS1[],7,FALSE),"")</f>
        <v/>
      </c>
      <c r="V91" s="204" t="str">
        <f>IFERROR(VLOOKUP(TableHandbook[[#This Row],[UDC]],TableOCEDUC[],7,FALSE),"")</f>
        <v/>
      </c>
      <c r="W91" s="204" t="str">
        <f>IFERROR(VLOOKUP(TableHandbook[[#This Row],[UDC]],TableOGEDUC[],7,FALSE),"")</f>
        <v>AltCore</v>
      </c>
      <c r="X91" s="204" t="str">
        <f>IFERROR(VLOOKUP(TableHandbook[[#This Row],[UDC]],TableOUMPEDUPR[],7,FALSE),"")</f>
        <v/>
      </c>
      <c r="Y91" s="204" t="str">
        <f>IFERROR(VLOOKUP(TableHandbook[[#This Row],[UDC]],TableOUMPEDUSC[],7,FALSE),"")</f>
        <v/>
      </c>
      <c r="Z91" s="206" t="str">
        <f>IFERROR(VLOOKUP(TableHandbook[[#This Row],[UDC]],TableOMEDUC[],7,FALSE),"")</f>
        <v/>
      </c>
      <c r="AA91" s="204" t="str">
        <f>IFERROR(VLOOKUP(TableHandbook[[#This Row],[UDC]],TableOSEPCULIN[],7,FALSE),"")</f>
        <v/>
      </c>
      <c r="AB91" s="204" t="str">
        <f>IFERROR(VLOOKUP(TableHandbook[[#This Row],[UDC]],TableOSEPLNTCH[],7,FALSE),"")</f>
        <v/>
      </c>
      <c r="AC91" s="204" t="str">
        <f>IFERROR(VLOOKUP(TableHandbook[[#This Row],[UDC]],TableOSEPSTEME[],7,FALSE),"")</f>
        <v/>
      </c>
    </row>
    <row r="92" spans="1:29" x14ac:dyDescent="0.25">
      <c r="A92" s="2" t="s">
        <v>44</v>
      </c>
      <c r="B92" s="3">
        <v>2</v>
      </c>
      <c r="C92" s="3"/>
      <c r="D92" s="2" t="s">
        <v>43</v>
      </c>
      <c r="E92" s="3">
        <v>400</v>
      </c>
      <c r="F92" s="265"/>
      <c r="G92" s="203" t="str">
        <f>IFERROR(IF(VLOOKUP(TableHandbook[[#This Row],[UDC]],TableAvailabilities[],2,FALSE)&gt;0,"Y",""),"")</f>
        <v/>
      </c>
      <c r="H92" s="203" t="str">
        <f>IFERROR(IF(VLOOKUP(TableHandbook[[#This Row],[UDC]],TableAvailabilities[],3,FALSE)&gt;0,"Y",""),"")</f>
        <v/>
      </c>
      <c r="I92" s="203" t="str">
        <f>IFERROR(IF(VLOOKUP(TableHandbook[[#This Row],[UDC]],TableAvailabilities[],4,FALSE)&gt;0,"Y",""),"")</f>
        <v/>
      </c>
      <c r="J92" s="203" t="str">
        <f>IFERROR(IF(VLOOKUP(TableHandbook[[#This Row],[UDC]],TableAvailabilities[],5,FALSE)&gt;0,"Y",""),"")</f>
        <v/>
      </c>
      <c r="K92" s="2"/>
      <c r="L92" s="206" t="str">
        <f>IFERROR(VLOOKUP(TableHandbook[[#This Row],[UDC]],TableOMTEACH1[],7,FALSE),"")</f>
        <v>AltCore</v>
      </c>
      <c r="M92" s="204" t="str">
        <f>IFERROR(VLOOKUP(TableHandbook[[#This Row],[UDC]],TableOUMPTCHEC[],7,FALSE),"")</f>
        <v/>
      </c>
      <c r="N92" s="204" t="str">
        <f>IFERROR(VLOOKUP(TableHandbook[[#This Row],[UDC]],TableOUMPTCHPE[],7,FALSE),"")</f>
        <v/>
      </c>
      <c r="O92" s="204" t="str">
        <f>IFERROR(VLOOKUP(TableHandbook[[#This Row],[UDC]],TableOUMPTCHSE[],7,FALSE),"")</f>
        <v/>
      </c>
      <c r="P92" s="206" t="str">
        <f>IFERROR(VLOOKUP(TableHandbook[[#This Row],[UDC]],TableOCTESOL1[],7,FALSE),"")</f>
        <v/>
      </c>
      <c r="Q92" s="204" t="str">
        <f>IFERROR(VLOOKUP(TableHandbook[[#This Row],[UDC]],TableOCTESOL[],7,FALSE),"")</f>
        <v/>
      </c>
      <c r="R92" s="204" t="str">
        <f>IFERROR(VLOOKUP(TableHandbook[[#This Row],[UDC]],TableOMAPLING[],7,FALSE),"")</f>
        <v/>
      </c>
      <c r="S92" s="206" t="str">
        <f>IFERROR(VLOOKUP(TableHandbook[[#This Row],[UDC]],TableOCEDHE1[],7,FALSE),"")</f>
        <v/>
      </c>
      <c r="T92" s="204" t="str">
        <f>IFERROR(VLOOKUP(TableHandbook[[#This Row],[UDC]],TableOCEDHE[],7,FALSE),"")</f>
        <v/>
      </c>
      <c r="U92" s="204" t="str">
        <f>IFERROR(VLOOKUP(TableHandbook[[#This Row],[UDC]],TableOCEDUCS1[],7,FALSE),"")</f>
        <v/>
      </c>
      <c r="V92" s="204" t="str">
        <f>IFERROR(VLOOKUP(TableHandbook[[#This Row],[UDC]],TableOCEDUC[],7,FALSE),"")</f>
        <v/>
      </c>
      <c r="W92" s="204" t="str">
        <f>IFERROR(VLOOKUP(TableHandbook[[#This Row],[UDC]],TableOGEDUC[],7,FALSE),"")</f>
        <v/>
      </c>
      <c r="X92" s="204" t="str">
        <f>IFERROR(VLOOKUP(TableHandbook[[#This Row],[UDC]],TableOUMPEDUPR[],7,FALSE),"")</f>
        <v/>
      </c>
      <c r="Y92" s="204" t="str">
        <f>IFERROR(VLOOKUP(TableHandbook[[#This Row],[UDC]],TableOUMPEDUSC[],7,FALSE),"")</f>
        <v/>
      </c>
      <c r="Z92" s="206" t="str">
        <f>IFERROR(VLOOKUP(TableHandbook[[#This Row],[UDC]],TableOMEDUC[],7,FALSE),"")</f>
        <v/>
      </c>
      <c r="AA92" s="204" t="str">
        <f>IFERROR(VLOOKUP(TableHandbook[[#This Row],[UDC]],TableOSEPCULIN[],7,FALSE),"")</f>
        <v/>
      </c>
      <c r="AB92" s="204" t="str">
        <f>IFERROR(VLOOKUP(TableHandbook[[#This Row],[UDC]],TableOSEPLNTCH[],7,FALSE),"")</f>
        <v/>
      </c>
      <c r="AC92" s="204" t="str">
        <f>IFERROR(VLOOKUP(TableHandbook[[#This Row],[UDC]],TableOSEPSTEME[],7,FALSE),"")</f>
        <v/>
      </c>
    </row>
    <row r="93" spans="1:29" x14ac:dyDescent="0.25">
      <c r="A93" s="2" t="s">
        <v>46</v>
      </c>
      <c r="B93" s="3">
        <v>2</v>
      </c>
      <c r="C93" s="3"/>
      <c r="D93" s="2" t="s">
        <v>45</v>
      </c>
      <c r="E93" s="3">
        <v>400</v>
      </c>
      <c r="F93" s="265"/>
      <c r="G93" s="203" t="str">
        <f>IFERROR(IF(VLOOKUP(TableHandbook[[#This Row],[UDC]],TableAvailabilities[],2,FALSE)&gt;0,"Y",""),"")</f>
        <v/>
      </c>
      <c r="H93" s="203" t="str">
        <f>IFERROR(IF(VLOOKUP(TableHandbook[[#This Row],[UDC]],TableAvailabilities[],3,FALSE)&gt;0,"Y",""),"")</f>
        <v/>
      </c>
      <c r="I93" s="203" t="str">
        <f>IFERROR(IF(VLOOKUP(TableHandbook[[#This Row],[UDC]],TableAvailabilities[],4,FALSE)&gt;0,"Y",""),"")</f>
        <v/>
      </c>
      <c r="J93" s="203" t="str">
        <f>IFERROR(IF(VLOOKUP(TableHandbook[[#This Row],[UDC]],TableAvailabilities[],5,FALSE)&gt;0,"Y",""),"")</f>
        <v/>
      </c>
      <c r="K93" s="2"/>
      <c r="L93" s="206" t="str">
        <f>IFERROR(VLOOKUP(TableHandbook[[#This Row],[UDC]],TableOMTEACH1[],7,FALSE),"")</f>
        <v>AltCore</v>
      </c>
      <c r="M93" s="204" t="str">
        <f>IFERROR(VLOOKUP(TableHandbook[[#This Row],[UDC]],TableOUMPTCHEC[],7,FALSE),"")</f>
        <v/>
      </c>
      <c r="N93" s="204" t="str">
        <f>IFERROR(VLOOKUP(TableHandbook[[#This Row],[UDC]],TableOUMPTCHPE[],7,FALSE),"")</f>
        <v/>
      </c>
      <c r="O93" s="204" t="str">
        <f>IFERROR(VLOOKUP(TableHandbook[[#This Row],[UDC]],TableOUMPTCHSE[],7,FALSE),"")</f>
        <v/>
      </c>
      <c r="P93" s="206" t="str">
        <f>IFERROR(VLOOKUP(TableHandbook[[#This Row],[UDC]],TableOCTESOL1[],7,FALSE),"")</f>
        <v/>
      </c>
      <c r="Q93" s="204" t="str">
        <f>IFERROR(VLOOKUP(TableHandbook[[#This Row],[UDC]],TableOCTESOL[],7,FALSE),"")</f>
        <v/>
      </c>
      <c r="R93" s="204" t="str">
        <f>IFERROR(VLOOKUP(TableHandbook[[#This Row],[UDC]],TableOMAPLING[],7,FALSE),"")</f>
        <v/>
      </c>
      <c r="S93" s="206" t="str">
        <f>IFERROR(VLOOKUP(TableHandbook[[#This Row],[UDC]],TableOCEDHE1[],7,FALSE),"")</f>
        <v/>
      </c>
      <c r="T93" s="204" t="str">
        <f>IFERROR(VLOOKUP(TableHandbook[[#This Row],[UDC]],TableOCEDHE[],7,FALSE),"")</f>
        <v/>
      </c>
      <c r="U93" s="204" t="str">
        <f>IFERROR(VLOOKUP(TableHandbook[[#This Row],[UDC]],TableOCEDUCS1[],7,FALSE),"")</f>
        <v/>
      </c>
      <c r="V93" s="204" t="str">
        <f>IFERROR(VLOOKUP(TableHandbook[[#This Row],[UDC]],TableOCEDUC[],7,FALSE),"")</f>
        <v/>
      </c>
      <c r="W93" s="204" t="str">
        <f>IFERROR(VLOOKUP(TableHandbook[[#This Row],[UDC]],TableOGEDUC[],7,FALSE),"")</f>
        <v/>
      </c>
      <c r="X93" s="204" t="str">
        <f>IFERROR(VLOOKUP(TableHandbook[[#This Row],[UDC]],TableOUMPEDUPR[],7,FALSE),"")</f>
        <v/>
      </c>
      <c r="Y93" s="204" t="str">
        <f>IFERROR(VLOOKUP(TableHandbook[[#This Row],[UDC]],TableOUMPEDUSC[],7,FALSE),"")</f>
        <v/>
      </c>
      <c r="Z93" s="206" t="str">
        <f>IFERROR(VLOOKUP(TableHandbook[[#This Row],[UDC]],TableOMEDUC[],7,FALSE),"")</f>
        <v/>
      </c>
      <c r="AA93" s="204" t="str">
        <f>IFERROR(VLOOKUP(TableHandbook[[#This Row],[UDC]],TableOSEPCULIN[],7,FALSE),"")</f>
        <v/>
      </c>
      <c r="AB93" s="204" t="str">
        <f>IFERROR(VLOOKUP(TableHandbook[[#This Row],[UDC]],TableOSEPLNTCH[],7,FALSE),"")</f>
        <v/>
      </c>
      <c r="AC93" s="204" t="str">
        <f>IFERROR(VLOOKUP(TableHandbook[[#This Row],[UDC]],TableOSEPSTEME[],7,FALSE),"")</f>
        <v/>
      </c>
    </row>
    <row r="94" spans="1:29" x14ac:dyDescent="0.25">
      <c r="A94" s="2" t="s">
        <v>48</v>
      </c>
      <c r="B94" s="3">
        <v>3</v>
      </c>
      <c r="C94" s="3"/>
      <c r="D94" s="2" t="s">
        <v>47</v>
      </c>
      <c r="E94" s="3">
        <v>400</v>
      </c>
      <c r="F94" s="265"/>
      <c r="G94" s="203" t="str">
        <f>IFERROR(IF(VLOOKUP(TableHandbook[[#This Row],[UDC]],TableAvailabilities[],2,FALSE)&gt;0,"Y",""),"")</f>
        <v/>
      </c>
      <c r="H94" s="203" t="str">
        <f>IFERROR(IF(VLOOKUP(TableHandbook[[#This Row],[UDC]],TableAvailabilities[],3,FALSE)&gt;0,"Y",""),"")</f>
        <v/>
      </c>
      <c r="I94" s="203" t="str">
        <f>IFERROR(IF(VLOOKUP(TableHandbook[[#This Row],[UDC]],TableAvailabilities[],4,FALSE)&gt;0,"Y",""),"")</f>
        <v/>
      </c>
      <c r="J94" s="203" t="str">
        <f>IFERROR(IF(VLOOKUP(TableHandbook[[#This Row],[UDC]],TableAvailabilities[],5,FALSE)&gt;0,"Y",""),"")</f>
        <v/>
      </c>
      <c r="K94" s="2"/>
      <c r="L94" s="206" t="str">
        <f>IFERROR(VLOOKUP(TableHandbook[[#This Row],[UDC]],TableOMTEACH1[],7,FALSE),"")</f>
        <v>AltCore</v>
      </c>
      <c r="M94" s="204" t="str">
        <f>IFERROR(VLOOKUP(TableHandbook[[#This Row],[UDC]],TableOUMPTCHEC[],7,FALSE),"")</f>
        <v/>
      </c>
      <c r="N94" s="204" t="str">
        <f>IFERROR(VLOOKUP(TableHandbook[[#This Row],[UDC]],TableOUMPTCHPE[],7,FALSE),"")</f>
        <v/>
      </c>
      <c r="O94" s="204" t="str">
        <f>IFERROR(VLOOKUP(TableHandbook[[#This Row],[UDC]],TableOUMPTCHSE[],7,FALSE),"")</f>
        <v/>
      </c>
      <c r="P94" s="206" t="str">
        <f>IFERROR(VLOOKUP(TableHandbook[[#This Row],[UDC]],TableOCTESOL1[],7,FALSE),"")</f>
        <v/>
      </c>
      <c r="Q94" s="204" t="str">
        <f>IFERROR(VLOOKUP(TableHandbook[[#This Row],[UDC]],TableOCTESOL[],7,FALSE),"")</f>
        <v/>
      </c>
      <c r="R94" s="204" t="str">
        <f>IFERROR(VLOOKUP(TableHandbook[[#This Row],[UDC]],TableOMAPLING[],7,FALSE),"")</f>
        <v/>
      </c>
      <c r="S94" s="206" t="str">
        <f>IFERROR(VLOOKUP(TableHandbook[[#This Row],[UDC]],TableOCEDHE1[],7,FALSE),"")</f>
        <v/>
      </c>
      <c r="T94" s="204" t="str">
        <f>IFERROR(VLOOKUP(TableHandbook[[#This Row],[UDC]],TableOCEDHE[],7,FALSE),"")</f>
        <v/>
      </c>
      <c r="U94" s="204" t="str">
        <f>IFERROR(VLOOKUP(TableHandbook[[#This Row],[UDC]],TableOCEDUCS1[],7,FALSE),"")</f>
        <v/>
      </c>
      <c r="V94" s="204" t="str">
        <f>IFERROR(VLOOKUP(TableHandbook[[#This Row],[UDC]],TableOCEDUC[],7,FALSE),"")</f>
        <v/>
      </c>
      <c r="W94" s="204" t="str">
        <f>IFERROR(VLOOKUP(TableHandbook[[#This Row],[UDC]],TableOGEDUC[],7,FALSE),"")</f>
        <v/>
      </c>
      <c r="X94" s="204" t="str">
        <f>IFERROR(VLOOKUP(TableHandbook[[#This Row],[UDC]],TableOUMPEDUPR[],7,FALSE),"")</f>
        <v/>
      </c>
      <c r="Y94" s="204" t="str">
        <f>IFERROR(VLOOKUP(TableHandbook[[#This Row],[UDC]],TableOUMPEDUSC[],7,FALSE),"")</f>
        <v/>
      </c>
      <c r="Z94" s="206" t="str">
        <f>IFERROR(VLOOKUP(TableHandbook[[#This Row],[UDC]],TableOMEDUC[],7,FALSE),"")</f>
        <v/>
      </c>
      <c r="AA94" s="204" t="str">
        <f>IFERROR(VLOOKUP(TableHandbook[[#This Row],[UDC]],TableOSEPCULIN[],7,FALSE),"")</f>
        <v/>
      </c>
      <c r="AB94" s="204" t="str">
        <f>IFERROR(VLOOKUP(TableHandbook[[#This Row],[UDC]],TableOSEPLNTCH[],7,FALSE),"")</f>
        <v/>
      </c>
      <c r="AC94" s="204" t="str">
        <f>IFERROR(VLOOKUP(TableHandbook[[#This Row],[UDC]],TableOSEPSTEME[],7,FALSE),"")</f>
        <v/>
      </c>
    </row>
    <row r="95" spans="1:29" x14ac:dyDescent="0.25">
      <c r="A95" s="2" t="s">
        <v>349</v>
      </c>
      <c r="B95" s="3"/>
      <c r="C95" s="3"/>
      <c r="D95" s="2" t="s">
        <v>325</v>
      </c>
      <c r="E95" s="3"/>
      <c r="F95" s="265"/>
      <c r="G95" s="203" t="str">
        <f>IFERROR(IF(VLOOKUP(TableHandbook[[#This Row],[UDC]],TableAvailabilities[],2,FALSE)&gt;0,"Y",""),"")</f>
        <v/>
      </c>
      <c r="H95" s="203" t="str">
        <f>IFERROR(IF(VLOOKUP(TableHandbook[[#This Row],[UDC]],TableAvailabilities[],3,FALSE)&gt;0,"Y",""),"")</f>
        <v/>
      </c>
      <c r="I95" s="203" t="str">
        <f>IFERROR(IF(VLOOKUP(TableHandbook[[#This Row],[UDC]],TableAvailabilities[],4,FALSE)&gt;0,"Y",""),"")</f>
        <v/>
      </c>
      <c r="J95" s="203" t="str">
        <f>IFERROR(IF(VLOOKUP(TableHandbook[[#This Row],[UDC]],TableAvailabilities[],5,FALSE)&gt;0,"Y",""),"")</f>
        <v/>
      </c>
      <c r="K95" s="2"/>
      <c r="L95" s="206" t="str">
        <f>IFERROR(VLOOKUP(TableHandbook[[#This Row],[UDC]],TableOMTEACH1[],7,FALSE),"")</f>
        <v/>
      </c>
      <c r="M95" s="204" t="str">
        <f>IFERROR(VLOOKUP(TableHandbook[[#This Row],[UDC]],TableOUMPTCHEC[],7,FALSE),"")</f>
        <v/>
      </c>
      <c r="N95" s="204" t="str">
        <f>IFERROR(VLOOKUP(TableHandbook[[#This Row],[UDC]],TableOUMPTCHPE[],7,FALSE),"")</f>
        <v/>
      </c>
      <c r="O95" s="204" t="str">
        <f>IFERROR(VLOOKUP(TableHandbook[[#This Row],[UDC]],TableOUMPTCHSE[],7,FALSE),"")</f>
        <v>Option</v>
      </c>
      <c r="P95" s="206" t="str">
        <f>IFERROR(VLOOKUP(TableHandbook[[#This Row],[UDC]],TableOCTESOL1[],7,FALSE),"")</f>
        <v/>
      </c>
      <c r="Q95" s="204" t="str">
        <f>IFERROR(VLOOKUP(TableHandbook[[#This Row],[UDC]],TableOCTESOL[],7,FALSE),"")</f>
        <v/>
      </c>
      <c r="R95" s="204" t="str">
        <f>IFERROR(VLOOKUP(TableHandbook[[#This Row],[UDC]],TableOMAPLING[],7,FALSE),"")</f>
        <v/>
      </c>
      <c r="S95" s="206" t="str">
        <f>IFERROR(VLOOKUP(TableHandbook[[#This Row],[UDC]],TableOCEDHE1[],7,FALSE),"")</f>
        <v/>
      </c>
      <c r="T95" s="204" t="str">
        <f>IFERROR(VLOOKUP(TableHandbook[[#This Row],[UDC]],TableOCEDHE[],7,FALSE),"")</f>
        <v/>
      </c>
      <c r="U95" s="204" t="str">
        <f>IFERROR(VLOOKUP(TableHandbook[[#This Row],[UDC]],TableOCEDUCS1[],7,FALSE),"")</f>
        <v/>
      </c>
      <c r="V95" s="204" t="str">
        <f>IFERROR(VLOOKUP(TableHandbook[[#This Row],[UDC]],TableOCEDUC[],7,FALSE),"")</f>
        <v/>
      </c>
      <c r="W95" s="204" t="str">
        <f>IFERROR(VLOOKUP(TableHandbook[[#This Row],[UDC]],TableOGEDUC[],7,FALSE),"")</f>
        <v/>
      </c>
      <c r="X95" s="204" t="str">
        <f>IFERROR(VLOOKUP(TableHandbook[[#This Row],[UDC]],TableOUMPEDUPR[],7,FALSE),"")</f>
        <v/>
      </c>
      <c r="Y95" s="204" t="str">
        <f>IFERROR(VLOOKUP(TableHandbook[[#This Row],[UDC]],TableOUMPEDUSC[],7,FALSE),"")</f>
        <v/>
      </c>
      <c r="Z95" s="206" t="str">
        <f>IFERROR(VLOOKUP(TableHandbook[[#This Row],[UDC]],TableOMEDUC[],7,FALSE),"")</f>
        <v/>
      </c>
      <c r="AA95" s="204" t="str">
        <f>IFERROR(VLOOKUP(TableHandbook[[#This Row],[UDC]],TableOSEPCULIN[],7,FALSE),"")</f>
        <v/>
      </c>
      <c r="AB95" s="204" t="str">
        <f>IFERROR(VLOOKUP(TableHandbook[[#This Row],[UDC]],TableOSEPLNTCH[],7,FALSE),"")</f>
        <v/>
      </c>
      <c r="AC95" s="204" t="str">
        <f>IFERROR(VLOOKUP(TableHandbook[[#This Row],[UDC]],TableOSEPSTEME[],7,FALSE),"")</f>
        <v/>
      </c>
    </row>
    <row r="96" spans="1:29" x14ac:dyDescent="0.25">
      <c r="A96" s="2" t="s">
        <v>350</v>
      </c>
      <c r="B96" s="3"/>
      <c r="C96" s="3"/>
      <c r="D96" s="2" t="s">
        <v>351</v>
      </c>
      <c r="E96" s="3">
        <v>25</v>
      </c>
      <c r="F96" s="265" t="s">
        <v>111</v>
      </c>
      <c r="G96" s="203" t="str">
        <f>IFERROR(IF(VLOOKUP(TableHandbook[[#This Row],[UDC]],TableAvailabilities[],2,FALSE)&gt;0,"Y",""),"")</f>
        <v/>
      </c>
      <c r="H96" s="203" t="str">
        <f>IFERROR(IF(VLOOKUP(TableHandbook[[#This Row],[UDC]],TableAvailabilities[],3,FALSE)&gt;0,"Y",""),"")</f>
        <v/>
      </c>
      <c r="I96" s="203" t="str">
        <f>IFERROR(IF(VLOOKUP(TableHandbook[[#This Row],[UDC]],TableAvailabilities[],4,FALSE)&gt;0,"Y",""),"")</f>
        <v/>
      </c>
      <c r="J96" s="203" t="str">
        <f>IFERROR(IF(VLOOKUP(TableHandbook[[#This Row],[UDC]],TableAvailabilities[],5,FALSE)&gt;0,"Y",""),"")</f>
        <v/>
      </c>
      <c r="K96" s="2"/>
      <c r="L96" s="206" t="str">
        <f>IFERROR(VLOOKUP(TableHandbook[[#This Row],[UDC]],TableOMTEACH1[],7,FALSE),"")</f>
        <v/>
      </c>
      <c r="M96" s="204" t="str">
        <f>IFERROR(VLOOKUP(TableHandbook[[#This Row],[UDC]],TableOUMPTCHEC[],7,FALSE),"")</f>
        <v/>
      </c>
      <c r="N96" s="204" t="str">
        <f>IFERROR(VLOOKUP(TableHandbook[[#This Row],[UDC]],TableOUMPTCHPE[],7,FALSE),"")</f>
        <v/>
      </c>
      <c r="O96" s="204" t="str">
        <f>IFERROR(VLOOKUP(TableHandbook[[#This Row],[UDC]],TableOUMPTCHSE[],7,FALSE),"")</f>
        <v/>
      </c>
      <c r="P96" s="206" t="str">
        <f>IFERROR(VLOOKUP(TableHandbook[[#This Row],[UDC]],TableOCTESOL1[],7,FALSE),"")</f>
        <v/>
      </c>
      <c r="Q96" s="204" t="str">
        <f>IFERROR(VLOOKUP(TableHandbook[[#This Row],[UDC]],TableOCTESOL[],7,FALSE),"")</f>
        <v/>
      </c>
      <c r="R96" s="204" t="str">
        <f>IFERROR(VLOOKUP(TableHandbook[[#This Row],[UDC]],TableOMAPLING[],7,FALSE),"")</f>
        <v/>
      </c>
      <c r="S96" s="206" t="str">
        <f>IFERROR(VLOOKUP(TableHandbook[[#This Row],[UDC]],TableOCEDHE1[],7,FALSE),"")</f>
        <v/>
      </c>
      <c r="T96" s="204" t="str">
        <f>IFERROR(VLOOKUP(TableHandbook[[#This Row],[UDC]],TableOCEDHE[],7,FALSE),"")</f>
        <v/>
      </c>
      <c r="U96" s="204" t="str">
        <f>IFERROR(VLOOKUP(TableHandbook[[#This Row],[UDC]],TableOCEDUCS1[],7,FALSE),"")</f>
        <v/>
      </c>
      <c r="V96" s="204" t="str">
        <f>IFERROR(VLOOKUP(TableHandbook[[#This Row],[UDC]],TableOCEDUC[],7,FALSE),"")</f>
        <v/>
      </c>
      <c r="W96" s="204" t="str">
        <f>IFERROR(VLOOKUP(TableHandbook[[#This Row],[UDC]],TableOGEDUC[],7,FALSE),"")</f>
        <v/>
      </c>
      <c r="X96" s="204" t="str">
        <f>IFERROR(VLOOKUP(TableHandbook[[#This Row],[UDC]],TableOUMPEDUPR[],7,FALSE),"")</f>
        <v/>
      </c>
      <c r="Y96" s="204" t="str">
        <f>IFERROR(VLOOKUP(TableHandbook[[#This Row],[UDC]],TableOUMPEDUSC[],7,FALSE),"")</f>
        <v/>
      </c>
      <c r="Z96" s="206" t="str">
        <f>IFERROR(VLOOKUP(TableHandbook[[#This Row],[UDC]],TableOMEDUC[],7,FALSE),"")</f>
        <v/>
      </c>
      <c r="AA96" s="204" t="str">
        <f>IFERROR(VLOOKUP(TableHandbook[[#This Row],[UDC]],TableOSEPCULIN[],7,FALSE),"")</f>
        <v/>
      </c>
      <c r="AB96" s="204" t="str">
        <f>IFERROR(VLOOKUP(TableHandbook[[#This Row],[UDC]],TableOSEPLNTCH[],7,FALSE),"")</f>
        <v/>
      </c>
      <c r="AC96" s="204" t="str">
        <f>IFERROR(VLOOKUP(TableHandbook[[#This Row],[UDC]],TableOSEPSTEME[],7,FALSE),"")</f>
        <v/>
      </c>
    </row>
    <row r="97" spans="1:29" x14ac:dyDescent="0.25">
      <c r="A97" s="2" t="s">
        <v>352</v>
      </c>
      <c r="B97" s="3"/>
      <c r="C97" s="3"/>
      <c r="D97" s="2" t="s">
        <v>353</v>
      </c>
      <c r="E97" s="3"/>
      <c r="F97" s="265"/>
      <c r="G97" s="203" t="str">
        <f>IFERROR(IF(VLOOKUP(TableHandbook[[#This Row],[UDC]],TableAvailabilities[],2,FALSE)&gt;0,"Y",""),"")</f>
        <v/>
      </c>
      <c r="H97" s="203" t="str">
        <f>IFERROR(IF(VLOOKUP(TableHandbook[[#This Row],[UDC]],TableAvailabilities[],3,FALSE)&gt;0,"Y",""),"")</f>
        <v/>
      </c>
      <c r="I97" s="203" t="str">
        <f>IFERROR(IF(VLOOKUP(TableHandbook[[#This Row],[UDC]],TableAvailabilities[],4,FALSE)&gt;0,"Y",""),"")</f>
        <v/>
      </c>
      <c r="J97" s="203" t="str">
        <f>IFERROR(IF(VLOOKUP(TableHandbook[[#This Row],[UDC]],TableAvailabilities[],5,FALSE)&gt;0,"Y",""),"")</f>
        <v/>
      </c>
      <c r="K97" s="2"/>
      <c r="L97" s="206" t="str">
        <f>IFERROR(VLOOKUP(TableHandbook[[#This Row],[UDC]],TableOMTEACH1[],7,FALSE),"")</f>
        <v/>
      </c>
      <c r="M97" s="204" t="str">
        <f>IFERROR(VLOOKUP(TableHandbook[[#This Row],[UDC]],TableOUMPTCHEC[],7,FALSE),"")</f>
        <v/>
      </c>
      <c r="N97" s="204" t="str">
        <f>IFERROR(VLOOKUP(TableHandbook[[#This Row],[UDC]],TableOUMPTCHPE[],7,FALSE),"")</f>
        <v/>
      </c>
      <c r="O97" s="204" t="str">
        <f>IFERROR(VLOOKUP(TableHandbook[[#This Row],[UDC]],TableOUMPTCHSE[],7,FALSE),"")</f>
        <v/>
      </c>
      <c r="P97" s="206" t="str">
        <f>IFERROR(VLOOKUP(TableHandbook[[#This Row],[UDC]],TableOCTESOL1[],7,FALSE),"")</f>
        <v/>
      </c>
      <c r="Q97" s="204" t="str">
        <f>IFERROR(VLOOKUP(TableHandbook[[#This Row],[UDC]],TableOCTESOL[],7,FALSE),"")</f>
        <v/>
      </c>
      <c r="R97" s="204" t="str">
        <f>IFERROR(VLOOKUP(TableHandbook[[#This Row],[UDC]],TableOMAPLING[],7,FALSE),"")</f>
        <v/>
      </c>
      <c r="S97" s="206" t="str">
        <f>IFERROR(VLOOKUP(TableHandbook[[#This Row],[UDC]],TableOCEDHE1[],7,FALSE),"")</f>
        <v/>
      </c>
      <c r="T97" s="204" t="str">
        <f>IFERROR(VLOOKUP(TableHandbook[[#This Row],[UDC]],TableOCEDHE[],7,FALSE),"")</f>
        <v/>
      </c>
      <c r="U97" s="204" t="str">
        <f>IFERROR(VLOOKUP(TableHandbook[[#This Row],[UDC]],TableOCEDUCS1[],7,FALSE),"")</f>
        <v/>
      </c>
      <c r="V97" s="204" t="str">
        <f>IFERROR(VLOOKUP(TableHandbook[[#This Row],[UDC]],TableOCEDUC[],7,FALSE),"")</f>
        <v/>
      </c>
      <c r="W97" s="204" t="str">
        <f>IFERROR(VLOOKUP(TableHandbook[[#This Row],[UDC]],TableOGEDUC[],7,FALSE),"")</f>
        <v/>
      </c>
      <c r="X97" s="204" t="str">
        <f>IFERROR(VLOOKUP(TableHandbook[[#This Row],[UDC]],TableOUMPEDUPR[],7,FALSE),"")</f>
        <v/>
      </c>
      <c r="Y97" s="204" t="str">
        <f>IFERROR(VLOOKUP(TableHandbook[[#This Row],[UDC]],TableOUMPEDUSC[],7,FALSE),"")</f>
        <v/>
      </c>
      <c r="Z97" s="206" t="str">
        <f>IFERROR(VLOOKUP(TableHandbook[[#This Row],[UDC]],TableOMEDUC[],7,FALSE),"")</f>
        <v/>
      </c>
      <c r="AA97" s="204" t="str">
        <f>IFERROR(VLOOKUP(TableHandbook[[#This Row],[UDC]],TableOSEPCULIN[],7,FALSE),"")</f>
        <v/>
      </c>
      <c r="AB97" s="204" t="str">
        <f>IFERROR(VLOOKUP(TableHandbook[[#This Row],[UDC]],TableOSEPLNTCH[],7,FALSE),"")</f>
        <v/>
      </c>
      <c r="AC97" s="204" t="str">
        <f>IFERROR(VLOOKUP(TableHandbook[[#This Row],[UDC]],TableOSEPSTEME[],7,FALSE),"")</f>
        <v/>
      </c>
    </row>
    <row r="98" spans="1:29" x14ac:dyDescent="0.25">
      <c r="A98" s="2" t="s">
        <v>354</v>
      </c>
      <c r="B98" s="3"/>
      <c r="C98" s="3"/>
      <c r="D98" s="2" t="s">
        <v>355</v>
      </c>
      <c r="E98" s="3">
        <v>25</v>
      </c>
      <c r="F98" s="265" t="s">
        <v>111</v>
      </c>
      <c r="G98" s="203" t="str">
        <f>IFERROR(IF(VLOOKUP(TableHandbook[[#This Row],[UDC]],TableAvailabilities[],2,FALSE)&gt;0,"Y",""),"")</f>
        <v/>
      </c>
      <c r="H98" s="203" t="str">
        <f>IFERROR(IF(VLOOKUP(TableHandbook[[#This Row],[UDC]],TableAvailabilities[],3,FALSE)&gt;0,"Y",""),"")</f>
        <v/>
      </c>
      <c r="I98" s="203" t="str">
        <f>IFERROR(IF(VLOOKUP(TableHandbook[[#This Row],[UDC]],TableAvailabilities[],4,FALSE)&gt;0,"Y",""),"")</f>
        <v/>
      </c>
      <c r="J98" s="203" t="str">
        <f>IFERROR(IF(VLOOKUP(TableHandbook[[#This Row],[UDC]],TableAvailabilities[],5,FALSE)&gt;0,"Y",""),"")</f>
        <v/>
      </c>
      <c r="K98" s="2"/>
      <c r="L98" s="206" t="str">
        <f>IFERROR(VLOOKUP(TableHandbook[[#This Row],[UDC]],TableOMTEACH1[],7,FALSE),"")</f>
        <v/>
      </c>
      <c r="M98" s="204" t="str">
        <f>IFERROR(VLOOKUP(TableHandbook[[#This Row],[UDC]],TableOUMPTCHEC[],7,FALSE),"")</f>
        <v/>
      </c>
      <c r="N98" s="204" t="str">
        <f>IFERROR(VLOOKUP(TableHandbook[[#This Row],[UDC]],TableOUMPTCHPE[],7,FALSE),"")</f>
        <v/>
      </c>
      <c r="O98" s="204" t="str">
        <f>IFERROR(VLOOKUP(TableHandbook[[#This Row],[UDC]],TableOUMPTCHSE[],7,FALSE),"")</f>
        <v/>
      </c>
      <c r="P98" s="206" t="str">
        <f>IFERROR(VLOOKUP(TableHandbook[[#This Row],[UDC]],TableOCTESOL1[],7,FALSE),"")</f>
        <v/>
      </c>
      <c r="Q98" s="204" t="str">
        <f>IFERROR(VLOOKUP(TableHandbook[[#This Row],[UDC]],TableOCTESOL[],7,FALSE),"")</f>
        <v/>
      </c>
      <c r="R98" s="204" t="str">
        <f>IFERROR(VLOOKUP(TableHandbook[[#This Row],[UDC]],TableOMAPLING[],7,FALSE),"")</f>
        <v/>
      </c>
      <c r="S98" s="206" t="str">
        <f>IFERROR(VLOOKUP(TableHandbook[[#This Row],[UDC]],TableOCEDHE1[],7,FALSE),"")</f>
        <v/>
      </c>
      <c r="T98" s="204" t="str">
        <f>IFERROR(VLOOKUP(TableHandbook[[#This Row],[UDC]],TableOCEDHE[],7,FALSE),"")</f>
        <v/>
      </c>
      <c r="U98" s="204" t="str">
        <f>IFERROR(VLOOKUP(TableHandbook[[#This Row],[UDC]],TableOCEDUCS1[],7,FALSE),"")</f>
        <v/>
      </c>
      <c r="V98" s="204" t="str">
        <f>IFERROR(VLOOKUP(TableHandbook[[#This Row],[UDC]],TableOCEDUC[],7,FALSE),"")</f>
        <v/>
      </c>
      <c r="W98" s="204" t="str">
        <f>IFERROR(VLOOKUP(TableHandbook[[#This Row],[UDC]],TableOGEDUC[],7,FALSE),"")</f>
        <v/>
      </c>
      <c r="X98" s="204" t="str">
        <f>IFERROR(VLOOKUP(TableHandbook[[#This Row],[UDC]],TableOUMPEDUPR[],7,FALSE),"")</f>
        <v/>
      </c>
      <c r="Y98" s="204" t="str">
        <f>IFERROR(VLOOKUP(TableHandbook[[#This Row],[UDC]],TableOUMPEDUSC[],7,FALSE),"")</f>
        <v/>
      </c>
      <c r="Z98" s="206" t="str">
        <f>IFERROR(VLOOKUP(TableHandbook[[#This Row],[UDC]],TableOMEDUC[],7,FALSE),"")</f>
        <v/>
      </c>
      <c r="AA98" s="204" t="str">
        <f>IFERROR(VLOOKUP(TableHandbook[[#This Row],[UDC]],TableOSEPCULIN[],7,FALSE),"")</f>
        <v/>
      </c>
      <c r="AB98" s="204" t="str">
        <f>IFERROR(VLOOKUP(TableHandbook[[#This Row],[UDC]],TableOSEPLNTCH[],7,FALSE),"")</f>
        <v/>
      </c>
      <c r="AC98" s="204" t="str">
        <f>IFERROR(VLOOKUP(TableHandbook[[#This Row],[UDC]],TableOSEPSTEME[],7,FALSE),"")</f>
        <v/>
      </c>
    </row>
    <row r="99" spans="1:29" x14ac:dyDescent="0.25">
      <c r="A99" s="2" t="s">
        <v>356</v>
      </c>
      <c r="B99" s="3"/>
      <c r="C99" s="3"/>
      <c r="D99" s="2" t="s">
        <v>357</v>
      </c>
      <c r="E99" s="3">
        <v>25</v>
      </c>
      <c r="F99" s="265" t="s">
        <v>111</v>
      </c>
      <c r="G99" s="203" t="str">
        <f>IFERROR(IF(VLOOKUP(TableHandbook[[#This Row],[UDC]],TableAvailabilities[],2,FALSE)&gt;0,"Y",""),"")</f>
        <v/>
      </c>
      <c r="H99" s="203" t="str">
        <f>IFERROR(IF(VLOOKUP(TableHandbook[[#This Row],[UDC]],TableAvailabilities[],3,FALSE)&gt;0,"Y",""),"")</f>
        <v/>
      </c>
      <c r="I99" s="203" t="str">
        <f>IFERROR(IF(VLOOKUP(TableHandbook[[#This Row],[UDC]],TableAvailabilities[],4,FALSE)&gt;0,"Y",""),"")</f>
        <v/>
      </c>
      <c r="J99" s="203" t="str">
        <f>IFERROR(IF(VLOOKUP(TableHandbook[[#This Row],[UDC]],TableAvailabilities[],5,FALSE)&gt;0,"Y",""),"")</f>
        <v/>
      </c>
      <c r="K99" s="2"/>
      <c r="L99" s="206" t="str">
        <f>IFERROR(VLOOKUP(TableHandbook[[#This Row],[UDC]],TableOMTEACH1[],7,FALSE),"")</f>
        <v/>
      </c>
      <c r="M99" s="204" t="str">
        <f>IFERROR(VLOOKUP(TableHandbook[[#This Row],[UDC]],TableOUMPTCHEC[],7,FALSE),"")</f>
        <v/>
      </c>
      <c r="N99" s="204" t="str">
        <f>IFERROR(VLOOKUP(TableHandbook[[#This Row],[UDC]],TableOUMPTCHPE[],7,FALSE),"")</f>
        <v/>
      </c>
      <c r="O99" s="204" t="str">
        <f>IFERROR(VLOOKUP(TableHandbook[[#This Row],[UDC]],TableOUMPTCHSE[],7,FALSE),"")</f>
        <v/>
      </c>
      <c r="P99" s="206" t="str">
        <f>IFERROR(VLOOKUP(TableHandbook[[#This Row],[UDC]],TableOCTESOL1[],7,FALSE),"")</f>
        <v/>
      </c>
      <c r="Q99" s="204" t="str">
        <f>IFERROR(VLOOKUP(TableHandbook[[#This Row],[UDC]],TableOCTESOL[],7,FALSE),"")</f>
        <v/>
      </c>
      <c r="R99" s="204" t="str">
        <f>IFERROR(VLOOKUP(TableHandbook[[#This Row],[UDC]],TableOMAPLING[],7,FALSE),"")</f>
        <v/>
      </c>
      <c r="S99" s="206" t="str">
        <f>IFERROR(VLOOKUP(TableHandbook[[#This Row],[UDC]],TableOCEDHE1[],7,FALSE),"")</f>
        <v/>
      </c>
      <c r="T99" s="204" t="str">
        <f>IFERROR(VLOOKUP(TableHandbook[[#This Row],[UDC]],TableOCEDHE[],7,FALSE),"")</f>
        <v/>
      </c>
      <c r="U99" s="204" t="str">
        <f>IFERROR(VLOOKUP(TableHandbook[[#This Row],[UDC]],TableOCEDUCS1[],7,FALSE),"")</f>
        <v/>
      </c>
      <c r="V99" s="204" t="str">
        <f>IFERROR(VLOOKUP(TableHandbook[[#This Row],[UDC]],TableOCEDUC[],7,FALSE),"")</f>
        <v/>
      </c>
      <c r="W99" s="204" t="str">
        <f>IFERROR(VLOOKUP(TableHandbook[[#This Row],[UDC]],TableOGEDUC[],7,FALSE),"")</f>
        <v/>
      </c>
      <c r="X99" s="204" t="str">
        <f>IFERROR(VLOOKUP(TableHandbook[[#This Row],[UDC]],TableOUMPEDUPR[],7,FALSE),"")</f>
        <v/>
      </c>
      <c r="Y99" s="204" t="str">
        <f>IFERROR(VLOOKUP(TableHandbook[[#This Row],[UDC]],TableOUMPEDUSC[],7,FALSE),"")</f>
        <v/>
      </c>
      <c r="Z99" s="206" t="str">
        <f>IFERROR(VLOOKUP(TableHandbook[[#This Row],[UDC]],TableOMEDUC[],7,FALSE),"")</f>
        <v/>
      </c>
      <c r="AA99" s="204" t="str">
        <f>IFERROR(VLOOKUP(TableHandbook[[#This Row],[UDC]],TableOSEPCULIN[],7,FALSE),"")</f>
        <v/>
      </c>
      <c r="AB99" s="204" t="str">
        <f>IFERROR(VLOOKUP(TableHandbook[[#This Row],[UDC]],TableOSEPLNTCH[],7,FALSE),"")</f>
        <v/>
      </c>
      <c r="AC99" s="204" t="str">
        <f>IFERROR(VLOOKUP(TableHandbook[[#This Row],[UDC]],TableOSEPSTEME[],7,FALSE),"")</f>
        <v/>
      </c>
    </row>
  </sheetData>
  <sortState xmlns:xlrd2="http://schemas.microsoft.com/office/spreadsheetml/2017/richdata2" ref="A24:D38">
    <sortCondition ref="A24"/>
  </sortState>
  <conditionalFormatting sqref="A3:A99">
    <cfRule type="duplicateValues" dxfId="99" priority="120"/>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A2" sqref="A2"/>
      <selection pane="bottomLeft" activeCell="A2" sqref="A2"/>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1.5" bestFit="1" customWidth="1"/>
    <col min="16" max="16" width="9" customWidth="1"/>
    <col min="17" max="17" width="13.75" customWidth="1"/>
    <col min="18" max="18" width="11.5" bestFit="1" customWidth="1"/>
  </cols>
  <sheetData>
    <row r="1" spans="1:18" x14ac:dyDescent="0.25">
      <c r="A1" s="65" t="s">
        <v>358</v>
      </c>
      <c r="P1" s="209">
        <v>45658</v>
      </c>
    </row>
    <row r="2" spans="1:18" x14ac:dyDescent="0.25">
      <c r="B2"/>
      <c r="E2"/>
      <c r="F2" s="258"/>
      <c r="G2" s="262" t="s">
        <v>359</v>
      </c>
      <c r="H2" s="263">
        <v>45972</v>
      </c>
      <c r="I2" s="264"/>
      <c r="J2" s="259" t="s">
        <v>38</v>
      </c>
      <c r="K2" s="260">
        <v>2</v>
      </c>
      <c r="L2" s="259" t="s">
        <v>360</v>
      </c>
      <c r="M2" s="261"/>
      <c r="N2" s="208">
        <v>44562</v>
      </c>
      <c r="O2" s="263"/>
    </row>
    <row r="3" spans="1:18" x14ac:dyDescent="0.25">
      <c r="A3" t="s">
        <v>3</v>
      </c>
      <c r="B3" s="1" t="s">
        <v>361</v>
      </c>
      <c r="C3" t="s">
        <v>362</v>
      </c>
      <c r="D3" t="s">
        <v>363</v>
      </c>
      <c r="E3" s="82" t="s">
        <v>364</v>
      </c>
      <c r="F3" t="s">
        <v>365</v>
      </c>
      <c r="G3" t="s">
        <v>366</v>
      </c>
      <c r="H3" t="s">
        <v>367</v>
      </c>
      <c r="I3" t="s">
        <v>368</v>
      </c>
      <c r="J3" t="s">
        <v>369</v>
      </c>
      <c r="K3" t="s">
        <v>98</v>
      </c>
      <c r="L3" t="s">
        <v>370</v>
      </c>
      <c r="M3" t="s">
        <v>8</v>
      </c>
      <c r="N3" s="171" t="s">
        <v>371</v>
      </c>
      <c r="O3" s="171" t="s">
        <v>372</v>
      </c>
      <c r="Q3" t="s">
        <v>373</v>
      </c>
      <c r="R3" t="s">
        <v>374</v>
      </c>
    </row>
    <row r="4" spans="1:18" x14ac:dyDescent="0.25">
      <c r="A4" t="str">
        <f>TableOMTEACH1[[#This Row],[Study Package Code]]</f>
        <v>Major</v>
      </c>
      <c r="B4" s="1">
        <f>TableOMTEACH1[[#This Row],[Ver]]</f>
        <v>0</v>
      </c>
      <c r="C4" t="str">
        <f>IF(TableOMTEACH1[[#This Row],[Ver]]&gt;0,_xlfn.TEXTBEFORE(TableOMTEACH1[[#This Row],[Structure Line]]," "),"")</f>
        <v/>
      </c>
      <c r="D4" t="str">
        <f>IF(TableOMTEACH1[[#This Row],[OUA Code]]&lt;&gt;"",_xlfn.TEXTAFTER(TableOMTEACH1[[#This Row],[Structure Line]]," "),TableOMTEACH1[[#This Row],[Structure Line]])</f>
        <v>Master of Teaching Major List</v>
      </c>
      <c r="E4" s="82">
        <f>TableOMTEACH1[[#This Row],[Credit Points]]</f>
        <v>400</v>
      </c>
      <c r="F4">
        <v>1</v>
      </c>
      <c r="G4" t="s">
        <v>375</v>
      </c>
      <c r="H4">
        <v>1</v>
      </c>
      <c r="I4" t="s">
        <v>376</v>
      </c>
      <c r="J4" t="s">
        <v>377</v>
      </c>
      <c r="K4">
        <v>0</v>
      </c>
      <c r="L4" t="s">
        <v>378</v>
      </c>
      <c r="M4">
        <v>400</v>
      </c>
      <c r="N4" s="172"/>
      <c r="O4" s="172"/>
      <c r="Q4" t="s">
        <v>377</v>
      </c>
      <c r="R4">
        <v>0</v>
      </c>
    </row>
    <row r="5" spans="1:18" x14ac:dyDescent="0.25">
      <c r="A5" t="str">
        <f>TableOMTEACH1[[#This Row],[Study Package Code]]</f>
        <v>OUMP-TCHEC</v>
      </c>
      <c r="B5" s="1">
        <f>TableOMTEACH1[[#This Row],[Ver]]</f>
        <v>2</v>
      </c>
      <c r="D5" t="str">
        <f>IF(TableOMTEACH1[[#This Row],[OUA Code]]&lt;&gt;"",_xlfn.TEXTAFTER(TableOMTEACH1[[#This Row],[Structure Line]]," "),TableOMTEACH1[[#This Row],[Structure Line]])</f>
        <v>Early Childhood Education Major (MTeach OpenUnis)</v>
      </c>
      <c r="E5" s="82">
        <f>TableOMTEACH1[[#This Row],[Credit Points]]</f>
        <v>400</v>
      </c>
      <c r="F5">
        <v>1</v>
      </c>
      <c r="G5" t="s">
        <v>375</v>
      </c>
      <c r="H5">
        <v>1</v>
      </c>
      <c r="I5" t="s">
        <v>376</v>
      </c>
      <c r="J5" t="s">
        <v>44</v>
      </c>
      <c r="K5">
        <v>2</v>
      </c>
      <c r="L5" t="s">
        <v>43</v>
      </c>
      <c r="M5">
        <v>400</v>
      </c>
      <c r="N5" s="172">
        <v>44562</v>
      </c>
      <c r="O5" s="172"/>
      <c r="Q5" t="s">
        <v>44</v>
      </c>
      <c r="R5">
        <v>2</v>
      </c>
    </row>
    <row r="6" spans="1:18" x14ac:dyDescent="0.25">
      <c r="A6" t="str">
        <f>TableOMTEACH1[[#This Row],[Study Package Code]]</f>
        <v>OUMP-TCHPE</v>
      </c>
      <c r="B6" s="1">
        <f>TableOMTEACH1[[#This Row],[Ver]]</f>
        <v>2</v>
      </c>
      <c r="D6" t="str">
        <f>IF(TableOMTEACH1[[#This Row],[OUA Code]]&lt;&gt;"",_xlfn.TEXTAFTER(TableOMTEACH1[[#This Row],[Structure Line]]," "),TableOMTEACH1[[#This Row],[Structure Line]])</f>
        <v>Primary Education Major (MTeach OpenUnis)</v>
      </c>
      <c r="E6" s="82">
        <f>TableOMTEACH1[[#This Row],[Credit Points]]</f>
        <v>400</v>
      </c>
      <c r="F6">
        <v>1</v>
      </c>
      <c r="G6" t="s">
        <v>375</v>
      </c>
      <c r="H6">
        <v>1</v>
      </c>
      <c r="I6" t="s">
        <v>376</v>
      </c>
      <c r="J6" t="s">
        <v>46</v>
      </c>
      <c r="K6">
        <v>2</v>
      </c>
      <c r="L6" t="s">
        <v>45</v>
      </c>
      <c r="M6">
        <v>400</v>
      </c>
      <c r="N6" s="172">
        <v>44562</v>
      </c>
      <c r="O6" s="172"/>
      <c r="Q6" t="s">
        <v>46</v>
      </c>
      <c r="R6">
        <v>2</v>
      </c>
    </row>
    <row r="7" spans="1:18" x14ac:dyDescent="0.25">
      <c r="A7" t="str">
        <f>TableOMTEACH1[[#This Row],[Study Package Code]]</f>
        <v>OUMP-TCHSE</v>
      </c>
      <c r="B7" s="1">
        <f>TableOMTEACH1[[#This Row],[Ver]]</f>
        <v>3</v>
      </c>
      <c r="D7" t="str">
        <f>IF(TableOMTEACH1[[#This Row],[OUA Code]]&lt;&gt;"",_xlfn.TEXTAFTER(TableOMTEACH1[[#This Row],[Structure Line]]," "),TableOMTEACH1[[#This Row],[Structure Line]])</f>
        <v>Secondary Education Major (MTeach OpenUnis)</v>
      </c>
      <c r="E7" s="82">
        <f>TableOMTEACH1[[#This Row],[Credit Points]]</f>
        <v>400</v>
      </c>
      <c r="F7">
        <v>1</v>
      </c>
      <c r="G7" t="s">
        <v>375</v>
      </c>
      <c r="H7">
        <v>1</v>
      </c>
      <c r="I7" t="s">
        <v>376</v>
      </c>
      <c r="J7" t="s">
        <v>48</v>
      </c>
      <c r="K7">
        <v>3</v>
      </c>
      <c r="L7" t="s">
        <v>47</v>
      </c>
      <c r="M7">
        <v>400</v>
      </c>
      <c r="N7" s="172">
        <v>44562</v>
      </c>
      <c r="O7" s="172"/>
      <c r="Q7" t="s">
        <v>48</v>
      </c>
      <c r="R7">
        <v>3</v>
      </c>
    </row>
    <row r="8" spans="1:18" x14ac:dyDescent="0.25">
      <c r="B8"/>
      <c r="E8"/>
      <c r="F8" s="258"/>
      <c r="G8" s="262" t="s">
        <v>359</v>
      </c>
      <c r="H8" s="263">
        <v>45972</v>
      </c>
      <c r="I8" s="264"/>
      <c r="J8" s="259" t="s">
        <v>44</v>
      </c>
      <c r="K8" s="260">
        <v>2</v>
      </c>
      <c r="L8" s="259" t="s">
        <v>43</v>
      </c>
      <c r="M8" s="261"/>
      <c r="N8" s="208">
        <v>44562</v>
      </c>
      <c r="O8" s="263"/>
    </row>
    <row r="9" spans="1:18" x14ac:dyDescent="0.25">
      <c r="A9" t="s">
        <v>3</v>
      </c>
      <c r="B9" s="1" t="s">
        <v>361</v>
      </c>
      <c r="C9" t="s">
        <v>362</v>
      </c>
      <c r="D9" t="s">
        <v>363</v>
      </c>
      <c r="E9" s="82" t="s">
        <v>364</v>
      </c>
      <c r="F9" t="s">
        <v>365</v>
      </c>
      <c r="G9" t="s">
        <v>366</v>
      </c>
      <c r="H9" t="s">
        <v>367</v>
      </c>
      <c r="I9" t="s">
        <v>368</v>
      </c>
      <c r="J9" t="s">
        <v>369</v>
      </c>
      <c r="K9" t="s">
        <v>98</v>
      </c>
      <c r="L9" t="s">
        <v>370</v>
      </c>
      <c r="M9" t="s">
        <v>8</v>
      </c>
      <c r="N9" s="171" t="s">
        <v>371</v>
      </c>
      <c r="O9" s="171" t="s">
        <v>372</v>
      </c>
      <c r="Q9" t="s">
        <v>373</v>
      </c>
      <c r="R9" t="s">
        <v>374</v>
      </c>
    </row>
    <row r="10" spans="1:18" x14ac:dyDescent="0.25">
      <c r="A10" t="str">
        <f>TableOUMPTCHEC[[#This Row],[Study Package Code]]</f>
        <v>EDUC5032</v>
      </c>
      <c r="B10" s="1">
        <f>TableOUMPTCHEC[[#This Row],[Ver]]</f>
        <v>1</v>
      </c>
      <c r="C10" t="str">
        <f>IF(TableOUMPTCHEC[[#This Row],[Ver]]&gt;0,_xlfn.TEXTBEFORE(TableOUMPTCHEC[[#This Row],[Structure Line]]," "),"")</f>
        <v>MTC510</v>
      </c>
      <c r="D10" t="str">
        <f>IF(TableOUMPTCHEC[[#This Row],[OUA Code]]&lt;&gt;"",_xlfn.TEXTAFTER(TableOUMPTCHEC[[#This Row],[Structure Line]]," "),TableOUMPTCHEC[[#This Row],[Structure Line]])</f>
        <v>Introduction to English: Reading</v>
      </c>
      <c r="E10" s="82">
        <f>TableOUMPTCHEC[[#This Row],[Credit Points]]</f>
        <v>25</v>
      </c>
      <c r="F10">
        <v>1</v>
      </c>
      <c r="G10" t="s">
        <v>379</v>
      </c>
      <c r="H10">
        <v>1</v>
      </c>
      <c r="I10" t="s">
        <v>376</v>
      </c>
      <c r="J10" t="s">
        <v>265</v>
      </c>
      <c r="K10">
        <v>1</v>
      </c>
      <c r="L10" t="s">
        <v>380</v>
      </c>
      <c r="M10">
        <v>25</v>
      </c>
      <c r="N10" s="172">
        <v>44562</v>
      </c>
      <c r="O10" s="172"/>
      <c r="Q10" t="s">
        <v>265</v>
      </c>
      <c r="R10">
        <v>1</v>
      </c>
    </row>
    <row r="11" spans="1:18" x14ac:dyDescent="0.25">
      <c r="A11" t="str">
        <f>TableOUMPTCHEC[[#This Row],[Study Package Code]]</f>
        <v>EDEC5013</v>
      </c>
      <c r="B11" s="1">
        <f>TableOUMPTCHEC[[#This Row],[Ver]]</f>
        <v>1</v>
      </c>
      <c r="C11" t="str">
        <f>IF(TableOUMPTCHEC[[#This Row],[Ver]]&gt;0,_xlfn.TEXTBEFORE(TableOUMPTCHEC[[#This Row],[Structure Line]]," "),"")</f>
        <v>MTEC501</v>
      </c>
      <c r="D11" t="str">
        <f>IF(TableOUMPTCHEC[[#This Row],[OUA Code]]&lt;&gt;"",_xlfn.TEXTAFTER(TableOUMPTCHEC[[#This Row],[Structure Line]]," "),TableOUMPTCHEC[[#This Row],[Structure Line]])</f>
        <v>Early Childhood Professional Experience 1: Planning and Documentation</v>
      </c>
      <c r="E11" s="82">
        <f>TableOUMPTCHEC[[#This Row],[Credit Points]]</f>
        <v>25</v>
      </c>
      <c r="F11">
        <v>2</v>
      </c>
      <c r="G11" t="s">
        <v>379</v>
      </c>
      <c r="H11">
        <v>1</v>
      </c>
      <c r="I11" t="s">
        <v>376</v>
      </c>
      <c r="J11" t="s">
        <v>116</v>
      </c>
      <c r="K11">
        <v>1</v>
      </c>
      <c r="L11" t="s">
        <v>381</v>
      </c>
      <c r="M11">
        <v>25</v>
      </c>
      <c r="N11" s="172">
        <v>43101</v>
      </c>
      <c r="O11" s="172"/>
      <c r="Q11" t="s">
        <v>116</v>
      </c>
      <c r="R11">
        <v>1</v>
      </c>
    </row>
    <row r="12" spans="1:18" x14ac:dyDescent="0.25">
      <c r="A12" t="str">
        <f>TableOUMPTCHEC[[#This Row],[Study Package Code]]</f>
        <v>EDEC5015</v>
      </c>
      <c r="B12" s="1">
        <f>TableOUMPTCHEC[[#This Row],[Ver]]</f>
        <v>2</v>
      </c>
      <c r="C12" t="str">
        <f>IF(TableOUMPTCHEC[[#This Row],[Ver]]&gt;0,_xlfn.TEXTBEFORE(TableOUMPTCHEC[[#This Row],[Structure Line]]," "),"")</f>
        <v>MTEC502</v>
      </c>
      <c r="D12" t="str">
        <f>IF(TableOUMPTCHEC[[#This Row],[OUA Code]]&lt;&gt;"",_xlfn.TEXTAFTER(TableOUMPTCHEC[[#This Row],[Structure Line]]," "),TableOUMPTCHEC[[#This Row],[Structure Line]])</f>
        <v>Early Childhood Professional Experience 2: Planning for Writing, Assessment and Reporting</v>
      </c>
      <c r="E12" s="82">
        <f>TableOUMPTCHEC[[#This Row],[Credit Points]]</f>
        <v>25</v>
      </c>
      <c r="F12">
        <v>3</v>
      </c>
      <c r="G12" t="s">
        <v>379</v>
      </c>
      <c r="H12">
        <v>1</v>
      </c>
      <c r="I12" t="s">
        <v>376</v>
      </c>
      <c r="J12" t="s">
        <v>120</v>
      </c>
      <c r="K12">
        <v>2</v>
      </c>
      <c r="L12" t="s">
        <v>382</v>
      </c>
      <c r="M12">
        <v>25</v>
      </c>
      <c r="N12" s="172">
        <v>44562</v>
      </c>
      <c r="O12" s="172"/>
      <c r="Q12" t="s">
        <v>120</v>
      </c>
      <c r="R12">
        <v>2</v>
      </c>
    </row>
    <row r="13" spans="1:18" x14ac:dyDescent="0.25">
      <c r="A13" t="str">
        <f>TableOUMPTCHEC[[#This Row],[Study Package Code]]</f>
        <v>EDEC5016</v>
      </c>
      <c r="B13" s="1">
        <f>TableOUMPTCHEC[[#This Row],[Ver]]</f>
        <v>1</v>
      </c>
      <c r="C13" t="str">
        <f>IF(TableOUMPTCHEC[[#This Row],[Ver]]&gt;0,_xlfn.TEXTBEFORE(TableOUMPTCHEC[[#This Row],[Structure Line]]," "),"")</f>
        <v>MTEC503</v>
      </c>
      <c r="D13" t="str">
        <f>IF(TableOUMPTCHEC[[#This Row],[OUA Code]]&lt;&gt;"",_xlfn.TEXTAFTER(TableOUMPTCHEC[[#This Row],[Structure Line]]," "),TableOUMPTCHEC[[#This Row],[Structure Line]])</f>
        <v>Numeracy for 5 to 8 Year-Olds</v>
      </c>
      <c r="E13" s="82">
        <f>TableOUMPTCHEC[[#This Row],[Credit Points]]</f>
        <v>25</v>
      </c>
      <c r="F13">
        <v>4</v>
      </c>
      <c r="G13" t="s">
        <v>379</v>
      </c>
      <c r="H13">
        <v>1</v>
      </c>
      <c r="I13" t="s">
        <v>376</v>
      </c>
      <c r="J13" t="s">
        <v>125</v>
      </c>
      <c r="K13">
        <v>1</v>
      </c>
      <c r="L13" t="s">
        <v>383</v>
      </c>
      <c r="M13">
        <v>25</v>
      </c>
      <c r="N13" s="172">
        <v>43101</v>
      </c>
      <c r="O13" s="172"/>
      <c r="Q13" t="s">
        <v>125</v>
      </c>
      <c r="R13">
        <v>1</v>
      </c>
    </row>
    <row r="14" spans="1:18" x14ac:dyDescent="0.25">
      <c r="A14" t="str">
        <f>TableOUMPTCHEC[[#This Row],[Study Package Code]]</f>
        <v>EDEC5020</v>
      </c>
      <c r="B14" s="1">
        <f>TableOUMPTCHEC[[#This Row],[Ver]]</f>
        <v>1</v>
      </c>
      <c r="C14" t="str">
        <f>IF(TableOUMPTCHEC[[#This Row],[Ver]]&gt;0,_xlfn.TEXTBEFORE(TableOUMPTCHEC[[#This Row],[Structure Line]]," "),"")</f>
        <v>MTEC504</v>
      </c>
      <c r="D14" t="str">
        <f>IF(TableOUMPTCHEC[[#This Row],[OUA Code]]&lt;&gt;"",_xlfn.TEXTAFTER(TableOUMPTCHEC[[#This Row],[Structure Line]]," "),TableOUMPTCHEC[[#This Row],[Structure Line]])</f>
        <v>Health, Safety and Physical Education in Early Childhood</v>
      </c>
      <c r="E14" s="82">
        <f>TableOUMPTCHEC[[#This Row],[Credit Points]]</f>
        <v>25</v>
      </c>
      <c r="F14">
        <v>5</v>
      </c>
      <c r="G14" t="s">
        <v>379</v>
      </c>
      <c r="H14">
        <v>1</v>
      </c>
      <c r="I14" t="s">
        <v>376</v>
      </c>
      <c r="J14" t="s">
        <v>137</v>
      </c>
      <c r="K14">
        <v>1</v>
      </c>
      <c r="L14" t="s">
        <v>384</v>
      </c>
      <c r="M14">
        <v>25</v>
      </c>
      <c r="N14" s="172">
        <v>43101</v>
      </c>
      <c r="O14" s="172"/>
      <c r="Q14" t="s">
        <v>137</v>
      </c>
      <c r="R14">
        <v>1</v>
      </c>
    </row>
    <row r="15" spans="1:18" x14ac:dyDescent="0.25">
      <c r="A15" t="str">
        <f>TableOUMPTCHEC[[#This Row],[Study Package Code]]</f>
        <v>EDEC5017</v>
      </c>
      <c r="B15" s="1">
        <f>TableOUMPTCHEC[[#This Row],[Ver]]</f>
        <v>1</v>
      </c>
      <c r="C15" t="str">
        <f>IF(TableOUMPTCHEC[[#This Row],[Ver]]&gt;0,_xlfn.TEXTBEFORE(TableOUMPTCHEC[[#This Row],[Structure Line]]," "),"")</f>
        <v>MTEC507</v>
      </c>
      <c r="D15" t="str">
        <f>IF(TableOUMPTCHEC[[#This Row],[OUA Code]]&lt;&gt;"",_xlfn.TEXTAFTER(TableOUMPTCHEC[[#This Row],[Structure Line]]," "),TableOUMPTCHEC[[#This Row],[Structure Line]])</f>
        <v>Family and Community Contexts</v>
      </c>
      <c r="E15" s="82">
        <f>TableOUMPTCHEC[[#This Row],[Credit Points]]</f>
        <v>25</v>
      </c>
      <c r="F15">
        <v>6</v>
      </c>
      <c r="G15" t="s">
        <v>379</v>
      </c>
      <c r="H15">
        <v>1</v>
      </c>
      <c r="I15" t="s">
        <v>376</v>
      </c>
      <c r="J15" t="s">
        <v>128</v>
      </c>
      <c r="K15">
        <v>1</v>
      </c>
      <c r="L15" t="s">
        <v>385</v>
      </c>
      <c r="M15">
        <v>25</v>
      </c>
      <c r="N15" s="172">
        <v>43101</v>
      </c>
      <c r="O15" s="172"/>
      <c r="Q15" t="s">
        <v>128</v>
      </c>
      <c r="R15">
        <v>1</v>
      </c>
    </row>
    <row r="16" spans="1:18" x14ac:dyDescent="0.25">
      <c r="A16" t="str">
        <f>TableOUMPTCHEC[[#This Row],[Study Package Code]]</f>
        <v>EDUC5013</v>
      </c>
      <c r="B16" s="1">
        <f>TableOUMPTCHEC[[#This Row],[Ver]]</f>
        <v>1</v>
      </c>
      <c r="C16" t="str">
        <f>IF(TableOUMPTCHEC[[#This Row],[Ver]]&gt;0,_xlfn.TEXTBEFORE(TableOUMPTCHEC[[#This Row],[Structure Line]]," "),"")</f>
        <v>MTP503</v>
      </c>
      <c r="D16" t="str">
        <f>IF(TableOUMPTCHEC[[#This Row],[OUA Code]]&lt;&gt;"",_xlfn.TEXTAFTER(TableOUMPTCHEC[[#This Row],[Structure Line]]," "),TableOUMPTCHEC[[#This Row],[Structure Line]])</f>
        <v>Developing Positive Learning Environments</v>
      </c>
      <c r="E16" s="82">
        <f>TableOUMPTCHEC[[#This Row],[Credit Points]]</f>
        <v>25</v>
      </c>
      <c r="F16">
        <v>7</v>
      </c>
      <c r="G16" t="s">
        <v>379</v>
      </c>
      <c r="H16">
        <v>1</v>
      </c>
      <c r="I16" t="s">
        <v>376</v>
      </c>
      <c r="J16" t="s">
        <v>241</v>
      </c>
      <c r="K16">
        <v>1</v>
      </c>
      <c r="L16" t="s">
        <v>386</v>
      </c>
      <c r="M16">
        <v>25</v>
      </c>
      <c r="N16" s="172">
        <v>42736</v>
      </c>
      <c r="O16" s="172"/>
      <c r="Q16" t="s">
        <v>241</v>
      </c>
      <c r="R16">
        <v>1</v>
      </c>
    </row>
    <row r="17" spans="1:18" x14ac:dyDescent="0.25">
      <c r="A17" t="str">
        <f>TableOUMPTCHEC[[#This Row],[Study Package Code]]</f>
        <v>EDUC5012</v>
      </c>
      <c r="B17" s="1">
        <f>TableOUMPTCHEC[[#This Row],[Ver]]</f>
        <v>2</v>
      </c>
      <c r="C17" t="str">
        <f>IF(TableOUMPTCHEC[[#This Row],[Ver]]&gt;0,_xlfn.TEXTBEFORE(TableOUMPTCHEC[[#This Row],[Structure Line]]," "),"")</f>
        <v>MTPS500</v>
      </c>
      <c r="D17" t="str">
        <f>IF(TableOUMPTCHEC[[#This Row],[OUA Code]]&lt;&gt;"",_xlfn.TEXTAFTER(TableOUMPTCHEC[[#This Row],[Structure Line]]," "),TableOUMPTCHEC[[#This Row],[Structure Line]])</f>
        <v>Theories of Development and Learning</v>
      </c>
      <c r="E17" s="82">
        <f>TableOUMPTCHEC[[#This Row],[Credit Points]]</f>
        <v>25</v>
      </c>
      <c r="F17">
        <v>8</v>
      </c>
      <c r="G17" t="s">
        <v>379</v>
      </c>
      <c r="H17">
        <v>1</v>
      </c>
      <c r="I17" t="s">
        <v>376</v>
      </c>
      <c r="J17" t="s">
        <v>239</v>
      </c>
      <c r="K17">
        <v>2</v>
      </c>
      <c r="L17" t="s">
        <v>387</v>
      </c>
      <c r="M17">
        <v>25</v>
      </c>
      <c r="N17" s="172">
        <v>44197</v>
      </c>
      <c r="O17" s="172"/>
      <c r="Q17" t="s">
        <v>239</v>
      </c>
      <c r="R17">
        <v>2</v>
      </c>
    </row>
    <row r="18" spans="1:18" x14ac:dyDescent="0.25">
      <c r="A18" t="str">
        <f>TableOUMPTCHEC[[#This Row],[Study Package Code]]</f>
        <v>EDUC6063</v>
      </c>
      <c r="B18" s="1">
        <f>TableOUMPTCHEC[[#This Row],[Ver]]</f>
        <v>1</v>
      </c>
      <c r="C18" t="str">
        <f>IF(TableOUMPTCHEC[[#This Row],[Ver]]&gt;0,_xlfn.TEXTBEFORE(TableOUMPTCHEC[[#This Row],[Structure Line]]," "),"")</f>
        <v>MTC600</v>
      </c>
      <c r="D18" t="str">
        <f>IF(TableOUMPTCHEC[[#This Row],[OUA Code]]&lt;&gt;"",_xlfn.TEXTAFTER(TableOUMPTCHEC[[#This Row],[Structure Line]]," "),TableOUMPTCHEC[[#This Row],[Structure Line]])</f>
        <v>Professional Experience 3: Using Data to Inform Teaching and Learning</v>
      </c>
      <c r="E18" s="82">
        <f>TableOUMPTCHEC[[#This Row],[Credit Points]]</f>
        <v>25</v>
      </c>
      <c r="F18">
        <v>9</v>
      </c>
      <c r="G18" t="s">
        <v>379</v>
      </c>
      <c r="H18">
        <v>2</v>
      </c>
      <c r="I18" t="s">
        <v>376</v>
      </c>
      <c r="J18" t="s">
        <v>314</v>
      </c>
      <c r="K18">
        <v>1</v>
      </c>
      <c r="L18" t="s">
        <v>388</v>
      </c>
      <c r="M18">
        <v>25</v>
      </c>
      <c r="N18" s="172">
        <v>44562</v>
      </c>
      <c r="O18" s="172"/>
      <c r="Q18" t="s">
        <v>314</v>
      </c>
      <c r="R18">
        <v>1</v>
      </c>
    </row>
    <row r="19" spans="1:18" x14ac:dyDescent="0.25">
      <c r="A19" t="str">
        <f>TableOUMPTCHEC[[#This Row],[Study Package Code]]</f>
        <v>EDUC6065</v>
      </c>
      <c r="B19" s="1">
        <f>TableOUMPTCHEC[[#This Row],[Ver]]</f>
        <v>1</v>
      </c>
      <c r="C19" t="str">
        <f>IF(TableOUMPTCHEC[[#This Row],[Ver]]&gt;0,_xlfn.TEXTBEFORE(TableOUMPTCHEC[[#This Row],[Structure Line]]," "),"")</f>
        <v>MTC610</v>
      </c>
      <c r="D19" t="str">
        <f>IF(TableOUMPTCHEC[[#This Row],[OUA Code]]&lt;&gt;"",_xlfn.TEXTAFTER(TableOUMPTCHEC[[#This Row],[Structure Line]]," "),TableOUMPTCHEC[[#This Row],[Structure Line]])</f>
        <v>Professional Experience 4: Transition into the Profession</v>
      </c>
      <c r="E19" s="82">
        <f>TableOUMPTCHEC[[#This Row],[Credit Points]]</f>
        <v>25</v>
      </c>
      <c r="F19">
        <v>10</v>
      </c>
      <c r="G19" t="s">
        <v>379</v>
      </c>
      <c r="H19">
        <v>2</v>
      </c>
      <c r="I19" t="s">
        <v>376</v>
      </c>
      <c r="J19" t="s">
        <v>318</v>
      </c>
      <c r="K19">
        <v>1</v>
      </c>
      <c r="L19" t="s">
        <v>389</v>
      </c>
      <c r="M19">
        <v>25</v>
      </c>
      <c r="N19" s="172">
        <v>44562</v>
      </c>
      <c r="O19" s="172"/>
      <c r="Q19" t="s">
        <v>318</v>
      </c>
      <c r="R19">
        <v>1</v>
      </c>
    </row>
    <row r="20" spans="1:18" x14ac:dyDescent="0.25">
      <c r="A20" t="str">
        <f>TableOUMPTCHEC[[#This Row],[Study Package Code]]</f>
        <v>EDEC5012</v>
      </c>
      <c r="B20" s="1">
        <f>TableOUMPTCHEC[[#This Row],[Ver]]</f>
        <v>1</v>
      </c>
      <c r="C20" t="str">
        <f>IF(TableOUMPTCHEC[[#This Row],[Ver]]&gt;0,_xlfn.TEXTBEFORE(TableOUMPTCHEC[[#This Row],[Structure Line]]," "),"")</f>
        <v>MTEC506</v>
      </c>
      <c r="D20" t="str">
        <f>IF(TableOUMPTCHEC[[#This Row],[OUA Code]]&lt;&gt;"",_xlfn.TEXTAFTER(TableOUMPTCHEC[[#This Row],[Structure Line]]," "),TableOUMPTCHEC[[#This Row],[Structure Line]])</f>
        <v>Numeracy for Birth to 4 Year-Olds</v>
      </c>
      <c r="E20" s="82">
        <f>TableOUMPTCHEC[[#This Row],[Credit Points]]</f>
        <v>25</v>
      </c>
      <c r="F20">
        <v>11</v>
      </c>
      <c r="G20" t="s">
        <v>379</v>
      </c>
      <c r="H20">
        <v>2</v>
      </c>
      <c r="I20" t="s">
        <v>376</v>
      </c>
      <c r="J20" t="s">
        <v>112</v>
      </c>
      <c r="K20">
        <v>1</v>
      </c>
      <c r="L20" t="s">
        <v>390</v>
      </c>
      <c r="M20">
        <v>25</v>
      </c>
      <c r="N20" s="172">
        <v>43101</v>
      </c>
      <c r="O20" s="172"/>
      <c r="Q20" t="s">
        <v>112</v>
      </c>
      <c r="R20">
        <v>1</v>
      </c>
    </row>
    <row r="21" spans="1:18" x14ac:dyDescent="0.25">
      <c r="A21" t="str">
        <f>TableOUMPTCHEC[[#This Row],[Study Package Code]]</f>
        <v>EDEC5019</v>
      </c>
      <c r="B21" s="1">
        <f>TableOUMPTCHEC[[#This Row],[Ver]]</f>
        <v>1</v>
      </c>
      <c r="C21" t="str">
        <f>IF(TableOUMPTCHEC[[#This Row],[Ver]]&gt;0,_xlfn.TEXTBEFORE(TableOUMPTCHEC[[#This Row],[Structure Line]]," "),"")</f>
        <v>MTEC508</v>
      </c>
      <c r="D21" t="str">
        <f>IF(TableOUMPTCHEC[[#This Row],[OUA Code]]&lt;&gt;"",_xlfn.TEXTAFTER(TableOUMPTCHEC[[#This Row],[Structure Line]]," "),TableOUMPTCHEC[[#This Row],[Structure Line]])</f>
        <v>Humanities and Science in Early Childhood</v>
      </c>
      <c r="E21" s="82">
        <f>TableOUMPTCHEC[[#This Row],[Credit Points]]</f>
        <v>25</v>
      </c>
      <c r="F21">
        <v>12</v>
      </c>
      <c r="G21" t="s">
        <v>379</v>
      </c>
      <c r="H21">
        <v>2</v>
      </c>
      <c r="I21" t="s">
        <v>376</v>
      </c>
      <c r="J21" t="s">
        <v>134</v>
      </c>
      <c r="K21">
        <v>1</v>
      </c>
      <c r="L21" t="s">
        <v>391</v>
      </c>
      <c r="M21">
        <v>25</v>
      </c>
      <c r="N21" s="172">
        <v>43101</v>
      </c>
      <c r="O21" s="172"/>
      <c r="Q21" t="s">
        <v>134</v>
      </c>
      <c r="R21">
        <v>1</v>
      </c>
    </row>
    <row r="22" spans="1:18" x14ac:dyDescent="0.25">
      <c r="A22" t="str">
        <f>TableOUMPTCHEC[[#This Row],[Study Package Code]]</f>
        <v>EDEC5018</v>
      </c>
      <c r="B22" s="1">
        <f>TableOUMPTCHEC[[#This Row],[Ver]]</f>
        <v>1</v>
      </c>
      <c r="C22" t="str">
        <f>IF(TableOUMPTCHEC[[#This Row],[Ver]]&gt;0,_xlfn.TEXTBEFORE(TableOUMPTCHEC[[#This Row],[Structure Line]]," "),"")</f>
        <v>MTEC509</v>
      </c>
      <c r="D22" t="str">
        <f>IF(TableOUMPTCHEC[[#This Row],[OUA Code]]&lt;&gt;"",_xlfn.TEXTAFTER(TableOUMPTCHEC[[#This Row],[Structure Line]]," "),TableOUMPTCHEC[[#This Row],[Structure Line]])</f>
        <v>Creative and Media Arts in Early Childhood</v>
      </c>
      <c r="E22" s="82">
        <f>TableOUMPTCHEC[[#This Row],[Credit Points]]</f>
        <v>25</v>
      </c>
      <c r="F22">
        <v>13</v>
      </c>
      <c r="G22" t="s">
        <v>379</v>
      </c>
      <c r="H22">
        <v>2</v>
      </c>
      <c r="I22" t="s">
        <v>376</v>
      </c>
      <c r="J22" t="s">
        <v>131</v>
      </c>
      <c r="K22">
        <v>1</v>
      </c>
      <c r="L22" t="s">
        <v>392</v>
      </c>
      <c r="M22">
        <v>25</v>
      </c>
      <c r="N22" s="172">
        <v>43101</v>
      </c>
      <c r="O22" s="172"/>
      <c r="Q22" t="s">
        <v>131</v>
      </c>
      <c r="R22">
        <v>1</v>
      </c>
    </row>
    <row r="23" spans="1:18" x14ac:dyDescent="0.25">
      <c r="A23" t="str">
        <f>TableOUMPTCHEC[[#This Row],[Study Package Code]]</f>
        <v>EDEC6002</v>
      </c>
      <c r="B23" s="1">
        <f>TableOUMPTCHEC[[#This Row],[Ver]]</f>
        <v>1</v>
      </c>
      <c r="C23" t="str">
        <f>IF(TableOUMPTCHEC[[#This Row],[Ver]]&gt;0,_xlfn.TEXTBEFORE(TableOUMPTCHEC[[#This Row],[Structure Line]]," "),"")</f>
        <v>MTEC600</v>
      </c>
      <c r="D23" t="str">
        <f>IF(TableOUMPTCHEC[[#This Row],[OUA Code]]&lt;&gt;"",_xlfn.TEXTAFTER(TableOUMPTCHEC[[#This Row],[Structure Line]]," "),TableOUMPTCHEC[[#This Row],[Structure Line]])</f>
        <v>Early Literacies and Play-Based Pedagogies</v>
      </c>
      <c r="E23" s="82">
        <f>TableOUMPTCHEC[[#This Row],[Credit Points]]</f>
        <v>25</v>
      </c>
      <c r="F23">
        <v>14</v>
      </c>
      <c r="G23" t="s">
        <v>379</v>
      </c>
      <c r="H23">
        <v>2</v>
      </c>
      <c r="I23" t="s">
        <v>376</v>
      </c>
      <c r="J23" t="s">
        <v>140</v>
      </c>
      <c r="K23">
        <v>1</v>
      </c>
      <c r="L23" t="s">
        <v>393</v>
      </c>
      <c r="M23">
        <v>25</v>
      </c>
      <c r="N23" s="172">
        <v>44562</v>
      </c>
      <c r="O23" s="172"/>
      <c r="Q23" t="s">
        <v>140</v>
      </c>
      <c r="R23">
        <v>1</v>
      </c>
    </row>
    <row r="24" spans="1:18" x14ac:dyDescent="0.25">
      <c r="A24" t="str">
        <f>TableOUMPTCHEC[[#This Row],[Study Package Code]]</f>
        <v>EDEC6004</v>
      </c>
      <c r="B24" s="1">
        <f>TableOUMPTCHEC[[#This Row],[Ver]]</f>
        <v>1</v>
      </c>
      <c r="C24" t="str">
        <f>IF(TableOUMPTCHEC[[#This Row],[Ver]]&gt;0,_xlfn.TEXTBEFORE(TableOUMPTCHEC[[#This Row],[Structure Line]]," "),"")</f>
        <v>MTEC610</v>
      </c>
      <c r="D24" t="str">
        <f>IF(TableOUMPTCHEC[[#This Row],[OUA Code]]&lt;&gt;"",_xlfn.TEXTAFTER(TableOUMPTCHEC[[#This Row],[Structure Line]]," "),TableOUMPTCHEC[[#This Row],[Structure Line]])</f>
        <v>Philosophy, Management and Leadership in Early Childhood Education and Care</v>
      </c>
      <c r="E24" s="82">
        <f>TableOUMPTCHEC[[#This Row],[Credit Points]]</f>
        <v>25</v>
      </c>
      <c r="F24">
        <v>15</v>
      </c>
      <c r="G24" t="s">
        <v>379</v>
      </c>
      <c r="H24">
        <v>2</v>
      </c>
      <c r="I24" t="s">
        <v>376</v>
      </c>
      <c r="J24" t="s">
        <v>143</v>
      </c>
      <c r="K24">
        <v>1</v>
      </c>
      <c r="L24" t="s">
        <v>394</v>
      </c>
      <c r="M24">
        <v>25</v>
      </c>
      <c r="N24" s="172">
        <v>44562</v>
      </c>
      <c r="O24" s="172"/>
      <c r="Q24" t="s">
        <v>143</v>
      </c>
      <c r="R24">
        <v>1</v>
      </c>
    </row>
    <row r="25" spans="1:18" x14ac:dyDescent="0.25">
      <c r="A25" t="str">
        <f>TableOUMPTCHEC[[#This Row],[Study Package Code]]</f>
        <v>EDUC5017</v>
      </c>
      <c r="B25" s="1">
        <f>TableOUMPTCHEC[[#This Row],[Ver]]</f>
        <v>1</v>
      </c>
      <c r="C25" t="str">
        <f>IF(TableOUMPTCHEC[[#This Row],[Ver]]&gt;0,_xlfn.TEXTBEFORE(TableOUMPTCHEC[[#This Row],[Structure Line]]," "),"")</f>
        <v>MTPS504</v>
      </c>
      <c r="D25" t="str">
        <f>IF(TableOUMPTCHEC[[#This Row],[OUA Code]]&lt;&gt;"",_xlfn.TEXTAFTER(TableOUMPTCHEC[[#This Row],[Structure Line]]," "),TableOUMPTCHEC[[#This Row],[Structure Line]])</f>
        <v>Creative Technologies</v>
      </c>
      <c r="E25" s="82">
        <f>TableOUMPTCHEC[[#This Row],[Credit Points]]</f>
        <v>25</v>
      </c>
      <c r="F25">
        <v>16</v>
      </c>
      <c r="G25" t="s">
        <v>379</v>
      </c>
      <c r="H25">
        <v>2</v>
      </c>
      <c r="I25" t="s">
        <v>376</v>
      </c>
      <c r="J25" t="s">
        <v>247</v>
      </c>
      <c r="K25">
        <v>1</v>
      </c>
      <c r="L25" t="s">
        <v>395</v>
      </c>
      <c r="M25">
        <v>25</v>
      </c>
      <c r="N25" s="172">
        <v>42736</v>
      </c>
      <c r="O25" s="172"/>
      <c r="Q25" t="s">
        <v>247</v>
      </c>
      <c r="R25">
        <v>1</v>
      </c>
    </row>
    <row r="26" spans="1:18" x14ac:dyDescent="0.25">
      <c r="B26"/>
      <c r="E26"/>
      <c r="F26" s="258"/>
      <c r="G26" s="262" t="s">
        <v>359</v>
      </c>
      <c r="H26" s="263">
        <v>45972</v>
      </c>
      <c r="I26" s="264"/>
      <c r="J26" s="259" t="s">
        <v>46</v>
      </c>
      <c r="K26" s="260">
        <v>2</v>
      </c>
      <c r="L26" s="259" t="s">
        <v>45</v>
      </c>
      <c r="M26" s="261"/>
      <c r="N26" s="208">
        <v>44562</v>
      </c>
      <c r="O26" s="263"/>
    </row>
    <row r="27" spans="1:18" x14ac:dyDescent="0.25">
      <c r="A27" t="s">
        <v>3</v>
      </c>
      <c r="B27" s="1" t="s">
        <v>361</v>
      </c>
      <c r="C27" t="s">
        <v>362</v>
      </c>
      <c r="D27" t="s">
        <v>363</v>
      </c>
      <c r="E27" s="82" t="s">
        <v>364</v>
      </c>
      <c r="F27" t="s">
        <v>365</v>
      </c>
      <c r="G27" t="s">
        <v>366</v>
      </c>
      <c r="H27" t="s">
        <v>367</v>
      </c>
      <c r="I27" t="s">
        <v>368</v>
      </c>
      <c r="J27" t="s">
        <v>369</v>
      </c>
      <c r="K27" t="s">
        <v>98</v>
      </c>
      <c r="L27" t="s">
        <v>370</v>
      </c>
      <c r="M27" t="s">
        <v>8</v>
      </c>
      <c r="N27" s="171" t="s">
        <v>371</v>
      </c>
      <c r="O27" s="171" t="s">
        <v>372</v>
      </c>
      <c r="Q27" t="s">
        <v>373</v>
      </c>
      <c r="R27" t="s">
        <v>374</v>
      </c>
    </row>
    <row r="28" spans="1:18" x14ac:dyDescent="0.25">
      <c r="A28" t="str">
        <f>TableOUMPTCHPE[[#This Row],[Study Package Code]]</f>
        <v>EDUC5032</v>
      </c>
      <c r="B28" s="1">
        <f>TableOUMPTCHPE[[#This Row],[Ver]]</f>
        <v>1</v>
      </c>
      <c r="C28" t="str">
        <f>IF(TableOUMPTCHPE[[#This Row],[Ver]]&gt;0,_xlfn.TEXTBEFORE(TableOUMPTCHPE[[#This Row],[Structure Line]]," "),"")</f>
        <v>MTC510</v>
      </c>
      <c r="D28" t="str">
        <f>IF(TableOUMPTCHPE[[#This Row],[OUA Code]]&lt;&gt;"",_xlfn.TEXTAFTER(TableOUMPTCHPE[[#This Row],[Structure Line]]," "),TableOUMPTCHPE[[#This Row],[Structure Line]])</f>
        <v>Introduction to English: Reading</v>
      </c>
      <c r="E28" s="82">
        <f>TableOUMPTCHPE[[#This Row],[Credit Points]]</f>
        <v>25</v>
      </c>
      <c r="F28">
        <v>1</v>
      </c>
      <c r="G28" t="s">
        <v>379</v>
      </c>
      <c r="H28">
        <v>1</v>
      </c>
      <c r="I28" t="s">
        <v>376</v>
      </c>
      <c r="J28" t="s">
        <v>265</v>
      </c>
      <c r="K28">
        <v>1</v>
      </c>
      <c r="L28" t="s">
        <v>380</v>
      </c>
      <c r="M28">
        <v>25</v>
      </c>
      <c r="N28" s="172">
        <v>44562</v>
      </c>
      <c r="O28" s="172"/>
      <c r="Q28" t="s">
        <v>265</v>
      </c>
      <c r="R28">
        <v>1</v>
      </c>
    </row>
    <row r="29" spans="1:18" x14ac:dyDescent="0.25">
      <c r="A29" t="str">
        <f>TableOUMPTCHPE[[#This Row],[Study Package Code]]</f>
        <v>EDPR5010</v>
      </c>
      <c r="B29" s="1">
        <f>TableOUMPTCHPE[[#This Row],[Ver]]</f>
        <v>1</v>
      </c>
      <c r="C29" t="str">
        <f>IF(TableOUMPTCHPE[[#This Row],[Ver]]&gt;0,_xlfn.TEXTBEFORE(TableOUMPTCHPE[[#This Row],[Structure Line]]," "),"")</f>
        <v>MTP501</v>
      </c>
      <c r="D29" t="str">
        <f>IF(TableOUMPTCHPE[[#This Row],[OUA Code]]&lt;&gt;"",_xlfn.TEXTAFTER(TableOUMPTCHPE[[#This Row],[Structure Line]]," "),TableOUMPTCHPE[[#This Row],[Structure Line]])</f>
        <v>Teaching Number, Algebra and Probability in the Primary Years</v>
      </c>
      <c r="E29" s="82">
        <f>TableOUMPTCHPE[[#This Row],[Credit Points]]</f>
        <v>25</v>
      </c>
      <c r="F29">
        <v>2</v>
      </c>
      <c r="G29" t="s">
        <v>379</v>
      </c>
      <c r="H29">
        <v>1</v>
      </c>
      <c r="I29" t="s">
        <v>376</v>
      </c>
      <c r="J29" t="s">
        <v>158</v>
      </c>
      <c r="K29">
        <v>1</v>
      </c>
      <c r="L29" t="s">
        <v>396</v>
      </c>
      <c r="M29">
        <v>25</v>
      </c>
      <c r="N29" s="172">
        <v>42736</v>
      </c>
      <c r="O29" s="172"/>
      <c r="Q29" t="s">
        <v>158</v>
      </c>
      <c r="R29">
        <v>1</v>
      </c>
    </row>
    <row r="30" spans="1:18" x14ac:dyDescent="0.25">
      <c r="A30" t="str">
        <f>TableOUMPTCHPE[[#This Row],[Study Package Code]]</f>
        <v>EDPR5011</v>
      </c>
      <c r="B30" s="1">
        <f>TableOUMPTCHPE[[#This Row],[Ver]]</f>
        <v>3</v>
      </c>
      <c r="C30" t="str">
        <f>IF(TableOUMPTCHPE[[#This Row],[Ver]]&gt;0,_xlfn.TEXTBEFORE(TableOUMPTCHPE[[#This Row],[Structure Line]]," "),"")</f>
        <v>MTP502</v>
      </c>
      <c r="D30" t="str">
        <f>IF(TableOUMPTCHPE[[#This Row],[OUA Code]]&lt;&gt;"",_xlfn.TEXTAFTER(TableOUMPTCHPE[[#This Row],[Structure Line]]," "),TableOUMPTCHPE[[#This Row],[Structure Line]])</f>
        <v>Primary Professional Experience 1: Planning for Writing</v>
      </c>
      <c r="E30" s="82">
        <f>TableOUMPTCHPE[[#This Row],[Credit Points]]</f>
        <v>25</v>
      </c>
      <c r="F30">
        <v>3</v>
      </c>
      <c r="G30" t="s">
        <v>379</v>
      </c>
      <c r="H30">
        <v>1</v>
      </c>
      <c r="I30" t="s">
        <v>376</v>
      </c>
      <c r="J30" t="s">
        <v>161</v>
      </c>
      <c r="K30">
        <v>3</v>
      </c>
      <c r="L30" t="s">
        <v>397</v>
      </c>
      <c r="M30">
        <v>25</v>
      </c>
      <c r="N30" s="172">
        <v>44562</v>
      </c>
      <c r="O30" s="172"/>
      <c r="Q30" t="s">
        <v>161</v>
      </c>
      <c r="R30">
        <v>3</v>
      </c>
    </row>
    <row r="31" spans="1:18" x14ac:dyDescent="0.25">
      <c r="A31" t="str">
        <f>TableOUMPTCHPE[[#This Row],[Study Package Code]]</f>
        <v>EDUC5013</v>
      </c>
      <c r="B31" s="1">
        <f>TableOUMPTCHPE[[#This Row],[Ver]]</f>
        <v>1</v>
      </c>
      <c r="C31" t="str">
        <f>IF(TableOUMPTCHPE[[#This Row],[Ver]]&gt;0,_xlfn.TEXTBEFORE(TableOUMPTCHPE[[#This Row],[Structure Line]]," "),"")</f>
        <v>MTP503</v>
      </c>
      <c r="D31" t="str">
        <f>IF(TableOUMPTCHPE[[#This Row],[OUA Code]]&lt;&gt;"",_xlfn.TEXTAFTER(TableOUMPTCHPE[[#This Row],[Structure Line]]," "),TableOUMPTCHPE[[#This Row],[Structure Line]])</f>
        <v>Developing Positive Learning Environments</v>
      </c>
      <c r="E31" s="82">
        <f>TableOUMPTCHPE[[#This Row],[Credit Points]]</f>
        <v>25</v>
      </c>
      <c r="F31">
        <v>4</v>
      </c>
      <c r="G31" t="s">
        <v>379</v>
      </c>
      <c r="H31">
        <v>1</v>
      </c>
      <c r="I31" t="s">
        <v>376</v>
      </c>
      <c r="J31" t="s">
        <v>241</v>
      </c>
      <c r="K31">
        <v>1</v>
      </c>
      <c r="L31" t="s">
        <v>386</v>
      </c>
      <c r="M31">
        <v>25</v>
      </c>
      <c r="N31" s="172">
        <v>42736</v>
      </c>
      <c r="O31" s="172"/>
      <c r="Q31" t="s">
        <v>241</v>
      </c>
      <c r="R31">
        <v>1</v>
      </c>
    </row>
    <row r="32" spans="1:18" x14ac:dyDescent="0.25">
      <c r="A32" t="str">
        <f>TableOUMPTCHPE[[#This Row],[Study Package Code]]</f>
        <v>EDPR5012</v>
      </c>
      <c r="B32" s="1">
        <f>TableOUMPTCHPE[[#This Row],[Ver]]</f>
        <v>1</v>
      </c>
      <c r="C32" t="str">
        <f>IF(TableOUMPTCHPE[[#This Row],[Ver]]&gt;0,_xlfn.TEXTBEFORE(TableOUMPTCHPE[[#This Row],[Structure Line]]," "),"")</f>
        <v>MTP505</v>
      </c>
      <c r="D32" t="str">
        <f>IF(TableOUMPTCHPE[[#This Row],[OUA Code]]&lt;&gt;"",_xlfn.TEXTAFTER(TableOUMPTCHPE[[#This Row],[Structure Line]]," "),TableOUMPTCHPE[[#This Row],[Structure Line]])</f>
        <v>Teaching Science in the Primary Years</v>
      </c>
      <c r="E32" s="82">
        <f>TableOUMPTCHPE[[#This Row],[Credit Points]]</f>
        <v>25</v>
      </c>
      <c r="F32">
        <v>5</v>
      </c>
      <c r="G32" t="s">
        <v>379</v>
      </c>
      <c r="H32">
        <v>1</v>
      </c>
      <c r="I32" t="s">
        <v>376</v>
      </c>
      <c r="J32" t="s">
        <v>164</v>
      </c>
      <c r="K32">
        <v>1</v>
      </c>
      <c r="L32" t="s">
        <v>398</v>
      </c>
      <c r="M32">
        <v>25</v>
      </c>
      <c r="N32" s="172">
        <v>42736</v>
      </c>
      <c r="O32" s="172"/>
      <c r="Q32" t="s">
        <v>164</v>
      </c>
      <c r="R32">
        <v>1</v>
      </c>
    </row>
    <row r="33" spans="1:18" x14ac:dyDescent="0.25">
      <c r="A33" t="str">
        <f>TableOUMPTCHPE[[#This Row],[Study Package Code]]</f>
        <v>EDPR5013</v>
      </c>
      <c r="B33" s="1">
        <f>TableOUMPTCHPE[[#This Row],[Ver]]</f>
        <v>1</v>
      </c>
      <c r="C33" t="str">
        <f>IF(TableOUMPTCHPE[[#This Row],[Ver]]&gt;0,_xlfn.TEXTBEFORE(TableOUMPTCHPE[[#This Row],[Structure Line]]," "),"")</f>
        <v>MTP506</v>
      </c>
      <c r="D33" t="str">
        <f>IF(TableOUMPTCHPE[[#This Row],[OUA Code]]&lt;&gt;"",_xlfn.TEXTAFTER(TableOUMPTCHPE[[#This Row],[Structure Line]]," "),TableOUMPTCHPE[[#This Row],[Structure Line]])</f>
        <v>Primary Professional Experience 2: Assessment and Reporting</v>
      </c>
      <c r="E33" s="82">
        <f>TableOUMPTCHPE[[#This Row],[Credit Points]]</f>
        <v>25</v>
      </c>
      <c r="F33">
        <v>6</v>
      </c>
      <c r="G33" t="s">
        <v>379</v>
      </c>
      <c r="H33">
        <v>1</v>
      </c>
      <c r="I33" t="s">
        <v>376</v>
      </c>
      <c r="J33" t="s">
        <v>167</v>
      </c>
      <c r="K33">
        <v>1</v>
      </c>
      <c r="L33" t="s">
        <v>399</v>
      </c>
      <c r="M33">
        <v>25</v>
      </c>
      <c r="N33" s="172">
        <v>42736</v>
      </c>
      <c r="O33" s="172"/>
      <c r="Q33" t="s">
        <v>167</v>
      </c>
      <c r="R33">
        <v>1</v>
      </c>
    </row>
    <row r="34" spans="1:18" x14ac:dyDescent="0.25">
      <c r="A34" t="str">
        <f>TableOUMPTCHPE[[#This Row],[Study Package Code]]</f>
        <v>EDUC5012</v>
      </c>
      <c r="B34" s="1">
        <f>TableOUMPTCHPE[[#This Row],[Ver]]</f>
        <v>2</v>
      </c>
      <c r="C34" t="str">
        <f>IF(TableOUMPTCHPE[[#This Row],[Ver]]&gt;0,_xlfn.TEXTBEFORE(TableOUMPTCHPE[[#This Row],[Structure Line]]," "),"")</f>
        <v>MTPS500</v>
      </c>
      <c r="D34" t="str">
        <f>IF(TableOUMPTCHPE[[#This Row],[OUA Code]]&lt;&gt;"",_xlfn.TEXTAFTER(TableOUMPTCHPE[[#This Row],[Structure Line]]," "),TableOUMPTCHPE[[#This Row],[Structure Line]])</f>
        <v>Theories of Development and Learning</v>
      </c>
      <c r="E34" s="82">
        <f>TableOUMPTCHPE[[#This Row],[Credit Points]]</f>
        <v>25</v>
      </c>
      <c r="F34">
        <v>7</v>
      </c>
      <c r="G34" t="s">
        <v>379</v>
      </c>
      <c r="H34">
        <v>1</v>
      </c>
      <c r="I34" t="s">
        <v>376</v>
      </c>
      <c r="J34" t="s">
        <v>239</v>
      </c>
      <c r="K34">
        <v>2</v>
      </c>
      <c r="L34" t="s">
        <v>387</v>
      </c>
      <c r="M34">
        <v>25</v>
      </c>
      <c r="N34" s="172">
        <v>44197</v>
      </c>
      <c r="O34" s="172"/>
      <c r="Q34" t="s">
        <v>239</v>
      </c>
      <c r="R34">
        <v>2</v>
      </c>
    </row>
    <row r="35" spans="1:18" x14ac:dyDescent="0.25">
      <c r="A35" t="str">
        <f>TableOUMPTCHPE[[#This Row],[Study Package Code]]</f>
        <v>EDUC5017</v>
      </c>
      <c r="B35" s="1">
        <f>TableOUMPTCHPE[[#This Row],[Ver]]</f>
        <v>1</v>
      </c>
      <c r="C35" t="str">
        <f>IF(TableOUMPTCHPE[[#This Row],[Ver]]&gt;0,_xlfn.TEXTBEFORE(TableOUMPTCHPE[[#This Row],[Structure Line]]," "),"")</f>
        <v>MTPS504</v>
      </c>
      <c r="D35" t="str">
        <f>IF(TableOUMPTCHPE[[#This Row],[OUA Code]]&lt;&gt;"",_xlfn.TEXTAFTER(TableOUMPTCHPE[[#This Row],[Structure Line]]," "),TableOUMPTCHPE[[#This Row],[Structure Line]])</f>
        <v>Creative Technologies</v>
      </c>
      <c r="E35" s="82">
        <f>TableOUMPTCHPE[[#This Row],[Credit Points]]</f>
        <v>25</v>
      </c>
      <c r="F35">
        <v>8</v>
      </c>
      <c r="G35" t="s">
        <v>379</v>
      </c>
      <c r="H35">
        <v>1</v>
      </c>
      <c r="I35" t="s">
        <v>376</v>
      </c>
      <c r="J35" t="s">
        <v>247</v>
      </c>
      <c r="K35">
        <v>1</v>
      </c>
      <c r="L35" t="s">
        <v>395</v>
      </c>
      <c r="M35">
        <v>25</v>
      </c>
      <c r="N35" s="172">
        <v>42736</v>
      </c>
      <c r="O35" s="172"/>
      <c r="Q35" t="s">
        <v>247</v>
      </c>
      <c r="R35">
        <v>1</v>
      </c>
    </row>
    <row r="36" spans="1:18" x14ac:dyDescent="0.25">
      <c r="A36" t="str">
        <f>TableOUMPTCHPE[[#This Row],[Study Package Code]]</f>
        <v>EDUC6063</v>
      </c>
      <c r="B36" s="1">
        <f>TableOUMPTCHPE[[#This Row],[Ver]]</f>
        <v>1</v>
      </c>
      <c r="C36" t="str">
        <f>IF(TableOUMPTCHPE[[#This Row],[Ver]]&gt;0,_xlfn.TEXTBEFORE(TableOUMPTCHPE[[#This Row],[Structure Line]]," "),"")</f>
        <v>MTC600</v>
      </c>
      <c r="D36" t="str">
        <f>IF(TableOUMPTCHPE[[#This Row],[OUA Code]]&lt;&gt;"",_xlfn.TEXTAFTER(TableOUMPTCHPE[[#This Row],[Structure Line]]," "),TableOUMPTCHPE[[#This Row],[Structure Line]])</f>
        <v>Professional Experience 3: Using Data to Inform Teaching and Learning</v>
      </c>
      <c r="E36" s="82">
        <f>TableOUMPTCHPE[[#This Row],[Credit Points]]</f>
        <v>25</v>
      </c>
      <c r="F36">
        <v>9</v>
      </c>
      <c r="G36" t="s">
        <v>379</v>
      </c>
      <c r="H36">
        <v>2</v>
      </c>
      <c r="I36" t="s">
        <v>376</v>
      </c>
      <c r="J36" t="s">
        <v>314</v>
      </c>
      <c r="K36">
        <v>1</v>
      </c>
      <c r="L36" t="s">
        <v>388</v>
      </c>
      <c r="M36">
        <v>25</v>
      </c>
      <c r="N36" s="172">
        <v>44562</v>
      </c>
      <c r="O36" s="172"/>
      <c r="Q36" t="s">
        <v>314</v>
      </c>
      <c r="R36">
        <v>1</v>
      </c>
    </row>
    <row r="37" spans="1:18" x14ac:dyDescent="0.25">
      <c r="A37" t="str">
        <f>TableOUMPTCHPE[[#This Row],[Study Package Code]]</f>
        <v>EDUC6065</v>
      </c>
      <c r="B37" s="1">
        <f>TableOUMPTCHPE[[#This Row],[Ver]]</f>
        <v>1</v>
      </c>
      <c r="C37" t="str">
        <f>IF(TableOUMPTCHPE[[#This Row],[Ver]]&gt;0,_xlfn.TEXTBEFORE(TableOUMPTCHPE[[#This Row],[Structure Line]]," "),"")</f>
        <v>MTC610</v>
      </c>
      <c r="D37" t="str">
        <f>IF(TableOUMPTCHPE[[#This Row],[OUA Code]]&lt;&gt;"",_xlfn.TEXTAFTER(TableOUMPTCHPE[[#This Row],[Structure Line]]," "),TableOUMPTCHPE[[#This Row],[Structure Line]])</f>
        <v>Professional Experience 4: Transition into the Profession</v>
      </c>
      <c r="E37" s="82">
        <f>TableOUMPTCHPE[[#This Row],[Credit Points]]</f>
        <v>25</v>
      </c>
      <c r="F37">
        <v>10</v>
      </c>
      <c r="G37" t="s">
        <v>379</v>
      </c>
      <c r="H37">
        <v>2</v>
      </c>
      <c r="I37" t="s">
        <v>376</v>
      </c>
      <c r="J37" t="s">
        <v>318</v>
      </c>
      <c r="K37">
        <v>1</v>
      </c>
      <c r="L37" t="s">
        <v>389</v>
      </c>
      <c r="M37">
        <v>25</v>
      </c>
      <c r="N37" s="172">
        <v>44562</v>
      </c>
      <c r="O37" s="172"/>
      <c r="Q37" t="s">
        <v>318</v>
      </c>
      <c r="R37">
        <v>1</v>
      </c>
    </row>
    <row r="38" spans="1:18" x14ac:dyDescent="0.25">
      <c r="A38" t="str">
        <f>TableOUMPTCHPE[[#This Row],[Study Package Code]]</f>
        <v>EDUC6067</v>
      </c>
      <c r="B38" s="1">
        <f>TableOUMPTCHPE[[#This Row],[Ver]]</f>
        <v>1</v>
      </c>
      <c r="C38" t="str">
        <f>IF(TableOUMPTCHPE[[#This Row],[Ver]]&gt;0,_xlfn.TEXTBEFORE(TableOUMPTCHPE[[#This Row],[Structure Line]]," "),"")</f>
        <v>MTC620</v>
      </c>
      <c r="D38" t="str">
        <f>IF(TableOUMPTCHPE[[#This Row],[OUA Code]]&lt;&gt;"",_xlfn.TEXTAFTER(TableOUMPTCHPE[[#This Row],[Structure Line]]," "),TableOUMPTCHPE[[#This Row],[Structure Line]])</f>
        <v>Schooling and Australian Society</v>
      </c>
      <c r="E38" s="82">
        <f>TableOUMPTCHPE[[#This Row],[Credit Points]]</f>
        <v>25</v>
      </c>
      <c r="F38">
        <v>11</v>
      </c>
      <c r="G38" t="s">
        <v>379</v>
      </c>
      <c r="H38">
        <v>2</v>
      </c>
      <c r="I38" t="s">
        <v>376</v>
      </c>
      <c r="J38" t="s">
        <v>321</v>
      </c>
      <c r="K38">
        <v>1</v>
      </c>
      <c r="L38" t="s">
        <v>400</v>
      </c>
      <c r="M38">
        <v>25</v>
      </c>
      <c r="N38" s="172">
        <v>44562</v>
      </c>
      <c r="O38" s="172"/>
      <c r="Q38" t="s">
        <v>321</v>
      </c>
      <c r="R38">
        <v>1</v>
      </c>
    </row>
    <row r="39" spans="1:18" x14ac:dyDescent="0.25">
      <c r="A39" t="str">
        <f>TableOUMPTCHPE[[#This Row],[Study Package Code]]</f>
        <v>EDPR5017</v>
      </c>
      <c r="B39" s="1">
        <f>TableOUMPTCHPE[[#This Row],[Ver]]</f>
        <v>1</v>
      </c>
      <c r="C39" t="str">
        <f>IF(TableOUMPTCHPE[[#This Row],[Ver]]&gt;0,_xlfn.TEXTBEFORE(TableOUMPTCHPE[[#This Row],[Structure Line]]," "),"")</f>
        <v>MTP504</v>
      </c>
      <c r="D39" t="str">
        <f>IF(TableOUMPTCHPE[[#This Row],[OUA Code]]&lt;&gt;"",_xlfn.TEXTAFTER(TableOUMPTCHPE[[#This Row],[Structure Line]]," "),TableOUMPTCHPE[[#This Row],[Structure Line]])</f>
        <v>Teaching Humanities and Social Sciences in the Primary Years</v>
      </c>
      <c r="E39" s="82">
        <f>TableOUMPTCHPE[[#This Row],[Credit Points]]</f>
        <v>25</v>
      </c>
      <c r="F39">
        <v>12</v>
      </c>
      <c r="G39" t="s">
        <v>379</v>
      </c>
      <c r="H39">
        <v>2</v>
      </c>
      <c r="I39" t="s">
        <v>376</v>
      </c>
      <c r="J39" t="s">
        <v>176</v>
      </c>
      <c r="K39">
        <v>1</v>
      </c>
      <c r="L39" t="s">
        <v>401</v>
      </c>
      <c r="M39">
        <v>25</v>
      </c>
      <c r="N39" s="172">
        <v>42736</v>
      </c>
      <c r="O39" s="172"/>
      <c r="Q39" t="s">
        <v>176</v>
      </c>
      <c r="R39">
        <v>1</v>
      </c>
    </row>
    <row r="40" spans="1:18" x14ac:dyDescent="0.25">
      <c r="A40" t="str">
        <f>TableOUMPTCHPE[[#This Row],[Study Package Code]]</f>
        <v>EDPR5015</v>
      </c>
      <c r="B40" s="1">
        <f>TableOUMPTCHPE[[#This Row],[Ver]]</f>
        <v>2</v>
      </c>
      <c r="C40" t="str">
        <f>IF(TableOUMPTCHPE[[#This Row],[Ver]]&gt;0,_xlfn.TEXTBEFORE(TableOUMPTCHPE[[#This Row],[Structure Line]]," "),"")</f>
        <v>MTP508</v>
      </c>
      <c r="D40" t="str">
        <f>IF(TableOUMPTCHPE[[#This Row],[OUA Code]]&lt;&gt;"",_xlfn.TEXTAFTER(TableOUMPTCHPE[[#This Row],[Structure Line]]," "),TableOUMPTCHPE[[#This Row],[Structure Line]])</f>
        <v>Statistics for Educators</v>
      </c>
      <c r="E40" s="82">
        <f>TableOUMPTCHPE[[#This Row],[Credit Points]]</f>
        <v>25</v>
      </c>
      <c r="F40">
        <v>13</v>
      </c>
      <c r="G40" t="s">
        <v>379</v>
      </c>
      <c r="H40">
        <v>2</v>
      </c>
      <c r="I40" t="s">
        <v>376</v>
      </c>
      <c r="J40" t="s">
        <v>170</v>
      </c>
      <c r="K40">
        <v>2</v>
      </c>
      <c r="L40" t="s">
        <v>402</v>
      </c>
      <c r="M40">
        <v>25</v>
      </c>
      <c r="N40" s="172">
        <v>45292</v>
      </c>
      <c r="O40" s="172"/>
      <c r="Q40" t="s">
        <v>170</v>
      </c>
      <c r="R40">
        <v>2</v>
      </c>
    </row>
    <row r="41" spans="1:18" x14ac:dyDescent="0.25">
      <c r="A41" t="str">
        <f>TableOUMPTCHPE[[#This Row],[Study Package Code]]</f>
        <v>EDPR5016</v>
      </c>
      <c r="B41" s="1">
        <f>TableOUMPTCHPE[[#This Row],[Ver]]</f>
        <v>1</v>
      </c>
      <c r="C41" t="str">
        <f>IF(TableOUMPTCHPE[[#This Row],[Ver]]&gt;0,_xlfn.TEXTBEFORE(TableOUMPTCHPE[[#This Row],[Structure Line]]," "),"")</f>
        <v>MTP509</v>
      </c>
      <c r="D41" t="str">
        <f>IF(TableOUMPTCHPE[[#This Row],[OUA Code]]&lt;&gt;"",_xlfn.TEXTAFTER(TableOUMPTCHPE[[#This Row],[Structure Line]]," "),TableOUMPTCHPE[[#This Row],[Structure Line]])</f>
        <v>Teaching Arts in the Primary Years</v>
      </c>
      <c r="E41" s="82">
        <f>TableOUMPTCHPE[[#This Row],[Credit Points]]</f>
        <v>25</v>
      </c>
      <c r="F41">
        <v>14</v>
      </c>
      <c r="G41" t="s">
        <v>379</v>
      </c>
      <c r="H41">
        <v>2</v>
      </c>
      <c r="I41" t="s">
        <v>376</v>
      </c>
      <c r="J41" t="s">
        <v>173</v>
      </c>
      <c r="K41">
        <v>1</v>
      </c>
      <c r="L41" t="s">
        <v>403</v>
      </c>
      <c r="M41">
        <v>25</v>
      </c>
      <c r="N41" s="172">
        <v>42736</v>
      </c>
      <c r="O41" s="172"/>
      <c r="Q41" t="s">
        <v>173</v>
      </c>
      <c r="R41">
        <v>1</v>
      </c>
    </row>
    <row r="42" spans="1:18" x14ac:dyDescent="0.25">
      <c r="A42" t="str">
        <f>TableOUMPTCHPE[[#This Row],[Study Package Code]]</f>
        <v>EDPR6001</v>
      </c>
      <c r="B42" s="1">
        <f>TableOUMPTCHPE[[#This Row],[Ver]]</f>
        <v>1</v>
      </c>
      <c r="C42" t="str">
        <f>IF(TableOUMPTCHPE[[#This Row],[Ver]]&gt;0,_xlfn.TEXTBEFORE(TableOUMPTCHPE[[#This Row],[Structure Line]]," "),"")</f>
        <v>MTP600</v>
      </c>
      <c r="D42" t="str">
        <f>IF(TableOUMPTCHPE[[#This Row],[OUA Code]]&lt;&gt;"",_xlfn.TEXTAFTER(TableOUMPTCHPE[[#This Row],[Structure Line]]," "),TableOUMPTCHPE[[#This Row],[Structure Line]])</f>
        <v>Extending English in the Primary Years</v>
      </c>
      <c r="E42" s="82">
        <f>TableOUMPTCHPE[[#This Row],[Credit Points]]</f>
        <v>25</v>
      </c>
      <c r="F42">
        <v>15</v>
      </c>
      <c r="G42" t="s">
        <v>379</v>
      </c>
      <c r="H42">
        <v>2</v>
      </c>
      <c r="I42" t="s">
        <v>376</v>
      </c>
      <c r="J42" t="s">
        <v>179</v>
      </c>
      <c r="K42">
        <v>1</v>
      </c>
      <c r="L42" t="s">
        <v>404</v>
      </c>
      <c r="M42">
        <v>25</v>
      </c>
      <c r="N42" s="172">
        <v>44562</v>
      </c>
      <c r="O42" s="172"/>
      <c r="Q42" t="s">
        <v>179</v>
      </c>
      <c r="R42">
        <v>1</v>
      </c>
    </row>
    <row r="43" spans="1:18" x14ac:dyDescent="0.25">
      <c r="A43" t="str">
        <f>TableOUMPTCHPE[[#This Row],[Study Package Code]]</f>
        <v>EDUC5014</v>
      </c>
      <c r="B43" s="1">
        <f>TableOUMPTCHPE[[#This Row],[Ver]]</f>
        <v>1</v>
      </c>
      <c r="C43" t="str">
        <f>IF(TableOUMPTCHPE[[#This Row],[Ver]]&gt;0,_xlfn.TEXTBEFORE(TableOUMPTCHPE[[#This Row],[Structure Line]]," "),"")</f>
        <v>MTPS501</v>
      </c>
      <c r="D43" t="str">
        <f>IF(TableOUMPTCHPE[[#This Row],[OUA Code]]&lt;&gt;"",_xlfn.TEXTAFTER(TableOUMPTCHPE[[#This Row],[Structure Line]]," "),TableOUMPTCHPE[[#This Row],[Structure Line]])</f>
        <v>Pedagogies for Diversity</v>
      </c>
      <c r="E43" s="82">
        <f>TableOUMPTCHPE[[#This Row],[Credit Points]]</f>
        <v>25</v>
      </c>
      <c r="F43">
        <v>16</v>
      </c>
      <c r="G43" t="s">
        <v>379</v>
      </c>
      <c r="H43">
        <v>2</v>
      </c>
      <c r="I43" t="s">
        <v>376</v>
      </c>
      <c r="J43" t="s">
        <v>244</v>
      </c>
      <c r="K43">
        <v>1</v>
      </c>
      <c r="L43" t="s">
        <v>405</v>
      </c>
      <c r="M43">
        <v>25</v>
      </c>
      <c r="N43" s="172">
        <v>42736</v>
      </c>
      <c r="O43" s="172"/>
      <c r="Q43" t="s">
        <v>244</v>
      </c>
      <c r="R43">
        <v>1</v>
      </c>
    </row>
    <row r="44" spans="1:18" x14ac:dyDescent="0.25">
      <c r="B44"/>
      <c r="E44"/>
      <c r="F44" s="258"/>
      <c r="G44" s="262" t="s">
        <v>359</v>
      </c>
      <c r="H44" s="263">
        <v>45972</v>
      </c>
      <c r="I44" s="264"/>
      <c r="J44" s="259" t="s">
        <v>48</v>
      </c>
      <c r="K44" s="260">
        <v>3</v>
      </c>
      <c r="L44" s="259" t="s">
        <v>47</v>
      </c>
      <c r="M44" s="261"/>
      <c r="N44" s="208">
        <v>44562</v>
      </c>
      <c r="O44" s="263"/>
    </row>
    <row r="45" spans="1:18" x14ac:dyDescent="0.25">
      <c r="A45" t="s">
        <v>3</v>
      </c>
      <c r="B45" s="1" t="s">
        <v>361</v>
      </c>
      <c r="C45" t="s">
        <v>362</v>
      </c>
      <c r="D45" t="s">
        <v>363</v>
      </c>
      <c r="E45" s="82" t="s">
        <v>364</v>
      </c>
      <c r="F45" t="s">
        <v>365</v>
      </c>
      <c r="G45" t="s">
        <v>366</v>
      </c>
      <c r="H45" t="s">
        <v>367</v>
      </c>
      <c r="I45" t="s">
        <v>368</v>
      </c>
      <c r="J45" t="s">
        <v>369</v>
      </c>
      <c r="K45" t="s">
        <v>98</v>
      </c>
      <c r="L45" t="s">
        <v>370</v>
      </c>
      <c r="M45" t="s">
        <v>8</v>
      </c>
      <c r="N45" s="171" t="s">
        <v>371</v>
      </c>
      <c r="O45" s="171" t="s">
        <v>372</v>
      </c>
      <c r="Q45" t="s">
        <v>373</v>
      </c>
      <c r="R45" t="s">
        <v>374</v>
      </c>
    </row>
    <row r="46" spans="1:18" x14ac:dyDescent="0.25">
      <c r="A46" t="str">
        <f>TableOUMPTCHSE[[#This Row],[Study Package Code]]</f>
        <v>EDUC5012</v>
      </c>
      <c r="B46" s="1">
        <f>TableOUMPTCHSE[[#This Row],[Ver]]</f>
        <v>2</v>
      </c>
      <c r="C46" t="str">
        <f>IF(TableOUMPTCHSE[[#This Row],[Ver]]&gt;0,_xlfn.TEXTBEFORE(TableOUMPTCHSE[[#This Row],[Structure Line]]," "),"")</f>
        <v>MTPS500</v>
      </c>
      <c r="D46" t="str">
        <f>IF(TableOUMPTCHSE[[#This Row],[OUA Code]]&lt;&gt;"",_xlfn.TEXTAFTER(TableOUMPTCHSE[[#This Row],[Structure Line]]," "),TableOUMPTCHSE[[#This Row],[Structure Line]])</f>
        <v>Theories of Development and Learning</v>
      </c>
      <c r="E46" s="82">
        <f>TableOUMPTCHSE[[#This Row],[Credit Points]]</f>
        <v>25</v>
      </c>
      <c r="F46">
        <v>1</v>
      </c>
      <c r="G46" t="s">
        <v>379</v>
      </c>
      <c r="H46">
        <v>1</v>
      </c>
      <c r="I46" t="s">
        <v>376</v>
      </c>
      <c r="J46" t="s">
        <v>239</v>
      </c>
      <c r="K46">
        <v>2</v>
      </c>
      <c r="L46" t="s">
        <v>387</v>
      </c>
      <c r="M46">
        <v>25</v>
      </c>
      <c r="N46" s="172">
        <v>44197</v>
      </c>
      <c r="O46" s="172"/>
      <c r="Q46" t="s">
        <v>239</v>
      </c>
      <c r="R46">
        <v>2</v>
      </c>
    </row>
    <row r="47" spans="1:18" x14ac:dyDescent="0.25">
      <c r="A47" t="str">
        <f>TableOUMPTCHSE[[#This Row],[Study Package Code]]</f>
        <v>EDSC5037</v>
      </c>
      <c r="B47" s="1">
        <f>TableOUMPTCHSE[[#This Row],[Ver]]</f>
        <v>1</v>
      </c>
      <c r="C47" t="str">
        <f>IF(TableOUMPTCHSE[[#This Row],[Ver]]&gt;0,_xlfn.TEXTBEFORE(TableOUMPTCHSE[[#This Row],[Structure Line]]," "),"")</f>
        <v>MTS500</v>
      </c>
      <c r="D47" t="str">
        <f>IF(TableOUMPTCHSE[[#This Row],[OUA Code]]&lt;&gt;"",_xlfn.TEXTAFTER(TableOUMPTCHSE[[#This Row],[Structure Line]]," "),TableOUMPTCHSE[[#This Row],[Structure Line]])</f>
        <v>Teaching in the Secondary School</v>
      </c>
      <c r="E47" s="82">
        <f>TableOUMPTCHSE[[#This Row],[Credit Points]]</f>
        <v>25</v>
      </c>
      <c r="F47">
        <v>2</v>
      </c>
      <c r="G47" t="s">
        <v>379</v>
      </c>
      <c r="H47">
        <v>1</v>
      </c>
      <c r="I47" t="s">
        <v>376</v>
      </c>
      <c r="J47" t="s">
        <v>182</v>
      </c>
      <c r="K47">
        <v>1</v>
      </c>
      <c r="L47" t="s">
        <v>406</v>
      </c>
      <c r="M47">
        <v>25</v>
      </c>
      <c r="N47" s="172">
        <v>42736</v>
      </c>
      <c r="O47" s="172"/>
      <c r="Q47" t="s">
        <v>182</v>
      </c>
      <c r="R47">
        <v>1</v>
      </c>
    </row>
    <row r="48" spans="1:18" x14ac:dyDescent="0.25">
      <c r="A48" t="str">
        <f>TableOUMPTCHSE[[#This Row],[Study Package Code]]</f>
        <v>EDSC5038</v>
      </c>
      <c r="B48" s="1">
        <f>TableOUMPTCHSE[[#This Row],[Ver]]</f>
        <v>1</v>
      </c>
      <c r="C48" t="str">
        <f>IF(TableOUMPTCHSE[[#This Row],[Ver]]&gt;0,_xlfn.TEXTBEFORE(TableOUMPTCHSE[[#This Row],[Structure Line]]," "),"")</f>
        <v>MTS501</v>
      </c>
      <c r="D48" t="str">
        <f>IF(TableOUMPTCHSE[[#This Row],[OUA Code]]&lt;&gt;"",_xlfn.TEXTAFTER(TableOUMPTCHSE[[#This Row],[Structure Line]]," "),TableOUMPTCHSE[[#This Row],[Structure Line]])</f>
        <v>Literacy and Numeracy across the Curriculum</v>
      </c>
      <c r="E48" s="82">
        <f>TableOUMPTCHSE[[#This Row],[Credit Points]]</f>
        <v>25</v>
      </c>
      <c r="F48">
        <v>3</v>
      </c>
      <c r="G48" t="s">
        <v>379</v>
      </c>
      <c r="H48">
        <v>1</v>
      </c>
      <c r="I48" t="s">
        <v>376</v>
      </c>
      <c r="J48" t="s">
        <v>185</v>
      </c>
      <c r="K48">
        <v>1</v>
      </c>
      <c r="L48" t="s">
        <v>407</v>
      </c>
      <c r="M48">
        <v>25</v>
      </c>
      <c r="N48" s="172">
        <v>42736</v>
      </c>
      <c r="O48" s="172"/>
      <c r="Q48" t="s">
        <v>185</v>
      </c>
      <c r="R48">
        <v>1</v>
      </c>
    </row>
    <row r="49" spans="1:18" x14ac:dyDescent="0.25">
      <c r="A49" t="str">
        <f>TableOUMPTCHSE[[#This Row],[Study Package Code]]</f>
        <v>EDSC5039</v>
      </c>
      <c r="B49" s="1">
        <f>TableOUMPTCHSE[[#This Row],[Ver]]</f>
        <v>1</v>
      </c>
      <c r="C49" t="str">
        <f>IF(TableOUMPTCHSE[[#This Row],[Ver]]&gt;0,_xlfn.TEXTBEFORE(TableOUMPTCHSE[[#This Row],[Structure Line]]," "),"")</f>
        <v>MTS502</v>
      </c>
      <c r="D49" t="str">
        <f>IF(TableOUMPTCHSE[[#This Row],[OUA Code]]&lt;&gt;"",_xlfn.TEXTAFTER(TableOUMPTCHSE[[#This Row],[Structure Line]]," "),TableOUMPTCHSE[[#This Row],[Structure Line]])</f>
        <v>Secondary Professional Experience 1: Planning</v>
      </c>
      <c r="E49" s="82">
        <f>TableOUMPTCHSE[[#This Row],[Credit Points]]</f>
        <v>25</v>
      </c>
      <c r="F49">
        <v>4</v>
      </c>
      <c r="G49" t="s">
        <v>379</v>
      </c>
      <c r="H49">
        <v>1</v>
      </c>
      <c r="I49" t="s">
        <v>376</v>
      </c>
      <c r="J49" t="s">
        <v>188</v>
      </c>
      <c r="K49">
        <v>1</v>
      </c>
      <c r="L49" t="s">
        <v>408</v>
      </c>
      <c r="M49">
        <v>25</v>
      </c>
      <c r="N49" s="172">
        <v>42736</v>
      </c>
      <c r="O49" s="172"/>
      <c r="Q49" t="s">
        <v>188</v>
      </c>
      <c r="R49">
        <v>1</v>
      </c>
    </row>
    <row r="50" spans="1:18" x14ac:dyDescent="0.25">
      <c r="A50" t="str">
        <f>TableOUMPTCHSE[[#This Row],[Study Package Code]]</f>
        <v>EDSC5040</v>
      </c>
      <c r="B50" s="1">
        <f>TableOUMPTCHSE[[#This Row],[Ver]]</f>
        <v>1</v>
      </c>
      <c r="C50" t="str">
        <f>IF(TableOUMPTCHSE[[#This Row],[Ver]]&gt;0,_xlfn.TEXTBEFORE(TableOUMPTCHSE[[#This Row],[Structure Line]]," "),"")</f>
        <v>MTS503</v>
      </c>
      <c r="D50" t="str">
        <f>IF(TableOUMPTCHSE[[#This Row],[OUA Code]]&lt;&gt;"",_xlfn.TEXTAFTER(TableOUMPTCHSE[[#This Row],[Structure Line]]," "),TableOUMPTCHSE[[#This Row],[Structure Line]])</f>
        <v>Managing the Learning Environment</v>
      </c>
      <c r="E50" s="82">
        <f>TableOUMPTCHSE[[#This Row],[Credit Points]]</f>
        <v>25</v>
      </c>
      <c r="F50">
        <v>5</v>
      </c>
      <c r="G50" t="s">
        <v>379</v>
      </c>
      <c r="H50">
        <v>1</v>
      </c>
      <c r="I50" t="s">
        <v>376</v>
      </c>
      <c r="J50" t="s">
        <v>191</v>
      </c>
      <c r="K50">
        <v>1</v>
      </c>
      <c r="L50" t="s">
        <v>409</v>
      </c>
      <c r="M50">
        <v>25</v>
      </c>
      <c r="N50" s="172">
        <v>42736</v>
      </c>
      <c r="O50" s="172"/>
      <c r="Q50" t="s">
        <v>191</v>
      </c>
      <c r="R50">
        <v>1</v>
      </c>
    </row>
    <row r="51" spans="1:18" x14ac:dyDescent="0.25">
      <c r="A51" t="str">
        <f>TableOUMPTCHSE[[#This Row],[Study Package Code]]</f>
        <v>EDSC5051</v>
      </c>
      <c r="B51" s="1">
        <f>TableOUMPTCHSE[[#This Row],[Ver]]</f>
        <v>1</v>
      </c>
      <c r="C51" t="str">
        <f>IF(TableOUMPTCHSE[[#This Row],[Ver]]&gt;0,_xlfn.TEXTBEFORE(TableOUMPTCHSE[[#This Row],[Structure Line]]," "),"")</f>
        <v>MTS504</v>
      </c>
      <c r="D51" t="str">
        <f>IF(TableOUMPTCHSE[[#This Row],[OUA Code]]&lt;&gt;"",_xlfn.TEXTAFTER(TableOUMPTCHSE[[#This Row],[Structure Line]]," "),TableOUMPTCHSE[[#This Row],[Structure Line]])</f>
        <v>Secondary Professional Experience 2: Assessment and Reporting</v>
      </c>
      <c r="E51" s="82">
        <f>TableOUMPTCHSE[[#This Row],[Credit Points]]</f>
        <v>25</v>
      </c>
      <c r="F51">
        <v>6</v>
      </c>
      <c r="G51" t="s">
        <v>379</v>
      </c>
      <c r="H51">
        <v>1</v>
      </c>
      <c r="I51" t="s">
        <v>376</v>
      </c>
      <c r="J51" t="s">
        <v>221</v>
      </c>
      <c r="K51">
        <v>1</v>
      </c>
      <c r="L51" t="s">
        <v>410</v>
      </c>
      <c r="M51">
        <v>25</v>
      </c>
      <c r="N51" s="172">
        <v>42736</v>
      </c>
      <c r="O51" s="172"/>
      <c r="Q51" t="s">
        <v>221</v>
      </c>
      <c r="R51">
        <v>1</v>
      </c>
    </row>
    <row r="52" spans="1:18" x14ac:dyDescent="0.25">
      <c r="A52" t="str">
        <f>TableOUMPTCHSE[[#This Row],[Study Package Code]]</f>
        <v>First Teaching Area Subjects</v>
      </c>
      <c r="B52" s="1">
        <f>TableOUMPTCHSE[[#This Row],[Ver]]</f>
        <v>0</v>
      </c>
      <c r="C52" t="str">
        <f>IF(TableOUMPTCHSE[[#This Row],[Ver]]&gt;0,_xlfn.TEXTBEFORE(TableOUMPTCHSE[[#This Row],[Structure Line]]," "),"")</f>
        <v/>
      </c>
      <c r="D52" t="str">
        <f>IF(TableOUMPTCHSE[[#This Row],[OUA Code]]&lt;&gt;"",_xlfn.TEXTAFTER(TableOUMPTCHSE[[#This Row],[Structure Line]]," "),TableOUMPTCHSE[[#This Row],[Structure Line]])</f>
        <v>Select the First Teaching Area Subjects</v>
      </c>
      <c r="E52" s="82">
        <f>TableOUMPTCHSE[[#This Row],[Credit Points]]</f>
        <v>50</v>
      </c>
      <c r="F52">
        <v>7</v>
      </c>
      <c r="G52" t="s">
        <v>411</v>
      </c>
      <c r="H52">
        <v>1</v>
      </c>
      <c r="I52" t="s">
        <v>376</v>
      </c>
      <c r="J52" t="s">
        <v>324</v>
      </c>
      <c r="K52">
        <v>0</v>
      </c>
      <c r="L52" t="s">
        <v>412</v>
      </c>
      <c r="M52">
        <v>50</v>
      </c>
      <c r="N52" s="172"/>
      <c r="O52" s="172"/>
      <c r="Q52" t="s">
        <v>324</v>
      </c>
      <c r="R52">
        <v>0</v>
      </c>
    </row>
    <row r="53" spans="1:18" x14ac:dyDescent="0.25">
      <c r="A53" t="str">
        <f>TableOUMPTCHSE[[#This Row],[Study Package Code]]</f>
        <v>EDUC6063</v>
      </c>
      <c r="B53" s="1">
        <f>TableOUMPTCHSE[[#This Row],[Ver]]</f>
        <v>1</v>
      </c>
      <c r="C53" t="str">
        <f>IF(TableOUMPTCHSE[[#This Row],[Ver]]&gt;0,_xlfn.TEXTBEFORE(TableOUMPTCHSE[[#This Row],[Structure Line]]," "),"")</f>
        <v>MTC600</v>
      </c>
      <c r="D53" t="str">
        <f>IF(TableOUMPTCHSE[[#This Row],[OUA Code]]&lt;&gt;"",_xlfn.TEXTAFTER(TableOUMPTCHSE[[#This Row],[Structure Line]]," "),TableOUMPTCHSE[[#This Row],[Structure Line]])</f>
        <v>Professional Experience 3: Using Data to Inform Teaching and Learning</v>
      </c>
      <c r="E53" s="82">
        <f>TableOUMPTCHSE[[#This Row],[Credit Points]]</f>
        <v>25</v>
      </c>
      <c r="F53">
        <v>8</v>
      </c>
      <c r="G53" t="s">
        <v>379</v>
      </c>
      <c r="H53">
        <v>2</v>
      </c>
      <c r="I53" t="s">
        <v>376</v>
      </c>
      <c r="J53" t="s">
        <v>314</v>
      </c>
      <c r="K53">
        <v>1</v>
      </c>
      <c r="L53" t="s">
        <v>388</v>
      </c>
      <c r="M53">
        <v>25</v>
      </c>
      <c r="N53" s="172">
        <v>44562</v>
      </c>
      <c r="O53" s="172"/>
      <c r="Q53" t="s">
        <v>314</v>
      </c>
      <c r="R53">
        <v>1</v>
      </c>
    </row>
    <row r="54" spans="1:18" x14ac:dyDescent="0.25">
      <c r="A54" t="str">
        <f>TableOUMPTCHSE[[#This Row],[Study Package Code]]</f>
        <v>EDUC6065</v>
      </c>
      <c r="B54" s="1">
        <f>TableOUMPTCHSE[[#This Row],[Ver]]</f>
        <v>1</v>
      </c>
      <c r="C54" t="str">
        <f>IF(TableOUMPTCHSE[[#This Row],[Ver]]&gt;0,_xlfn.TEXTBEFORE(TableOUMPTCHSE[[#This Row],[Structure Line]]," "),"")</f>
        <v>MTC610</v>
      </c>
      <c r="D54" t="str">
        <f>IF(TableOUMPTCHSE[[#This Row],[OUA Code]]&lt;&gt;"",_xlfn.TEXTAFTER(TableOUMPTCHSE[[#This Row],[Structure Line]]," "),TableOUMPTCHSE[[#This Row],[Structure Line]])</f>
        <v>Professional Experience 4: Transition into the Profession</v>
      </c>
      <c r="E54" s="82">
        <f>TableOUMPTCHSE[[#This Row],[Credit Points]]</f>
        <v>25</v>
      </c>
      <c r="F54">
        <v>9</v>
      </c>
      <c r="G54" t="s">
        <v>379</v>
      </c>
      <c r="H54">
        <v>2</v>
      </c>
      <c r="I54" t="s">
        <v>376</v>
      </c>
      <c r="J54" t="s">
        <v>318</v>
      </c>
      <c r="K54">
        <v>1</v>
      </c>
      <c r="L54" t="s">
        <v>389</v>
      </c>
      <c r="M54">
        <v>25</v>
      </c>
      <c r="N54" s="172">
        <v>44562</v>
      </c>
      <c r="O54" s="172"/>
      <c r="Q54" t="s">
        <v>318</v>
      </c>
      <c r="R54">
        <v>1</v>
      </c>
    </row>
    <row r="55" spans="1:18" x14ac:dyDescent="0.25">
      <c r="A55" t="str">
        <f>TableOUMPTCHSE[[#This Row],[Study Package Code]]</f>
        <v>EDUC6067</v>
      </c>
      <c r="B55" s="1">
        <f>TableOUMPTCHSE[[#This Row],[Ver]]</f>
        <v>1</v>
      </c>
      <c r="C55" t="str">
        <f>IF(TableOUMPTCHSE[[#This Row],[Ver]]&gt;0,_xlfn.TEXTBEFORE(TableOUMPTCHSE[[#This Row],[Structure Line]]," "),"")</f>
        <v>MTC620</v>
      </c>
      <c r="D55" t="str">
        <f>IF(TableOUMPTCHSE[[#This Row],[OUA Code]]&lt;&gt;"",_xlfn.TEXTAFTER(TableOUMPTCHSE[[#This Row],[Structure Line]]," "),TableOUMPTCHSE[[#This Row],[Structure Line]])</f>
        <v>Schooling and Australian Society</v>
      </c>
      <c r="E55" s="82">
        <f>TableOUMPTCHSE[[#This Row],[Credit Points]]</f>
        <v>25</v>
      </c>
      <c r="F55">
        <v>10</v>
      </c>
      <c r="G55" t="s">
        <v>379</v>
      </c>
      <c r="H55">
        <v>2</v>
      </c>
      <c r="I55" t="s">
        <v>376</v>
      </c>
      <c r="J55" t="s">
        <v>321</v>
      </c>
      <c r="K55">
        <v>1</v>
      </c>
      <c r="L55" t="s">
        <v>400</v>
      </c>
      <c r="M55">
        <v>25</v>
      </c>
      <c r="N55" s="172">
        <v>44562</v>
      </c>
      <c r="O55" s="172"/>
      <c r="Q55" t="s">
        <v>321</v>
      </c>
      <c r="R55">
        <v>1</v>
      </c>
    </row>
    <row r="56" spans="1:18" x14ac:dyDescent="0.25">
      <c r="A56" t="str">
        <f>TableOUMPTCHSE[[#This Row],[Study Package Code]]</f>
        <v>EDUC5014</v>
      </c>
      <c r="B56" s="1">
        <f>TableOUMPTCHSE[[#This Row],[Ver]]</f>
        <v>1</v>
      </c>
      <c r="C56" t="str">
        <f>IF(TableOUMPTCHSE[[#This Row],[Ver]]&gt;0,_xlfn.TEXTBEFORE(TableOUMPTCHSE[[#This Row],[Structure Line]]," "),"")</f>
        <v>MTPS501</v>
      </c>
      <c r="D56" t="str">
        <f>IF(TableOUMPTCHSE[[#This Row],[OUA Code]]&lt;&gt;"",_xlfn.TEXTAFTER(TableOUMPTCHSE[[#This Row],[Structure Line]]," "),TableOUMPTCHSE[[#This Row],[Structure Line]])</f>
        <v>Pedagogies for Diversity</v>
      </c>
      <c r="E56" s="82">
        <f>TableOUMPTCHSE[[#This Row],[Credit Points]]</f>
        <v>25</v>
      </c>
      <c r="F56">
        <v>11</v>
      </c>
      <c r="G56" t="s">
        <v>379</v>
      </c>
      <c r="H56">
        <v>2</v>
      </c>
      <c r="I56" t="s">
        <v>376</v>
      </c>
      <c r="J56" t="s">
        <v>244</v>
      </c>
      <c r="K56">
        <v>1</v>
      </c>
      <c r="L56" t="s">
        <v>405</v>
      </c>
      <c r="M56">
        <v>25</v>
      </c>
      <c r="N56" s="172">
        <v>42736</v>
      </c>
      <c r="O56" s="172"/>
      <c r="Q56" t="s">
        <v>244</v>
      </c>
      <c r="R56">
        <v>1</v>
      </c>
    </row>
    <row r="57" spans="1:18" x14ac:dyDescent="0.25">
      <c r="A57" t="str">
        <f>TableOUMPTCHSE[[#This Row],[Study Package Code]]</f>
        <v>EDUC5017</v>
      </c>
      <c r="B57" s="1">
        <f>TableOUMPTCHSE[[#This Row],[Ver]]</f>
        <v>1</v>
      </c>
      <c r="C57" t="str">
        <f>IF(TableOUMPTCHSE[[#This Row],[Ver]]&gt;0,_xlfn.TEXTBEFORE(TableOUMPTCHSE[[#This Row],[Structure Line]]," "),"")</f>
        <v>MTPS504</v>
      </c>
      <c r="D57" t="str">
        <f>IF(TableOUMPTCHSE[[#This Row],[OUA Code]]&lt;&gt;"",_xlfn.TEXTAFTER(TableOUMPTCHSE[[#This Row],[Structure Line]]," "),TableOUMPTCHSE[[#This Row],[Structure Line]])</f>
        <v>Creative Technologies</v>
      </c>
      <c r="E57" s="82">
        <f>TableOUMPTCHSE[[#This Row],[Credit Points]]</f>
        <v>25</v>
      </c>
      <c r="F57">
        <v>12</v>
      </c>
      <c r="G57" t="s">
        <v>379</v>
      </c>
      <c r="H57">
        <v>2</v>
      </c>
      <c r="I57" t="s">
        <v>376</v>
      </c>
      <c r="J57" t="s">
        <v>247</v>
      </c>
      <c r="K57">
        <v>1</v>
      </c>
      <c r="L57" t="s">
        <v>395</v>
      </c>
      <c r="M57">
        <v>25</v>
      </c>
      <c r="N57" s="172">
        <v>42736</v>
      </c>
      <c r="O57" s="172"/>
      <c r="Q57" t="s">
        <v>247</v>
      </c>
      <c r="R57">
        <v>1</v>
      </c>
    </row>
    <row r="58" spans="1:18" x14ac:dyDescent="0.25">
      <c r="A58" t="str">
        <f>TableOUMPTCHSE[[#This Row],[Study Package Code]]</f>
        <v>EDSC6001</v>
      </c>
      <c r="B58" s="1">
        <f>TableOUMPTCHSE[[#This Row],[Ver]]</f>
        <v>1</v>
      </c>
      <c r="C58" t="str">
        <f>IF(TableOUMPTCHSE[[#This Row],[Ver]]&gt;0,_xlfn.TEXTBEFORE(TableOUMPTCHSE[[#This Row],[Structure Line]]," "),"")</f>
        <v>MTS600</v>
      </c>
      <c r="D58" t="str">
        <f>IF(TableOUMPTCHSE[[#This Row],[OUA Code]]&lt;&gt;"",_xlfn.TEXTAFTER(TableOUMPTCHSE[[#This Row],[Structure Line]]," "),TableOUMPTCHSE[[#This Row],[Structure Line]])</f>
        <v>Research-Based Inquiry to Enhance Practice</v>
      </c>
      <c r="E58" s="82">
        <f>TableOUMPTCHSE[[#This Row],[Credit Points]]</f>
        <v>25</v>
      </c>
      <c r="F58">
        <v>13</v>
      </c>
      <c r="G58" t="s">
        <v>379</v>
      </c>
      <c r="H58">
        <v>2</v>
      </c>
      <c r="I58" t="s">
        <v>376</v>
      </c>
      <c r="J58" t="s">
        <v>236</v>
      </c>
      <c r="K58">
        <v>1</v>
      </c>
      <c r="L58" t="s">
        <v>413</v>
      </c>
      <c r="M58">
        <v>25</v>
      </c>
      <c r="N58" s="172">
        <v>44562</v>
      </c>
      <c r="O58" s="172"/>
      <c r="Q58" t="s">
        <v>236</v>
      </c>
      <c r="R58">
        <v>1</v>
      </c>
    </row>
    <row r="59" spans="1:18" x14ac:dyDescent="0.25">
      <c r="A59" t="str">
        <f>TableOUMPTCHSE[[#This Row],[Study Package Code]]</f>
        <v>Second Teaching Area Subjects</v>
      </c>
      <c r="B59" s="1">
        <f>TableOUMPTCHSE[[#This Row],[Ver]]</f>
        <v>0</v>
      </c>
      <c r="C59" t="str">
        <f>IF(TableOUMPTCHSE[[#This Row],[Ver]]&gt;0,_xlfn.TEXTBEFORE(TableOUMPTCHSE[[#This Row],[Structure Line]]," "),"")</f>
        <v/>
      </c>
      <c r="D59" t="str">
        <f>IF(TableOUMPTCHSE[[#This Row],[OUA Code]]&lt;&gt;"",_xlfn.TEXTAFTER(TableOUMPTCHSE[[#This Row],[Structure Line]]," "),TableOUMPTCHSE[[#This Row],[Structure Line]])</f>
        <v>Select the Second Teaching Area Subjects</v>
      </c>
      <c r="E59" s="82">
        <f>TableOUMPTCHSE[[#This Row],[Credit Points]]</f>
        <v>50</v>
      </c>
      <c r="F59">
        <v>14</v>
      </c>
      <c r="G59" t="s">
        <v>411</v>
      </c>
      <c r="H59">
        <v>2</v>
      </c>
      <c r="I59" t="s">
        <v>376</v>
      </c>
      <c r="J59" t="s">
        <v>349</v>
      </c>
      <c r="K59">
        <v>0</v>
      </c>
      <c r="L59" t="s">
        <v>414</v>
      </c>
      <c r="M59">
        <v>50</v>
      </c>
      <c r="N59" s="172"/>
      <c r="O59" s="172"/>
      <c r="Q59" t="s">
        <v>349</v>
      </c>
      <c r="R59">
        <v>0</v>
      </c>
    </row>
    <row r="60" spans="1:18" x14ac:dyDescent="0.25">
      <c r="A60" t="str">
        <f>TableOUMPTCHSE[[#This Row],[Study Package Code]]</f>
        <v>EDSC5041</v>
      </c>
      <c r="B60" s="1">
        <f>TableOUMPTCHSE[[#This Row],[Ver]]</f>
        <v>1</v>
      </c>
      <c r="C60" t="str">
        <f>IF(TableOUMPTCHSE[[#This Row],[Ver]]&gt;0,_xlfn.TEXTBEFORE(TableOUMPTCHSE[[#This Row],[Structure Line]]," "),"")</f>
        <v>MTS506</v>
      </c>
      <c r="D60" t="str">
        <f>IF(TableOUMPTCHSE[[#This Row],[OUA Code]]&lt;&gt;"",_xlfn.TEXTAFTER(TableOUMPTCHSE[[#This Row],[Structure Line]]," "),TableOUMPTCHSE[[#This Row],[Structure Line]])</f>
        <v>Curriculum and Instruction Lower Secondary: The Arts</v>
      </c>
      <c r="E60" s="82">
        <f>TableOUMPTCHSE[[#This Row],[Credit Points]]</f>
        <v>25</v>
      </c>
      <c r="F60">
        <v>7</v>
      </c>
      <c r="G60" t="s">
        <v>411</v>
      </c>
      <c r="H60">
        <v>1</v>
      </c>
      <c r="I60" t="s">
        <v>376</v>
      </c>
      <c r="J60" t="s">
        <v>194</v>
      </c>
      <c r="K60">
        <v>1</v>
      </c>
      <c r="L60" t="s">
        <v>415</v>
      </c>
      <c r="M60">
        <v>25</v>
      </c>
      <c r="N60" s="172">
        <v>42736</v>
      </c>
      <c r="O60" s="172"/>
      <c r="Q60" t="s">
        <v>194</v>
      </c>
      <c r="R60">
        <v>1</v>
      </c>
    </row>
    <row r="61" spans="1:18" x14ac:dyDescent="0.25">
      <c r="A61" t="str">
        <f>TableOUMPTCHSE[[#This Row],[Study Package Code]]</f>
        <v>EDSC5042</v>
      </c>
      <c r="B61" s="1">
        <f>TableOUMPTCHSE[[#This Row],[Ver]]</f>
        <v>1</v>
      </c>
      <c r="C61" t="str">
        <f>IF(TableOUMPTCHSE[[#This Row],[Ver]]&gt;0,_xlfn.TEXTBEFORE(TableOUMPTCHSE[[#This Row],[Structure Line]]," "),"")</f>
        <v>MTS507</v>
      </c>
      <c r="D61" t="str">
        <f>IF(TableOUMPTCHSE[[#This Row],[OUA Code]]&lt;&gt;"",_xlfn.TEXTAFTER(TableOUMPTCHSE[[#This Row],[Structure Line]]," "),TableOUMPTCHSE[[#This Row],[Structure Line]])</f>
        <v>Curriculum and Instruction Lower Secondary: English</v>
      </c>
      <c r="E61" s="82">
        <f>TableOUMPTCHSE[[#This Row],[Credit Points]]</f>
        <v>25</v>
      </c>
      <c r="F61">
        <v>7</v>
      </c>
      <c r="G61" t="s">
        <v>411</v>
      </c>
      <c r="H61">
        <v>1</v>
      </c>
      <c r="I61" t="s">
        <v>376</v>
      </c>
      <c r="J61" t="s">
        <v>197</v>
      </c>
      <c r="K61">
        <v>1</v>
      </c>
      <c r="L61" t="s">
        <v>416</v>
      </c>
      <c r="M61">
        <v>25</v>
      </c>
      <c r="N61" s="172">
        <v>42736</v>
      </c>
      <c r="O61" s="172"/>
      <c r="Q61" t="s">
        <v>197</v>
      </c>
      <c r="R61">
        <v>1</v>
      </c>
    </row>
    <row r="62" spans="1:18" x14ac:dyDescent="0.25">
      <c r="A62" t="str">
        <f>TableOUMPTCHSE[[#This Row],[Study Package Code]]</f>
        <v>EDSC5043</v>
      </c>
      <c r="B62" s="1">
        <f>TableOUMPTCHSE[[#This Row],[Ver]]</f>
        <v>1</v>
      </c>
      <c r="C62" t="str">
        <f>IF(TableOUMPTCHSE[[#This Row],[Ver]]&gt;0,_xlfn.TEXTBEFORE(TableOUMPTCHSE[[#This Row],[Structure Line]]," "),"")</f>
        <v>MTS508</v>
      </c>
      <c r="D62" t="str">
        <f>IF(TableOUMPTCHSE[[#This Row],[OUA Code]]&lt;&gt;"",_xlfn.TEXTAFTER(TableOUMPTCHSE[[#This Row],[Structure Line]]," "),TableOUMPTCHSE[[#This Row],[Structure Line]])</f>
        <v>Curriculum and Instruction Lower Secondary: Humanities and Social Sciences</v>
      </c>
      <c r="E62" s="82">
        <f>TableOUMPTCHSE[[#This Row],[Credit Points]]</f>
        <v>25</v>
      </c>
      <c r="F62">
        <v>7</v>
      </c>
      <c r="G62" t="s">
        <v>411</v>
      </c>
      <c r="H62">
        <v>1</v>
      </c>
      <c r="I62" t="s">
        <v>376</v>
      </c>
      <c r="J62" t="s">
        <v>200</v>
      </c>
      <c r="K62">
        <v>1</v>
      </c>
      <c r="L62" t="s">
        <v>417</v>
      </c>
      <c r="M62">
        <v>25</v>
      </c>
      <c r="N62" s="172">
        <v>42736</v>
      </c>
      <c r="O62" s="172"/>
      <c r="Q62" t="s">
        <v>200</v>
      </c>
      <c r="R62">
        <v>1</v>
      </c>
    </row>
    <row r="63" spans="1:18" x14ac:dyDescent="0.25">
      <c r="A63" t="str">
        <f>TableOUMPTCHSE[[#This Row],[Study Package Code]]</f>
        <v>EDSC5044</v>
      </c>
      <c r="B63" s="1">
        <f>TableOUMPTCHSE[[#This Row],[Ver]]</f>
        <v>1</v>
      </c>
      <c r="C63" t="str">
        <f>IF(TableOUMPTCHSE[[#This Row],[Ver]]&gt;0,_xlfn.TEXTBEFORE(TableOUMPTCHSE[[#This Row],[Structure Line]]," "),"")</f>
        <v>MTS509</v>
      </c>
      <c r="D63" t="str">
        <f>IF(TableOUMPTCHSE[[#This Row],[OUA Code]]&lt;&gt;"",_xlfn.TEXTAFTER(TableOUMPTCHSE[[#This Row],[Structure Line]]," "),TableOUMPTCHSE[[#This Row],[Structure Line]])</f>
        <v>Curriculum and Instruction Lower Secondary: Mathematics</v>
      </c>
      <c r="E63" s="82">
        <f>TableOUMPTCHSE[[#This Row],[Credit Points]]</f>
        <v>25</v>
      </c>
      <c r="F63">
        <v>7</v>
      </c>
      <c r="G63" t="s">
        <v>411</v>
      </c>
      <c r="H63">
        <v>1</v>
      </c>
      <c r="I63" t="s">
        <v>376</v>
      </c>
      <c r="J63" t="s">
        <v>203</v>
      </c>
      <c r="K63">
        <v>1</v>
      </c>
      <c r="L63" t="s">
        <v>418</v>
      </c>
      <c r="M63">
        <v>25</v>
      </c>
      <c r="N63" s="172">
        <v>42736</v>
      </c>
      <c r="O63" s="172"/>
      <c r="Q63" t="s">
        <v>203</v>
      </c>
      <c r="R63">
        <v>1</v>
      </c>
    </row>
    <row r="64" spans="1:18" x14ac:dyDescent="0.25">
      <c r="A64" t="str">
        <f>TableOUMPTCHSE[[#This Row],[Study Package Code]]</f>
        <v>EDSC5045</v>
      </c>
      <c r="B64" s="1">
        <f>TableOUMPTCHSE[[#This Row],[Ver]]</f>
        <v>1</v>
      </c>
      <c r="C64" t="str">
        <f>IF(TableOUMPTCHSE[[#This Row],[Ver]]&gt;0,_xlfn.TEXTBEFORE(TableOUMPTCHSE[[#This Row],[Structure Line]]," "),"")</f>
        <v>MTS510</v>
      </c>
      <c r="D64" t="str">
        <f>IF(TableOUMPTCHSE[[#This Row],[OUA Code]]&lt;&gt;"",_xlfn.TEXTAFTER(TableOUMPTCHSE[[#This Row],[Structure Line]]," "),TableOUMPTCHSE[[#This Row],[Structure Line]])</f>
        <v>Curriculum and Instruction Lower Secondary: Science</v>
      </c>
      <c r="E64" s="82">
        <f>TableOUMPTCHSE[[#This Row],[Credit Points]]</f>
        <v>25</v>
      </c>
      <c r="F64">
        <v>7</v>
      </c>
      <c r="G64" t="s">
        <v>411</v>
      </c>
      <c r="H64">
        <v>1</v>
      </c>
      <c r="I64" t="s">
        <v>376</v>
      </c>
      <c r="J64" t="s">
        <v>206</v>
      </c>
      <c r="K64">
        <v>1</v>
      </c>
      <c r="L64" t="s">
        <v>419</v>
      </c>
      <c r="M64">
        <v>25</v>
      </c>
      <c r="N64" s="172">
        <v>42736</v>
      </c>
      <c r="O64" s="172"/>
      <c r="Q64" t="s">
        <v>206</v>
      </c>
      <c r="R64">
        <v>1</v>
      </c>
    </row>
    <row r="65" spans="1:18" x14ac:dyDescent="0.25">
      <c r="A65" t="str">
        <f>TableOUMPTCHSE[[#This Row],[Study Package Code]]</f>
        <v>EDSC5046</v>
      </c>
      <c r="B65" s="1">
        <f>TableOUMPTCHSE[[#This Row],[Ver]]</f>
        <v>2</v>
      </c>
      <c r="C65" t="str">
        <f>IF(TableOUMPTCHSE[[#This Row],[Ver]]&gt;0,_xlfn.TEXTBEFORE(TableOUMPTCHSE[[#This Row],[Structure Line]]," "),"")</f>
        <v>MTS511</v>
      </c>
      <c r="D65" t="str">
        <f>IF(TableOUMPTCHSE[[#This Row],[OUA Code]]&lt;&gt;"",_xlfn.TEXTAFTER(TableOUMPTCHSE[[#This Row],[Structure Line]]," "),TableOUMPTCHSE[[#This Row],[Structure Line]])</f>
        <v>Curriculum and Instruction Senior Secondary: The Arts</v>
      </c>
      <c r="E65" s="82">
        <f>TableOUMPTCHSE[[#This Row],[Credit Points]]</f>
        <v>25</v>
      </c>
      <c r="F65">
        <v>7</v>
      </c>
      <c r="G65" t="s">
        <v>411</v>
      </c>
      <c r="H65">
        <v>1</v>
      </c>
      <c r="I65" t="s">
        <v>376</v>
      </c>
      <c r="J65" t="s">
        <v>209</v>
      </c>
      <c r="K65">
        <v>2</v>
      </c>
      <c r="L65" t="s">
        <v>420</v>
      </c>
      <c r="M65">
        <v>25</v>
      </c>
      <c r="N65" s="172">
        <v>43831</v>
      </c>
      <c r="O65" s="172"/>
      <c r="Q65" t="s">
        <v>209</v>
      </c>
      <c r="R65">
        <v>2</v>
      </c>
    </row>
    <row r="66" spans="1:18" x14ac:dyDescent="0.25">
      <c r="A66" t="str">
        <f>TableOUMPTCHSE[[#This Row],[Study Package Code]]</f>
        <v>EDSC5048</v>
      </c>
      <c r="B66" s="1">
        <f>TableOUMPTCHSE[[#This Row],[Ver]]</f>
        <v>2</v>
      </c>
      <c r="C66" t="str">
        <f>IF(TableOUMPTCHSE[[#This Row],[Ver]]&gt;0,_xlfn.TEXTBEFORE(TableOUMPTCHSE[[#This Row],[Structure Line]]," "),"")</f>
        <v>MTS513</v>
      </c>
      <c r="D66" t="str">
        <f>IF(TableOUMPTCHSE[[#This Row],[OUA Code]]&lt;&gt;"",_xlfn.TEXTAFTER(TableOUMPTCHSE[[#This Row],[Structure Line]]," "),TableOUMPTCHSE[[#This Row],[Structure Line]])</f>
        <v>Curriculum and Instruction Senior Secondary: Humanities and Social Sciences</v>
      </c>
      <c r="E66" s="82">
        <f>TableOUMPTCHSE[[#This Row],[Credit Points]]</f>
        <v>25</v>
      </c>
      <c r="F66">
        <v>7</v>
      </c>
      <c r="G66" t="s">
        <v>411</v>
      </c>
      <c r="H66">
        <v>1</v>
      </c>
      <c r="I66" t="s">
        <v>376</v>
      </c>
      <c r="J66" t="s">
        <v>212</v>
      </c>
      <c r="K66">
        <v>2</v>
      </c>
      <c r="L66" t="s">
        <v>421</v>
      </c>
      <c r="M66">
        <v>25</v>
      </c>
      <c r="N66" s="172">
        <v>43831</v>
      </c>
      <c r="O66" s="172"/>
      <c r="Q66" t="s">
        <v>212</v>
      </c>
      <c r="R66">
        <v>2</v>
      </c>
    </row>
    <row r="67" spans="1:18" x14ac:dyDescent="0.25">
      <c r="A67" t="str">
        <f>TableOUMPTCHSE[[#This Row],[Study Package Code]]</f>
        <v>EDSC5049</v>
      </c>
      <c r="B67" s="1">
        <f>TableOUMPTCHSE[[#This Row],[Ver]]</f>
        <v>2</v>
      </c>
      <c r="C67" t="str">
        <f>IF(TableOUMPTCHSE[[#This Row],[Ver]]&gt;0,_xlfn.TEXTBEFORE(TableOUMPTCHSE[[#This Row],[Structure Line]]," "),"")</f>
        <v>MTS514</v>
      </c>
      <c r="D67" t="str">
        <f>IF(TableOUMPTCHSE[[#This Row],[OUA Code]]&lt;&gt;"",_xlfn.TEXTAFTER(TableOUMPTCHSE[[#This Row],[Structure Line]]," "),TableOUMPTCHSE[[#This Row],[Structure Line]])</f>
        <v>Curriculum and Instruction Senior Secondary: Mathematics</v>
      </c>
      <c r="E67" s="82">
        <f>TableOUMPTCHSE[[#This Row],[Credit Points]]</f>
        <v>25</v>
      </c>
      <c r="F67">
        <v>7</v>
      </c>
      <c r="G67" t="s">
        <v>411</v>
      </c>
      <c r="H67">
        <v>1</v>
      </c>
      <c r="I67" t="s">
        <v>376</v>
      </c>
      <c r="J67" t="s">
        <v>215</v>
      </c>
      <c r="K67">
        <v>2</v>
      </c>
      <c r="L67" t="s">
        <v>422</v>
      </c>
      <c r="M67">
        <v>25</v>
      </c>
      <c r="N67" s="172">
        <v>43831</v>
      </c>
      <c r="O67" s="172"/>
      <c r="Q67" t="s">
        <v>215</v>
      </c>
      <c r="R67">
        <v>2</v>
      </c>
    </row>
    <row r="68" spans="1:18" x14ac:dyDescent="0.25">
      <c r="A68" t="str">
        <f>TableOUMPTCHSE[[#This Row],[Study Package Code]]</f>
        <v>EDSC5050</v>
      </c>
      <c r="B68" s="1">
        <f>TableOUMPTCHSE[[#This Row],[Ver]]</f>
        <v>2</v>
      </c>
      <c r="C68" t="str">
        <f>IF(TableOUMPTCHSE[[#This Row],[Ver]]&gt;0,_xlfn.TEXTBEFORE(TableOUMPTCHSE[[#This Row],[Structure Line]]," "),"")</f>
        <v>MTS515</v>
      </c>
      <c r="D68" t="str">
        <f>IF(TableOUMPTCHSE[[#This Row],[OUA Code]]&lt;&gt;"",_xlfn.TEXTAFTER(TableOUMPTCHSE[[#This Row],[Structure Line]]," "),TableOUMPTCHSE[[#This Row],[Structure Line]])</f>
        <v>Curriculum and Instruction Senior Secondary: Science</v>
      </c>
      <c r="E68" s="82">
        <f>TableOUMPTCHSE[[#This Row],[Credit Points]]</f>
        <v>25</v>
      </c>
      <c r="F68">
        <v>7</v>
      </c>
      <c r="G68" t="s">
        <v>411</v>
      </c>
      <c r="H68">
        <v>1</v>
      </c>
      <c r="I68" t="s">
        <v>376</v>
      </c>
      <c r="J68" t="s">
        <v>218</v>
      </c>
      <c r="K68">
        <v>2</v>
      </c>
      <c r="L68" t="s">
        <v>423</v>
      </c>
      <c r="M68">
        <v>25</v>
      </c>
      <c r="N68" s="172">
        <v>43831</v>
      </c>
      <c r="O68" s="172"/>
      <c r="Q68" t="s">
        <v>218</v>
      </c>
      <c r="R68">
        <v>2</v>
      </c>
    </row>
    <row r="69" spans="1:18" x14ac:dyDescent="0.25">
      <c r="A69" t="str">
        <f>TableOUMPTCHSE[[#This Row],[Study Package Code]]</f>
        <v>EDSC5054</v>
      </c>
      <c r="B69" s="1">
        <f>TableOUMPTCHSE[[#This Row],[Ver]]</f>
        <v>1</v>
      </c>
      <c r="C69" t="str">
        <f>IF(TableOUMPTCHSE[[#This Row],[Ver]]&gt;0,_xlfn.TEXTBEFORE(TableOUMPTCHSE[[#This Row],[Structure Line]]," "),"")</f>
        <v>MTS512</v>
      </c>
      <c r="D69" t="str">
        <f>IF(TableOUMPTCHSE[[#This Row],[OUA Code]]&lt;&gt;"",_xlfn.TEXTAFTER(TableOUMPTCHSE[[#This Row],[Structure Line]]," "),TableOUMPTCHSE[[#This Row],[Structure Line]])</f>
        <v>Curriculum and Instruction Senior Secondary: English</v>
      </c>
      <c r="E69" s="82">
        <f>TableOUMPTCHSE[[#This Row],[Credit Points]]</f>
        <v>25</v>
      </c>
      <c r="F69">
        <v>7</v>
      </c>
      <c r="G69" t="s">
        <v>411</v>
      </c>
      <c r="H69">
        <v>1</v>
      </c>
      <c r="I69" t="s">
        <v>376</v>
      </c>
      <c r="J69" t="s">
        <v>224</v>
      </c>
      <c r="K69">
        <v>1</v>
      </c>
      <c r="L69" t="s">
        <v>424</v>
      </c>
      <c r="M69">
        <v>25</v>
      </c>
      <c r="N69" s="172">
        <v>43831</v>
      </c>
      <c r="O69" s="172"/>
      <c r="Q69" t="s">
        <v>224</v>
      </c>
      <c r="R69">
        <v>1</v>
      </c>
    </row>
    <row r="70" spans="1:18" x14ac:dyDescent="0.25">
      <c r="A70" t="str">
        <f>TableOUMPTCHSE[[#This Row],[Study Package Code]]</f>
        <v>EDSC5056</v>
      </c>
      <c r="B70" s="1">
        <f>TableOUMPTCHSE[[#This Row],[Ver]]</f>
        <v>1</v>
      </c>
      <c r="C70" t="str">
        <f>IF(TableOUMPTCHSE[[#This Row],[Ver]]&gt;0,_xlfn.TEXTBEFORE(TableOUMPTCHSE[[#This Row],[Structure Line]]," "),"")</f>
        <v>MTS516</v>
      </c>
      <c r="D70" t="str">
        <f>IF(TableOUMPTCHSE[[#This Row],[OUA Code]]&lt;&gt;"",_xlfn.TEXTAFTER(TableOUMPTCHSE[[#This Row],[Structure Line]]," "),TableOUMPTCHSE[[#This Row],[Structure Line]])</f>
        <v>Curriculum and Instruction Lower Secondary: Health and Physical Education</v>
      </c>
      <c r="E70" s="82">
        <f>TableOUMPTCHSE[[#This Row],[Credit Points]]</f>
        <v>25</v>
      </c>
      <c r="F70">
        <v>7</v>
      </c>
      <c r="G70" t="s">
        <v>411</v>
      </c>
      <c r="H70">
        <v>1</v>
      </c>
      <c r="I70" t="s">
        <v>376</v>
      </c>
      <c r="J70" t="s">
        <v>227</v>
      </c>
      <c r="K70">
        <v>1</v>
      </c>
      <c r="L70" t="s">
        <v>425</v>
      </c>
      <c r="M70">
        <v>25</v>
      </c>
      <c r="N70" s="172">
        <v>43831</v>
      </c>
      <c r="O70" s="172"/>
      <c r="Q70" t="s">
        <v>227</v>
      </c>
      <c r="R70">
        <v>1</v>
      </c>
    </row>
    <row r="71" spans="1:18" x14ac:dyDescent="0.25">
      <c r="A71" t="str">
        <f>TableOUMPTCHSE[[#This Row],[Study Package Code]]</f>
        <v>EDSC5058</v>
      </c>
      <c r="B71" s="1">
        <f>TableOUMPTCHSE[[#This Row],[Ver]]</f>
        <v>1</v>
      </c>
      <c r="C71" t="str">
        <f>IF(TableOUMPTCHSE[[#This Row],[Ver]]&gt;0,_xlfn.TEXTBEFORE(TableOUMPTCHSE[[#This Row],[Structure Line]]," "),"")</f>
        <v>MTS517</v>
      </c>
      <c r="D71" t="str">
        <f>IF(TableOUMPTCHSE[[#This Row],[OUA Code]]&lt;&gt;"",_xlfn.TEXTAFTER(TableOUMPTCHSE[[#This Row],[Structure Line]]," "),TableOUMPTCHSE[[#This Row],[Structure Line]])</f>
        <v>Curriculum and Instruction Senior Secondary: Health and Physical Education</v>
      </c>
      <c r="E71" s="82">
        <f>TableOUMPTCHSE[[#This Row],[Credit Points]]</f>
        <v>25</v>
      </c>
      <c r="F71">
        <v>7</v>
      </c>
      <c r="G71" t="s">
        <v>411</v>
      </c>
      <c r="H71">
        <v>1</v>
      </c>
      <c r="I71" t="s">
        <v>376</v>
      </c>
      <c r="J71" t="s">
        <v>230</v>
      </c>
      <c r="K71">
        <v>1</v>
      </c>
      <c r="L71" t="s">
        <v>426</v>
      </c>
      <c r="M71">
        <v>25</v>
      </c>
      <c r="N71" s="172">
        <v>43831</v>
      </c>
      <c r="O71" s="172"/>
      <c r="Q71" t="s">
        <v>230</v>
      </c>
      <c r="R71">
        <v>1</v>
      </c>
    </row>
    <row r="72" spans="1:18" x14ac:dyDescent="0.25">
      <c r="A72" t="str">
        <f>TableOUMPTCHSE[[#This Row],[Study Package Code]]</f>
        <v>EDSC5041</v>
      </c>
      <c r="B72" s="1">
        <f>TableOUMPTCHSE[[#This Row],[Ver]]</f>
        <v>1</v>
      </c>
      <c r="C72" t="str">
        <f>IF(TableOUMPTCHSE[[#This Row],[Ver]]&gt;0,_xlfn.TEXTBEFORE(TableOUMPTCHSE[[#This Row],[Structure Line]]," "),"")</f>
        <v>MTS506</v>
      </c>
      <c r="D72" t="str">
        <f>IF(TableOUMPTCHSE[[#This Row],[OUA Code]]&lt;&gt;"",_xlfn.TEXTAFTER(TableOUMPTCHSE[[#This Row],[Structure Line]]," "),TableOUMPTCHSE[[#This Row],[Structure Line]])</f>
        <v>Curriculum and Instruction Lower Secondary: The Arts</v>
      </c>
      <c r="E72" s="82">
        <f>TableOUMPTCHSE[[#This Row],[Credit Points]]</f>
        <v>25</v>
      </c>
      <c r="F72">
        <v>14</v>
      </c>
      <c r="G72" t="s">
        <v>411</v>
      </c>
      <c r="H72">
        <v>2</v>
      </c>
      <c r="I72" t="s">
        <v>376</v>
      </c>
      <c r="J72" t="s">
        <v>194</v>
      </c>
      <c r="K72">
        <v>1</v>
      </c>
      <c r="L72" t="s">
        <v>415</v>
      </c>
      <c r="M72">
        <v>25</v>
      </c>
      <c r="N72" s="172">
        <v>42736</v>
      </c>
      <c r="O72" s="172"/>
      <c r="Q72" t="s">
        <v>194</v>
      </c>
      <c r="R72">
        <v>1</v>
      </c>
    </row>
    <row r="73" spans="1:18" x14ac:dyDescent="0.25">
      <c r="A73" t="str">
        <f>TableOUMPTCHSE[[#This Row],[Study Package Code]]</f>
        <v>EDSC5042</v>
      </c>
      <c r="B73" s="1">
        <f>TableOUMPTCHSE[[#This Row],[Ver]]</f>
        <v>1</v>
      </c>
      <c r="C73" t="str">
        <f>IF(TableOUMPTCHSE[[#This Row],[Ver]]&gt;0,_xlfn.TEXTBEFORE(TableOUMPTCHSE[[#This Row],[Structure Line]]," "),"")</f>
        <v>MTS507</v>
      </c>
      <c r="D73" t="str">
        <f>IF(TableOUMPTCHSE[[#This Row],[OUA Code]]&lt;&gt;"",_xlfn.TEXTAFTER(TableOUMPTCHSE[[#This Row],[Structure Line]]," "),TableOUMPTCHSE[[#This Row],[Structure Line]])</f>
        <v>Curriculum and Instruction Lower Secondary: English</v>
      </c>
      <c r="E73" s="82">
        <f>TableOUMPTCHSE[[#This Row],[Credit Points]]</f>
        <v>25</v>
      </c>
      <c r="F73">
        <v>14</v>
      </c>
      <c r="G73" t="s">
        <v>411</v>
      </c>
      <c r="H73">
        <v>2</v>
      </c>
      <c r="I73" t="s">
        <v>376</v>
      </c>
      <c r="J73" t="s">
        <v>197</v>
      </c>
      <c r="K73">
        <v>1</v>
      </c>
      <c r="L73" t="s">
        <v>416</v>
      </c>
      <c r="M73">
        <v>25</v>
      </c>
      <c r="N73" s="172">
        <v>42736</v>
      </c>
      <c r="O73" s="172"/>
      <c r="Q73" t="s">
        <v>197</v>
      </c>
      <c r="R73">
        <v>1</v>
      </c>
    </row>
    <row r="74" spans="1:18" x14ac:dyDescent="0.25">
      <c r="A74" t="str">
        <f>TableOUMPTCHSE[[#This Row],[Study Package Code]]</f>
        <v>EDSC5043</v>
      </c>
      <c r="B74" s="1">
        <f>TableOUMPTCHSE[[#This Row],[Ver]]</f>
        <v>1</v>
      </c>
      <c r="C74" t="str">
        <f>IF(TableOUMPTCHSE[[#This Row],[Ver]]&gt;0,_xlfn.TEXTBEFORE(TableOUMPTCHSE[[#This Row],[Structure Line]]," "),"")</f>
        <v>MTS508</v>
      </c>
      <c r="D74" t="str">
        <f>IF(TableOUMPTCHSE[[#This Row],[OUA Code]]&lt;&gt;"",_xlfn.TEXTAFTER(TableOUMPTCHSE[[#This Row],[Structure Line]]," "),TableOUMPTCHSE[[#This Row],[Structure Line]])</f>
        <v>Curriculum and Instruction Lower Secondary: Humanities and Social Sciences</v>
      </c>
      <c r="E74" s="82">
        <f>TableOUMPTCHSE[[#This Row],[Credit Points]]</f>
        <v>25</v>
      </c>
      <c r="F74">
        <v>14</v>
      </c>
      <c r="G74" t="s">
        <v>411</v>
      </c>
      <c r="H74">
        <v>2</v>
      </c>
      <c r="I74" t="s">
        <v>376</v>
      </c>
      <c r="J74" t="s">
        <v>200</v>
      </c>
      <c r="K74">
        <v>1</v>
      </c>
      <c r="L74" t="s">
        <v>417</v>
      </c>
      <c r="M74">
        <v>25</v>
      </c>
      <c r="N74" s="172">
        <v>42736</v>
      </c>
      <c r="O74" s="172"/>
      <c r="Q74" t="s">
        <v>200</v>
      </c>
      <c r="R74">
        <v>1</v>
      </c>
    </row>
    <row r="75" spans="1:18" x14ac:dyDescent="0.25">
      <c r="A75" t="str">
        <f>TableOUMPTCHSE[[#This Row],[Study Package Code]]</f>
        <v>EDSC5044</v>
      </c>
      <c r="B75" s="1">
        <f>TableOUMPTCHSE[[#This Row],[Ver]]</f>
        <v>1</v>
      </c>
      <c r="C75" t="str">
        <f>IF(TableOUMPTCHSE[[#This Row],[Ver]]&gt;0,_xlfn.TEXTBEFORE(TableOUMPTCHSE[[#This Row],[Structure Line]]," "),"")</f>
        <v>MTS509</v>
      </c>
      <c r="D75" t="str">
        <f>IF(TableOUMPTCHSE[[#This Row],[OUA Code]]&lt;&gt;"",_xlfn.TEXTAFTER(TableOUMPTCHSE[[#This Row],[Structure Line]]," "),TableOUMPTCHSE[[#This Row],[Structure Line]])</f>
        <v>Curriculum and Instruction Lower Secondary: Mathematics</v>
      </c>
      <c r="E75" s="82">
        <f>TableOUMPTCHSE[[#This Row],[Credit Points]]</f>
        <v>25</v>
      </c>
      <c r="F75">
        <v>14</v>
      </c>
      <c r="G75" t="s">
        <v>411</v>
      </c>
      <c r="H75">
        <v>2</v>
      </c>
      <c r="I75" t="s">
        <v>376</v>
      </c>
      <c r="J75" t="s">
        <v>203</v>
      </c>
      <c r="K75">
        <v>1</v>
      </c>
      <c r="L75" t="s">
        <v>418</v>
      </c>
      <c r="M75">
        <v>25</v>
      </c>
      <c r="N75" s="172">
        <v>42736</v>
      </c>
      <c r="O75" s="172"/>
      <c r="Q75" t="s">
        <v>203</v>
      </c>
      <c r="R75">
        <v>1</v>
      </c>
    </row>
    <row r="76" spans="1:18" x14ac:dyDescent="0.25">
      <c r="A76" t="str">
        <f>TableOUMPTCHSE[[#This Row],[Study Package Code]]</f>
        <v>EDSC5045</v>
      </c>
      <c r="B76" s="1">
        <f>TableOUMPTCHSE[[#This Row],[Ver]]</f>
        <v>1</v>
      </c>
      <c r="C76" t="str">
        <f>IF(TableOUMPTCHSE[[#This Row],[Ver]]&gt;0,_xlfn.TEXTBEFORE(TableOUMPTCHSE[[#This Row],[Structure Line]]," "),"")</f>
        <v>MTS510</v>
      </c>
      <c r="D76" t="str">
        <f>IF(TableOUMPTCHSE[[#This Row],[OUA Code]]&lt;&gt;"",_xlfn.TEXTAFTER(TableOUMPTCHSE[[#This Row],[Structure Line]]," "),TableOUMPTCHSE[[#This Row],[Structure Line]])</f>
        <v>Curriculum and Instruction Lower Secondary: Science</v>
      </c>
      <c r="E76" s="82">
        <f>TableOUMPTCHSE[[#This Row],[Credit Points]]</f>
        <v>25</v>
      </c>
      <c r="F76">
        <v>14</v>
      </c>
      <c r="G76" t="s">
        <v>411</v>
      </c>
      <c r="H76">
        <v>2</v>
      </c>
      <c r="I76" t="s">
        <v>376</v>
      </c>
      <c r="J76" t="s">
        <v>206</v>
      </c>
      <c r="K76">
        <v>1</v>
      </c>
      <c r="L76" t="s">
        <v>419</v>
      </c>
      <c r="M76">
        <v>25</v>
      </c>
      <c r="N76" s="172">
        <v>42736</v>
      </c>
      <c r="O76" s="172"/>
      <c r="Q76" t="s">
        <v>206</v>
      </c>
      <c r="R76">
        <v>1</v>
      </c>
    </row>
    <row r="77" spans="1:18" x14ac:dyDescent="0.25">
      <c r="A77" t="str">
        <f>TableOUMPTCHSE[[#This Row],[Study Package Code]]</f>
        <v>EDSC5046</v>
      </c>
      <c r="B77" s="1">
        <f>TableOUMPTCHSE[[#This Row],[Ver]]</f>
        <v>2</v>
      </c>
      <c r="C77" t="str">
        <f>IF(TableOUMPTCHSE[[#This Row],[Ver]]&gt;0,_xlfn.TEXTBEFORE(TableOUMPTCHSE[[#This Row],[Structure Line]]," "),"")</f>
        <v>MTS511</v>
      </c>
      <c r="D77" t="str">
        <f>IF(TableOUMPTCHSE[[#This Row],[OUA Code]]&lt;&gt;"",_xlfn.TEXTAFTER(TableOUMPTCHSE[[#This Row],[Structure Line]]," "),TableOUMPTCHSE[[#This Row],[Structure Line]])</f>
        <v>Curriculum and Instruction Senior Secondary: The Arts</v>
      </c>
      <c r="E77" s="82">
        <f>TableOUMPTCHSE[[#This Row],[Credit Points]]</f>
        <v>25</v>
      </c>
      <c r="F77">
        <v>14</v>
      </c>
      <c r="G77" t="s">
        <v>411</v>
      </c>
      <c r="H77">
        <v>2</v>
      </c>
      <c r="I77" t="s">
        <v>376</v>
      </c>
      <c r="J77" t="s">
        <v>209</v>
      </c>
      <c r="K77">
        <v>2</v>
      </c>
      <c r="L77" t="s">
        <v>420</v>
      </c>
      <c r="M77">
        <v>25</v>
      </c>
      <c r="N77" s="172">
        <v>43831</v>
      </c>
      <c r="O77" s="172"/>
      <c r="Q77" t="s">
        <v>209</v>
      </c>
      <c r="R77">
        <v>2</v>
      </c>
    </row>
    <row r="78" spans="1:18" x14ac:dyDescent="0.25">
      <c r="A78" t="str">
        <f>TableOUMPTCHSE[[#This Row],[Study Package Code]]</f>
        <v>EDSC5048</v>
      </c>
      <c r="B78" s="1">
        <f>TableOUMPTCHSE[[#This Row],[Ver]]</f>
        <v>2</v>
      </c>
      <c r="C78" t="str">
        <f>IF(TableOUMPTCHSE[[#This Row],[Ver]]&gt;0,_xlfn.TEXTBEFORE(TableOUMPTCHSE[[#This Row],[Structure Line]]," "),"")</f>
        <v>MTS513</v>
      </c>
      <c r="D78" t="str">
        <f>IF(TableOUMPTCHSE[[#This Row],[OUA Code]]&lt;&gt;"",_xlfn.TEXTAFTER(TableOUMPTCHSE[[#This Row],[Structure Line]]," "),TableOUMPTCHSE[[#This Row],[Structure Line]])</f>
        <v>Curriculum and Instruction Senior Secondary: Humanities and Social Sciences</v>
      </c>
      <c r="E78" s="82">
        <f>TableOUMPTCHSE[[#This Row],[Credit Points]]</f>
        <v>25</v>
      </c>
      <c r="F78">
        <v>14</v>
      </c>
      <c r="G78" t="s">
        <v>411</v>
      </c>
      <c r="H78">
        <v>2</v>
      </c>
      <c r="I78" t="s">
        <v>376</v>
      </c>
      <c r="J78" t="s">
        <v>212</v>
      </c>
      <c r="K78">
        <v>2</v>
      </c>
      <c r="L78" t="s">
        <v>421</v>
      </c>
      <c r="M78">
        <v>25</v>
      </c>
      <c r="N78" s="172">
        <v>43831</v>
      </c>
      <c r="O78" s="172"/>
      <c r="Q78" t="s">
        <v>212</v>
      </c>
      <c r="R78">
        <v>2</v>
      </c>
    </row>
    <row r="79" spans="1:18" x14ac:dyDescent="0.25">
      <c r="A79" t="str">
        <f>TableOUMPTCHSE[[#This Row],[Study Package Code]]</f>
        <v>EDSC5049</v>
      </c>
      <c r="B79" s="1">
        <f>TableOUMPTCHSE[[#This Row],[Ver]]</f>
        <v>2</v>
      </c>
      <c r="C79" t="str">
        <f>IF(TableOUMPTCHSE[[#This Row],[Ver]]&gt;0,_xlfn.TEXTBEFORE(TableOUMPTCHSE[[#This Row],[Structure Line]]," "),"")</f>
        <v>MTS514</v>
      </c>
      <c r="D79" t="str">
        <f>IF(TableOUMPTCHSE[[#This Row],[OUA Code]]&lt;&gt;"",_xlfn.TEXTAFTER(TableOUMPTCHSE[[#This Row],[Structure Line]]," "),TableOUMPTCHSE[[#This Row],[Structure Line]])</f>
        <v>Curriculum and Instruction Senior Secondary: Mathematics</v>
      </c>
      <c r="E79" s="82">
        <f>TableOUMPTCHSE[[#This Row],[Credit Points]]</f>
        <v>25</v>
      </c>
      <c r="F79">
        <v>14</v>
      </c>
      <c r="G79" t="s">
        <v>411</v>
      </c>
      <c r="H79">
        <v>2</v>
      </c>
      <c r="I79" t="s">
        <v>376</v>
      </c>
      <c r="J79" t="s">
        <v>215</v>
      </c>
      <c r="K79">
        <v>2</v>
      </c>
      <c r="L79" t="s">
        <v>422</v>
      </c>
      <c r="M79">
        <v>25</v>
      </c>
      <c r="N79" s="172">
        <v>43831</v>
      </c>
      <c r="O79" s="172"/>
      <c r="Q79" t="s">
        <v>215</v>
      </c>
      <c r="R79">
        <v>2</v>
      </c>
    </row>
    <row r="80" spans="1:18" x14ac:dyDescent="0.25">
      <c r="A80" t="str">
        <f>TableOUMPTCHSE[[#This Row],[Study Package Code]]</f>
        <v>EDSC5050</v>
      </c>
      <c r="B80" s="1">
        <f>TableOUMPTCHSE[[#This Row],[Ver]]</f>
        <v>2</v>
      </c>
      <c r="C80" t="str">
        <f>IF(TableOUMPTCHSE[[#This Row],[Ver]]&gt;0,_xlfn.TEXTBEFORE(TableOUMPTCHSE[[#This Row],[Structure Line]]," "),"")</f>
        <v>MTS515</v>
      </c>
      <c r="D80" t="str">
        <f>IF(TableOUMPTCHSE[[#This Row],[OUA Code]]&lt;&gt;"",_xlfn.TEXTAFTER(TableOUMPTCHSE[[#This Row],[Structure Line]]," "),TableOUMPTCHSE[[#This Row],[Structure Line]])</f>
        <v>Curriculum and Instruction Senior Secondary: Science</v>
      </c>
      <c r="E80" s="82">
        <f>TableOUMPTCHSE[[#This Row],[Credit Points]]</f>
        <v>25</v>
      </c>
      <c r="F80">
        <v>14</v>
      </c>
      <c r="G80" t="s">
        <v>411</v>
      </c>
      <c r="H80">
        <v>2</v>
      </c>
      <c r="I80" t="s">
        <v>376</v>
      </c>
      <c r="J80" t="s">
        <v>218</v>
      </c>
      <c r="K80">
        <v>2</v>
      </c>
      <c r="L80" t="s">
        <v>423</v>
      </c>
      <c r="M80">
        <v>25</v>
      </c>
      <c r="N80" s="172">
        <v>43831</v>
      </c>
      <c r="O80" s="172"/>
      <c r="Q80" t="s">
        <v>218</v>
      </c>
      <c r="R80">
        <v>2</v>
      </c>
    </row>
    <row r="81" spans="1:18" x14ac:dyDescent="0.25">
      <c r="A81" t="str">
        <f>TableOUMPTCHSE[[#This Row],[Study Package Code]]</f>
        <v>EDSC5054</v>
      </c>
      <c r="B81" s="1">
        <f>TableOUMPTCHSE[[#This Row],[Ver]]</f>
        <v>1</v>
      </c>
      <c r="C81" t="str">
        <f>IF(TableOUMPTCHSE[[#This Row],[Ver]]&gt;0,_xlfn.TEXTBEFORE(TableOUMPTCHSE[[#This Row],[Structure Line]]," "),"")</f>
        <v>MTS512</v>
      </c>
      <c r="D81" t="str">
        <f>IF(TableOUMPTCHSE[[#This Row],[OUA Code]]&lt;&gt;"",_xlfn.TEXTAFTER(TableOUMPTCHSE[[#This Row],[Structure Line]]," "),TableOUMPTCHSE[[#This Row],[Structure Line]])</f>
        <v>Curriculum and Instruction Senior Secondary: English</v>
      </c>
      <c r="E81" s="82">
        <f>TableOUMPTCHSE[[#This Row],[Credit Points]]</f>
        <v>25</v>
      </c>
      <c r="F81">
        <v>14</v>
      </c>
      <c r="G81" t="s">
        <v>411</v>
      </c>
      <c r="H81">
        <v>2</v>
      </c>
      <c r="I81" t="s">
        <v>376</v>
      </c>
      <c r="J81" t="s">
        <v>224</v>
      </c>
      <c r="K81">
        <v>1</v>
      </c>
      <c r="L81" t="s">
        <v>424</v>
      </c>
      <c r="M81">
        <v>25</v>
      </c>
      <c r="N81" s="172">
        <v>43831</v>
      </c>
      <c r="O81" s="172"/>
      <c r="Q81" t="s">
        <v>224</v>
      </c>
      <c r="R81">
        <v>1</v>
      </c>
    </row>
    <row r="82" spans="1:18" x14ac:dyDescent="0.25">
      <c r="A82" t="str">
        <f>TableOUMPTCHSE[[#This Row],[Study Package Code]]</f>
        <v>EDSC5056</v>
      </c>
      <c r="B82" s="1">
        <f>TableOUMPTCHSE[[#This Row],[Ver]]</f>
        <v>1</v>
      </c>
      <c r="C82" t="str">
        <f>IF(TableOUMPTCHSE[[#This Row],[Ver]]&gt;0,_xlfn.TEXTBEFORE(TableOUMPTCHSE[[#This Row],[Structure Line]]," "),"")</f>
        <v>MTS516</v>
      </c>
      <c r="D82" t="str">
        <f>IF(TableOUMPTCHSE[[#This Row],[OUA Code]]&lt;&gt;"",_xlfn.TEXTAFTER(TableOUMPTCHSE[[#This Row],[Structure Line]]," "),TableOUMPTCHSE[[#This Row],[Structure Line]])</f>
        <v>Curriculum and Instruction Lower Secondary: Health and Physical Education</v>
      </c>
      <c r="E82" s="82">
        <f>TableOUMPTCHSE[[#This Row],[Credit Points]]</f>
        <v>25</v>
      </c>
      <c r="F82">
        <v>14</v>
      </c>
      <c r="G82" t="s">
        <v>411</v>
      </c>
      <c r="H82">
        <v>2</v>
      </c>
      <c r="I82" t="s">
        <v>376</v>
      </c>
      <c r="J82" t="s">
        <v>227</v>
      </c>
      <c r="K82">
        <v>1</v>
      </c>
      <c r="L82" t="s">
        <v>425</v>
      </c>
      <c r="M82">
        <v>25</v>
      </c>
      <c r="N82" s="172">
        <v>43831</v>
      </c>
      <c r="O82" s="172"/>
      <c r="Q82" t="s">
        <v>227</v>
      </c>
      <c r="R82">
        <v>1</v>
      </c>
    </row>
    <row r="83" spans="1:18" x14ac:dyDescent="0.25">
      <c r="A83" t="str">
        <f>TableOUMPTCHSE[[#This Row],[Study Package Code]]</f>
        <v>EDSC5058</v>
      </c>
      <c r="B83" s="1">
        <f>TableOUMPTCHSE[[#This Row],[Ver]]</f>
        <v>1</v>
      </c>
      <c r="C83" t="str">
        <f>IF(TableOUMPTCHSE[[#This Row],[Ver]]&gt;0,_xlfn.TEXTBEFORE(TableOUMPTCHSE[[#This Row],[Structure Line]]," "),"")</f>
        <v>MTS517</v>
      </c>
      <c r="D83" t="str">
        <f>IF(TableOUMPTCHSE[[#This Row],[OUA Code]]&lt;&gt;"",_xlfn.TEXTAFTER(TableOUMPTCHSE[[#This Row],[Structure Line]]," "),TableOUMPTCHSE[[#This Row],[Structure Line]])</f>
        <v>Curriculum and Instruction Senior Secondary: Health and Physical Education</v>
      </c>
      <c r="E83" s="82">
        <f>TableOUMPTCHSE[[#This Row],[Credit Points]]</f>
        <v>25</v>
      </c>
      <c r="F83">
        <v>14</v>
      </c>
      <c r="G83" t="s">
        <v>411</v>
      </c>
      <c r="H83">
        <v>2</v>
      </c>
      <c r="I83" t="s">
        <v>376</v>
      </c>
      <c r="J83" t="s">
        <v>230</v>
      </c>
      <c r="K83">
        <v>1</v>
      </c>
      <c r="L83" t="s">
        <v>426</v>
      </c>
      <c r="M83">
        <v>25</v>
      </c>
      <c r="N83" s="172">
        <v>43831</v>
      </c>
      <c r="O83" s="172"/>
      <c r="Q83" t="s">
        <v>230</v>
      </c>
      <c r="R83">
        <v>1</v>
      </c>
    </row>
    <row r="84" spans="1:18" x14ac:dyDescent="0.25">
      <c r="A84" t="str">
        <f>TableOUMPTCHSE[[#This Row],[Study Package Code]]</f>
        <v>EDSC5060</v>
      </c>
      <c r="B84" s="1">
        <f>TableOUMPTCHSE[[#This Row],[Ver]]</f>
        <v>1</v>
      </c>
      <c r="C84" t="str">
        <f>IF(TableOUMPTCHSE[[#This Row],[Ver]]&gt;0,_xlfn.TEXTBEFORE(TableOUMPTCHSE[[#This Row],[Structure Line]]," "),"")</f>
        <v>MTS520</v>
      </c>
      <c r="D84" t="str">
        <f>IF(TableOUMPTCHSE[[#This Row],[OUA Code]]&lt;&gt;"",_xlfn.TEXTAFTER(TableOUMPTCHSE[[#This Row],[Structure Line]]," "),TableOUMPTCHSE[[#This Row],[Structure Line]])</f>
        <v>Integrated Practice in the Secondary School</v>
      </c>
      <c r="E84" s="82">
        <f>TableOUMPTCHSE[[#This Row],[Credit Points]]</f>
        <v>25</v>
      </c>
      <c r="F84">
        <v>14</v>
      </c>
      <c r="G84" t="s">
        <v>411</v>
      </c>
      <c r="H84">
        <v>2</v>
      </c>
      <c r="I84" t="s">
        <v>376</v>
      </c>
      <c r="J84" t="s">
        <v>233</v>
      </c>
      <c r="K84">
        <v>1</v>
      </c>
      <c r="L84" t="s">
        <v>427</v>
      </c>
      <c r="M84">
        <v>25</v>
      </c>
      <c r="N84" s="172">
        <v>44562</v>
      </c>
      <c r="O84" s="172"/>
      <c r="Q84" t="s">
        <v>233</v>
      </c>
      <c r="R84">
        <v>1</v>
      </c>
    </row>
    <row r="85" spans="1:18" x14ac:dyDescent="0.25">
      <c r="A85" t="str">
        <f>TableOUMPTCHSE[[#This Row],[Study Package Code]]</f>
        <v>EDUC5034</v>
      </c>
      <c r="B85" s="1">
        <f>TableOUMPTCHSE[[#This Row],[Ver]]</f>
        <v>1</v>
      </c>
      <c r="C85" t="str">
        <f>IF(TableOUMPTCHSE[[#This Row],[Ver]]&gt;0,_xlfn.TEXTBEFORE(TableOUMPTCHSE[[#This Row],[Structure Line]]," "),"")</f>
        <v>MTC520</v>
      </c>
      <c r="D85" t="str">
        <f>IF(TableOUMPTCHSE[[#This Row],[OUA Code]]&lt;&gt;"",_xlfn.TEXTAFTER(TableOUMPTCHSE[[#This Row],[Structure Line]]," "),TableOUMPTCHSE[[#This Row],[Structure Line]])</f>
        <v>Mentoring, Coaching and Tutoring</v>
      </c>
      <c r="E85" s="82">
        <f>TableOUMPTCHSE[[#This Row],[Credit Points]]</f>
        <v>25</v>
      </c>
      <c r="F85">
        <v>14</v>
      </c>
      <c r="G85" t="s">
        <v>411</v>
      </c>
      <c r="H85">
        <v>2</v>
      </c>
      <c r="I85" t="s">
        <v>376</v>
      </c>
      <c r="J85" t="s">
        <v>268</v>
      </c>
      <c r="K85">
        <v>1</v>
      </c>
      <c r="L85" t="s">
        <v>428</v>
      </c>
      <c r="M85">
        <v>25</v>
      </c>
      <c r="N85" s="172">
        <v>44562</v>
      </c>
      <c r="O85" s="172"/>
      <c r="Q85" t="s">
        <v>268</v>
      </c>
      <c r="R85">
        <v>1</v>
      </c>
    </row>
    <row r="86" spans="1:18" x14ac:dyDescent="0.25">
      <c r="B86"/>
      <c r="E86"/>
    </row>
    <row r="87" spans="1:18" x14ac:dyDescent="0.25">
      <c r="B87"/>
      <c r="E87"/>
      <c r="F87" s="258"/>
      <c r="G87" s="262" t="s">
        <v>359</v>
      </c>
      <c r="H87" s="263">
        <v>45972</v>
      </c>
      <c r="I87" s="264"/>
      <c r="J87" s="259" t="s">
        <v>34</v>
      </c>
      <c r="K87" s="260">
        <v>1</v>
      </c>
      <c r="L87" s="259" t="s">
        <v>33</v>
      </c>
      <c r="M87" s="261"/>
      <c r="N87" s="208">
        <v>43647</v>
      </c>
      <c r="O87" s="263"/>
    </row>
    <row r="88" spans="1:18" x14ac:dyDescent="0.25">
      <c r="A88" t="s">
        <v>3</v>
      </c>
      <c r="B88" s="1" t="s">
        <v>361</v>
      </c>
      <c r="C88" t="s">
        <v>362</v>
      </c>
      <c r="D88" t="s">
        <v>363</v>
      </c>
      <c r="E88" s="82" t="s">
        <v>364</v>
      </c>
      <c r="F88" t="s">
        <v>365</v>
      </c>
      <c r="G88" t="s">
        <v>366</v>
      </c>
      <c r="H88" t="s">
        <v>367</v>
      </c>
      <c r="I88" t="s">
        <v>368</v>
      </c>
      <c r="J88" t="s">
        <v>369</v>
      </c>
      <c r="K88" t="s">
        <v>98</v>
      </c>
      <c r="L88" t="s">
        <v>370</v>
      </c>
      <c r="M88" t="s">
        <v>8</v>
      </c>
      <c r="N88" s="171" t="s">
        <v>371</v>
      </c>
      <c r="O88" s="171" t="s">
        <v>372</v>
      </c>
      <c r="Q88" t="s">
        <v>373</v>
      </c>
      <c r="R88" t="s">
        <v>374</v>
      </c>
    </row>
    <row r="89" spans="1:18" x14ac:dyDescent="0.25">
      <c r="A89" t="str">
        <f>TableOMAPLING[[#This Row],[Study Package Code]]</f>
        <v>EDUC6036</v>
      </c>
      <c r="B89" s="1">
        <f>TableOMAPLING[[#This Row],[Ver]]</f>
        <v>2</v>
      </c>
      <c r="C89" t="str">
        <f>IF(TableOMAPLING[[#This Row],[Ver]]&gt;0,_xlfn.TEXTBEFORE(TableOMAPLING[[#This Row],[Structure Line]]," "),"")</f>
        <v>EDMC502</v>
      </c>
      <c r="D89" t="str">
        <f>IF(TableOMAPLING[[#This Row],[OUA Code]]&lt;&gt;"",_xlfn.TEXTAFTER(TableOMAPLING[[#This Row],[Structure Line]]," "),TableOMAPLING[[#This Row],[Structure Line]])</f>
        <v>Negotiated Capstone Project</v>
      </c>
      <c r="E89" s="82">
        <f>TableOMAPLING[[#This Row],[Credit Points]]</f>
        <v>50</v>
      </c>
      <c r="F89">
        <v>1</v>
      </c>
      <c r="G89" t="s">
        <v>379</v>
      </c>
      <c r="H89">
        <v>1</v>
      </c>
      <c r="I89" t="s">
        <v>376</v>
      </c>
      <c r="J89" t="s">
        <v>280</v>
      </c>
      <c r="K89">
        <v>2</v>
      </c>
      <c r="L89" t="s">
        <v>429</v>
      </c>
      <c r="M89">
        <v>50</v>
      </c>
      <c r="N89" s="172">
        <v>44562</v>
      </c>
      <c r="O89" s="172"/>
      <c r="Q89" t="s">
        <v>280</v>
      </c>
      <c r="R89">
        <v>2</v>
      </c>
    </row>
    <row r="90" spans="1:18" x14ac:dyDescent="0.25">
      <c r="A90" t="str">
        <f>TableOMAPLING[[#This Row],[Study Package Code]]</f>
        <v>LING6009</v>
      </c>
      <c r="B90" s="1">
        <f>TableOMAPLING[[#This Row],[Ver]]</f>
        <v>1</v>
      </c>
      <c r="C90" t="str">
        <f>IF(TableOMAPLING[[#This Row],[Ver]]&gt;0,_xlfn.TEXTBEFORE(TableOMAPLING[[#This Row],[Structure Line]]," "),"")</f>
        <v>EDML500</v>
      </c>
      <c r="D90" t="str">
        <f>IF(TableOMAPLING[[#This Row],[OUA Code]]&lt;&gt;"",_xlfn.TEXTAFTER(TableOMAPLING[[#This Row],[Structure Line]]," "),TableOMAPLING[[#This Row],[Structure Line]])</f>
        <v>Language Acquisition</v>
      </c>
      <c r="E90" s="82">
        <f>TableOMAPLING[[#This Row],[Credit Points]]</f>
        <v>25</v>
      </c>
      <c r="F90">
        <v>2</v>
      </c>
      <c r="G90" t="s">
        <v>379</v>
      </c>
      <c r="H90">
        <v>1</v>
      </c>
      <c r="I90" t="s">
        <v>376</v>
      </c>
      <c r="J90" t="s">
        <v>339</v>
      </c>
      <c r="K90">
        <v>1</v>
      </c>
      <c r="L90" t="s">
        <v>430</v>
      </c>
      <c r="M90">
        <v>25</v>
      </c>
      <c r="N90" s="172">
        <v>42552</v>
      </c>
      <c r="O90" s="172"/>
      <c r="Q90" t="s">
        <v>339</v>
      </c>
      <c r="R90">
        <v>1</v>
      </c>
    </row>
    <row r="91" spans="1:18" x14ac:dyDescent="0.25">
      <c r="A91" t="str">
        <f>TableOMAPLING[[#This Row],[Study Package Code]]</f>
        <v>EDUC6026</v>
      </c>
      <c r="B91" s="1">
        <f>TableOMAPLING[[#This Row],[Ver]]</f>
        <v>2</v>
      </c>
      <c r="C91" t="str">
        <f>IF(TableOMAPLING[[#This Row],[Ver]]&gt;0,_xlfn.TEXTBEFORE(TableOMAPLING[[#This Row],[Structure Line]]," "),"")</f>
        <v>EDML501</v>
      </c>
      <c r="D91" t="str">
        <f>IF(TableOMAPLING[[#This Row],[OUA Code]]&lt;&gt;"",_xlfn.TEXTAFTER(TableOMAPLING[[#This Row],[Structure Line]]," "),TableOMAPLING[[#This Row],[Structure Line]])</f>
        <v>Language Teaching Methodologies</v>
      </c>
      <c r="E91" s="82">
        <f>TableOMAPLING[[#This Row],[Credit Points]]</f>
        <v>25</v>
      </c>
      <c r="F91">
        <v>3</v>
      </c>
      <c r="G91" t="s">
        <v>379</v>
      </c>
      <c r="H91">
        <v>1</v>
      </c>
      <c r="I91" t="s">
        <v>376</v>
      </c>
      <c r="J91" t="s">
        <v>271</v>
      </c>
      <c r="K91">
        <v>2</v>
      </c>
      <c r="L91" t="s">
        <v>431</v>
      </c>
      <c r="M91">
        <v>25</v>
      </c>
      <c r="N91" s="172">
        <v>44562</v>
      </c>
      <c r="O91" s="172"/>
      <c r="Q91" t="s">
        <v>271</v>
      </c>
      <c r="R91">
        <v>2</v>
      </c>
    </row>
    <row r="92" spans="1:18" x14ac:dyDescent="0.25">
      <c r="A92" t="str">
        <f>TableOMAPLING[[#This Row],[Study Package Code]]</f>
        <v>LING6008</v>
      </c>
      <c r="B92" s="1">
        <f>TableOMAPLING[[#This Row],[Ver]]</f>
        <v>1</v>
      </c>
      <c r="C92" t="str">
        <f>IF(TableOMAPLING[[#This Row],[Ver]]&gt;0,_xlfn.TEXTBEFORE(TableOMAPLING[[#This Row],[Structure Line]]," "),"")</f>
        <v>EDML502</v>
      </c>
      <c r="D92" t="str">
        <f>IF(TableOMAPLING[[#This Row],[OUA Code]]&lt;&gt;"",_xlfn.TEXTAFTER(TableOMAPLING[[#This Row],[Structure Line]]," "),TableOMAPLING[[#This Row],[Structure Line]])</f>
        <v>Language in Society</v>
      </c>
      <c r="E92" s="82">
        <f>TableOMAPLING[[#This Row],[Credit Points]]</f>
        <v>25</v>
      </c>
      <c r="F92">
        <v>4</v>
      </c>
      <c r="G92" t="s">
        <v>379</v>
      </c>
      <c r="H92">
        <v>1</v>
      </c>
      <c r="I92" t="s">
        <v>376</v>
      </c>
      <c r="J92" t="s">
        <v>336</v>
      </c>
      <c r="K92">
        <v>1</v>
      </c>
      <c r="L92" t="s">
        <v>432</v>
      </c>
      <c r="M92">
        <v>25</v>
      </c>
      <c r="N92" s="172">
        <v>42736</v>
      </c>
      <c r="O92" s="172"/>
      <c r="Q92" t="s">
        <v>336</v>
      </c>
      <c r="R92">
        <v>1</v>
      </c>
    </row>
    <row r="93" spans="1:18" x14ac:dyDescent="0.25">
      <c r="A93" t="str">
        <f>TableOMAPLING[[#This Row],[Study Package Code]]</f>
        <v>EDUC6028</v>
      </c>
      <c r="B93" s="1">
        <f>TableOMAPLING[[#This Row],[Ver]]</f>
        <v>1</v>
      </c>
      <c r="C93" t="str">
        <f>IF(TableOMAPLING[[#This Row],[Ver]]&gt;0,_xlfn.TEXTBEFORE(TableOMAPLING[[#This Row],[Structure Line]]," "),"")</f>
        <v>EDML503</v>
      </c>
      <c r="D93" t="str">
        <f>IF(TableOMAPLING[[#This Row],[OUA Code]]&lt;&gt;"",_xlfn.TEXTAFTER(TableOMAPLING[[#This Row],[Structure Line]]," "),TableOMAPLING[[#This Row],[Structure Line]])</f>
        <v>Language Teaching Course Design and Assessment</v>
      </c>
      <c r="E93" s="82">
        <f>TableOMAPLING[[#This Row],[Credit Points]]</f>
        <v>25</v>
      </c>
      <c r="F93">
        <v>5</v>
      </c>
      <c r="G93" t="s">
        <v>379</v>
      </c>
      <c r="H93">
        <v>1</v>
      </c>
      <c r="I93" t="s">
        <v>376</v>
      </c>
      <c r="J93" t="s">
        <v>274</v>
      </c>
      <c r="K93">
        <v>1</v>
      </c>
      <c r="L93" t="s">
        <v>433</v>
      </c>
      <c r="M93">
        <v>25</v>
      </c>
      <c r="N93" s="172">
        <v>42736</v>
      </c>
      <c r="O93" s="172"/>
      <c r="Q93" t="s">
        <v>274</v>
      </c>
      <c r="R93">
        <v>1</v>
      </c>
    </row>
    <row r="94" spans="1:18" x14ac:dyDescent="0.25">
      <c r="A94" t="str">
        <f>TableOMAPLING[[#This Row],[Study Package Code]]</f>
        <v>EDUC6042</v>
      </c>
      <c r="B94" s="1">
        <f>TableOMAPLING[[#This Row],[Ver]]</f>
        <v>1</v>
      </c>
      <c r="C94" t="str">
        <f>IF(TableOMAPLING[[#This Row],[Ver]]&gt;0,_xlfn.TEXTBEFORE(TableOMAPLING[[#This Row],[Structure Line]]," "),"")</f>
        <v>EDML540</v>
      </c>
      <c r="D94" t="str">
        <f>IF(TableOMAPLING[[#This Row],[OUA Code]]&lt;&gt;"",_xlfn.TEXTAFTER(TableOMAPLING[[#This Row],[Structure Line]]," "),TableOMAPLING[[#This Row],[Structure Line]])</f>
        <v>Special Topics in Applied Linguistics</v>
      </c>
      <c r="E94" s="82">
        <f>TableOMAPLING[[#This Row],[Credit Points]]</f>
        <v>25</v>
      </c>
      <c r="F94">
        <v>6</v>
      </c>
      <c r="G94" t="s">
        <v>379</v>
      </c>
      <c r="H94">
        <v>1</v>
      </c>
      <c r="I94" t="s">
        <v>376</v>
      </c>
      <c r="J94" t="s">
        <v>284</v>
      </c>
      <c r="K94">
        <v>1</v>
      </c>
      <c r="L94" t="s">
        <v>434</v>
      </c>
      <c r="M94">
        <v>25</v>
      </c>
      <c r="N94" s="172">
        <v>43647</v>
      </c>
      <c r="O94" s="172"/>
      <c r="Q94" t="s">
        <v>284</v>
      </c>
      <c r="R94">
        <v>1</v>
      </c>
    </row>
    <row r="95" spans="1:18" x14ac:dyDescent="0.25">
      <c r="A95" t="str">
        <f>TableOMAPLING[[#This Row],[Study Package Code]]</f>
        <v>EDUC6043</v>
      </c>
      <c r="B95" s="1">
        <f>TableOMAPLING[[#This Row],[Ver]]</f>
        <v>1</v>
      </c>
      <c r="C95" t="str">
        <f>IF(TableOMAPLING[[#This Row],[Ver]]&gt;0,_xlfn.TEXTBEFORE(TableOMAPLING[[#This Row],[Structure Line]]," "),"")</f>
        <v>EDML550</v>
      </c>
      <c r="D95" t="str">
        <f>IF(TableOMAPLING[[#This Row],[OUA Code]]&lt;&gt;"",_xlfn.TEXTAFTER(TableOMAPLING[[#This Row],[Structure Line]]," "),TableOMAPLING[[#This Row],[Structure Line]])</f>
        <v>Research Methods in Applied Linguistics</v>
      </c>
      <c r="E95" s="82">
        <f>TableOMAPLING[[#This Row],[Credit Points]]</f>
        <v>25</v>
      </c>
      <c r="F95">
        <v>7</v>
      </c>
      <c r="G95" t="s">
        <v>379</v>
      </c>
      <c r="H95">
        <v>1</v>
      </c>
      <c r="I95" t="s">
        <v>376</v>
      </c>
      <c r="J95" t="s">
        <v>287</v>
      </c>
      <c r="K95">
        <v>1</v>
      </c>
      <c r="L95" t="s">
        <v>435</v>
      </c>
      <c r="M95">
        <v>25</v>
      </c>
      <c r="N95" s="172">
        <v>43647</v>
      </c>
      <c r="O95" s="172"/>
      <c r="Q95" t="s">
        <v>287</v>
      </c>
      <c r="R95">
        <v>1</v>
      </c>
    </row>
    <row r="96" spans="1:18" x14ac:dyDescent="0.25">
      <c r="B96"/>
      <c r="E96"/>
      <c r="F96" s="258"/>
      <c r="G96" s="262" t="s">
        <v>359</v>
      </c>
      <c r="H96" s="263">
        <v>45972</v>
      </c>
      <c r="I96" s="264"/>
      <c r="J96" s="259" t="s">
        <v>23</v>
      </c>
      <c r="K96" s="260">
        <v>1</v>
      </c>
      <c r="L96" s="259" t="s">
        <v>22</v>
      </c>
      <c r="M96" s="261"/>
      <c r="N96" s="208">
        <v>44197</v>
      </c>
      <c r="O96" s="263"/>
    </row>
    <row r="97" spans="1:18" x14ac:dyDescent="0.25">
      <c r="A97" t="s">
        <v>3</v>
      </c>
      <c r="B97" s="1" t="s">
        <v>361</v>
      </c>
      <c r="C97" t="s">
        <v>362</v>
      </c>
      <c r="D97" t="s">
        <v>363</v>
      </c>
      <c r="E97" s="82" t="s">
        <v>364</v>
      </c>
      <c r="F97" t="s">
        <v>365</v>
      </c>
      <c r="G97" t="s">
        <v>366</v>
      </c>
      <c r="H97" t="s">
        <v>367</v>
      </c>
      <c r="I97" t="s">
        <v>368</v>
      </c>
      <c r="J97" t="s">
        <v>369</v>
      </c>
      <c r="K97" t="s">
        <v>98</v>
      </c>
      <c r="L97" t="s">
        <v>370</v>
      </c>
      <c r="M97" t="s">
        <v>8</v>
      </c>
      <c r="N97" s="171" t="s">
        <v>371</v>
      </c>
      <c r="O97" s="171" t="s">
        <v>372</v>
      </c>
      <c r="Q97" t="s">
        <v>373</v>
      </c>
      <c r="R97" t="s">
        <v>374</v>
      </c>
    </row>
    <row r="98" spans="1:18" x14ac:dyDescent="0.25">
      <c r="A98" t="str">
        <f>TableOCTESOL1[[#This Row],[Study Package Code]]</f>
        <v>EDUC5024</v>
      </c>
      <c r="B98" s="1">
        <f>TableOCTESOL1[[#This Row],[Ver]]</f>
        <v>1</v>
      </c>
      <c r="C98" t="str">
        <f>IF(TableOCTESOL1[[#This Row],[Ver]]&gt;0,_xlfn.TEXTBEFORE(TableOCTESOL1[[#This Row],[Structure Line]]," "),"")</f>
        <v>TESOL502</v>
      </c>
      <c r="D98" t="str">
        <f>IF(TableOCTESOL1[[#This Row],[OUA Code]]&lt;&gt;"",_xlfn.TEXTAFTER(TableOCTESOL1[[#This Row],[Structure Line]]," "),TableOCTESOL1[[#This Row],[Structure Line]])</f>
        <v>Teaching English to Speakers of Other Languages Methodologies</v>
      </c>
      <c r="E98" s="82">
        <f>TableOCTESOL1[[#This Row],[Credit Points]]</f>
        <v>25</v>
      </c>
      <c r="F98">
        <v>1</v>
      </c>
      <c r="G98" t="s">
        <v>379</v>
      </c>
      <c r="H98">
        <v>1</v>
      </c>
      <c r="I98" t="s">
        <v>376</v>
      </c>
      <c r="J98" t="s">
        <v>256</v>
      </c>
      <c r="K98">
        <v>1</v>
      </c>
      <c r="L98" t="s">
        <v>436</v>
      </c>
      <c r="M98">
        <v>25</v>
      </c>
      <c r="N98" s="172">
        <v>42736</v>
      </c>
      <c r="O98" s="172"/>
      <c r="Q98" t="s">
        <v>256</v>
      </c>
      <c r="R98">
        <v>1</v>
      </c>
    </row>
    <row r="99" spans="1:18" x14ac:dyDescent="0.25">
      <c r="A99" t="str">
        <f>TableOCTESOL1[[#This Row],[Study Package Code]]</f>
        <v>EDUC5020</v>
      </c>
      <c r="B99" s="1">
        <f>TableOCTESOL1[[#This Row],[Ver]]</f>
        <v>1</v>
      </c>
      <c r="C99" t="str">
        <f>IF(TableOCTESOL1[[#This Row],[Ver]]&gt;0,_xlfn.TEXTBEFORE(TableOCTESOL1[[#This Row],[Structure Line]]," "),"")</f>
        <v>TESOL503</v>
      </c>
      <c r="D99" t="str">
        <f>IF(TableOCTESOL1[[#This Row],[OUA Code]]&lt;&gt;"",_xlfn.TEXTAFTER(TableOCTESOL1[[#This Row],[Structure Line]]," "),TableOCTESOL1[[#This Row],[Structure Line]])</f>
        <v>Introduction to Language</v>
      </c>
      <c r="E99" s="82">
        <f>TableOCTESOL1[[#This Row],[Credit Points]]</f>
        <v>25</v>
      </c>
      <c r="F99">
        <v>2</v>
      </c>
      <c r="G99" t="s">
        <v>379</v>
      </c>
      <c r="H99">
        <v>1</v>
      </c>
      <c r="I99" t="s">
        <v>376</v>
      </c>
      <c r="J99" t="s">
        <v>250</v>
      </c>
      <c r="K99">
        <v>1</v>
      </c>
      <c r="L99" t="s">
        <v>437</v>
      </c>
      <c r="M99">
        <v>25</v>
      </c>
      <c r="N99" s="172">
        <v>42736</v>
      </c>
      <c r="O99" s="172"/>
      <c r="Q99" t="s">
        <v>250</v>
      </c>
      <c r="R99">
        <v>1</v>
      </c>
    </row>
    <row r="100" spans="1:18" x14ac:dyDescent="0.25">
      <c r="A100" t="str">
        <f>TableOCTESOL1[[#This Row],[Study Package Code]]</f>
        <v>EDUC5026</v>
      </c>
      <c r="B100" s="1">
        <f>TableOCTESOL1[[#This Row],[Ver]]</f>
        <v>1</v>
      </c>
      <c r="C100" t="str">
        <f>IF(TableOCTESOL1[[#This Row],[Ver]]&gt;0,_xlfn.TEXTBEFORE(TableOCTESOL1[[#This Row],[Structure Line]]," "),"")</f>
        <v>TESOL504</v>
      </c>
      <c r="D100" t="str">
        <f>IF(TableOCTESOL1[[#This Row],[OUA Code]]&lt;&gt;"",_xlfn.TEXTAFTER(TableOCTESOL1[[#This Row],[Structure Line]]," "),TableOCTESOL1[[#This Row],[Structure Line]])</f>
        <v>Transcultural Communication</v>
      </c>
      <c r="E100" s="82">
        <f>TableOCTESOL1[[#This Row],[Credit Points]]</f>
        <v>25</v>
      </c>
      <c r="F100">
        <v>3</v>
      </c>
      <c r="G100" t="s">
        <v>379</v>
      </c>
      <c r="H100">
        <v>1</v>
      </c>
      <c r="I100" t="s">
        <v>376</v>
      </c>
      <c r="J100" t="s">
        <v>259</v>
      </c>
      <c r="K100">
        <v>1</v>
      </c>
      <c r="L100" t="s">
        <v>438</v>
      </c>
      <c r="M100">
        <v>25</v>
      </c>
      <c r="N100" s="172">
        <v>42736</v>
      </c>
      <c r="O100" s="172"/>
      <c r="Q100" t="s">
        <v>259</v>
      </c>
      <c r="R100">
        <v>1</v>
      </c>
    </row>
    <row r="101" spans="1:18" x14ac:dyDescent="0.25">
      <c r="A101" t="str">
        <f>TableOCTESOL1[[#This Row],[Study Package Code]]</f>
        <v>AC-TESOL</v>
      </c>
      <c r="B101" s="1">
        <f>TableOCTESOL1[[#This Row],[Ver]]</f>
        <v>0</v>
      </c>
      <c r="C101" t="str">
        <f>IF(TableOCTESOL1[[#This Row],[Ver]]&gt;0,_xlfn.TEXTBEFORE(TableOCTESOL1[[#This Row],[Structure Line]]," "),"")</f>
        <v/>
      </c>
      <c r="D101" t="str">
        <f>IF(TableOCTESOL1[[#This Row],[OUA Code]]&lt;&gt;"",_xlfn.TEXTAFTER(TableOCTESOL1[[#This Row],[Structure Line]]," "),TableOCTESOL1[[#This Row],[Structure Line]])</f>
        <v>Choose TESOL501 or TESOL505</v>
      </c>
      <c r="E101" s="82">
        <f>TableOCTESOL1[[#This Row],[Credit Points]]</f>
        <v>25</v>
      </c>
      <c r="F101">
        <v>4</v>
      </c>
      <c r="G101" t="s">
        <v>375</v>
      </c>
      <c r="H101">
        <v>1</v>
      </c>
      <c r="I101" t="s">
        <v>376</v>
      </c>
      <c r="J101" t="s">
        <v>109</v>
      </c>
      <c r="K101">
        <v>0</v>
      </c>
      <c r="L101" t="s">
        <v>439</v>
      </c>
      <c r="M101">
        <v>25</v>
      </c>
      <c r="N101" s="172"/>
      <c r="O101" s="172"/>
      <c r="Q101" t="s">
        <v>109</v>
      </c>
      <c r="R101">
        <v>0</v>
      </c>
    </row>
    <row r="102" spans="1:18" x14ac:dyDescent="0.25">
      <c r="A102" t="str">
        <f>TableOCTESOL1[[#This Row],[Study Package Code]]</f>
        <v>EDUC5022</v>
      </c>
      <c r="B102" s="1">
        <f>TableOCTESOL1[[#This Row],[Ver]]</f>
        <v>1</v>
      </c>
      <c r="C102" t="str">
        <f>IF(TableOCTESOL1[[#This Row],[Ver]]&gt;0,_xlfn.TEXTBEFORE(TableOCTESOL1[[#This Row],[Structure Line]]," "),"")</f>
        <v>TESOL501</v>
      </c>
      <c r="D102" t="str">
        <f>IF(TableOCTESOL1[[#This Row],[OUA Code]]&lt;&gt;"",_xlfn.TEXTAFTER(TableOCTESOL1[[#This Row],[Structure Line]]," "),TableOCTESOL1[[#This Row],[Structure Line]])</f>
        <v>Materials Design and Assessment</v>
      </c>
      <c r="E102" s="82">
        <f>TableOCTESOL1[[#This Row],[Credit Points]]</f>
        <v>25</v>
      </c>
      <c r="F102">
        <v>4</v>
      </c>
      <c r="G102" t="s">
        <v>375</v>
      </c>
      <c r="H102">
        <v>1</v>
      </c>
      <c r="I102" t="s">
        <v>376</v>
      </c>
      <c r="J102" t="s">
        <v>253</v>
      </c>
      <c r="K102">
        <v>1</v>
      </c>
      <c r="L102" t="s">
        <v>440</v>
      </c>
      <c r="M102">
        <v>25</v>
      </c>
      <c r="N102" s="172">
        <v>42736</v>
      </c>
      <c r="O102" s="172"/>
      <c r="Q102" t="s">
        <v>253</v>
      </c>
      <c r="R102">
        <v>1</v>
      </c>
    </row>
    <row r="103" spans="1:18" x14ac:dyDescent="0.25">
      <c r="A103" t="str">
        <f>TableOCTESOL1[[#This Row],[Study Package Code]]</f>
        <v>EDUC5029</v>
      </c>
      <c r="B103" s="1">
        <f>TableOCTESOL1[[#This Row],[Ver]]</f>
        <v>2</v>
      </c>
      <c r="C103" t="str">
        <f>IF(TableOCTESOL1[[#This Row],[Ver]]&gt;0,_xlfn.TEXTBEFORE(TableOCTESOL1[[#This Row],[Structure Line]]," "),"")</f>
        <v>TESOL505</v>
      </c>
      <c r="D103" t="str">
        <f>IF(TableOCTESOL1[[#This Row],[OUA Code]]&lt;&gt;"",_xlfn.TEXTAFTER(TableOCTESOL1[[#This Row],[Structure Line]]," "),TableOCTESOL1[[#This Row],[Structure Line]])</f>
        <v>Language Teaching Practice</v>
      </c>
      <c r="E103" s="82">
        <f>TableOCTESOL1[[#This Row],[Credit Points]]</f>
        <v>25</v>
      </c>
      <c r="F103">
        <v>4</v>
      </c>
      <c r="G103" t="s">
        <v>375</v>
      </c>
      <c r="H103">
        <v>1</v>
      </c>
      <c r="I103" t="s">
        <v>376</v>
      </c>
      <c r="J103" t="s">
        <v>262</v>
      </c>
      <c r="K103">
        <v>2</v>
      </c>
      <c r="L103" t="s">
        <v>441</v>
      </c>
      <c r="M103">
        <v>25</v>
      </c>
      <c r="N103" s="172">
        <v>44562</v>
      </c>
      <c r="O103" s="172"/>
      <c r="Q103" t="s">
        <v>262</v>
      </c>
      <c r="R103">
        <v>2</v>
      </c>
    </row>
    <row r="104" spans="1:18" x14ac:dyDescent="0.25">
      <c r="B104"/>
      <c r="E104"/>
      <c r="F104" s="258"/>
      <c r="G104" s="262" t="s">
        <v>359</v>
      </c>
      <c r="H104" s="263">
        <v>45972</v>
      </c>
      <c r="I104" s="264"/>
      <c r="J104" s="259" t="s">
        <v>25</v>
      </c>
      <c r="K104" s="260">
        <v>2</v>
      </c>
      <c r="L104" s="259" t="s">
        <v>24</v>
      </c>
      <c r="M104" s="261"/>
      <c r="N104" s="208">
        <v>42736</v>
      </c>
      <c r="O104" s="263"/>
    </row>
    <row r="105" spans="1:18" x14ac:dyDescent="0.25">
      <c r="A105" t="s">
        <v>3</v>
      </c>
      <c r="B105" s="1" t="s">
        <v>361</v>
      </c>
      <c r="C105" t="s">
        <v>362</v>
      </c>
      <c r="D105" t="s">
        <v>363</v>
      </c>
      <c r="E105" s="82" t="s">
        <v>364</v>
      </c>
      <c r="F105" t="s">
        <v>365</v>
      </c>
      <c r="G105" t="s">
        <v>366</v>
      </c>
      <c r="H105" t="s">
        <v>367</v>
      </c>
      <c r="I105" t="s">
        <v>368</v>
      </c>
      <c r="J105" t="s">
        <v>369</v>
      </c>
      <c r="K105" t="s">
        <v>98</v>
      </c>
      <c r="L105" t="s">
        <v>370</v>
      </c>
      <c r="M105" t="s">
        <v>8</v>
      </c>
      <c r="N105" s="171" t="s">
        <v>371</v>
      </c>
      <c r="O105" s="171" t="s">
        <v>372</v>
      </c>
      <c r="Q105" t="s">
        <v>373</v>
      </c>
      <c r="R105" t="s">
        <v>374</v>
      </c>
    </row>
    <row r="106" spans="1:18" x14ac:dyDescent="0.25">
      <c r="A106" t="str">
        <f>TableOCTESOL[[#This Row],[Study Package Code]]</f>
        <v>AC-TESOL</v>
      </c>
      <c r="B106" s="1">
        <f>TableOCTESOL[[#This Row],[Ver]]</f>
        <v>0</v>
      </c>
      <c r="C106" t="str">
        <f>IF(TableOCTESOL[[#This Row],[Ver]]&gt;0,_xlfn.TEXTBEFORE(TableOCTESOL[[#This Row],[Structure Line]]," "),"")</f>
        <v/>
      </c>
      <c r="D106" t="str">
        <f>IF(TableOCTESOL[[#This Row],[OUA Code]]&lt;&gt;"",_xlfn.TEXTAFTER(TableOCTESOL[[#This Row],[Structure Line]]," "),TableOCTESOL[[#This Row],[Structure Line]])</f>
        <v>Choose TESOL501 or TESOL505</v>
      </c>
      <c r="E106" s="82">
        <f>TableOCTESOL[[#This Row],[Credit Points]]</f>
        <v>25</v>
      </c>
      <c r="F106">
        <v>1</v>
      </c>
      <c r="G106" t="s">
        <v>375</v>
      </c>
      <c r="H106">
        <v>0</v>
      </c>
      <c r="I106" t="s">
        <v>376</v>
      </c>
      <c r="J106" t="s">
        <v>109</v>
      </c>
      <c r="K106">
        <v>0</v>
      </c>
      <c r="L106" t="s">
        <v>439</v>
      </c>
      <c r="M106">
        <v>25</v>
      </c>
      <c r="N106" s="172"/>
      <c r="O106" s="172"/>
      <c r="Q106" t="s">
        <v>109</v>
      </c>
      <c r="R106">
        <v>0</v>
      </c>
    </row>
    <row r="107" spans="1:18" x14ac:dyDescent="0.25">
      <c r="A107" t="str">
        <f>TableOCTESOL[[#This Row],[Study Package Code]]</f>
        <v>EDUC5024</v>
      </c>
      <c r="B107" s="1">
        <f>TableOCTESOL[[#This Row],[Ver]]</f>
        <v>1</v>
      </c>
      <c r="C107" t="str">
        <f>IF(TableOCTESOL[[#This Row],[Ver]]&gt;0,_xlfn.TEXTBEFORE(TableOCTESOL[[#This Row],[Structure Line]]," "),"")</f>
        <v>TESOL502</v>
      </c>
      <c r="D107" t="str">
        <f>IF(TableOCTESOL[[#This Row],[OUA Code]]&lt;&gt;"",_xlfn.TEXTAFTER(TableOCTESOL[[#This Row],[Structure Line]]," "),TableOCTESOL[[#This Row],[Structure Line]])</f>
        <v>Teaching English to Speakers of Other Languages Methodologies</v>
      </c>
      <c r="E107" s="82">
        <f>TableOCTESOL[[#This Row],[Credit Points]]</f>
        <v>25</v>
      </c>
      <c r="F107">
        <v>2</v>
      </c>
      <c r="G107" t="s">
        <v>379</v>
      </c>
      <c r="H107">
        <v>0</v>
      </c>
      <c r="I107" t="s">
        <v>376</v>
      </c>
      <c r="J107" t="s">
        <v>256</v>
      </c>
      <c r="K107">
        <v>1</v>
      </c>
      <c r="L107" t="s">
        <v>436</v>
      </c>
      <c r="M107">
        <v>25</v>
      </c>
      <c r="N107" s="172">
        <v>42736</v>
      </c>
      <c r="O107" s="172"/>
      <c r="Q107" t="s">
        <v>256</v>
      </c>
      <c r="R107">
        <v>1</v>
      </c>
    </row>
    <row r="108" spans="1:18" x14ac:dyDescent="0.25">
      <c r="A108" t="str">
        <f>TableOCTESOL[[#This Row],[Study Package Code]]</f>
        <v>EDUC5020</v>
      </c>
      <c r="B108" s="1">
        <f>TableOCTESOL[[#This Row],[Ver]]</f>
        <v>1</v>
      </c>
      <c r="C108" t="str">
        <f>IF(TableOCTESOL[[#This Row],[Ver]]&gt;0,_xlfn.TEXTBEFORE(TableOCTESOL[[#This Row],[Structure Line]]," "),"")</f>
        <v>TESOL503</v>
      </c>
      <c r="D108" t="str">
        <f>IF(TableOCTESOL[[#This Row],[OUA Code]]&lt;&gt;"",_xlfn.TEXTAFTER(TableOCTESOL[[#This Row],[Structure Line]]," "),TableOCTESOL[[#This Row],[Structure Line]])</f>
        <v>Introduction to Language</v>
      </c>
      <c r="E108" s="82">
        <f>TableOCTESOL[[#This Row],[Credit Points]]</f>
        <v>25</v>
      </c>
      <c r="F108">
        <v>3</v>
      </c>
      <c r="G108" t="s">
        <v>379</v>
      </c>
      <c r="H108">
        <v>0</v>
      </c>
      <c r="I108" t="s">
        <v>376</v>
      </c>
      <c r="J108" t="s">
        <v>250</v>
      </c>
      <c r="K108">
        <v>1</v>
      </c>
      <c r="L108" t="s">
        <v>437</v>
      </c>
      <c r="M108">
        <v>25</v>
      </c>
      <c r="N108" s="172">
        <v>42736</v>
      </c>
      <c r="O108" s="172"/>
      <c r="Q108" t="s">
        <v>250</v>
      </c>
      <c r="R108">
        <v>1</v>
      </c>
    </row>
    <row r="109" spans="1:18" x14ac:dyDescent="0.25">
      <c r="A109" t="str">
        <f>TableOCTESOL[[#This Row],[Study Package Code]]</f>
        <v>EDUC5026</v>
      </c>
      <c r="B109" s="1">
        <f>TableOCTESOL[[#This Row],[Ver]]</f>
        <v>1</v>
      </c>
      <c r="C109" t="str">
        <f>IF(TableOCTESOL[[#This Row],[Ver]]&gt;0,_xlfn.TEXTBEFORE(TableOCTESOL[[#This Row],[Structure Line]]," "),"")</f>
        <v>TESOL504</v>
      </c>
      <c r="D109" t="str">
        <f>IF(TableOCTESOL[[#This Row],[OUA Code]]&lt;&gt;"",_xlfn.TEXTAFTER(TableOCTESOL[[#This Row],[Structure Line]]," "),TableOCTESOL[[#This Row],[Structure Line]])</f>
        <v>Transcultural Communication</v>
      </c>
      <c r="E109" s="82">
        <f>TableOCTESOL[[#This Row],[Credit Points]]</f>
        <v>25</v>
      </c>
      <c r="F109">
        <v>4</v>
      </c>
      <c r="G109" t="s">
        <v>379</v>
      </c>
      <c r="H109">
        <v>0</v>
      </c>
      <c r="I109" t="s">
        <v>376</v>
      </c>
      <c r="J109" t="s">
        <v>259</v>
      </c>
      <c r="K109">
        <v>1</v>
      </c>
      <c r="L109" t="s">
        <v>438</v>
      </c>
      <c r="M109">
        <v>25</v>
      </c>
      <c r="N109" s="172">
        <v>42736</v>
      </c>
      <c r="O109" s="172"/>
      <c r="Q109" t="s">
        <v>259</v>
      </c>
      <c r="R109">
        <v>1</v>
      </c>
    </row>
    <row r="110" spans="1:18" x14ac:dyDescent="0.25">
      <c r="A110" t="str">
        <f>TableOCTESOL[[#This Row],[Study Package Code]]</f>
        <v>EDUC5022</v>
      </c>
      <c r="B110" s="1">
        <f>TableOCTESOL[[#This Row],[Ver]]</f>
        <v>1</v>
      </c>
      <c r="C110" t="str">
        <f>IF(TableOCTESOL[[#This Row],[Ver]]&gt;0,_xlfn.TEXTBEFORE(TableOCTESOL[[#This Row],[Structure Line]]," "),"")</f>
        <v>TESOL501</v>
      </c>
      <c r="D110" t="str">
        <f>IF(TableOCTESOL[[#This Row],[OUA Code]]&lt;&gt;"",_xlfn.TEXTAFTER(TableOCTESOL[[#This Row],[Structure Line]]," "),TableOCTESOL[[#This Row],[Structure Line]])</f>
        <v>Materials Design and Assessment</v>
      </c>
      <c r="E110" s="82">
        <f>TableOCTESOL[[#This Row],[Credit Points]]</f>
        <v>25</v>
      </c>
      <c r="F110">
        <v>1</v>
      </c>
      <c r="G110" t="s">
        <v>375</v>
      </c>
      <c r="H110">
        <v>0</v>
      </c>
      <c r="I110" t="s">
        <v>376</v>
      </c>
      <c r="J110" t="s">
        <v>253</v>
      </c>
      <c r="K110">
        <v>1</v>
      </c>
      <c r="L110" t="s">
        <v>440</v>
      </c>
      <c r="M110">
        <v>25</v>
      </c>
      <c r="N110" s="172">
        <v>42736</v>
      </c>
      <c r="O110" s="172"/>
      <c r="Q110" t="s">
        <v>253</v>
      </c>
      <c r="R110">
        <v>1</v>
      </c>
    </row>
    <row r="111" spans="1:18" x14ac:dyDescent="0.25">
      <c r="A111" t="str">
        <f>TableOCTESOL[[#This Row],[Study Package Code]]</f>
        <v>EDUC5029</v>
      </c>
      <c r="B111" s="1">
        <f>TableOCTESOL[[#This Row],[Ver]]</f>
        <v>2</v>
      </c>
      <c r="C111" t="str">
        <f>IF(TableOCTESOL[[#This Row],[Ver]]&gt;0,_xlfn.TEXTBEFORE(TableOCTESOL[[#This Row],[Structure Line]]," "),"")</f>
        <v>TESOL505</v>
      </c>
      <c r="D111" t="str">
        <f>IF(TableOCTESOL[[#This Row],[OUA Code]]&lt;&gt;"",_xlfn.TEXTAFTER(TableOCTESOL[[#This Row],[Structure Line]]," "),TableOCTESOL[[#This Row],[Structure Line]])</f>
        <v>Language Teaching Practice</v>
      </c>
      <c r="E111" s="82">
        <f>TableOCTESOL[[#This Row],[Credit Points]]</f>
        <v>25</v>
      </c>
      <c r="F111">
        <v>1</v>
      </c>
      <c r="G111" t="s">
        <v>375</v>
      </c>
      <c r="H111">
        <v>0</v>
      </c>
      <c r="I111" t="s">
        <v>376</v>
      </c>
      <c r="J111" t="s">
        <v>262</v>
      </c>
      <c r="K111">
        <v>2</v>
      </c>
      <c r="L111" t="s">
        <v>441</v>
      </c>
      <c r="M111">
        <v>25</v>
      </c>
      <c r="N111" s="172">
        <v>44562</v>
      </c>
      <c r="O111" s="172"/>
      <c r="Q111" t="s">
        <v>262</v>
      </c>
      <c r="R111">
        <v>2</v>
      </c>
    </row>
    <row r="113" spans="1:18" x14ac:dyDescent="0.25">
      <c r="B113"/>
      <c r="E113"/>
      <c r="F113" s="258"/>
      <c r="G113" s="262" t="s">
        <v>359</v>
      </c>
      <c r="H113" s="263">
        <v>45972</v>
      </c>
      <c r="I113" s="264"/>
      <c r="J113" s="259" t="s">
        <v>36</v>
      </c>
      <c r="K113" s="260">
        <v>2</v>
      </c>
      <c r="L113" s="259" t="s">
        <v>35</v>
      </c>
      <c r="M113" s="261"/>
      <c r="N113" s="208">
        <v>44562</v>
      </c>
      <c r="O113" s="263"/>
    </row>
    <row r="114" spans="1:18" x14ac:dyDescent="0.25">
      <c r="A114" t="s">
        <v>3</v>
      </c>
      <c r="B114" s="1" t="s">
        <v>361</v>
      </c>
      <c r="C114" t="s">
        <v>362</v>
      </c>
      <c r="D114" t="s">
        <v>363</v>
      </c>
      <c r="E114" s="82" t="s">
        <v>364</v>
      </c>
      <c r="F114" t="s">
        <v>365</v>
      </c>
      <c r="G114" t="s">
        <v>366</v>
      </c>
      <c r="H114" t="s">
        <v>367</v>
      </c>
      <c r="I114" t="s">
        <v>368</v>
      </c>
      <c r="J114" t="s">
        <v>369</v>
      </c>
      <c r="K114" t="s">
        <v>98</v>
      </c>
      <c r="L114" t="s">
        <v>370</v>
      </c>
      <c r="M114" t="s">
        <v>8</v>
      </c>
      <c r="N114" s="171" t="s">
        <v>371</v>
      </c>
      <c r="O114" s="171" t="s">
        <v>372</v>
      </c>
      <c r="Q114" t="s">
        <v>373</v>
      </c>
      <c r="R114" t="s">
        <v>374</v>
      </c>
    </row>
    <row r="115" spans="1:18" x14ac:dyDescent="0.25">
      <c r="A115" t="str">
        <f>TableOMEDUC[[#This Row],[Study Package Code]]</f>
        <v>EDUC6034</v>
      </c>
      <c r="B115" s="1">
        <f>TableOMEDUC[[#This Row],[Ver]]</f>
        <v>2</v>
      </c>
      <c r="C115" t="str">
        <f>IF(TableOMEDUC[[#This Row],[Ver]]&gt;0,_xlfn.TEXTBEFORE(TableOMEDUC[[#This Row],[Structure Line]]," "),"")</f>
        <v>EDMC500</v>
      </c>
      <c r="D115" t="str">
        <f>IF(TableOMEDUC[[#This Row],[OUA Code]]&lt;&gt;"",_xlfn.TEXTAFTER(TableOMEDUC[[#This Row],[Structure Line]]," "),TableOMEDUC[[#This Row],[Structure Line]])</f>
        <v>Perspectives on Educational Research</v>
      </c>
      <c r="E115" s="82">
        <f>TableOMEDUC[[#This Row],[Credit Points]]</f>
        <v>25</v>
      </c>
      <c r="F115">
        <v>1</v>
      </c>
      <c r="G115" t="s">
        <v>379</v>
      </c>
      <c r="H115">
        <v>1</v>
      </c>
      <c r="I115" t="s">
        <v>376</v>
      </c>
      <c r="J115" t="s">
        <v>277</v>
      </c>
      <c r="K115">
        <v>2</v>
      </c>
      <c r="L115" t="s">
        <v>442</v>
      </c>
      <c r="M115">
        <v>25</v>
      </c>
      <c r="N115" s="172">
        <v>44562</v>
      </c>
      <c r="O115" s="172"/>
      <c r="Q115" t="s">
        <v>277</v>
      </c>
      <c r="R115">
        <v>2</v>
      </c>
    </row>
    <row r="116" spans="1:18" x14ac:dyDescent="0.25">
      <c r="A116" t="str">
        <f>TableOMEDUC[[#This Row],[Study Package Code]]</f>
        <v>EDUC6036</v>
      </c>
      <c r="B116" s="1">
        <f>TableOMEDUC[[#This Row],[Ver]]</f>
        <v>2</v>
      </c>
      <c r="C116" t="str">
        <f>IF(TableOMEDUC[[#This Row],[Ver]]&gt;0,_xlfn.TEXTBEFORE(TableOMEDUC[[#This Row],[Structure Line]]," "),"")</f>
        <v>EDMC502</v>
      </c>
      <c r="D116" t="str">
        <f>IF(TableOMEDUC[[#This Row],[OUA Code]]&lt;&gt;"",_xlfn.TEXTAFTER(TableOMEDUC[[#This Row],[Structure Line]]," "),TableOMEDUC[[#This Row],[Structure Line]])</f>
        <v>Negotiated Capstone Project</v>
      </c>
      <c r="E116" s="82">
        <f>TableOMEDUC[[#This Row],[Credit Points]]</f>
        <v>50</v>
      </c>
      <c r="F116">
        <v>2</v>
      </c>
      <c r="G116" t="s">
        <v>379</v>
      </c>
      <c r="H116">
        <v>1</v>
      </c>
      <c r="I116" t="s">
        <v>376</v>
      </c>
      <c r="J116" t="s">
        <v>280</v>
      </c>
      <c r="K116">
        <v>2</v>
      </c>
      <c r="L116" t="s">
        <v>429</v>
      </c>
      <c r="M116">
        <v>50</v>
      </c>
      <c r="N116" s="172">
        <v>44562</v>
      </c>
      <c r="O116" s="172"/>
      <c r="Q116" t="s">
        <v>280</v>
      </c>
      <c r="R116">
        <v>2</v>
      </c>
    </row>
    <row r="117" spans="1:18" x14ac:dyDescent="0.25">
      <c r="A117" t="str">
        <f>TableOMEDUC[[#This Row],[Study Package Code]]</f>
        <v>EDUC6047</v>
      </c>
      <c r="B117" s="1">
        <f>TableOMEDUC[[#This Row],[Ver]]</f>
        <v>1</v>
      </c>
      <c r="C117" t="str">
        <f>IF(TableOMEDUC[[#This Row],[Ver]]&gt;0,_xlfn.TEXTBEFORE(TableOMEDUC[[#This Row],[Structure Line]]," "),"")</f>
        <v>EDMC600</v>
      </c>
      <c r="D117" t="str">
        <f>IF(TableOMEDUC[[#This Row],[OUA Code]]&lt;&gt;"",_xlfn.TEXTAFTER(TableOMEDUC[[#This Row],[Structure Line]]," "),TableOMEDUC[[#This Row],[Structure Line]])</f>
        <v>Education in the Post-Truth Era</v>
      </c>
      <c r="E117" s="82">
        <f>TableOMEDUC[[#This Row],[Credit Points]]</f>
        <v>25</v>
      </c>
      <c r="F117">
        <v>3</v>
      </c>
      <c r="G117" t="s">
        <v>379</v>
      </c>
      <c r="H117">
        <v>1</v>
      </c>
      <c r="I117" t="s">
        <v>376</v>
      </c>
      <c r="J117" t="s">
        <v>290</v>
      </c>
      <c r="K117">
        <v>1</v>
      </c>
      <c r="L117" t="s">
        <v>443</v>
      </c>
      <c r="M117">
        <v>25</v>
      </c>
      <c r="N117" s="172">
        <v>44562</v>
      </c>
      <c r="O117" s="172"/>
      <c r="Q117" t="s">
        <v>290</v>
      </c>
      <c r="R117">
        <v>1</v>
      </c>
    </row>
    <row r="118" spans="1:18" x14ac:dyDescent="0.25">
      <c r="A118" t="str">
        <f>TableOMEDUC[[#This Row],[Study Package Code]]</f>
        <v>Opt-MEd</v>
      </c>
      <c r="B118" s="1">
        <f>TableOMEDUC[[#This Row],[Ver]]</f>
        <v>0</v>
      </c>
      <c r="C118" t="str">
        <f>IF(TableOMEDUC[[#This Row],[Ver]]&gt;0,_xlfn.TEXTBEFORE(TableOMEDUC[[#This Row],[Structure Line]]," "),"")</f>
        <v/>
      </c>
      <c r="D118" t="str">
        <f>IF(TableOMEDUC[[#This Row],[OUA Code]]&lt;&gt;"",_xlfn.TEXTAFTER(TableOMEDUC[[#This Row],[Structure Line]]," "),TableOMEDUC[[#This Row],[Structure Line]])</f>
        <v>Choose a specialisation OR Choose Optional units from the list to the value of 100 credit points</v>
      </c>
      <c r="E118" s="82">
        <f>TableOMEDUC[[#This Row],[Credit Points]]</f>
        <v>100</v>
      </c>
      <c r="F118">
        <v>4</v>
      </c>
      <c r="G118" t="s">
        <v>411</v>
      </c>
      <c r="H118">
        <v>1</v>
      </c>
      <c r="I118" t="s">
        <v>376</v>
      </c>
      <c r="J118" t="s">
        <v>345</v>
      </c>
      <c r="K118">
        <v>0</v>
      </c>
      <c r="L118" t="s">
        <v>346</v>
      </c>
      <c r="M118">
        <v>100</v>
      </c>
      <c r="N118" s="172"/>
      <c r="O118" s="172"/>
      <c r="Q118" t="s">
        <v>345</v>
      </c>
      <c r="R118">
        <v>0</v>
      </c>
    </row>
    <row r="119" spans="1:18" x14ac:dyDescent="0.25">
      <c r="A119" t="str">
        <f>TableOMEDUC[[#This Row],[Study Package Code]]</f>
        <v>EDUC6026</v>
      </c>
      <c r="B119" s="1">
        <f>TableOMEDUC[[#This Row],[Ver]]</f>
        <v>2</v>
      </c>
      <c r="C119" t="str">
        <f>IF(TableOMEDUC[[#This Row],[Ver]]&gt;0,_xlfn.TEXTBEFORE(TableOMEDUC[[#This Row],[Structure Line]]," "),"")</f>
        <v>EDML501</v>
      </c>
      <c r="D119" t="str">
        <f>IF(TableOMEDUC[[#This Row],[OUA Code]]&lt;&gt;"",_xlfn.TEXTAFTER(TableOMEDUC[[#This Row],[Structure Line]]," "),TableOMEDUC[[#This Row],[Structure Line]])</f>
        <v>Language Teaching Methodologies</v>
      </c>
      <c r="E119" s="82">
        <f>TableOMEDUC[[#This Row],[Credit Points]]</f>
        <v>25</v>
      </c>
      <c r="F119">
        <v>4</v>
      </c>
      <c r="G119" t="s">
        <v>411</v>
      </c>
      <c r="H119">
        <v>1</v>
      </c>
      <c r="I119" t="s">
        <v>376</v>
      </c>
      <c r="J119" t="s">
        <v>271</v>
      </c>
      <c r="K119">
        <v>2</v>
      </c>
      <c r="L119" t="s">
        <v>431</v>
      </c>
      <c r="M119">
        <v>25</v>
      </c>
      <c r="N119" s="172">
        <v>44562</v>
      </c>
      <c r="O119" s="172"/>
      <c r="Q119" t="s">
        <v>271</v>
      </c>
      <c r="R119">
        <v>2</v>
      </c>
    </row>
    <row r="120" spans="1:18" x14ac:dyDescent="0.25">
      <c r="A120" t="str">
        <f>TableOMEDUC[[#This Row],[Study Package Code]]</f>
        <v>EDUC6049</v>
      </c>
      <c r="B120" s="1">
        <f>TableOMEDUC[[#This Row],[Ver]]</f>
        <v>1</v>
      </c>
      <c r="C120" t="str">
        <f>IF(TableOMEDUC[[#This Row],[Ver]]&gt;0,_xlfn.TEXTBEFORE(TableOMEDUC[[#This Row],[Structure Line]]," "),"")</f>
        <v>EDMS610</v>
      </c>
      <c r="D120" t="str">
        <f>IF(TableOMEDUC[[#This Row],[OUA Code]]&lt;&gt;"",_xlfn.TEXTAFTER(TableOMEDUC[[#This Row],[Structure Line]]," "),TableOMEDUC[[#This Row],[Structure Line]])</f>
        <v>Designing STEM Integration</v>
      </c>
      <c r="E120" s="82">
        <f>TableOMEDUC[[#This Row],[Credit Points]]</f>
        <v>25</v>
      </c>
      <c r="F120">
        <v>4</v>
      </c>
      <c r="G120" t="s">
        <v>411</v>
      </c>
      <c r="H120">
        <v>1</v>
      </c>
      <c r="I120" t="s">
        <v>376</v>
      </c>
      <c r="J120" t="s">
        <v>293</v>
      </c>
      <c r="K120">
        <v>1</v>
      </c>
      <c r="L120" t="s">
        <v>444</v>
      </c>
      <c r="M120">
        <v>25</v>
      </c>
      <c r="N120" s="172">
        <v>44562</v>
      </c>
      <c r="O120" s="172"/>
      <c r="Q120" t="s">
        <v>293</v>
      </c>
      <c r="R120">
        <v>1</v>
      </c>
    </row>
    <row r="121" spans="1:18" x14ac:dyDescent="0.25">
      <c r="A121" t="str">
        <f>TableOMEDUC[[#This Row],[Study Package Code]]</f>
        <v>EDUC6051</v>
      </c>
      <c r="B121" s="1">
        <f>TableOMEDUC[[#This Row],[Ver]]</f>
        <v>1</v>
      </c>
      <c r="C121" t="str">
        <f>IF(TableOMEDUC[[#This Row],[Ver]]&gt;0,_xlfn.TEXTBEFORE(TableOMEDUC[[#This Row],[Structure Line]]," "),"")</f>
        <v>EDMP600</v>
      </c>
      <c r="D121" t="str">
        <f>IF(TableOMEDUC[[#This Row],[OUA Code]]&lt;&gt;"",_xlfn.TEXTAFTER(TableOMEDUC[[#This Row],[Structure Line]]," "),TableOMEDUC[[#This Row],[Structure Line]])</f>
        <v>Education for a Future: Learning for Sustainability</v>
      </c>
      <c r="E121" s="82">
        <f>TableOMEDUC[[#This Row],[Credit Points]]</f>
        <v>25</v>
      </c>
      <c r="F121">
        <v>4</v>
      </c>
      <c r="G121" t="s">
        <v>411</v>
      </c>
      <c r="H121">
        <v>1</v>
      </c>
      <c r="I121" t="s">
        <v>376</v>
      </c>
      <c r="J121" t="s">
        <v>296</v>
      </c>
      <c r="K121">
        <v>1</v>
      </c>
      <c r="L121" t="s">
        <v>445</v>
      </c>
      <c r="M121">
        <v>25</v>
      </c>
      <c r="N121" s="172">
        <v>44562</v>
      </c>
      <c r="O121" s="172"/>
      <c r="Q121" t="s">
        <v>296</v>
      </c>
      <c r="R121">
        <v>1</v>
      </c>
    </row>
    <row r="122" spans="1:18" x14ac:dyDescent="0.25">
      <c r="A122" t="str">
        <f>TableOMEDUC[[#This Row],[Study Package Code]]</f>
        <v>EDUC6053</v>
      </c>
      <c r="B122" s="1">
        <f>TableOMEDUC[[#This Row],[Ver]]</f>
        <v>1</v>
      </c>
      <c r="C122" t="str">
        <f>IF(TableOMEDUC[[#This Row],[Ver]]&gt;0,_xlfn.TEXTBEFORE(TableOMEDUC[[#This Row],[Structure Line]]," "),"")</f>
        <v>EDMP610</v>
      </c>
      <c r="D122" t="str">
        <f>IF(TableOMEDUC[[#This Row],[OUA Code]]&lt;&gt;"",_xlfn.TEXTAFTER(TableOMEDUC[[#This Row],[Structure Line]]," "),TableOMEDUC[[#This Row],[Structure Line]])</f>
        <v>Emerging Technologies and the Future of Learning</v>
      </c>
      <c r="E122" s="82">
        <f>TableOMEDUC[[#This Row],[Credit Points]]</f>
        <v>25</v>
      </c>
      <c r="F122">
        <v>4</v>
      </c>
      <c r="G122" t="s">
        <v>411</v>
      </c>
      <c r="H122">
        <v>1</v>
      </c>
      <c r="I122" t="s">
        <v>376</v>
      </c>
      <c r="J122" t="s">
        <v>299</v>
      </c>
      <c r="K122">
        <v>1</v>
      </c>
      <c r="L122" t="s">
        <v>446</v>
      </c>
      <c r="M122">
        <v>25</v>
      </c>
      <c r="N122" s="172">
        <v>44562</v>
      </c>
      <c r="O122" s="172"/>
      <c r="Q122" t="s">
        <v>299</v>
      </c>
      <c r="R122">
        <v>1</v>
      </c>
    </row>
    <row r="123" spans="1:18" x14ac:dyDescent="0.25">
      <c r="A123" t="str">
        <f>TableOMEDUC[[#This Row],[Study Package Code]]</f>
        <v>EDUC6055</v>
      </c>
      <c r="B123" s="1">
        <f>TableOMEDUC[[#This Row],[Ver]]</f>
        <v>1</v>
      </c>
      <c r="C123" t="str">
        <f>IF(TableOMEDUC[[#This Row],[Ver]]&gt;0,_xlfn.TEXTBEFORE(TableOMEDUC[[#This Row],[Structure Line]]," "),"")</f>
        <v>EDMP620</v>
      </c>
      <c r="D123" t="str">
        <f>IF(TableOMEDUC[[#This Row],[OUA Code]]&lt;&gt;"",_xlfn.TEXTAFTER(TableOMEDUC[[#This Row],[Structure Line]]," "),TableOMEDUC[[#This Row],[Structure Line]])</f>
        <v>Empowering Learners Through Social Justice Leadership</v>
      </c>
      <c r="E123" s="82">
        <f>TableOMEDUC[[#This Row],[Credit Points]]</f>
        <v>25</v>
      </c>
      <c r="F123">
        <v>4</v>
      </c>
      <c r="G123" t="s">
        <v>411</v>
      </c>
      <c r="H123">
        <v>1</v>
      </c>
      <c r="I123" t="s">
        <v>376</v>
      </c>
      <c r="J123" t="s">
        <v>302</v>
      </c>
      <c r="K123">
        <v>1</v>
      </c>
      <c r="L123" t="s">
        <v>447</v>
      </c>
      <c r="M123">
        <v>25</v>
      </c>
      <c r="N123" s="172">
        <v>44562</v>
      </c>
      <c r="O123" s="172"/>
      <c r="Q123" t="s">
        <v>302</v>
      </c>
      <c r="R123">
        <v>1</v>
      </c>
    </row>
    <row r="124" spans="1:18" x14ac:dyDescent="0.25">
      <c r="A124" t="str">
        <f>TableOMEDUC[[#This Row],[Study Package Code]]</f>
        <v>EDUC6057</v>
      </c>
      <c r="B124" s="1">
        <f>TableOMEDUC[[#This Row],[Ver]]</f>
        <v>1</v>
      </c>
      <c r="C124" t="str">
        <f>IF(TableOMEDUC[[#This Row],[Ver]]&gt;0,_xlfn.TEXTBEFORE(TableOMEDUC[[#This Row],[Structure Line]]," "),"")</f>
        <v>EDML600</v>
      </c>
      <c r="D124" t="str">
        <f>IF(TableOMEDUC[[#This Row],[OUA Code]]&lt;&gt;"",_xlfn.TEXTAFTER(TableOMEDUC[[#This Row],[Structure Line]]," "),TableOMEDUC[[#This Row],[Structure Line]])</f>
        <v>Leading Learning in Multilingual Contexts</v>
      </c>
      <c r="E124" s="82">
        <f>TableOMEDUC[[#This Row],[Credit Points]]</f>
        <v>25</v>
      </c>
      <c r="F124">
        <v>4</v>
      </c>
      <c r="G124" t="s">
        <v>411</v>
      </c>
      <c r="H124">
        <v>1</v>
      </c>
      <c r="I124" t="s">
        <v>376</v>
      </c>
      <c r="J124" t="s">
        <v>305</v>
      </c>
      <c r="K124">
        <v>1</v>
      </c>
      <c r="L124" t="s">
        <v>448</v>
      </c>
      <c r="M124">
        <v>25</v>
      </c>
      <c r="N124" s="172">
        <v>44562</v>
      </c>
      <c r="O124" s="172"/>
      <c r="Q124" t="s">
        <v>305</v>
      </c>
      <c r="R124">
        <v>1</v>
      </c>
    </row>
    <row r="125" spans="1:18" x14ac:dyDescent="0.25">
      <c r="A125" t="str">
        <f>TableOMEDUC[[#This Row],[Study Package Code]]</f>
        <v>EDUC6059</v>
      </c>
      <c r="B125" s="1">
        <f>TableOMEDUC[[#This Row],[Ver]]</f>
        <v>1</v>
      </c>
      <c r="C125" t="str">
        <f>IF(TableOMEDUC[[#This Row],[Ver]]&gt;0,_xlfn.TEXTBEFORE(TableOMEDUC[[#This Row],[Structure Line]]," "),"")</f>
        <v>EDMP630</v>
      </c>
      <c r="D125" t="str">
        <f>IF(TableOMEDUC[[#This Row],[OUA Code]]&lt;&gt;"",_xlfn.TEXTAFTER(TableOMEDUC[[#This Row],[Structure Line]]," "),TableOMEDUC[[#This Row],[Structure Line]])</f>
        <v>Pedagogies for Learner and Community Diversity</v>
      </c>
      <c r="E125" s="82">
        <f>TableOMEDUC[[#This Row],[Credit Points]]</f>
        <v>25</v>
      </c>
      <c r="F125">
        <v>4</v>
      </c>
      <c r="G125" t="s">
        <v>411</v>
      </c>
      <c r="H125">
        <v>1</v>
      </c>
      <c r="I125" t="s">
        <v>376</v>
      </c>
      <c r="J125" t="s">
        <v>308</v>
      </c>
      <c r="K125">
        <v>1</v>
      </c>
      <c r="L125" t="s">
        <v>449</v>
      </c>
      <c r="M125">
        <v>25</v>
      </c>
      <c r="N125" s="172">
        <v>44562</v>
      </c>
      <c r="O125" s="172"/>
      <c r="Q125" t="s">
        <v>308</v>
      </c>
      <c r="R125">
        <v>1</v>
      </c>
    </row>
    <row r="126" spans="1:18" x14ac:dyDescent="0.25">
      <c r="A126" t="str">
        <f>TableOMEDUC[[#This Row],[Study Package Code]]</f>
        <v>EDUC6061</v>
      </c>
      <c r="B126" s="1">
        <f>TableOMEDUC[[#This Row],[Ver]]</f>
        <v>1</v>
      </c>
      <c r="C126" t="str">
        <f>IF(TableOMEDUC[[#This Row],[Ver]]&gt;0,_xlfn.TEXTBEFORE(TableOMEDUC[[#This Row],[Structure Line]]," "),"")</f>
        <v>EDMS600</v>
      </c>
      <c r="D126" t="str">
        <f>IF(TableOMEDUC[[#This Row],[OUA Code]]&lt;&gt;"",_xlfn.TEXTAFTER(TableOMEDUC[[#This Row],[Structure Line]]," "),TableOMEDUC[[#This Row],[Structure Line]])</f>
        <v>Becoming a Leader of STEM Education</v>
      </c>
      <c r="E126" s="82">
        <f>TableOMEDUC[[#This Row],[Credit Points]]</f>
        <v>25</v>
      </c>
      <c r="F126">
        <v>4</v>
      </c>
      <c r="G126" t="s">
        <v>411</v>
      </c>
      <c r="H126">
        <v>1</v>
      </c>
      <c r="I126" t="s">
        <v>376</v>
      </c>
      <c r="J126" t="s">
        <v>311</v>
      </c>
      <c r="K126">
        <v>1</v>
      </c>
      <c r="L126" t="s">
        <v>450</v>
      </c>
      <c r="M126">
        <v>25</v>
      </c>
      <c r="N126" s="172">
        <v>44562</v>
      </c>
      <c r="O126" s="172"/>
      <c r="Q126" t="s">
        <v>311</v>
      </c>
      <c r="R126">
        <v>1</v>
      </c>
    </row>
    <row r="127" spans="1:18" x14ac:dyDescent="0.25">
      <c r="A127" t="str">
        <f>TableOMEDUC[[#This Row],[Study Package Code]]</f>
        <v>LING6008</v>
      </c>
      <c r="B127" s="1">
        <f>TableOMEDUC[[#This Row],[Ver]]</f>
        <v>1</v>
      </c>
      <c r="C127" t="str">
        <f>IF(TableOMEDUC[[#This Row],[Ver]]&gt;0,_xlfn.TEXTBEFORE(TableOMEDUC[[#This Row],[Structure Line]]," "),"")</f>
        <v>EDML502</v>
      </c>
      <c r="D127" t="str">
        <f>IF(TableOMEDUC[[#This Row],[OUA Code]]&lt;&gt;"",_xlfn.TEXTAFTER(TableOMEDUC[[#This Row],[Structure Line]]," "),TableOMEDUC[[#This Row],[Structure Line]])</f>
        <v>Language in Society</v>
      </c>
      <c r="E127" s="82">
        <f>TableOMEDUC[[#This Row],[Credit Points]]</f>
        <v>25</v>
      </c>
      <c r="F127">
        <v>4</v>
      </c>
      <c r="G127" t="s">
        <v>411</v>
      </c>
      <c r="H127">
        <v>1</v>
      </c>
      <c r="I127" t="s">
        <v>376</v>
      </c>
      <c r="J127" t="s">
        <v>336</v>
      </c>
      <c r="K127">
        <v>1</v>
      </c>
      <c r="L127" t="s">
        <v>432</v>
      </c>
      <c r="M127">
        <v>25</v>
      </c>
      <c r="N127" s="172">
        <v>42736</v>
      </c>
      <c r="O127" s="172"/>
      <c r="Q127" t="s">
        <v>336</v>
      </c>
      <c r="R127">
        <v>1</v>
      </c>
    </row>
    <row r="128" spans="1:18" x14ac:dyDescent="0.25">
      <c r="A128" t="str">
        <f>TableOMEDUC[[#This Row],[Study Package Code]]</f>
        <v>OSEP-CULIN</v>
      </c>
      <c r="B128" s="1">
        <f>TableOMEDUC[[#This Row],[Ver]]</f>
        <v>1</v>
      </c>
      <c r="D128" t="str">
        <f>IF(TableOMEDUC[[#This Row],[OUA Code]]&lt;&gt;"",_xlfn.TEXTAFTER(TableOMEDUC[[#This Row],[Structure Line]]," "),TableOMEDUC[[#This Row],[Structure Line]])</f>
        <v>Cultural and Linguistic Diversity Specialisation (MEd OpenUnis)</v>
      </c>
      <c r="E128" s="82">
        <f>TableOMEDUC[[#This Row],[Credit Points]]</f>
        <v>100</v>
      </c>
      <c r="F128">
        <v>4</v>
      </c>
      <c r="G128" t="s">
        <v>411</v>
      </c>
      <c r="H128">
        <v>1</v>
      </c>
      <c r="I128" t="s">
        <v>376</v>
      </c>
      <c r="J128" t="s">
        <v>60</v>
      </c>
      <c r="K128">
        <v>1</v>
      </c>
      <c r="L128" t="s">
        <v>59</v>
      </c>
      <c r="M128">
        <v>100</v>
      </c>
      <c r="N128" s="172">
        <v>44562</v>
      </c>
      <c r="O128" s="172"/>
      <c r="Q128" t="s">
        <v>60</v>
      </c>
      <c r="R128">
        <v>1</v>
      </c>
    </row>
    <row r="129" spans="1:18" x14ac:dyDescent="0.25">
      <c r="A129" t="str">
        <f>TableOMEDUC[[#This Row],[Study Package Code]]</f>
        <v>OSEP-LNTCH</v>
      </c>
      <c r="B129" s="1">
        <f>TableOMEDUC[[#This Row],[Ver]]</f>
        <v>1</v>
      </c>
      <c r="D129" t="str">
        <f>IF(TableOMEDUC[[#This Row],[OUA Code]]&lt;&gt;"",_xlfn.TEXTAFTER(TableOMEDUC[[#This Row],[Structure Line]]," "),TableOMEDUC[[#This Row],[Structure Line]])</f>
        <v>Innovative Learning and Teaching Specialisation (MEd OpenUnis)</v>
      </c>
      <c r="E129" s="82">
        <f>TableOMEDUC[[#This Row],[Credit Points]]</f>
        <v>100</v>
      </c>
      <c r="F129">
        <v>4</v>
      </c>
      <c r="G129" t="s">
        <v>411</v>
      </c>
      <c r="H129">
        <v>1</v>
      </c>
      <c r="I129" t="s">
        <v>376</v>
      </c>
      <c r="J129" t="s">
        <v>62</v>
      </c>
      <c r="K129">
        <v>1</v>
      </c>
      <c r="L129" t="s">
        <v>61</v>
      </c>
      <c r="M129">
        <v>100</v>
      </c>
      <c r="N129" s="172">
        <v>44562</v>
      </c>
      <c r="O129" s="172"/>
      <c r="Q129" t="s">
        <v>62</v>
      </c>
      <c r="R129">
        <v>1</v>
      </c>
    </row>
    <row r="130" spans="1:18" x14ac:dyDescent="0.25">
      <c r="A130" t="str">
        <f>TableOMEDUC[[#This Row],[Study Package Code]]</f>
        <v>OSEP-STEME</v>
      </c>
      <c r="B130" s="1">
        <f>TableOMEDUC[[#This Row],[Ver]]</f>
        <v>1</v>
      </c>
      <c r="D130" t="str">
        <f>IF(TableOMEDUC[[#This Row],[OUA Code]]&lt;&gt;"",_xlfn.TEXTAFTER(TableOMEDUC[[#This Row],[Structure Line]]," "),TableOMEDUC[[#This Row],[Structure Line]])</f>
        <v>Innovative STEM Education Specialisation (MEd OpenUnis)</v>
      </c>
      <c r="E130" s="82">
        <f>TableOMEDUC[[#This Row],[Credit Points]]</f>
        <v>100</v>
      </c>
      <c r="F130">
        <v>4</v>
      </c>
      <c r="G130" t="s">
        <v>411</v>
      </c>
      <c r="H130">
        <v>1</v>
      </c>
      <c r="I130" t="s">
        <v>376</v>
      </c>
      <c r="J130" t="s">
        <v>64</v>
      </c>
      <c r="K130">
        <v>1</v>
      </c>
      <c r="L130" t="s">
        <v>63</v>
      </c>
      <c r="M130">
        <v>100</v>
      </c>
      <c r="N130" s="172">
        <v>44562</v>
      </c>
      <c r="O130" s="172"/>
      <c r="Q130" t="s">
        <v>64</v>
      </c>
      <c r="R130">
        <v>1</v>
      </c>
    </row>
    <row r="131" spans="1:18" x14ac:dyDescent="0.25">
      <c r="B131"/>
      <c r="E131"/>
      <c r="F131" s="258"/>
      <c r="G131" s="262" t="s">
        <v>359</v>
      </c>
      <c r="H131" s="263">
        <v>45972</v>
      </c>
      <c r="I131" s="264"/>
      <c r="J131" s="259" t="s">
        <v>60</v>
      </c>
      <c r="K131" s="260">
        <v>1</v>
      </c>
      <c r="L131" s="259" t="s">
        <v>59</v>
      </c>
      <c r="M131" s="261"/>
      <c r="N131" s="208">
        <v>44562</v>
      </c>
      <c r="O131" s="263"/>
    </row>
    <row r="132" spans="1:18" x14ac:dyDescent="0.25">
      <c r="A132" t="s">
        <v>3</v>
      </c>
      <c r="B132" s="1" t="s">
        <v>361</v>
      </c>
      <c r="C132" t="s">
        <v>362</v>
      </c>
      <c r="D132" t="s">
        <v>363</v>
      </c>
      <c r="E132" s="82" t="s">
        <v>364</v>
      </c>
      <c r="F132" t="s">
        <v>365</v>
      </c>
      <c r="G132" t="s">
        <v>366</v>
      </c>
      <c r="H132" t="s">
        <v>367</v>
      </c>
      <c r="I132" t="s">
        <v>368</v>
      </c>
      <c r="J132" t="s">
        <v>369</v>
      </c>
      <c r="K132" t="s">
        <v>98</v>
      </c>
      <c r="L132" t="s">
        <v>370</v>
      </c>
      <c r="M132" t="s">
        <v>8</v>
      </c>
      <c r="N132" s="171" t="s">
        <v>371</v>
      </c>
      <c r="O132" s="171" t="s">
        <v>372</v>
      </c>
      <c r="Q132" t="s">
        <v>373</v>
      </c>
      <c r="R132" t="s">
        <v>374</v>
      </c>
    </row>
    <row r="133" spans="1:18" x14ac:dyDescent="0.25">
      <c r="A133" t="str">
        <f>TableOSEPCULIN[[#This Row],[Study Package Code]]</f>
        <v>EDUC6026</v>
      </c>
      <c r="B133" s="1">
        <f>TableOSEPCULIN[[#This Row],[Ver]]</f>
        <v>2</v>
      </c>
      <c r="C133" t="str">
        <f>IF(TableOSEPCULIN[[#This Row],[Ver]]&gt;0,_xlfn.TEXTBEFORE(TableOSEPCULIN[[#This Row],[Structure Line]]," "),"")</f>
        <v>EDML501</v>
      </c>
      <c r="D133" t="str">
        <f>IF(TableOSEPCULIN[[#This Row],[OUA Code]]&lt;&gt;"",_xlfn.TEXTAFTER(TableOSEPCULIN[[#This Row],[Structure Line]]," "),TableOSEPCULIN[[#This Row],[Structure Line]])</f>
        <v>Language Teaching Methodologies</v>
      </c>
      <c r="E133" s="82">
        <f>TableOSEPCULIN[[#This Row],[Credit Points]]</f>
        <v>25</v>
      </c>
      <c r="F133">
        <v>1</v>
      </c>
      <c r="G133" t="s">
        <v>379</v>
      </c>
      <c r="H133">
        <v>1</v>
      </c>
      <c r="I133" t="s">
        <v>376</v>
      </c>
      <c r="J133" t="s">
        <v>271</v>
      </c>
      <c r="K133">
        <v>2</v>
      </c>
      <c r="L133" t="s">
        <v>431</v>
      </c>
      <c r="M133">
        <v>25</v>
      </c>
      <c r="N133" s="172">
        <v>44562</v>
      </c>
      <c r="O133" s="172"/>
      <c r="Q133" t="s">
        <v>271</v>
      </c>
      <c r="R133">
        <v>2</v>
      </c>
    </row>
    <row r="134" spans="1:18" x14ac:dyDescent="0.25">
      <c r="A134" t="str">
        <f>TableOSEPCULIN[[#This Row],[Study Package Code]]</f>
        <v>LING6008</v>
      </c>
      <c r="B134" s="1">
        <f>TableOSEPCULIN[[#This Row],[Ver]]</f>
        <v>1</v>
      </c>
      <c r="C134" t="str">
        <f>IF(TableOSEPCULIN[[#This Row],[Ver]]&gt;0,_xlfn.TEXTBEFORE(TableOSEPCULIN[[#This Row],[Structure Line]]," "),"")</f>
        <v>EDML502</v>
      </c>
      <c r="D134" t="str">
        <f>IF(TableOSEPCULIN[[#This Row],[OUA Code]]&lt;&gt;"",_xlfn.TEXTAFTER(TableOSEPCULIN[[#This Row],[Structure Line]]," "),TableOSEPCULIN[[#This Row],[Structure Line]])</f>
        <v>Language in Society</v>
      </c>
      <c r="E134" s="82">
        <f>TableOSEPCULIN[[#This Row],[Credit Points]]</f>
        <v>25</v>
      </c>
      <c r="F134">
        <v>2</v>
      </c>
      <c r="G134" t="s">
        <v>379</v>
      </c>
      <c r="H134">
        <v>1</v>
      </c>
      <c r="I134" t="s">
        <v>376</v>
      </c>
      <c r="J134" t="s">
        <v>336</v>
      </c>
      <c r="K134">
        <v>1</v>
      </c>
      <c r="L134" t="s">
        <v>432</v>
      </c>
      <c r="M134">
        <v>25</v>
      </c>
      <c r="N134" s="172">
        <v>42736</v>
      </c>
      <c r="O134" s="172"/>
      <c r="Q134" t="s">
        <v>336</v>
      </c>
      <c r="R134">
        <v>1</v>
      </c>
    </row>
    <row r="135" spans="1:18" x14ac:dyDescent="0.25">
      <c r="A135" t="str">
        <f>TableOSEPCULIN[[#This Row],[Study Package Code]]</f>
        <v>EDUC6057</v>
      </c>
      <c r="B135" s="1">
        <f>TableOSEPCULIN[[#This Row],[Ver]]</f>
        <v>1</v>
      </c>
      <c r="C135" t="str">
        <f>IF(TableOSEPCULIN[[#This Row],[Ver]]&gt;0,_xlfn.TEXTBEFORE(TableOSEPCULIN[[#This Row],[Structure Line]]," "),"")</f>
        <v>EDML600</v>
      </c>
      <c r="D135" t="str">
        <f>IF(TableOSEPCULIN[[#This Row],[OUA Code]]&lt;&gt;"",_xlfn.TEXTAFTER(TableOSEPCULIN[[#This Row],[Structure Line]]," "),TableOSEPCULIN[[#This Row],[Structure Line]])</f>
        <v>Leading Learning in Multilingual Contexts</v>
      </c>
      <c r="E135" s="82">
        <f>TableOSEPCULIN[[#This Row],[Credit Points]]</f>
        <v>25</v>
      </c>
      <c r="F135">
        <v>3</v>
      </c>
      <c r="G135" t="s">
        <v>379</v>
      </c>
      <c r="H135">
        <v>1</v>
      </c>
      <c r="I135" t="s">
        <v>376</v>
      </c>
      <c r="J135" t="s">
        <v>305</v>
      </c>
      <c r="K135">
        <v>1</v>
      </c>
      <c r="L135" t="s">
        <v>448</v>
      </c>
      <c r="M135">
        <v>25</v>
      </c>
      <c r="N135" s="172">
        <v>44562</v>
      </c>
      <c r="O135" s="172"/>
      <c r="Q135" t="s">
        <v>305</v>
      </c>
      <c r="R135">
        <v>1</v>
      </c>
    </row>
    <row r="136" spans="1:18" x14ac:dyDescent="0.25">
      <c r="A136" t="str">
        <f>TableOSEPCULIN[[#This Row],[Study Package Code]]</f>
        <v>EDUC6053</v>
      </c>
      <c r="B136" s="1">
        <f>TableOSEPCULIN[[#This Row],[Ver]]</f>
        <v>1</v>
      </c>
      <c r="C136" t="str">
        <f>IF(TableOSEPCULIN[[#This Row],[Ver]]&gt;0,_xlfn.TEXTBEFORE(TableOSEPCULIN[[#This Row],[Structure Line]]," "),"")</f>
        <v>EDMP610</v>
      </c>
      <c r="D136" t="str">
        <f>IF(TableOSEPCULIN[[#This Row],[OUA Code]]&lt;&gt;"",_xlfn.TEXTAFTER(TableOSEPCULIN[[#This Row],[Structure Line]]," "),TableOSEPCULIN[[#This Row],[Structure Line]])</f>
        <v>Emerging Technologies and the Future of Learning</v>
      </c>
      <c r="E136" s="82">
        <f>TableOSEPCULIN[[#This Row],[Credit Points]]</f>
        <v>25</v>
      </c>
      <c r="F136">
        <v>4</v>
      </c>
      <c r="G136" t="s">
        <v>379</v>
      </c>
      <c r="H136">
        <v>1</v>
      </c>
      <c r="I136" t="s">
        <v>376</v>
      </c>
      <c r="J136" t="s">
        <v>299</v>
      </c>
      <c r="K136">
        <v>1</v>
      </c>
      <c r="L136" t="s">
        <v>446</v>
      </c>
      <c r="M136">
        <v>25</v>
      </c>
      <c r="N136" s="172">
        <v>44562</v>
      </c>
      <c r="O136" s="172"/>
      <c r="Q136" t="s">
        <v>299</v>
      </c>
      <c r="R136">
        <v>1</v>
      </c>
    </row>
    <row r="137" spans="1:18" x14ac:dyDescent="0.25">
      <c r="B137"/>
      <c r="E137"/>
      <c r="F137" s="258"/>
      <c r="G137" s="262" t="s">
        <v>359</v>
      </c>
      <c r="H137" s="263">
        <v>45972</v>
      </c>
      <c r="I137" s="264"/>
      <c r="J137" s="259" t="s">
        <v>62</v>
      </c>
      <c r="K137" s="260">
        <v>1</v>
      </c>
      <c r="L137" s="259" t="s">
        <v>61</v>
      </c>
      <c r="M137" s="261"/>
      <c r="N137" s="208">
        <v>44562</v>
      </c>
      <c r="O137" s="263"/>
    </row>
    <row r="138" spans="1:18" x14ac:dyDescent="0.25">
      <c r="A138" t="s">
        <v>3</v>
      </c>
      <c r="B138" s="1" t="s">
        <v>361</v>
      </c>
      <c r="C138" t="s">
        <v>362</v>
      </c>
      <c r="D138" t="s">
        <v>363</v>
      </c>
      <c r="E138" s="82" t="s">
        <v>364</v>
      </c>
      <c r="F138" t="s">
        <v>365</v>
      </c>
      <c r="G138" t="s">
        <v>366</v>
      </c>
      <c r="H138" t="s">
        <v>367</v>
      </c>
      <c r="I138" t="s">
        <v>368</v>
      </c>
      <c r="J138" t="s">
        <v>369</v>
      </c>
      <c r="K138" t="s">
        <v>98</v>
      </c>
      <c r="L138" t="s">
        <v>370</v>
      </c>
      <c r="M138" t="s">
        <v>8</v>
      </c>
      <c r="N138" s="171" t="s">
        <v>371</v>
      </c>
      <c r="O138" s="171" t="s">
        <v>372</v>
      </c>
      <c r="Q138" t="s">
        <v>373</v>
      </c>
      <c r="R138" t="s">
        <v>374</v>
      </c>
    </row>
    <row r="139" spans="1:18" x14ac:dyDescent="0.25">
      <c r="A139" t="str">
        <f>TableOSEPLNTCH[[#This Row],[Study Package Code]]</f>
        <v>EDUC6051</v>
      </c>
      <c r="B139" s="1">
        <f>TableOSEPLNTCH[[#This Row],[Ver]]</f>
        <v>1</v>
      </c>
      <c r="C139" t="str">
        <f>IF(TableOSEPLNTCH[[#This Row],[Ver]]&gt;0,_xlfn.TEXTBEFORE(TableOSEPLNTCH[[#This Row],[Structure Line]]," "),"")</f>
        <v>EDMP600</v>
      </c>
      <c r="D139" t="str">
        <f>IF(TableOSEPLNTCH[[#This Row],[OUA Code]]&lt;&gt;"",_xlfn.TEXTAFTER(TableOSEPLNTCH[[#This Row],[Structure Line]]," "),TableOSEPLNTCH[[#This Row],[Structure Line]])</f>
        <v>Education for a Future: Learning for Sustainability</v>
      </c>
      <c r="E139" s="82">
        <f>TableOSEPLNTCH[[#This Row],[Credit Points]]</f>
        <v>25</v>
      </c>
      <c r="F139">
        <v>1</v>
      </c>
      <c r="G139" t="s">
        <v>379</v>
      </c>
      <c r="H139">
        <v>1</v>
      </c>
      <c r="I139" t="s">
        <v>376</v>
      </c>
      <c r="J139" t="s">
        <v>296</v>
      </c>
      <c r="K139">
        <v>1</v>
      </c>
      <c r="L139" t="s">
        <v>445</v>
      </c>
      <c r="M139">
        <v>25</v>
      </c>
      <c r="N139" s="172">
        <v>44562</v>
      </c>
      <c r="O139" s="172"/>
      <c r="Q139" t="s">
        <v>296</v>
      </c>
      <c r="R139">
        <v>1</v>
      </c>
    </row>
    <row r="140" spans="1:18" x14ac:dyDescent="0.25">
      <c r="A140" t="str">
        <f>TableOSEPLNTCH[[#This Row],[Study Package Code]]</f>
        <v>EDUC6053</v>
      </c>
      <c r="B140" s="1">
        <f>TableOSEPLNTCH[[#This Row],[Ver]]</f>
        <v>1</v>
      </c>
      <c r="C140" t="str">
        <f>IF(TableOSEPLNTCH[[#This Row],[Ver]]&gt;0,_xlfn.TEXTBEFORE(TableOSEPLNTCH[[#This Row],[Structure Line]]," "),"")</f>
        <v>EDMP610</v>
      </c>
      <c r="D140" t="str">
        <f>IF(TableOSEPLNTCH[[#This Row],[OUA Code]]&lt;&gt;"",_xlfn.TEXTAFTER(TableOSEPLNTCH[[#This Row],[Structure Line]]," "),TableOSEPLNTCH[[#This Row],[Structure Line]])</f>
        <v>Emerging Technologies and the Future of Learning</v>
      </c>
      <c r="E140" s="82">
        <f>TableOSEPLNTCH[[#This Row],[Credit Points]]</f>
        <v>25</v>
      </c>
      <c r="F140">
        <v>2</v>
      </c>
      <c r="G140" t="s">
        <v>379</v>
      </c>
      <c r="H140">
        <v>1</v>
      </c>
      <c r="I140" t="s">
        <v>376</v>
      </c>
      <c r="J140" t="s">
        <v>299</v>
      </c>
      <c r="K140">
        <v>1</v>
      </c>
      <c r="L140" t="s">
        <v>446</v>
      </c>
      <c r="M140">
        <v>25</v>
      </c>
      <c r="N140" s="172">
        <v>44562</v>
      </c>
      <c r="O140" s="172"/>
      <c r="Q140" t="s">
        <v>299</v>
      </c>
      <c r="R140">
        <v>1</v>
      </c>
    </row>
    <row r="141" spans="1:18" x14ac:dyDescent="0.25">
      <c r="A141" t="str">
        <f>TableOSEPLNTCH[[#This Row],[Study Package Code]]</f>
        <v>EDUC6055</v>
      </c>
      <c r="B141" s="1">
        <f>TableOSEPLNTCH[[#This Row],[Ver]]</f>
        <v>1</v>
      </c>
      <c r="C141" t="str">
        <f>IF(TableOSEPLNTCH[[#This Row],[Ver]]&gt;0,_xlfn.TEXTBEFORE(TableOSEPLNTCH[[#This Row],[Structure Line]]," "),"")</f>
        <v>EDMP620</v>
      </c>
      <c r="D141" t="str">
        <f>IF(TableOSEPLNTCH[[#This Row],[OUA Code]]&lt;&gt;"",_xlfn.TEXTAFTER(TableOSEPLNTCH[[#This Row],[Structure Line]]," "),TableOSEPLNTCH[[#This Row],[Structure Line]])</f>
        <v>Empowering Learners Through Social Justice Leadership</v>
      </c>
      <c r="E141" s="82">
        <f>TableOSEPLNTCH[[#This Row],[Credit Points]]</f>
        <v>25</v>
      </c>
      <c r="F141">
        <v>3</v>
      </c>
      <c r="G141" t="s">
        <v>379</v>
      </c>
      <c r="H141">
        <v>1</v>
      </c>
      <c r="I141" t="s">
        <v>376</v>
      </c>
      <c r="J141" t="s">
        <v>302</v>
      </c>
      <c r="K141">
        <v>1</v>
      </c>
      <c r="L141" t="s">
        <v>447</v>
      </c>
      <c r="M141">
        <v>25</v>
      </c>
      <c r="N141" s="172">
        <v>44562</v>
      </c>
      <c r="O141" s="172"/>
      <c r="Q141" t="s">
        <v>302</v>
      </c>
      <c r="R141">
        <v>1</v>
      </c>
    </row>
    <row r="142" spans="1:18" x14ac:dyDescent="0.25">
      <c r="A142" t="str">
        <f>TableOSEPLNTCH[[#This Row],[Study Package Code]]</f>
        <v>EDUC6059</v>
      </c>
      <c r="B142" s="1">
        <f>TableOSEPLNTCH[[#This Row],[Ver]]</f>
        <v>1</v>
      </c>
      <c r="C142" t="str">
        <f>IF(TableOSEPLNTCH[[#This Row],[Ver]]&gt;0,_xlfn.TEXTBEFORE(TableOSEPLNTCH[[#This Row],[Structure Line]]," "),"")</f>
        <v>EDMP630</v>
      </c>
      <c r="D142" t="str">
        <f>IF(TableOSEPLNTCH[[#This Row],[OUA Code]]&lt;&gt;"",_xlfn.TEXTAFTER(TableOSEPLNTCH[[#This Row],[Structure Line]]," "),TableOSEPLNTCH[[#This Row],[Structure Line]])</f>
        <v>Pedagogies for Learner and Community Diversity</v>
      </c>
      <c r="E142" s="82">
        <f>TableOSEPLNTCH[[#This Row],[Credit Points]]</f>
        <v>25</v>
      </c>
      <c r="F142">
        <v>4</v>
      </c>
      <c r="G142" t="s">
        <v>379</v>
      </c>
      <c r="H142">
        <v>1</v>
      </c>
      <c r="I142" t="s">
        <v>376</v>
      </c>
      <c r="J142" t="s">
        <v>308</v>
      </c>
      <c r="K142">
        <v>1</v>
      </c>
      <c r="L142" t="s">
        <v>449</v>
      </c>
      <c r="M142">
        <v>25</v>
      </c>
      <c r="N142" s="172">
        <v>44562</v>
      </c>
      <c r="O142" s="172"/>
      <c r="Q142" t="s">
        <v>308</v>
      </c>
      <c r="R142">
        <v>1</v>
      </c>
    </row>
    <row r="143" spans="1:18" x14ac:dyDescent="0.25">
      <c r="B143"/>
      <c r="E143"/>
      <c r="F143" s="258"/>
      <c r="G143" s="262" t="s">
        <v>359</v>
      </c>
      <c r="H143" s="263">
        <v>45972</v>
      </c>
      <c r="I143" s="264"/>
      <c r="J143" s="259" t="s">
        <v>64</v>
      </c>
      <c r="K143" s="260">
        <v>1</v>
      </c>
      <c r="L143" s="259" t="s">
        <v>63</v>
      </c>
      <c r="M143" s="261"/>
      <c r="N143" s="208">
        <v>44562</v>
      </c>
      <c r="O143" s="263"/>
    </row>
    <row r="144" spans="1:18" x14ac:dyDescent="0.25">
      <c r="A144" t="s">
        <v>3</v>
      </c>
      <c r="B144" s="1" t="s">
        <v>361</v>
      </c>
      <c r="C144" t="s">
        <v>362</v>
      </c>
      <c r="D144" t="s">
        <v>363</v>
      </c>
      <c r="E144" s="82" t="s">
        <v>364</v>
      </c>
      <c r="F144" t="s">
        <v>365</v>
      </c>
      <c r="G144" t="s">
        <v>366</v>
      </c>
      <c r="H144" t="s">
        <v>367</v>
      </c>
      <c r="I144" t="s">
        <v>368</v>
      </c>
      <c r="J144" t="s">
        <v>369</v>
      </c>
      <c r="K144" t="s">
        <v>98</v>
      </c>
      <c r="L144" t="s">
        <v>370</v>
      </c>
      <c r="M144" t="s">
        <v>8</v>
      </c>
      <c r="N144" s="171" t="s">
        <v>371</v>
      </c>
      <c r="O144" s="171" t="s">
        <v>372</v>
      </c>
      <c r="Q144" t="s">
        <v>373</v>
      </c>
      <c r="R144" t="s">
        <v>374</v>
      </c>
    </row>
    <row r="145" spans="1:18" x14ac:dyDescent="0.25">
      <c r="A145" t="str">
        <f>TableOSEPSTEME[[#This Row],[Study Package Code]]</f>
        <v>EDUC6051</v>
      </c>
      <c r="B145" s="1">
        <f>TableOSEPSTEME[[#This Row],[Ver]]</f>
        <v>1</v>
      </c>
      <c r="C145" t="str">
        <f>IF(TableOSEPSTEME[[#This Row],[Ver]]&gt;0,_xlfn.TEXTBEFORE(TableOSEPSTEME[[#This Row],[Structure Line]]," "),"")</f>
        <v>EDMP600</v>
      </c>
      <c r="D145" t="str">
        <f>IF(TableOSEPSTEME[[#This Row],[OUA Code]]&lt;&gt;"",_xlfn.TEXTAFTER(TableOSEPSTEME[[#This Row],[Structure Line]]," "),TableOSEPSTEME[[#This Row],[Structure Line]])</f>
        <v>Education for a Future: Learning for Sustainability</v>
      </c>
      <c r="E145" s="82">
        <f>TableOSEPSTEME[[#This Row],[Credit Points]]</f>
        <v>25</v>
      </c>
      <c r="F145">
        <v>1</v>
      </c>
      <c r="G145" t="s">
        <v>379</v>
      </c>
      <c r="H145">
        <v>1</v>
      </c>
      <c r="I145" t="s">
        <v>376</v>
      </c>
      <c r="J145" t="s">
        <v>296</v>
      </c>
      <c r="K145">
        <v>1</v>
      </c>
      <c r="L145" t="s">
        <v>445</v>
      </c>
      <c r="M145">
        <v>25</v>
      </c>
      <c r="N145" s="172">
        <v>44562</v>
      </c>
      <c r="O145" s="172"/>
      <c r="Q145" t="s">
        <v>296</v>
      </c>
      <c r="R145">
        <v>1</v>
      </c>
    </row>
    <row r="146" spans="1:18" x14ac:dyDescent="0.25">
      <c r="A146" t="str">
        <f>TableOSEPSTEME[[#This Row],[Study Package Code]]</f>
        <v>EDUC6053</v>
      </c>
      <c r="B146" s="1">
        <f>TableOSEPSTEME[[#This Row],[Ver]]</f>
        <v>1</v>
      </c>
      <c r="C146" t="str">
        <f>IF(TableOSEPSTEME[[#This Row],[Ver]]&gt;0,_xlfn.TEXTBEFORE(TableOSEPSTEME[[#This Row],[Structure Line]]," "),"")</f>
        <v>EDMP610</v>
      </c>
      <c r="D146" t="str">
        <f>IF(TableOSEPSTEME[[#This Row],[OUA Code]]&lt;&gt;"",_xlfn.TEXTAFTER(TableOSEPSTEME[[#This Row],[Structure Line]]," "),TableOSEPSTEME[[#This Row],[Structure Line]])</f>
        <v>Emerging Technologies and the Future of Learning</v>
      </c>
      <c r="E146" s="82">
        <f>TableOSEPSTEME[[#This Row],[Credit Points]]</f>
        <v>25</v>
      </c>
      <c r="F146">
        <v>2</v>
      </c>
      <c r="G146" t="s">
        <v>379</v>
      </c>
      <c r="H146">
        <v>1</v>
      </c>
      <c r="I146" t="s">
        <v>376</v>
      </c>
      <c r="J146" t="s">
        <v>299</v>
      </c>
      <c r="K146">
        <v>1</v>
      </c>
      <c r="L146" t="s">
        <v>446</v>
      </c>
      <c r="M146">
        <v>25</v>
      </c>
      <c r="N146" s="172">
        <v>44562</v>
      </c>
      <c r="O146" s="172"/>
      <c r="Q146" t="s">
        <v>299</v>
      </c>
      <c r="R146">
        <v>1</v>
      </c>
    </row>
    <row r="147" spans="1:18" x14ac:dyDescent="0.25">
      <c r="A147" t="str">
        <f>TableOSEPSTEME[[#This Row],[Study Package Code]]</f>
        <v>EDUC6061</v>
      </c>
      <c r="B147" s="1">
        <f>TableOSEPSTEME[[#This Row],[Ver]]</f>
        <v>1</v>
      </c>
      <c r="C147" t="str">
        <f>IF(TableOSEPSTEME[[#This Row],[Ver]]&gt;0,_xlfn.TEXTBEFORE(TableOSEPSTEME[[#This Row],[Structure Line]]," "),"")</f>
        <v>EDMS600</v>
      </c>
      <c r="D147" t="str">
        <f>IF(TableOSEPSTEME[[#This Row],[OUA Code]]&lt;&gt;"",_xlfn.TEXTAFTER(TableOSEPSTEME[[#This Row],[Structure Line]]," "),TableOSEPSTEME[[#This Row],[Structure Line]])</f>
        <v>Becoming a Leader of STEM Education</v>
      </c>
      <c r="E147" s="82">
        <f>TableOSEPSTEME[[#This Row],[Credit Points]]</f>
        <v>25</v>
      </c>
      <c r="F147">
        <v>3</v>
      </c>
      <c r="G147" t="s">
        <v>379</v>
      </c>
      <c r="H147">
        <v>1</v>
      </c>
      <c r="I147" t="s">
        <v>376</v>
      </c>
      <c r="J147" t="s">
        <v>311</v>
      </c>
      <c r="K147">
        <v>1</v>
      </c>
      <c r="L147" t="s">
        <v>450</v>
      </c>
      <c r="M147">
        <v>25</v>
      </c>
      <c r="N147" s="172">
        <v>44562</v>
      </c>
      <c r="O147" s="172"/>
      <c r="Q147" t="s">
        <v>311</v>
      </c>
      <c r="R147">
        <v>1</v>
      </c>
    </row>
    <row r="148" spans="1:18" x14ac:dyDescent="0.25">
      <c r="A148" t="str">
        <f>TableOSEPSTEME[[#This Row],[Study Package Code]]</f>
        <v>EDUC6049</v>
      </c>
      <c r="B148" s="1">
        <f>TableOSEPSTEME[[#This Row],[Ver]]</f>
        <v>1</v>
      </c>
      <c r="C148" t="str">
        <f>IF(TableOSEPSTEME[[#This Row],[Ver]]&gt;0,_xlfn.TEXTBEFORE(TableOSEPSTEME[[#This Row],[Structure Line]]," "),"")</f>
        <v>EDMS610</v>
      </c>
      <c r="D148" t="str">
        <f>IF(TableOSEPSTEME[[#This Row],[OUA Code]]&lt;&gt;"",_xlfn.TEXTAFTER(TableOSEPSTEME[[#This Row],[Structure Line]]," "),TableOSEPSTEME[[#This Row],[Structure Line]])</f>
        <v>Designing STEM Integration</v>
      </c>
      <c r="E148" s="82">
        <f>TableOSEPSTEME[[#This Row],[Credit Points]]</f>
        <v>25</v>
      </c>
      <c r="F148">
        <v>4</v>
      </c>
      <c r="G148" t="s">
        <v>379</v>
      </c>
      <c r="H148">
        <v>1</v>
      </c>
      <c r="I148" t="s">
        <v>376</v>
      </c>
      <c r="J148" t="s">
        <v>293</v>
      </c>
      <c r="K148">
        <v>1</v>
      </c>
      <c r="L148" t="s">
        <v>444</v>
      </c>
      <c r="M148">
        <v>25</v>
      </c>
      <c r="N148" s="172">
        <v>44562</v>
      </c>
      <c r="O148" s="172"/>
      <c r="Q148" t="s">
        <v>293</v>
      </c>
      <c r="R148">
        <v>1</v>
      </c>
    </row>
    <row r="149" spans="1:18" x14ac:dyDescent="0.25">
      <c r="N149" s="172"/>
      <c r="O149" s="172"/>
    </row>
    <row r="150" spans="1:18" x14ac:dyDescent="0.25">
      <c r="B150"/>
      <c r="E150"/>
      <c r="F150" s="258"/>
      <c r="G150" s="262" t="s">
        <v>359</v>
      </c>
      <c r="H150" s="263">
        <v>45972</v>
      </c>
      <c r="I150" s="264"/>
      <c r="J150" s="259" t="s">
        <v>28</v>
      </c>
      <c r="K150" s="260">
        <v>1</v>
      </c>
      <c r="L150" s="259" t="s">
        <v>27</v>
      </c>
      <c r="M150" s="261"/>
      <c r="N150" s="208">
        <v>45292</v>
      </c>
      <c r="O150" s="263"/>
    </row>
    <row r="151" spans="1:18" x14ac:dyDescent="0.25">
      <c r="A151" t="s">
        <v>3</v>
      </c>
      <c r="B151" s="1" t="s">
        <v>361</v>
      </c>
      <c r="C151" t="s">
        <v>362</v>
      </c>
      <c r="D151" t="s">
        <v>363</v>
      </c>
      <c r="E151" s="82" t="s">
        <v>364</v>
      </c>
      <c r="F151" t="s">
        <v>365</v>
      </c>
      <c r="G151" t="s">
        <v>366</v>
      </c>
      <c r="H151" t="s">
        <v>367</v>
      </c>
      <c r="I151" t="s">
        <v>368</v>
      </c>
      <c r="J151" t="s">
        <v>369</v>
      </c>
      <c r="K151" t="s">
        <v>98</v>
      </c>
      <c r="L151" t="s">
        <v>370</v>
      </c>
      <c r="M151" t="s">
        <v>8</v>
      </c>
      <c r="N151" s="171" t="s">
        <v>371</v>
      </c>
      <c r="O151" s="171" t="s">
        <v>372</v>
      </c>
      <c r="Q151" t="s">
        <v>373</v>
      </c>
      <c r="R151" t="s">
        <v>374</v>
      </c>
    </row>
    <row r="152" spans="1:18" x14ac:dyDescent="0.25">
      <c r="A152" t="str">
        <f>TableOGEDUC[[#This Row],[Study Package Code]]</f>
        <v>Major</v>
      </c>
      <c r="B152" s="1">
        <f>TableOGEDUC[[#This Row],[Ver]]</f>
        <v>0</v>
      </c>
      <c r="C152" t="str">
        <f>IF(TableOGEDUC[[#This Row],[Ver]]&gt;0,_xlfn.TEXTBEFORE(TableOGEDUC[[#This Row],[Structure Line]]," "),"")</f>
        <v/>
      </c>
      <c r="D152" t="str">
        <f>IF(TableOGEDUC[[#This Row],[OUA Code]]&lt;&gt;"",_xlfn.TEXTAFTER(TableOGEDUC[[#This Row],[Structure Line]]," "),TableOGEDUC[[#This Row],[Structure Line]])</f>
        <v>Choose a Major</v>
      </c>
      <c r="E152" s="82">
        <f>TableOGEDUC[[#This Row],[Credit Points]]</f>
        <v>200</v>
      </c>
      <c r="F152">
        <v>1</v>
      </c>
      <c r="G152" t="s">
        <v>375</v>
      </c>
      <c r="H152">
        <v>0</v>
      </c>
      <c r="I152" t="s">
        <v>376</v>
      </c>
      <c r="J152" t="s">
        <v>377</v>
      </c>
      <c r="K152">
        <v>0</v>
      </c>
      <c r="L152" t="s">
        <v>451</v>
      </c>
      <c r="M152">
        <v>200</v>
      </c>
      <c r="N152" s="172"/>
      <c r="O152" s="172"/>
      <c r="Q152" t="s">
        <v>377</v>
      </c>
      <c r="R152">
        <v>0</v>
      </c>
    </row>
    <row r="153" spans="1:18" x14ac:dyDescent="0.25">
      <c r="A153" t="str">
        <f>TableOGEDUC[[#This Row],[Study Package Code]]</f>
        <v>OUMP-EDUPR</v>
      </c>
      <c r="B153" s="1">
        <f>TableOGEDUC[[#This Row],[Ver]]</f>
        <v>1</v>
      </c>
      <c r="D153" t="str">
        <f>IF(TableOGEDUC[[#This Row],[OUA Code]]&lt;&gt;"",_xlfn.TEXTAFTER(TableOGEDUC[[#This Row],[Structure Line]]," "),TableOGEDUC[[#This Row],[Structure Line]])</f>
        <v>Primary Education Major (GradDipEdu OpenUnis)</v>
      </c>
      <c r="E153" s="82">
        <f>TableOGEDUC[[#This Row],[Credit Points]]</f>
        <v>200</v>
      </c>
      <c r="F153">
        <v>1</v>
      </c>
      <c r="G153" t="s">
        <v>375</v>
      </c>
      <c r="H153">
        <v>0</v>
      </c>
      <c r="I153" t="s">
        <v>376</v>
      </c>
      <c r="J153" t="s">
        <v>52</v>
      </c>
      <c r="K153">
        <v>1</v>
      </c>
      <c r="L153" t="s">
        <v>51</v>
      </c>
      <c r="M153">
        <v>200</v>
      </c>
      <c r="N153" s="172">
        <v>45292</v>
      </c>
      <c r="O153" s="172"/>
      <c r="Q153" t="s">
        <v>52</v>
      </c>
      <c r="R153">
        <v>1</v>
      </c>
    </row>
    <row r="154" spans="1:18" x14ac:dyDescent="0.25">
      <c r="A154" t="str">
        <f>TableOGEDUC[[#This Row],[Study Package Code]]</f>
        <v>OUMP-EDUSC</v>
      </c>
      <c r="B154" s="1">
        <f>TableOGEDUC[[#This Row],[Ver]]</f>
        <v>1</v>
      </c>
      <c r="D154" t="str">
        <f>IF(TableOGEDUC[[#This Row],[OUA Code]]&lt;&gt;"",_xlfn.TEXTAFTER(TableOGEDUC[[#This Row],[Structure Line]]," "),TableOGEDUC[[#This Row],[Structure Line]])</f>
        <v>Secondary Education Major (GradDipEdu OpenUnis)</v>
      </c>
      <c r="E154" s="82">
        <f>TableOGEDUC[[#This Row],[Credit Points]]</f>
        <v>200</v>
      </c>
      <c r="F154">
        <v>1</v>
      </c>
      <c r="G154" t="s">
        <v>375</v>
      </c>
      <c r="H154">
        <v>0</v>
      </c>
      <c r="I154" t="s">
        <v>376</v>
      </c>
      <c r="J154" t="s">
        <v>54</v>
      </c>
      <c r="K154">
        <v>1</v>
      </c>
      <c r="L154" t="s">
        <v>53</v>
      </c>
      <c r="M154">
        <v>200</v>
      </c>
      <c r="N154" s="172">
        <v>45292</v>
      </c>
      <c r="O154" s="172"/>
      <c r="Q154" t="s">
        <v>54</v>
      </c>
      <c r="R154">
        <v>1</v>
      </c>
    </row>
    <row r="155" spans="1:18" x14ac:dyDescent="0.25">
      <c r="B155"/>
      <c r="E155"/>
      <c r="F155" s="258"/>
      <c r="G155" s="262" t="s">
        <v>359</v>
      </c>
      <c r="H155" s="263">
        <v>45972</v>
      </c>
      <c r="I155" s="264"/>
      <c r="J155" s="259" t="s">
        <v>52</v>
      </c>
      <c r="K155" s="260">
        <v>1</v>
      </c>
      <c r="L155" s="259" t="s">
        <v>51</v>
      </c>
      <c r="M155" s="261"/>
      <c r="N155" s="208">
        <v>45292</v>
      </c>
      <c r="O155" s="263"/>
    </row>
    <row r="156" spans="1:18" x14ac:dyDescent="0.25">
      <c r="A156" t="s">
        <v>3</v>
      </c>
      <c r="B156" s="1" t="s">
        <v>361</v>
      </c>
      <c r="C156" t="s">
        <v>362</v>
      </c>
      <c r="D156" t="s">
        <v>363</v>
      </c>
      <c r="E156" s="82" t="s">
        <v>364</v>
      </c>
      <c r="F156" t="s">
        <v>365</v>
      </c>
      <c r="G156" t="s">
        <v>366</v>
      </c>
      <c r="H156" t="s">
        <v>367</v>
      </c>
      <c r="I156" t="s">
        <v>368</v>
      </c>
      <c r="J156" t="s">
        <v>369</v>
      </c>
      <c r="K156" t="s">
        <v>98</v>
      </c>
      <c r="L156" t="s">
        <v>370</v>
      </c>
      <c r="M156" t="s">
        <v>8</v>
      </c>
      <c r="N156" s="171" t="s">
        <v>371</v>
      </c>
      <c r="O156" s="171" t="s">
        <v>372</v>
      </c>
      <c r="Q156" t="s">
        <v>373</v>
      </c>
      <c r="R156" t="s">
        <v>374</v>
      </c>
    </row>
    <row r="157" spans="1:18" x14ac:dyDescent="0.25">
      <c r="A157" t="str">
        <f>TableOUMPEDUPR[[#This Row],[Study Package Code]]</f>
        <v>EDPR5011</v>
      </c>
      <c r="B157" s="1">
        <f>TableOUMPEDUPR[[#This Row],[Ver]]</f>
        <v>3</v>
      </c>
      <c r="C157" t="str">
        <f>IF(TableOUMPEDUPR[[#This Row],[Ver]]&gt;0,_xlfn.TEXTBEFORE(TableOUMPEDUPR[[#This Row],[Structure Line]]," "),"")</f>
        <v>MTP502</v>
      </c>
      <c r="D157" t="str">
        <f>IF(TableOUMPEDUPR[[#This Row],[OUA Code]]&lt;&gt;"",_xlfn.TEXTAFTER(TableOUMPEDUPR[[#This Row],[Structure Line]]," "),TableOUMPEDUPR[[#This Row],[Structure Line]])</f>
        <v>Primary Professional Experience 1: Planning for Writing</v>
      </c>
      <c r="E157" s="82">
        <f>TableOUMPEDUPR[[#This Row],[Credit Points]]</f>
        <v>25</v>
      </c>
      <c r="F157">
        <v>1</v>
      </c>
      <c r="G157" t="s">
        <v>379</v>
      </c>
      <c r="H157">
        <v>1</v>
      </c>
      <c r="I157" t="s">
        <v>452</v>
      </c>
      <c r="J157" t="s">
        <v>161</v>
      </c>
      <c r="K157">
        <v>3</v>
      </c>
      <c r="L157" t="s">
        <v>397</v>
      </c>
      <c r="M157">
        <v>25</v>
      </c>
      <c r="N157" s="172">
        <v>44562</v>
      </c>
      <c r="O157" s="172"/>
      <c r="Q157" t="s">
        <v>161</v>
      </c>
      <c r="R157">
        <v>3</v>
      </c>
    </row>
    <row r="158" spans="1:18" x14ac:dyDescent="0.25">
      <c r="A158" t="str">
        <f>TableOUMPEDUPR[[#This Row],[Study Package Code]]</f>
        <v>EDUC5012</v>
      </c>
      <c r="B158" s="1">
        <f>TableOUMPEDUPR[[#This Row],[Ver]]</f>
        <v>2</v>
      </c>
      <c r="C158" t="str">
        <f>IF(TableOUMPEDUPR[[#This Row],[Ver]]&gt;0,_xlfn.TEXTBEFORE(TableOUMPEDUPR[[#This Row],[Structure Line]]," "),"")</f>
        <v>MTPS500</v>
      </c>
      <c r="D158" t="str">
        <f>IF(TableOUMPEDUPR[[#This Row],[OUA Code]]&lt;&gt;"",_xlfn.TEXTAFTER(TableOUMPEDUPR[[#This Row],[Structure Line]]," "),TableOUMPEDUPR[[#This Row],[Structure Line]])</f>
        <v>Theories of Development and Learning</v>
      </c>
      <c r="E158" s="82">
        <f>TableOUMPEDUPR[[#This Row],[Credit Points]]</f>
        <v>25</v>
      </c>
      <c r="F158">
        <v>2</v>
      </c>
      <c r="G158" t="s">
        <v>379</v>
      </c>
      <c r="H158">
        <v>1</v>
      </c>
      <c r="I158" t="s">
        <v>452</v>
      </c>
      <c r="J158" t="s">
        <v>239</v>
      </c>
      <c r="K158">
        <v>2</v>
      </c>
      <c r="L158" t="s">
        <v>387</v>
      </c>
      <c r="M158">
        <v>25</v>
      </c>
      <c r="N158" s="172">
        <v>44197</v>
      </c>
      <c r="O158" s="172"/>
      <c r="Q158" t="s">
        <v>239</v>
      </c>
      <c r="R158">
        <v>2</v>
      </c>
    </row>
    <row r="159" spans="1:18" x14ac:dyDescent="0.25">
      <c r="A159" t="str">
        <f>TableOUMPEDUPR[[#This Row],[Study Package Code]]</f>
        <v>EDPR5012</v>
      </c>
      <c r="B159" s="1">
        <f>TableOUMPEDUPR[[#This Row],[Ver]]</f>
        <v>1</v>
      </c>
      <c r="C159" t="str">
        <f>IF(TableOUMPEDUPR[[#This Row],[Ver]]&gt;0,_xlfn.TEXTBEFORE(TableOUMPEDUPR[[#This Row],[Structure Line]]," "),"")</f>
        <v>MTP505</v>
      </c>
      <c r="D159" t="str">
        <f>IF(TableOUMPEDUPR[[#This Row],[OUA Code]]&lt;&gt;"",_xlfn.TEXTAFTER(TableOUMPEDUPR[[#This Row],[Structure Line]]," "),TableOUMPEDUPR[[#This Row],[Structure Line]])</f>
        <v>Teaching Science in the Primary Years</v>
      </c>
      <c r="E159" s="82">
        <f>TableOUMPEDUPR[[#This Row],[Credit Points]]</f>
        <v>25</v>
      </c>
      <c r="F159">
        <v>3</v>
      </c>
      <c r="G159" t="s">
        <v>379</v>
      </c>
      <c r="H159">
        <v>1</v>
      </c>
      <c r="I159" t="s">
        <v>453</v>
      </c>
      <c r="J159" t="s">
        <v>164</v>
      </c>
      <c r="K159">
        <v>1</v>
      </c>
      <c r="L159" t="s">
        <v>398</v>
      </c>
      <c r="M159">
        <v>25</v>
      </c>
      <c r="N159" s="172">
        <v>42736</v>
      </c>
      <c r="O159" s="172"/>
      <c r="Q159" t="s">
        <v>164</v>
      </c>
      <c r="R159">
        <v>1</v>
      </c>
    </row>
    <row r="160" spans="1:18" x14ac:dyDescent="0.25">
      <c r="A160" t="str">
        <f>TableOUMPEDUPR[[#This Row],[Study Package Code]]</f>
        <v>EDPR5013</v>
      </c>
      <c r="B160" s="1">
        <f>TableOUMPEDUPR[[#This Row],[Ver]]</f>
        <v>1</v>
      </c>
      <c r="C160" t="str">
        <f>IF(TableOUMPEDUPR[[#This Row],[Ver]]&gt;0,_xlfn.TEXTBEFORE(TableOUMPEDUPR[[#This Row],[Structure Line]]," "),"")</f>
        <v>MTP506</v>
      </c>
      <c r="D160" t="str">
        <f>IF(TableOUMPEDUPR[[#This Row],[OUA Code]]&lt;&gt;"",_xlfn.TEXTAFTER(TableOUMPEDUPR[[#This Row],[Structure Line]]," "),TableOUMPEDUPR[[#This Row],[Structure Line]])</f>
        <v>Primary Professional Experience 2: Assessment and Reporting</v>
      </c>
      <c r="E160" s="82">
        <f>TableOUMPEDUPR[[#This Row],[Credit Points]]</f>
        <v>25</v>
      </c>
      <c r="F160">
        <v>4</v>
      </c>
      <c r="G160" t="s">
        <v>379</v>
      </c>
      <c r="H160">
        <v>1</v>
      </c>
      <c r="I160" t="s">
        <v>453</v>
      </c>
      <c r="J160" t="s">
        <v>167</v>
      </c>
      <c r="K160">
        <v>1</v>
      </c>
      <c r="L160" t="s">
        <v>399</v>
      </c>
      <c r="M160">
        <v>25</v>
      </c>
      <c r="N160" s="172">
        <v>42736</v>
      </c>
      <c r="O160" s="172"/>
      <c r="Q160" t="s">
        <v>167</v>
      </c>
      <c r="R160">
        <v>1</v>
      </c>
    </row>
    <row r="161" spans="1:18" x14ac:dyDescent="0.25">
      <c r="A161" t="str">
        <f>TableOUMPEDUPR[[#This Row],[Study Package Code]]</f>
        <v>EDUC5032</v>
      </c>
      <c r="B161" s="1">
        <f>TableOUMPEDUPR[[#This Row],[Ver]]</f>
        <v>1</v>
      </c>
      <c r="C161" t="str">
        <f>IF(TableOUMPEDUPR[[#This Row],[Ver]]&gt;0,_xlfn.TEXTBEFORE(TableOUMPEDUPR[[#This Row],[Structure Line]]," "),"")</f>
        <v>MTC510</v>
      </c>
      <c r="D161" t="str">
        <f>IF(TableOUMPEDUPR[[#This Row],[OUA Code]]&lt;&gt;"",_xlfn.TEXTAFTER(TableOUMPEDUPR[[#This Row],[Structure Line]]," "),TableOUMPEDUPR[[#This Row],[Structure Line]])</f>
        <v>Introduction to English: Reading</v>
      </c>
      <c r="E161" s="82">
        <f>TableOUMPEDUPR[[#This Row],[Credit Points]]</f>
        <v>25</v>
      </c>
      <c r="F161">
        <v>5</v>
      </c>
      <c r="G161" t="s">
        <v>379</v>
      </c>
      <c r="H161">
        <v>1</v>
      </c>
      <c r="I161" t="s">
        <v>454</v>
      </c>
      <c r="J161" t="s">
        <v>265</v>
      </c>
      <c r="K161">
        <v>1</v>
      </c>
      <c r="L161" t="s">
        <v>380</v>
      </c>
      <c r="M161">
        <v>25</v>
      </c>
      <c r="N161" s="172">
        <v>44562</v>
      </c>
      <c r="O161" s="172"/>
      <c r="Q161" t="s">
        <v>265</v>
      </c>
      <c r="R161">
        <v>1</v>
      </c>
    </row>
    <row r="162" spans="1:18" x14ac:dyDescent="0.25">
      <c r="A162" t="str">
        <f>TableOUMPEDUPR[[#This Row],[Study Package Code]]</f>
        <v>EDUC6063</v>
      </c>
      <c r="B162" s="1">
        <f>TableOUMPEDUPR[[#This Row],[Ver]]</f>
        <v>1</v>
      </c>
      <c r="C162" t="str">
        <f>IF(TableOUMPEDUPR[[#This Row],[Ver]]&gt;0,_xlfn.TEXTBEFORE(TableOUMPEDUPR[[#This Row],[Structure Line]]," "),"")</f>
        <v>MTC600</v>
      </c>
      <c r="D162" t="str">
        <f>IF(TableOUMPEDUPR[[#This Row],[OUA Code]]&lt;&gt;"",_xlfn.TEXTAFTER(TableOUMPEDUPR[[#This Row],[Structure Line]]," "),TableOUMPEDUPR[[#This Row],[Structure Line]])</f>
        <v>Professional Experience 3: Using Data to Inform Teaching and Learning</v>
      </c>
      <c r="E162" s="82">
        <f>TableOUMPEDUPR[[#This Row],[Credit Points]]</f>
        <v>25</v>
      </c>
      <c r="F162">
        <v>6</v>
      </c>
      <c r="G162" t="s">
        <v>379</v>
      </c>
      <c r="H162">
        <v>1</v>
      </c>
      <c r="I162" t="s">
        <v>454</v>
      </c>
      <c r="J162" t="s">
        <v>314</v>
      </c>
      <c r="K162">
        <v>1</v>
      </c>
      <c r="L162" t="s">
        <v>388</v>
      </c>
      <c r="M162">
        <v>25</v>
      </c>
      <c r="N162" s="172">
        <v>44562</v>
      </c>
      <c r="O162" s="172"/>
      <c r="Q162" t="s">
        <v>314</v>
      </c>
      <c r="R162">
        <v>1</v>
      </c>
    </row>
    <row r="163" spans="1:18" x14ac:dyDescent="0.25">
      <c r="A163" t="str">
        <f>TableOUMPEDUPR[[#This Row],[Study Package Code]]</f>
        <v>EDPR5010</v>
      </c>
      <c r="B163" s="1">
        <f>TableOUMPEDUPR[[#This Row],[Ver]]</f>
        <v>1</v>
      </c>
      <c r="C163" t="str">
        <f>IF(TableOUMPEDUPR[[#This Row],[Ver]]&gt;0,_xlfn.TEXTBEFORE(TableOUMPEDUPR[[#This Row],[Structure Line]]," "),"")</f>
        <v>MTP501</v>
      </c>
      <c r="D163" t="str">
        <f>IF(TableOUMPEDUPR[[#This Row],[OUA Code]]&lt;&gt;"",_xlfn.TEXTAFTER(TableOUMPEDUPR[[#This Row],[Structure Line]]," "),TableOUMPEDUPR[[#This Row],[Structure Line]])</f>
        <v>Teaching Number, Algebra and Probability in the Primary Years</v>
      </c>
      <c r="E163" s="82">
        <f>TableOUMPEDUPR[[#This Row],[Credit Points]]</f>
        <v>25</v>
      </c>
      <c r="F163">
        <v>7</v>
      </c>
      <c r="G163" t="s">
        <v>379</v>
      </c>
      <c r="H163">
        <v>1</v>
      </c>
      <c r="I163" t="s">
        <v>455</v>
      </c>
      <c r="J163" t="s">
        <v>158</v>
      </c>
      <c r="K163">
        <v>1</v>
      </c>
      <c r="L163" t="s">
        <v>396</v>
      </c>
      <c r="M163">
        <v>25</v>
      </c>
      <c r="N163" s="172">
        <v>42736</v>
      </c>
      <c r="O163" s="172"/>
      <c r="Q163" t="s">
        <v>158</v>
      </c>
      <c r="R163">
        <v>1</v>
      </c>
    </row>
    <row r="164" spans="1:18" x14ac:dyDescent="0.25">
      <c r="A164" t="str">
        <f>TableOUMPEDUPR[[#This Row],[Study Package Code]]</f>
        <v>EDUC5017</v>
      </c>
      <c r="B164" s="1">
        <f>TableOUMPEDUPR[[#This Row],[Ver]]</f>
        <v>1</v>
      </c>
      <c r="C164" t="str">
        <f>IF(TableOUMPEDUPR[[#This Row],[Ver]]&gt;0,_xlfn.TEXTBEFORE(TableOUMPEDUPR[[#This Row],[Structure Line]]," "),"")</f>
        <v>MTPS504</v>
      </c>
      <c r="D164" t="str">
        <f>IF(TableOUMPEDUPR[[#This Row],[OUA Code]]&lt;&gt;"",_xlfn.TEXTAFTER(TableOUMPEDUPR[[#This Row],[Structure Line]]," "),TableOUMPEDUPR[[#This Row],[Structure Line]])</f>
        <v>Creative Technologies</v>
      </c>
      <c r="E164" s="82">
        <f>TableOUMPEDUPR[[#This Row],[Credit Points]]</f>
        <v>25</v>
      </c>
      <c r="F164">
        <v>8</v>
      </c>
      <c r="G164" t="s">
        <v>379</v>
      </c>
      <c r="H164">
        <v>1</v>
      </c>
      <c r="I164" t="s">
        <v>455</v>
      </c>
      <c r="J164" t="s">
        <v>247</v>
      </c>
      <c r="K164">
        <v>1</v>
      </c>
      <c r="L164" t="s">
        <v>395</v>
      </c>
      <c r="M164">
        <v>25</v>
      </c>
      <c r="N164" s="172">
        <v>42736</v>
      </c>
      <c r="O164" s="172"/>
      <c r="Q164" t="s">
        <v>247</v>
      </c>
      <c r="R164">
        <v>1</v>
      </c>
    </row>
    <row r="165" spans="1:18" x14ac:dyDescent="0.25">
      <c r="B165"/>
      <c r="E165"/>
      <c r="F165" s="258"/>
      <c r="G165" s="262" t="s">
        <v>359</v>
      </c>
      <c r="H165" s="263">
        <v>45972</v>
      </c>
      <c r="I165" s="264"/>
      <c r="J165" s="259" t="s">
        <v>54</v>
      </c>
      <c r="K165" s="260" t="s">
        <v>13</v>
      </c>
      <c r="L165" s="259" t="s">
        <v>53</v>
      </c>
      <c r="M165" s="261"/>
      <c r="N165" s="208">
        <v>45292</v>
      </c>
      <c r="O165" s="263"/>
    </row>
    <row r="166" spans="1:18" x14ac:dyDescent="0.25">
      <c r="A166" t="s">
        <v>3</v>
      </c>
      <c r="B166" s="1" t="s">
        <v>361</v>
      </c>
      <c r="C166" t="s">
        <v>362</v>
      </c>
      <c r="D166" t="s">
        <v>363</v>
      </c>
      <c r="E166" s="82" t="s">
        <v>364</v>
      </c>
      <c r="F166" t="s">
        <v>365</v>
      </c>
      <c r="G166" t="s">
        <v>366</v>
      </c>
      <c r="H166" t="s">
        <v>367</v>
      </c>
      <c r="I166" t="s">
        <v>368</v>
      </c>
      <c r="J166" t="s">
        <v>369</v>
      </c>
      <c r="K166" t="s">
        <v>98</v>
      </c>
      <c r="L166" t="s">
        <v>370</v>
      </c>
      <c r="M166" t="s">
        <v>8</v>
      </c>
      <c r="N166" s="171" t="s">
        <v>371</v>
      </c>
      <c r="O166" s="171" t="s">
        <v>372</v>
      </c>
      <c r="Q166" t="s">
        <v>373</v>
      </c>
      <c r="R166" t="s">
        <v>374</v>
      </c>
    </row>
    <row r="167" spans="1:18" x14ac:dyDescent="0.25">
      <c r="A167" t="str">
        <f>TableOUMPEDUSC[[#This Row],[Study Package Code]]</f>
        <v>Opt-EDUSC</v>
      </c>
      <c r="B167" s="1">
        <f>TableOUMPEDUSC[[#This Row],[Ver]]</f>
        <v>0</v>
      </c>
      <c r="C167" t="str">
        <f>IF(TableOUMPEDUSC[[#This Row],[Ver]]&gt;0,_xlfn.TEXTBEFORE(TableOUMPEDUSC[[#This Row],[Structure Line]]," "),"")</f>
        <v/>
      </c>
      <c r="D167" t="str">
        <f>IF(TableOUMPEDUSC[[#This Row],[OUA Code]]&lt;&gt;"",_xlfn.TEXTAFTER(TableOUMPEDUSC[[#This Row],[Structure Line]]," "),TableOUMPEDUSC[[#This Row],[Structure Line]])</f>
        <v>Teaching Area Options</v>
      </c>
      <c r="E167" s="82">
        <f>TableOUMPEDUSC[[#This Row],[Credit Points]]</f>
        <v>0</v>
      </c>
      <c r="F167">
        <v>1</v>
      </c>
      <c r="G167" t="s">
        <v>411</v>
      </c>
      <c r="H167">
        <v>1</v>
      </c>
      <c r="I167" t="s">
        <v>376</v>
      </c>
      <c r="J167" t="s">
        <v>456</v>
      </c>
      <c r="K167">
        <v>0</v>
      </c>
      <c r="L167" t="s">
        <v>343</v>
      </c>
      <c r="N167" s="172"/>
      <c r="O167" s="172"/>
      <c r="Q167" t="s">
        <v>456</v>
      </c>
      <c r="R167">
        <v>0</v>
      </c>
    </row>
    <row r="168" spans="1:18" x14ac:dyDescent="0.25">
      <c r="A168" t="str">
        <f>TableOUMPEDUSC[[#This Row],[Study Package Code]]</f>
        <v>EDSC5037</v>
      </c>
      <c r="B168" s="1">
        <f>TableOUMPEDUSC[[#This Row],[Ver]]</f>
        <v>1</v>
      </c>
      <c r="C168" t="str">
        <f>IF(TableOUMPEDUSC[[#This Row],[Ver]]&gt;0,_xlfn.TEXTBEFORE(TableOUMPEDUSC[[#This Row],[Structure Line]]," "),"")</f>
        <v>MTS500</v>
      </c>
      <c r="D168" t="str">
        <f>IF(TableOUMPEDUSC[[#This Row],[OUA Code]]&lt;&gt;"",_xlfn.TEXTAFTER(TableOUMPEDUSC[[#This Row],[Structure Line]]," "),TableOUMPEDUSC[[#This Row],[Structure Line]])</f>
        <v>Teaching in the Secondary School</v>
      </c>
      <c r="E168" s="82">
        <f>TableOUMPEDUSC[[#This Row],[Credit Points]]</f>
        <v>25</v>
      </c>
      <c r="F168">
        <v>2</v>
      </c>
      <c r="G168" t="s">
        <v>379</v>
      </c>
      <c r="H168">
        <v>1</v>
      </c>
      <c r="I168" t="s">
        <v>452</v>
      </c>
      <c r="J168" t="s">
        <v>182</v>
      </c>
      <c r="K168">
        <v>1</v>
      </c>
      <c r="L168" t="s">
        <v>406</v>
      </c>
      <c r="M168">
        <v>25</v>
      </c>
      <c r="N168" s="172">
        <v>42736</v>
      </c>
      <c r="O168" s="172"/>
      <c r="Q168" t="s">
        <v>182</v>
      </c>
      <c r="R168">
        <v>1</v>
      </c>
    </row>
    <row r="169" spans="1:18" x14ac:dyDescent="0.25">
      <c r="A169" t="str">
        <f>TableOUMPEDUSC[[#This Row],[Study Package Code]]</f>
        <v>EDSC5039</v>
      </c>
      <c r="B169" s="1">
        <f>TableOUMPEDUSC[[#This Row],[Ver]]</f>
        <v>1</v>
      </c>
      <c r="C169" t="str">
        <f>IF(TableOUMPEDUSC[[#This Row],[Ver]]&gt;0,_xlfn.TEXTBEFORE(TableOUMPEDUSC[[#This Row],[Structure Line]]," "),"")</f>
        <v>MTS502</v>
      </c>
      <c r="D169" t="str">
        <f>IF(TableOUMPEDUSC[[#This Row],[OUA Code]]&lt;&gt;"",_xlfn.TEXTAFTER(TableOUMPEDUSC[[#This Row],[Structure Line]]," "),TableOUMPEDUSC[[#This Row],[Structure Line]])</f>
        <v>Secondary Professional Experience 1: Planning</v>
      </c>
      <c r="E169" s="82">
        <f>TableOUMPEDUSC[[#This Row],[Credit Points]]</f>
        <v>25</v>
      </c>
      <c r="F169">
        <v>3</v>
      </c>
      <c r="G169" t="s">
        <v>379</v>
      </c>
      <c r="H169">
        <v>1</v>
      </c>
      <c r="I169" t="s">
        <v>452</v>
      </c>
      <c r="J169" t="s">
        <v>188</v>
      </c>
      <c r="K169">
        <v>1</v>
      </c>
      <c r="L169" t="s">
        <v>408</v>
      </c>
      <c r="M169">
        <v>25</v>
      </c>
      <c r="N169" s="172">
        <v>42736</v>
      </c>
      <c r="O169" s="172"/>
      <c r="Q169" t="s">
        <v>188</v>
      </c>
      <c r="R169">
        <v>1</v>
      </c>
    </row>
    <row r="170" spans="1:18" x14ac:dyDescent="0.25">
      <c r="A170" t="str">
        <f>TableOUMPEDUSC[[#This Row],[Study Package Code]]</f>
        <v>EDSC5051</v>
      </c>
      <c r="B170" s="1">
        <f>TableOUMPEDUSC[[#This Row],[Ver]]</f>
        <v>1</v>
      </c>
      <c r="C170" t="str">
        <f>IF(TableOUMPEDUSC[[#This Row],[Ver]]&gt;0,_xlfn.TEXTBEFORE(TableOUMPEDUSC[[#This Row],[Structure Line]]," "),"")</f>
        <v>MTS504</v>
      </c>
      <c r="D170" t="str">
        <f>IF(TableOUMPEDUSC[[#This Row],[OUA Code]]&lt;&gt;"",_xlfn.TEXTAFTER(TableOUMPEDUSC[[#This Row],[Structure Line]]," "),TableOUMPEDUSC[[#This Row],[Structure Line]])</f>
        <v>Secondary Professional Experience 2: Assessment and Reporting</v>
      </c>
      <c r="E170" s="82">
        <f>TableOUMPEDUSC[[#This Row],[Credit Points]]</f>
        <v>25</v>
      </c>
      <c r="F170">
        <v>4</v>
      </c>
      <c r="G170" t="s">
        <v>379</v>
      </c>
      <c r="H170">
        <v>1</v>
      </c>
      <c r="I170" t="s">
        <v>453</v>
      </c>
      <c r="J170" t="s">
        <v>221</v>
      </c>
      <c r="K170">
        <v>1</v>
      </c>
      <c r="L170" t="s">
        <v>410</v>
      </c>
      <c r="M170">
        <v>25</v>
      </c>
      <c r="N170" s="172">
        <v>42736</v>
      </c>
      <c r="O170" s="172"/>
      <c r="Q170" t="s">
        <v>221</v>
      </c>
      <c r="R170">
        <v>1</v>
      </c>
    </row>
    <row r="171" spans="1:18" x14ac:dyDescent="0.25">
      <c r="A171" t="str">
        <f>TableOUMPEDUSC[[#This Row],[Study Package Code]]</f>
        <v>EDUC6063</v>
      </c>
      <c r="B171" s="1">
        <f>TableOUMPEDUSC[[#This Row],[Ver]]</f>
        <v>1</v>
      </c>
      <c r="C171" t="str">
        <f>IF(TableOUMPEDUSC[[#This Row],[Ver]]&gt;0,_xlfn.TEXTBEFORE(TableOUMPEDUSC[[#This Row],[Structure Line]]," "),"")</f>
        <v>MTC600</v>
      </c>
      <c r="D171" t="str">
        <f>IF(TableOUMPEDUSC[[#This Row],[OUA Code]]&lt;&gt;"",_xlfn.TEXTAFTER(TableOUMPEDUSC[[#This Row],[Structure Line]]," "),TableOUMPEDUSC[[#This Row],[Structure Line]])</f>
        <v>Professional Experience 3: Using Data to Inform Teaching and Learning</v>
      </c>
      <c r="E171" s="82">
        <f>TableOUMPEDUSC[[#This Row],[Credit Points]]</f>
        <v>25</v>
      </c>
      <c r="F171">
        <v>5</v>
      </c>
      <c r="G171" t="s">
        <v>379</v>
      </c>
      <c r="H171">
        <v>1</v>
      </c>
      <c r="I171" t="s">
        <v>454</v>
      </c>
      <c r="J171" t="s">
        <v>314</v>
      </c>
      <c r="K171">
        <v>1</v>
      </c>
      <c r="L171" t="s">
        <v>388</v>
      </c>
      <c r="M171">
        <v>25</v>
      </c>
      <c r="N171" s="172">
        <v>44562</v>
      </c>
      <c r="O171" s="172"/>
      <c r="Q171" t="s">
        <v>314</v>
      </c>
      <c r="R171">
        <v>1</v>
      </c>
    </row>
    <row r="172" spans="1:18" x14ac:dyDescent="0.25">
      <c r="A172" t="str">
        <f>TableOUMPEDUSC[[#This Row],[Study Package Code]]</f>
        <v>EDUC5014</v>
      </c>
      <c r="B172" s="1">
        <f>TableOUMPEDUSC[[#This Row],[Ver]]</f>
        <v>1</v>
      </c>
      <c r="C172" t="str">
        <f>IF(TableOUMPEDUSC[[#This Row],[Ver]]&gt;0,_xlfn.TEXTBEFORE(TableOUMPEDUSC[[#This Row],[Structure Line]]," "),"")</f>
        <v>MTPS501</v>
      </c>
      <c r="D172" t="str">
        <f>IF(TableOUMPEDUSC[[#This Row],[OUA Code]]&lt;&gt;"",_xlfn.TEXTAFTER(TableOUMPEDUSC[[#This Row],[Structure Line]]," "),TableOUMPEDUSC[[#This Row],[Structure Line]])</f>
        <v>Pedagogies for Diversity</v>
      </c>
      <c r="E172" s="82">
        <f>TableOUMPEDUSC[[#This Row],[Credit Points]]</f>
        <v>25</v>
      </c>
      <c r="F172">
        <v>6</v>
      </c>
      <c r="G172" t="s">
        <v>379</v>
      </c>
      <c r="H172">
        <v>1</v>
      </c>
      <c r="I172" t="s">
        <v>454</v>
      </c>
      <c r="J172" t="s">
        <v>244</v>
      </c>
      <c r="K172">
        <v>1</v>
      </c>
      <c r="L172" t="s">
        <v>405</v>
      </c>
      <c r="M172">
        <v>25</v>
      </c>
      <c r="N172" s="172">
        <v>42736</v>
      </c>
      <c r="O172" s="172"/>
      <c r="Q172" t="s">
        <v>244</v>
      </c>
      <c r="R172">
        <v>1</v>
      </c>
    </row>
    <row r="173" spans="1:18" x14ac:dyDescent="0.25">
      <c r="A173" t="str">
        <f>TableOUMPEDUSC[[#This Row],[Study Package Code]]</f>
        <v>EDUC5017</v>
      </c>
      <c r="B173" s="1">
        <f>TableOUMPEDUSC[[#This Row],[Ver]]</f>
        <v>1</v>
      </c>
      <c r="C173" t="str">
        <f>IF(TableOUMPEDUSC[[#This Row],[Ver]]&gt;0,_xlfn.TEXTBEFORE(TableOUMPEDUSC[[#This Row],[Structure Line]]," "),"")</f>
        <v>MTPS504</v>
      </c>
      <c r="D173" t="str">
        <f>IF(TableOUMPEDUSC[[#This Row],[OUA Code]]&lt;&gt;"",_xlfn.TEXTAFTER(TableOUMPEDUSC[[#This Row],[Structure Line]]," "),TableOUMPEDUSC[[#This Row],[Structure Line]])</f>
        <v>Creative Technologies</v>
      </c>
      <c r="E173" s="82">
        <f>TableOUMPEDUSC[[#This Row],[Credit Points]]</f>
        <v>25</v>
      </c>
      <c r="F173">
        <v>7</v>
      </c>
      <c r="G173" t="s">
        <v>379</v>
      </c>
      <c r="H173">
        <v>1</v>
      </c>
      <c r="I173" t="s">
        <v>455</v>
      </c>
      <c r="J173" t="s">
        <v>247</v>
      </c>
      <c r="K173">
        <v>1</v>
      </c>
      <c r="L173" t="s">
        <v>395</v>
      </c>
      <c r="M173">
        <v>25</v>
      </c>
      <c r="N173" s="172">
        <v>42736</v>
      </c>
      <c r="O173" s="172"/>
      <c r="Q173" t="s">
        <v>247</v>
      </c>
      <c r="R173">
        <v>1</v>
      </c>
    </row>
    <row r="174" spans="1:18" x14ac:dyDescent="0.25">
      <c r="A174" t="str">
        <f>TableOUMPEDUSC[[#This Row],[Study Package Code]]</f>
        <v>EDSC5041</v>
      </c>
      <c r="B174" s="1">
        <f>TableOUMPEDUSC[[#This Row],[Ver]]</f>
        <v>1</v>
      </c>
      <c r="C174" t="str">
        <f>IF(TableOUMPEDUSC[[#This Row],[Ver]]&gt;0,_xlfn.TEXTBEFORE(TableOUMPEDUSC[[#This Row],[Structure Line]]," "),"")</f>
        <v>MTS506</v>
      </c>
      <c r="D174" t="str">
        <f>IF(TableOUMPEDUSC[[#This Row],[OUA Code]]&lt;&gt;"",_xlfn.TEXTAFTER(TableOUMPEDUSC[[#This Row],[Structure Line]]," "),TableOUMPEDUSC[[#This Row],[Structure Line]])</f>
        <v>Curriculum and Instruction Lower Secondary: The Arts</v>
      </c>
      <c r="E174" s="82">
        <f>TableOUMPEDUSC[[#This Row],[Credit Points]]</f>
        <v>25</v>
      </c>
      <c r="F174">
        <v>1</v>
      </c>
      <c r="G174" t="s">
        <v>411</v>
      </c>
      <c r="H174">
        <v>1</v>
      </c>
      <c r="I174" t="s">
        <v>376</v>
      </c>
      <c r="J174" t="s">
        <v>194</v>
      </c>
      <c r="K174">
        <v>1</v>
      </c>
      <c r="L174" t="s">
        <v>415</v>
      </c>
      <c r="M174">
        <v>25</v>
      </c>
      <c r="N174" s="172">
        <v>42736</v>
      </c>
      <c r="O174" s="172"/>
      <c r="Q174" t="s">
        <v>194</v>
      </c>
      <c r="R174">
        <v>1</v>
      </c>
    </row>
    <row r="175" spans="1:18" x14ac:dyDescent="0.25">
      <c r="A175" t="str">
        <f>TableOUMPEDUSC[[#This Row],[Study Package Code]]</f>
        <v>EDSC5042</v>
      </c>
      <c r="B175" s="1">
        <f>TableOUMPEDUSC[[#This Row],[Ver]]</f>
        <v>1</v>
      </c>
      <c r="C175" t="str">
        <f>IF(TableOUMPEDUSC[[#This Row],[Ver]]&gt;0,_xlfn.TEXTBEFORE(TableOUMPEDUSC[[#This Row],[Structure Line]]," "),"")</f>
        <v>MTS507</v>
      </c>
      <c r="D175" t="str">
        <f>IF(TableOUMPEDUSC[[#This Row],[OUA Code]]&lt;&gt;"",_xlfn.TEXTAFTER(TableOUMPEDUSC[[#This Row],[Structure Line]]," "),TableOUMPEDUSC[[#This Row],[Structure Line]])</f>
        <v>Curriculum and Instruction Lower Secondary: English</v>
      </c>
      <c r="E175" s="82">
        <f>TableOUMPEDUSC[[#This Row],[Credit Points]]</f>
        <v>25</v>
      </c>
      <c r="F175">
        <v>1</v>
      </c>
      <c r="G175" t="s">
        <v>411</v>
      </c>
      <c r="H175">
        <v>1</v>
      </c>
      <c r="I175" t="s">
        <v>376</v>
      </c>
      <c r="J175" t="s">
        <v>197</v>
      </c>
      <c r="K175">
        <v>1</v>
      </c>
      <c r="L175" t="s">
        <v>416</v>
      </c>
      <c r="M175">
        <v>25</v>
      </c>
      <c r="N175" s="172">
        <v>42736</v>
      </c>
      <c r="O175" s="172"/>
      <c r="Q175" t="s">
        <v>197</v>
      </c>
      <c r="R175">
        <v>1</v>
      </c>
    </row>
    <row r="176" spans="1:18" x14ac:dyDescent="0.25">
      <c r="A176" t="str">
        <f>TableOUMPEDUSC[[#This Row],[Study Package Code]]</f>
        <v>EDSC5043</v>
      </c>
      <c r="B176" s="1">
        <f>TableOUMPEDUSC[[#This Row],[Ver]]</f>
        <v>1</v>
      </c>
      <c r="C176" t="str">
        <f>IF(TableOUMPEDUSC[[#This Row],[Ver]]&gt;0,_xlfn.TEXTBEFORE(TableOUMPEDUSC[[#This Row],[Structure Line]]," "),"")</f>
        <v>MTS508</v>
      </c>
      <c r="D176" t="str">
        <f>IF(TableOUMPEDUSC[[#This Row],[OUA Code]]&lt;&gt;"",_xlfn.TEXTAFTER(TableOUMPEDUSC[[#This Row],[Structure Line]]," "),TableOUMPEDUSC[[#This Row],[Structure Line]])</f>
        <v>Curriculum and Instruction Lower Secondary: Humanities and Social Sciences</v>
      </c>
      <c r="E176" s="82">
        <f>TableOUMPEDUSC[[#This Row],[Credit Points]]</f>
        <v>25</v>
      </c>
      <c r="F176">
        <v>1</v>
      </c>
      <c r="G176" t="s">
        <v>411</v>
      </c>
      <c r="H176">
        <v>1</v>
      </c>
      <c r="I176" t="s">
        <v>376</v>
      </c>
      <c r="J176" t="s">
        <v>200</v>
      </c>
      <c r="K176">
        <v>1</v>
      </c>
      <c r="L176" t="s">
        <v>417</v>
      </c>
      <c r="M176">
        <v>25</v>
      </c>
      <c r="N176" s="172">
        <v>42736</v>
      </c>
      <c r="O176" s="172"/>
      <c r="Q176" t="s">
        <v>200</v>
      </c>
      <c r="R176">
        <v>1</v>
      </c>
    </row>
    <row r="177" spans="1:18" x14ac:dyDescent="0.25">
      <c r="A177" t="str">
        <f>TableOUMPEDUSC[[#This Row],[Study Package Code]]</f>
        <v>EDSC5044</v>
      </c>
      <c r="B177" s="1">
        <f>TableOUMPEDUSC[[#This Row],[Ver]]</f>
        <v>1</v>
      </c>
      <c r="C177" t="str">
        <f>IF(TableOUMPEDUSC[[#This Row],[Ver]]&gt;0,_xlfn.TEXTBEFORE(TableOUMPEDUSC[[#This Row],[Structure Line]]," "),"")</f>
        <v>MTS509</v>
      </c>
      <c r="D177" t="str">
        <f>IF(TableOUMPEDUSC[[#This Row],[OUA Code]]&lt;&gt;"",_xlfn.TEXTAFTER(TableOUMPEDUSC[[#This Row],[Structure Line]]," "),TableOUMPEDUSC[[#This Row],[Structure Line]])</f>
        <v>Curriculum and Instruction Lower Secondary: Mathematics</v>
      </c>
      <c r="E177" s="82">
        <f>TableOUMPEDUSC[[#This Row],[Credit Points]]</f>
        <v>25</v>
      </c>
      <c r="F177">
        <v>1</v>
      </c>
      <c r="G177" t="s">
        <v>411</v>
      </c>
      <c r="H177">
        <v>1</v>
      </c>
      <c r="I177" t="s">
        <v>376</v>
      </c>
      <c r="J177" t="s">
        <v>203</v>
      </c>
      <c r="K177">
        <v>1</v>
      </c>
      <c r="L177" t="s">
        <v>418</v>
      </c>
      <c r="M177">
        <v>25</v>
      </c>
      <c r="N177" s="172">
        <v>42736</v>
      </c>
      <c r="O177" s="172"/>
      <c r="Q177" t="s">
        <v>203</v>
      </c>
      <c r="R177">
        <v>1</v>
      </c>
    </row>
    <row r="178" spans="1:18" x14ac:dyDescent="0.25">
      <c r="A178" t="str">
        <f>TableOUMPEDUSC[[#This Row],[Study Package Code]]</f>
        <v>EDSC5045</v>
      </c>
      <c r="B178" s="1">
        <f>TableOUMPEDUSC[[#This Row],[Ver]]</f>
        <v>1</v>
      </c>
      <c r="C178" t="str">
        <f>IF(TableOUMPEDUSC[[#This Row],[Ver]]&gt;0,_xlfn.TEXTBEFORE(TableOUMPEDUSC[[#This Row],[Structure Line]]," "),"")</f>
        <v>MTS510</v>
      </c>
      <c r="D178" t="str">
        <f>IF(TableOUMPEDUSC[[#This Row],[OUA Code]]&lt;&gt;"",_xlfn.TEXTAFTER(TableOUMPEDUSC[[#This Row],[Structure Line]]," "),TableOUMPEDUSC[[#This Row],[Structure Line]])</f>
        <v>Curriculum and Instruction Lower Secondary: Science</v>
      </c>
      <c r="E178" s="82">
        <f>TableOUMPEDUSC[[#This Row],[Credit Points]]</f>
        <v>25</v>
      </c>
      <c r="F178">
        <v>1</v>
      </c>
      <c r="G178" t="s">
        <v>411</v>
      </c>
      <c r="H178">
        <v>1</v>
      </c>
      <c r="I178" t="s">
        <v>376</v>
      </c>
      <c r="J178" t="s">
        <v>206</v>
      </c>
      <c r="K178">
        <v>1</v>
      </c>
      <c r="L178" t="s">
        <v>419</v>
      </c>
      <c r="M178">
        <v>25</v>
      </c>
      <c r="N178" s="172">
        <v>42736</v>
      </c>
      <c r="O178" s="172"/>
      <c r="Q178" t="s">
        <v>206</v>
      </c>
      <c r="R178">
        <v>1</v>
      </c>
    </row>
    <row r="179" spans="1:18" x14ac:dyDescent="0.25">
      <c r="A179" t="str">
        <f>TableOUMPEDUSC[[#This Row],[Study Package Code]]</f>
        <v>EDSC5046</v>
      </c>
      <c r="B179" s="1">
        <f>TableOUMPEDUSC[[#This Row],[Ver]]</f>
        <v>2</v>
      </c>
      <c r="C179" t="str">
        <f>IF(TableOUMPEDUSC[[#This Row],[Ver]]&gt;0,_xlfn.TEXTBEFORE(TableOUMPEDUSC[[#This Row],[Structure Line]]," "),"")</f>
        <v>MTS511</v>
      </c>
      <c r="D179" t="str">
        <f>IF(TableOUMPEDUSC[[#This Row],[OUA Code]]&lt;&gt;"",_xlfn.TEXTAFTER(TableOUMPEDUSC[[#This Row],[Structure Line]]," "),TableOUMPEDUSC[[#This Row],[Structure Line]])</f>
        <v>Curriculum and Instruction Senior Secondary: The Arts</v>
      </c>
      <c r="E179" s="82">
        <f>TableOUMPEDUSC[[#This Row],[Credit Points]]</f>
        <v>25</v>
      </c>
      <c r="F179">
        <v>1</v>
      </c>
      <c r="G179" t="s">
        <v>411</v>
      </c>
      <c r="H179">
        <v>1</v>
      </c>
      <c r="I179" t="s">
        <v>376</v>
      </c>
      <c r="J179" t="s">
        <v>209</v>
      </c>
      <c r="K179">
        <v>2</v>
      </c>
      <c r="L179" t="s">
        <v>420</v>
      </c>
      <c r="M179">
        <v>25</v>
      </c>
      <c r="N179" s="172">
        <v>43831</v>
      </c>
      <c r="O179" s="172"/>
      <c r="Q179" t="s">
        <v>209</v>
      </c>
      <c r="R179">
        <v>2</v>
      </c>
    </row>
    <row r="180" spans="1:18" x14ac:dyDescent="0.25">
      <c r="A180" t="str">
        <f>TableOUMPEDUSC[[#This Row],[Study Package Code]]</f>
        <v>EDSC5048</v>
      </c>
      <c r="B180" s="1">
        <f>TableOUMPEDUSC[[#This Row],[Ver]]</f>
        <v>2</v>
      </c>
      <c r="C180" t="str">
        <f>IF(TableOUMPEDUSC[[#This Row],[Ver]]&gt;0,_xlfn.TEXTBEFORE(TableOUMPEDUSC[[#This Row],[Structure Line]]," "),"")</f>
        <v>MTS513</v>
      </c>
      <c r="D180" t="str">
        <f>IF(TableOUMPEDUSC[[#This Row],[OUA Code]]&lt;&gt;"",_xlfn.TEXTAFTER(TableOUMPEDUSC[[#This Row],[Structure Line]]," "),TableOUMPEDUSC[[#This Row],[Structure Line]])</f>
        <v>Curriculum and Instruction Senior Secondary: Humanities and Social Sciences</v>
      </c>
      <c r="E180" s="82">
        <f>TableOUMPEDUSC[[#This Row],[Credit Points]]</f>
        <v>25</v>
      </c>
      <c r="F180">
        <v>1</v>
      </c>
      <c r="G180" t="s">
        <v>411</v>
      </c>
      <c r="H180">
        <v>1</v>
      </c>
      <c r="I180" t="s">
        <v>376</v>
      </c>
      <c r="J180" t="s">
        <v>212</v>
      </c>
      <c r="K180">
        <v>2</v>
      </c>
      <c r="L180" t="s">
        <v>421</v>
      </c>
      <c r="M180">
        <v>25</v>
      </c>
      <c r="N180" s="172">
        <v>43831</v>
      </c>
      <c r="O180" s="172"/>
      <c r="Q180" t="s">
        <v>212</v>
      </c>
      <c r="R180">
        <v>2</v>
      </c>
    </row>
    <row r="181" spans="1:18" x14ac:dyDescent="0.25">
      <c r="A181" t="str">
        <f>TableOUMPEDUSC[[#This Row],[Study Package Code]]</f>
        <v>EDSC5049</v>
      </c>
      <c r="B181" s="1">
        <f>TableOUMPEDUSC[[#This Row],[Ver]]</f>
        <v>2</v>
      </c>
      <c r="C181" t="str">
        <f>IF(TableOUMPEDUSC[[#This Row],[Ver]]&gt;0,_xlfn.TEXTBEFORE(TableOUMPEDUSC[[#This Row],[Structure Line]]," "),"")</f>
        <v>MTS514</v>
      </c>
      <c r="D181" t="str">
        <f>IF(TableOUMPEDUSC[[#This Row],[OUA Code]]&lt;&gt;"",_xlfn.TEXTAFTER(TableOUMPEDUSC[[#This Row],[Structure Line]]," "),TableOUMPEDUSC[[#This Row],[Structure Line]])</f>
        <v>Curriculum and Instruction Senior Secondary: Mathematics</v>
      </c>
      <c r="E181" s="82">
        <f>TableOUMPEDUSC[[#This Row],[Credit Points]]</f>
        <v>25</v>
      </c>
      <c r="F181">
        <v>1</v>
      </c>
      <c r="G181" t="s">
        <v>411</v>
      </c>
      <c r="H181">
        <v>1</v>
      </c>
      <c r="I181" t="s">
        <v>376</v>
      </c>
      <c r="J181" t="s">
        <v>215</v>
      </c>
      <c r="K181">
        <v>2</v>
      </c>
      <c r="L181" t="s">
        <v>422</v>
      </c>
      <c r="M181">
        <v>25</v>
      </c>
      <c r="N181" s="172">
        <v>43831</v>
      </c>
      <c r="O181" s="172"/>
      <c r="Q181" t="s">
        <v>215</v>
      </c>
      <c r="R181">
        <v>2</v>
      </c>
    </row>
    <row r="182" spans="1:18" x14ac:dyDescent="0.25">
      <c r="A182" t="str">
        <f>TableOUMPEDUSC[[#This Row],[Study Package Code]]</f>
        <v>EDSC5050</v>
      </c>
      <c r="B182" s="1">
        <f>TableOUMPEDUSC[[#This Row],[Ver]]</f>
        <v>2</v>
      </c>
      <c r="C182" t="str">
        <f>IF(TableOUMPEDUSC[[#This Row],[Ver]]&gt;0,_xlfn.TEXTBEFORE(TableOUMPEDUSC[[#This Row],[Structure Line]]," "),"")</f>
        <v>MTS515</v>
      </c>
      <c r="D182" t="str">
        <f>IF(TableOUMPEDUSC[[#This Row],[OUA Code]]&lt;&gt;"",_xlfn.TEXTAFTER(TableOUMPEDUSC[[#This Row],[Structure Line]]," "),TableOUMPEDUSC[[#This Row],[Structure Line]])</f>
        <v>Curriculum and Instruction Senior Secondary: Science</v>
      </c>
      <c r="E182" s="82">
        <f>TableOUMPEDUSC[[#This Row],[Credit Points]]</f>
        <v>25</v>
      </c>
      <c r="F182">
        <v>1</v>
      </c>
      <c r="G182" t="s">
        <v>411</v>
      </c>
      <c r="H182">
        <v>1</v>
      </c>
      <c r="I182" t="s">
        <v>376</v>
      </c>
      <c r="J182" t="s">
        <v>218</v>
      </c>
      <c r="K182">
        <v>2</v>
      </c>
      <c r="L182" t="s">
        <v>423</v>
      </c>
      <c r="M182">
        <v>25</v>
      </c>
      <c r="N182" s="172">
        <v>43831</v>
      </c>
      <c r="O182" s="172"/>
      <c r="Q182" t="s">
        <v>218</v>
      </c>
      <c r="R182">
        <v>2</v>
      </c>
    </row>
    <row r="183" spans="1:18" x14ac:dyDescent="0.25">
      <c r="A183" t="str">
        <f>TableOUMPEDUSC[[#This Row],[Study Package Code]]</f>
        <v>EDSC5054</v>
      </c>
      <c r="B183" s="1">
        <f>TableOUMPEDUSC[[#This Row],[Ver]]</f>
        <v>1</v>
      </c>
      <c r="C183" t="str">
        <f>IF(TableOUMPEDUSC[[#This Row],[Ver]]&gt;0,_xlfn.TEXTBEFORE(TableOUMPEDUSC[[#This Row],[Structure Line]]," "),"")</f>
        <v>MTS512</v>
      </c>
      <c r="D183" t="str">
        <f>IF(TableOUMPEDUSC[[#This Row],[OUA Code]]&lt;&gt;"",_xlfn.TEXTAFTER(TableOUMPEDUSC[[#This Row],[Structure Line]]," "),TableOUMPEDUSC[[#This Row],[Structure Line]])</f>
        <v>Curriculum and Instruction Senior Secondary: English</v>
      </c>
      <c r="E183" s="82">
        <f>TableOUMPEDUSC[[#This Row],[Credit Points]]</f>
        <v>25</v>
      </c>
      <c r="F183">
        <v>1</v>
      </c>
      <c r="G183" t="s">
        <v>411</v>
      </c>
      <c r="H183">
        <v>1</v>
      </c>
      <c r="I183" t="s">
        <v>376</v>
      </c>
      <c r="J183" t="s">
        <v>224</v>
      </c>
      <c r="K183">
        <v>1</v>
      </c>
      <c r="L183" t="s">
        <v>424</v>
      </c>
      <c r="M183">
        <v>25</v>
      </c>
      <c r="N183" s="172">
        <v>43831</v>
      </c>
      <c r="O183" s="172"/>
      <c r="Q183" t="s">
        <v>224</v>
      </c>
      <c r="R183">
        <v>1</v>
      </c>
    </row>
    <row r="184" spans="1:18" x14ac:dyDescent="0.25">
      <c r="A184" t="str">
        <f>TableOUMPEDUSC[[#This Row],[Study Package Code]]</f>
        <v>EDSC5056</v>
      </c>
      <c r="B184" s="1">
        <f>TableOUMPEDUSC[[#This Row],[Ver]]</f>
        <v>1</v>
      </c>
      <c r="C184" t="str">
        <f>IF(TableOUMPEDUSC[[#This Row],[Ver]]&gt;0,_xlfn.TEXTBEFORE(TableOUMPEDUSC[[#This Row],[Structure Line]]," "),"")</f>
        <v>MTS516</v>
      </c>
      <c r="D184" t="str">
        <f>IF(TableOUMPEDUSC[[#This Row],[OUA Code]]&lt;&gt;"",_xlfn.TEXTAFTER(TableOUMPEDUSC[[#This Row],[Structure Line]]," "),TableOUMPEDUSC[[#This Row],[Structure Line]])</f>
        <v>Curriculum and Instruction Lower Secondary: Health and Physical Education</v>
      </c>
      <c r="E184" s="82">
        <f>TableOUMPEDUSC[[#This Row],[Credit Points]]</f>
        <v>25</v>
      </c>
      <c r="F184">
        <v>1</v>
      </c>
      <c r="G184" t="s">
        <v>411</v>
      </c>
      <c r="H184">
        <v>1</v>
      </c>
      <c r="I184" t="s">
        <v>376</v>
      </c>
      <c r="J184" t="s">
        <v>227</v>
      </c>
      <c r="K184">
        <v>1</v>
      </c>
      <c r="L184" t="s">
        <v>425</v>
      </c>
      <c r="M184">
        <v>25</v>
      </c>
      <c r="N184" s="172">
        <v>43831</v>
      </c>
      <c r="O184" s="172"/>
      <c r="Q184" t="s">
        <v>227</v>
      </c>
      <c r="R184">
        <v>1</v>
      </c>
    </row>
    <row r="185" spans="1:18" x14ac:dyDescent="0.25">
      <c r="A185" t="str">
        <f>TableOUMPEDUSC[[#This Row],[Study Package Code]]</f>
        <v>EDSC5058</v>
      </c>
      <c r="B185" s="1">
        <f>TableOUMPEDUSC[[#This Row],[Ver]]</f>
        <v>1</v>
      </c>
      <c r="C185" t="str">
        <f>IF(TableOUMPEDUSC[[#This Row],[Ver]]&gt;0,_xlfn.TEXTBEFORE(TableOUMPEDUSC[[#This Row],[Structure Line]]," "),"")</f>
        <v>MTS517</v>
      </c>
      <c r="D185" t="str">
        <f>IF(TableOUMPEDUSC[[#This Row],[OUA Code]]&lt;&gt;"",_xlfn.TEXTAFTER(TableOUMPEDUSC[[#This Row],[Structure Line]]," "),TableOUMPEDUSC[[#This Row],[Structure Line]])</f>
        <v>Curriculum and Instruction Senior Secondary: Health and Physical Education</v>
      </c>
      <c r="E185" s="82">
        <f>TableOUMPEDUSC[[#This Row],[Credit Points]]</f>
        <v>25</v>
      </c>
      <c r="F185">
        <v>1</v>
      </c>
      <c r="G185" t="s">
        <v>411</v>
      </c>
      <c r="H185">
        <v>1</v>
      </c>
      <c r="I185" t="s">
        <v>376</v>
      </c>
      <c r="J185" t="s">
        <v>230</v>
      </c>
      <c r="K185">
        <v>1</v>
      </c>
      <c r="L185" t="s">
        <v>426</v>
      </c>
      <c r="M185">
        <v>25</v>
      </c>
      <c r="N185" s="172">
        <v>43831</v>
      </c>
      <c r="O185" s="172"/>
      <c r="Q185" t="s">
        <v>230</v>
      </c>
      <c r="R185">
        <v>1</v>
      </c>
    </row>
    <row r="186" spans="1:18" x14ac:dyDescent="0.25">
      <c r="N186" s="172"/>
      <c r="O186" s="172"/>
    </row>
    <row r="187" spans="1:18" x14ac:dyDescent="0.25">
      <c r="B187"/>
      <c r="E187"/>
      <c r="F187" s="258"/>
      <c r="G187" s="262" t="s">
        <v>359</v>
      </c>
      <c r="H187" s="263">
        <v>45972</v>
      </c>
      <c r="I187" s="264"/>
      <c r="J187" s="259" t="s">
        <v>12</v>
      </c>
      <c r="K187" s="260">
        <v>1</v>
      </c>
      <c r="L187" s="259" t="s">
        <v>11</v>
      </c>
      <c r="M187" s="261"/>
      <c r="N187" s="208">
        <v>44197</v>
      </c>
      <c r="O187" s="263"/>
    </row>
    <row r="188" spans="1:18" x14ac:dyDescent="0.25">
      <c r="A188" t="s">
        <v>3</v>
      </c>
      <c r="B188" s="1" t="s">
        <v>361</v>
      </c>
      <c r="C188" t="s">
        <v>362</v>
      </c>
      <c r="D188" t="s">
        <v>363</v>
      </c>
      <c r="E188" s="82" t="s">
        <v>364</v>
      </c>
      <c r="F188" t="s">
        <v>365</v>
      </c>
      <c r="G188" t="s">
        <v>366</v>
      </c>
      <c r="H188" t="s">
        <v>367</v>
      </c>
      <c r="I188" t="s">
        <v>368</v>
      </c>
      <c r="J188" t="s">
        <v>369</v>
      </c>
      <c r="K188" t="s">
        <v>98</v>
      </c>
      <c r="L188" t="s">
        <v>370</v>
      </c>
      <c r="M188" t="s">
        <v>8</v>
      </c>
      <c r="N188" s="171" t="s">
        <v>371</v>
      </c>
      <c r="O188" s="171" t="s">
        <v>372</v>
      </c>
      <c r="Q188" t="s">
        <v>373</v>
      </c>
      <c r="R188" t="s">
        <v>374</v>
      </c>
    </row>
    <row r="189" spans="1:18" x14ac:dyDescent="0.25">
      <c r="A189" t="str">
        <f>TableOCEDUCS1[[#This Row],[Study Package Code]]</f>
        <v>Opt-OCEDUC</v>
      </c>
      <c r="B189" s="1">
        <f>TableOCEDUCS1[[#This Row],[Ver]]</f>
        <v>0</v>
      </c>
      <c r="C189" t="str">
        <f>IF(TableOCEDUCS1[[#This Row],[Ver]]&gt;0,_xlfn.TEXTBEFORE(TableOCEDUCS1[[#This Row],[Structure Line]]," "),"")</f>
        <v/>
      </c>
      <c r="D189" t="str">
        <f>IF(TableOCEDUCS1[[#This Row],[OUA Code]]&lt;&gt;"",_xlfn.TEXTAFTER(TableOCEDUCS1[[#This Row],[Structure Line]]," "),TableOCEDUCS1[[#This Row],[Structure Line]])</f>
        <v>Choose your optional units</v>
      </c>
      <c r="E189" s="82">
        <f>TableOCEDUCS1[[#This Row],[Credit Points]]</f>
        <v>100</v>
      </c>
      <c r="F189">
        <v>1</v>
      </c>
      <c r="G189" t="s">
        <v>411</v>
      </c>
      <c r="H189">
        <v>1</v>
      </c>
      <c r="I189" t="s">
        <v>376</v>
      </c>
      <c r="J189" t="s">
        <v>347</v>
      </c>
      <c r="K189">
        <v>0</v>
      </c>
      <c r="L189" t="s">
        <v>457</v>
      </c>
      <c r="M189">
        <v>100</v>
      </c>
      <c r="N189" s="172"/>
      <c r="O189" s="172"/>
      <c r="Q189" t="s">
        <v>347</v>
      </c>
      <c r="R189">
        <v>0</v>
      </c>
    </row>
    <row r="190" spans="1:18" x14ac:dyDescent="0.25">
      <c r="A190" t="str">
        <f>TableOCEDUCS1[[#This Row],[Study Package Code]]</f>
        <v>EDEC5016</v>
      </c>
      <c r="B190" s="1">
        <f>TableOCEDUCS1[[#This Row],[Ver]]</f>
        <v>1</v>
      </c>
      <c r="C190" t="str">
        <f>IF(TableOCEDUCS1[[#This Row],[Ver]]&gt;0,_xlfn.TEXTBEFORE(TableOCEDUCS1[[#This Row],[Structure Line]]," "),"")</f>
        <v>MTEC503</v>
      </c>
      <c r="D190" t="str">
        <f>IF(TableOCEDUCS1[[#This Row],[OUA Code]]&lt;&gt;"",_xlfn.TEXTAFTER(TableOCEDUCS1[[#This Row],[Structure Line]]," "),TableOCEDUCS1[[#This Row],[Structure Line]])</f>
        <v>Numeracy for 5 to 8 Year-Olds</v>
      </c>
      <c r="E190" s="82">
        <f>TableOCEDUCS1[[#This Row],[Credit Points]]</f>
        <v>25</v>
      </c>
      <c r="F190">
        <v>1</v>
      </c>
      <c r="G190" t="s">
        <v>411</v>
      </c>
      <c r="H190">
        <v>1</v>
      </c>
      <c r="I190" t="s">
        <v>376</v>
      </c>
      <c r="J190" t="s">
        <v>125</v>
      </c>
      <c r="K190">
        <v>1</v>
      </c>
      <c r="L190" t="s">
        <v>383</v>
      </c>
      <c r="M190">
        <v>25</v>
      </c>
      <c r="N190" s="172">
        <v>43101</v>
      </c>
      <c r="O190" s="172"/>
      <c r="Q190" t="s">
        <v>125</v>
      </c>
      <c r="R190">
        <v>1</v>
      </c>
    </row>
    <row r="191" spans="1:18" x14ac:dyDescent="0.25">
      <c r="A191" t="str">
        <f>TableOCEDUCS1[[#This Row],[Study Package Code]]</f>
        <v>EDEC5018</v>
      </c>
      <c r="B191" s="1">
        <f>TableOCEDUCS1[[#This Row],[Ver]]</f>
        <v>1</v>
      </c>
      <c r="C191" t="str">
        <f>IF(TableOCEDUCS1[[#This Row],[Ver]]&gt;0,_xlfn.TEXTBEFORE(TableOCEDUCS1[[#This Row],[Structure Line]]," "),"")</f>
        <v>MTEC509</v>
      </c>
      <c r="D191" t="str">
        <f>IF(TableOCEDUCS1[[#This Row],[OUA Code]]&lt;&gt;"",_xlfn.TEXTAFTER(TableOCEDUCS1[[#This Row],[Structure Line]]," "),TableOCEDUCS1[[#This Row],[Structure Line]])</f>
        <v>Creative and Media Arts in Early Childhood</v>
      </c>
      <c r="E191" s="82">
        <f>TableOCEDUCS1[[#This Row],[Credit Points]]</f>
        <v>25</v>
      </c>
      <c r="F191">
        <v>1</v>
      </c>
      <c r="G191" t="s">
        <v>411</v>
      </c>
      <c r="H191">
        <v>1</v>
      </c>
      <c r="I191" t="s">
        <v>376</v>
      </c>
      <c r="J191" t="s">
        <v>131</v>
      </c>
      <c r="K191">
        <v>1</v>
      </c>
      <c r="L191" t="s">
        <v>392</v>
      </c>
      <c r="M191">
        <v>25</v>
      </c>
      <c r="N191" s="172">
        <v>43101</v>
      </c>
      <c r="O191" s="172"/>
      <c r="Q191" t="s">
        <v>131</v>
      </c>
      <c r="R191">
        <v>1</v>
      </c>
    </row>
    <row r="192" spans="1:18" x14ac:dyDescent="0.25">
      <c r="A192" t="str">
        <f>TableOCEDUCS1[[#This Row],[Study Package Code]]</f>
        <v>EDEC5019</v>
      </c>
      <c r="B192" s="1">
        <f>TableOCEDUCS1[[#This Row],[Ver]]</f>
        <v>1</v>
      </c>
      <c r="C192" t="str">
        <f>IF(TableOCEDUCS1[[#This Row],[Ver]]&gt;0,_xlfn.TEXTBEFORE(TableOCEDUCS1[[#This Row],[Structure Line]]," "),"")</f>
        <v>MTEC508</v>
      </c>
      <c r="D192" t="str">
        <f>IF(TableOCEDUCS1[[#This Row],[OUA Code]]&lt;&gt;"",_xlfn.TEXTAFTER(TableOCEDUCS1[[#This Row],[Structure Line]]," "),TableOCEDUCS1[[#This Row],[Structure Line]])</f>
        <v>Humanities and Science in Early Childhood</v>
      </c>
      <c r="E192" s="82">
        <f>TableOCEDUCS1[[#This Row],[Credit Points]]</f>
        <v>25</v>
      </c>
      <c r="F192">
        <v>1</v>
      </c>
      <c r="G192" t="s">
        <v>411</v>
      </c>
      <c r="H192">
        <v>1</v>
      </c>
      <c r="I192" t="s">
        <v>376</v>
      </c>
      <c r="J192" t="s">
        <v>134</v>
      </c>
      <c r="K192">
        <v>1</v>
      </c>
      <c r="L192" t="s">
        <v>391</v>
      </c>
      <c r="M192">
        <v>25</v>
      </c>
      <c r="N192" s="172">
        <v>43101</v>
      </c>
      <c r="O192" s="172"/>
      <c r="Q192" t="s">
        <v>134</v>
      </c>
      <c r="R192">
        <v>1</v>
      </c>
    </row>
    <row r="193" spans="1:18" x14ac:dyDescent="0.25">
      <c r="A193" t="str">
        <f>TableOCEDUCS1[[#This Row],[Study Package Code]]</f>
        <v>EDPR5010</v>
      </c>
      <c r="B193" s="1">
        <f>TableOCEDUCS1[[#This Row],[Ver]]</f>
        <v>1</v>
      </c>
      <c r="C193" t="str">
        <f>IF(TableOCEDUCS1[[#This Row],[Ver]]&gt;0,_xlfn.TEXTBEFORE(TableOCEDUCS1[[#This Row],[Structure Line]]," "),"")</f>
        <v>MTP501</v>
      </c>
      <c r="D193" t="str">
        <f>IF(TableOCEDUCS1[[#This Row],[OUA Code]]&lt;&gt;"",_xlfn.TEXTAFTER(TableOCEDUCS1[[#This Row],[Structure Line]]," "),TableOCEDUCS1[[#This Row],[Structure Line]])</f>
        <v>Teaching Number, Algebra and Probability in the Primary Years</v>
      </c>
      <c r="E193" s="82">
        <f>TableOCEDUCS1[[#This Row],[Credit Points]]</f>
        <v>25</v>
      </c>
      <c r="F193">
        <v>1</v>
      </c>
      <c r="G193" t="s">
        <v>411</v>
      </c>
      <c r="H193">
        <v>1</v>
      </c>
      <c r="I193" t="s">
        <v>376</v>
      </c>
      <c r="J193" t="s">
        <v>158</v>
      </c>
      <c r="K193">
        <v>1</v>
      </c>
      <c r="L193" t="s">
        <v>396</v>
      </c>
      <c r="M193">
        <v>25</v>
      </c>
      <c r="N193" s="172">
        <v>42736</v>
      </c>
      <c r="O193" s="172"/>
      <c r="Q193" t="s">
        <v>158</v>
      </c>
      <c r="R193">
        <v>1</v>
      </c>
    </row>
    <row r="194" spans="1:18" x14ac:dyDescent="0.25">
      <c r="A194" t="str">
        <f>TableOCEDUCS1[[#This Row],[Study Package Code]]</f>
        <v>EDPR5012</v>
      </c>
      <c r="B194" s="1">
        <f>TableOCEDUCS1[[#This Row],[Ver]]</f>
        <v>1</v>
      </c>
      <c r="C194" t="str">
        <f>IF(TableOCEDUCS1[[#This Row],[Ver]]&gt;0,_xlfn.TEXTBEFORE(TableOCEDUCS1[[#This Row],[Structure Line]]," "),"")</f>
        <v>MTP505</v>
      </c>
      <c r="D194" t="str">
        <f>IF(TableOCEDUCS1[[#This Row],[OUA Code]]&lt;&gt;"",_xlfn.TEXTAFTER(TableOCEDUCS1[[#This Row],[Structure Line]]," "),TableOCEDUCS1[[#This Row],[Structure Line]])</f>
        <v>Teaching Science in the Primary Years</v>
      </c>
      <c r="E194" s="82">
        <f>TableOCEDUCS1[[#This Row],[Credit Points]]</f>
        <v>25</v>
      </c>
      <c r="F194">
        <v>1</v>
      </c>
      <c r="G194" t="s">
        <v>411</v>
      </c>
      <c r="H194">
        <v>1</v>
      </c>
      <c r="I194" t="s">
        <v>376</v>
      </c>
      <c r="J194" t="s">
        <v>164</v>
      </c>
      <c r="K194">
        <v>1</v>
      </c>
      <c r="L194" t="s">
        <v>398</v>
      </c>
      <c r="M194">
        <v>25</v>
      </c>
      <c r="N194" s="172">
        <v>42736</v>
      </c>
      <c r="O194" s="172"/>
      <c r="Q194" t="s">
        <v>164</v>
      </c>
      <c r="R194">
        <v>1</v>
      </c>
    </row>
    <row r="195" spans="1:18" x14ac:dyDescent="0.25">
      <c r="A195" t="str">
        <f>TableOCEDUCS1[[#This Row],[Study Package Code]]</f>
        <v>EDPR5016</v>
      </c>
      <c r="B195" s="1">
        <f>TableOCEDUCS1[[#This Row],[Ver]]</f>
        <v>1</v>
      </c>
      <c r="C195" t="str">
        <f>IF(TableOCEDUCS1[[#This Row],[Ver]]&gt;0,_xlfn.TEXTBEFORE(TableOCEDUCS1[[#This Row],[Structure Line]]," "),"")</f>
        <v>MTP509</v>
      </c>
      <c r="D195" t="str">
        <f>IF(TableOCEDUCS1[[#This Row],[OUA Code]]&lt;&gt;"",_xlfn.TEXTAFTER(TableOCEDUCS1[[#This Row],[Structure Line]]," "),TableOCEDUCS1[[#This Row],[Structure Line]])</f>
        <v>Teaching Arts in the Primary Years</v>
      </c>
      <c r="E195" s="82">
        <f>TableOCEDUCS1[[#This Row],[Credit Points]]</f>
        <v>25</v>
      </c>
      <c r="F195">
        <v>1</v>
      </c>
      <c r="G195" t="s">
        <v>411</v>
      </c>
      <c r="H195">
        <v>1</v>
      </c>
      <c r="I195" t="s">
        <v>376</v>
      </c>
      <c r="J195" t="s">
        <v>173</v>
      </c>
      <c r="K195">
        <v>1</v>
      </c>
      <c r="L195" t="s">
        <v>403</v>
      </c>
      <c r="M195">
        <v>25</v>
      </c>
      <c r="N195" s="172">
        <v>42736</v>
      </c>
      <c r="O195" s="172"/>
      <c r="Q195" t="s">
        <v>173</v>
      </c>
      <c r="R195">
        <v>1</v>
      </c>
    </row>
    <row r="196" spans="1:18" x14ac:dyDescent="0.25">
      <c r="A196" t="str">
        <f>TableOCEDUCS1[[#This Row],[Study Package Code]]</f>
        <v>EDPR5017</v>
      </c>
      <c r="B196" s="1">
        <f>TableOCEDUCS1[[#This Row],[Ver]]</f>
        <v>1</v>
      </c>
      <c r="C196" t="str">
        <f>IF(TableOCEDUCS1[[#This Row],[Ver]]&gt;0,_xlfn.TEXTBEFORE(TableOCEDUCS1[[#This Row],[Structure Line]]," "),"")</f>
        <v>MTP504</v>
      </c>
      <c r="D196" t="str">
        <f>IF(TableOCEDUCS1[[#This Row],[OUA Code]]&lt;&gt;"",_xlfn.TEXTAFTER(TableOCEDUCS1[[#This Row],[Structure Line]]," "),TableOCEDUCS1[[#This Row],[Structure Line]])</f>
        <v>Teaching Humanities and Social Sciences in the Primary Years</v>
      </c>
      <c r="E196" s="82">
        <f>TableOCEDUCS1[[#This Row],[Credit Points]]</f>
        <v>25</v>
      </c>
      <c r="F196">
        <v>1</v>
      </c>
      <c r="G196" t="s">
        <v>411</v>
      </c>
      <c r="H196">
        <v>1</v>
      </c>
      <c r="I196" t="s">
        <v>376</v>
      </c>
      <c r="J196" t="s">
        <v>176</v>
      </c>
      <c r="K196">
        <v>1</v>
      </c>
      <c r="L196" t="s">
        <v>401</v>
      </c>
      <c r="M196">
        <v>25</v>
      </c>
      <c r="N196" s="172">
        <v>42736</v>
      </c>
      <c r="O196" s="172"/>
      <c r="Q196" t="s">
        <v>176</v>
      </c>
      <c r="R196">
        <v>1</v>
      </c>
    </row>
    <row r="197" spans="1:18" x14ac:dyDescent="0.25">
      <c r="A197" t="str">
        <f>TableOCEDUCS1[[#This Row],[Study Package Code]]</f>
        <v>EDSC5040</v>
      </c>
      <c r="B197" s="1">
        <f>TableOCEDUCS1[[#This Row],[Ver]]</f>
        <v>1</v>
      </c>
      <c r="C197" t="str">
        <f>IF(TableOCEDUCS1[[#This Row],[Ver]]&gt;0,_xlfn.TEXTBEFORE(TableOCEDUCS1[[#This Row],[Structure Line]]," "),"")</f>
        <v>MTS503</v>
      </c>
      <c r="D197" t="str">
        <f>IF(TableOCEDUCS1[[#This Row],[OUA Code]]&lt;&gt;"",_xlfn.TEXTAFTER(TableOCEDUCS1[[#This Row],[Structure Line]]," "),TableOCEDUCS1[[#This Row],[Structure Line]])</f>
        <v>Managing the Learning Environment</v>
      </c>
      <c r="E197" s="82">
        <f>TableOCEDUCS1[[#This Row],[Credit Points]]</f>
        <v>25</v>
      </c>
      <c r="F197">
        <v>1</v>
      </c>
      <c r="G197" t="s">
        <v>411</v>
      </c>
      <c r="H197">
        <v>1</v>
      </c>
      <c r="I197" t="s">
        <v>376</v>
      </c>
      <c r="J197" t="s">
        <v>191</v>
      </c>
      <c r="K197">
        <v>1</v>
      </c>
      <c r="L197" t="s">
        <v>409</v>
      </c>
      <c r="M197">
        <v>25</v>
      </c>
      <c r="N197" s="172">
        <v>42736</v>
      </c>
      <c r="O197" s="172"/>
      <c r="Q197" t="s">
        <v>191</v>
      </c>
      <c r="R197">
        <v>1</v>
      </c>
    </row>
    <row r="198" spans="1:18" x14ac:dyDescent="0.25">
      <c r="A198" t="str">
        <f>TableOCEDUCS1[[#This Row],[Study Package Code]]</f>
        <v>EDUC5012</v>
      </c>
      <c r="B198" s="1">
        <f>TableOCEDUCS1[[#This Row],[Ver]]</f>
        <v>2</v>
      </c>
      <c r="C198" t="str">
        <f>IF(TableOCEDUCS1[[#This Row],[Ver]]&gt;0,_xlfn.TEXTBEFORE(TableOCEDUCS1[[#This Row],[Structure Line]]," "),"")</f>
        <v>MTPS500</v>
      </c>
      <c r="D198" t="str">
        <f>IF(TableOCEDUCS1[[#This Row],[OUA Code]]&lt;&gt;"",_xlfn.TEXTAFTER(TableOCEDUCS1[[#This Row],[Structure Line]]," "),TableOCEDUCS1[[#This Row],[Structure Line]])</f>
        <v>Theories of Development and Learning</v>
      </c>
      <c r="E198" s="82">
        <f>TableOCEDUCS1[[#This Row],[Credit Points]]</f>
        <v>25</v>
      </c>
      <c r="F198">
        <v>1</v>
      </c>
      <c r="G198" t="s">
        <v>411</v>
      </c>
      <c r="H198">
        <v>1</v>
      </c>
      <c r="I198" t="s">
        <v>376</v>
      </c>
      <c r="J198" t="s">
        <v>239</v>
      </c>
      <c r="K198">
        <v>2</v>
      </c>
      <c r="L198" t="s">
        <v>387</v>
      </c>
      <c r="M198">
        <v>25</v>
      </c>
      <c r="N198" s="172">
        <v>44197</v>
      </c>
      <c r="O198" s="172"/>
      <c r="Q198" t="s">
        <v>239</v>
      </c>
      <c r="R198">
        <v>2</v>
      </c>
    </row>
    <row r="199" spans="1:18" x14ac:dyDescent="0.25">
      <c r="A199" t="str">
        <f>TableOCEDUCS1[[#This Row],[Study Package Code]]</f>
        <v>EDUC5013</v>
      </c>
      <c r="B199" s="1">
        <f>TableOCEDUCS1[[#This Row],[Ver]]</f>
        <v>1</v>
      </c>
      <c r="C199" t="str">
        <f>IF(TableOCEDUCS1[[#This Row],[Ver]]&gt;0,_xlfn.TEXTBEFORE(TableOCEDUCS1[[#This Row],[Structure Line]]," "),"")</f>
        <v>MTP503</v>
      </c>
      <c r="D199" t="str">
        <f>IF(TableOCEDUCS1[[#This Row],[OUA Code]]&lt;&gt;"",_xlfn.TEXTAFTER(TableOCEDUCS1[[#This Row],[Structure Line]]," "),TableOCEDUCS1[[#This Row],[Structure Line]])</f>
        <v>Developing Positive Learning Environments</v>
      </c>
      <c r="E199" s="82">
        <f>TableOCEDUCS1[[#This Row],[Credit Points]]</f>
        <v>25</v>
      </c>
      <c r="F199">
        <v>1</v>
      </c>
      <c r="G199" t="s">
        <v>411</v>
      </c>
      <c r="H199">
        <v>1</v>
      </c>
      <c r="I199" t="s">
        <v>376</v>
      </c>
      <c r="J199" t="s">
        <v>241</v>
      </c>
      <c r="K199">
        <v>1</v>
      </c>
      <c r="L199" t="s">
        <v>386</v>
      </c>
      <c r="M199">
        <v>25</v>
      </c>
      <c r="N199" s="172">
        <v>42736</v>
      </c>
      <c r="O199" s="172"/>
      <c r="Q199" t="s">
        <v>241</v>
      </c>
      <c r="R199">
        <v>1</v>
      </c>
    </row>
    <row r="200" spans="1:18" x14ac:dyDescent="0.25">
      <c r="A200" t="str">
        <f>TableOCEDUCS1[[#This Row],[Study Package Code]]</f>
        <v>EDUC5014</v>
      </c>
      <c r="B200" s="1">
        <f>TableOCEDUCS1[[#This Row],[Ver]]</f>
        <v>1</v>
      </c>
      <c r="C200" t="str">
        <f>IF(TableOCEDUCS1[[#This Row],[Ver]]&gt;0,_xlfn.TEXTBEFORE(TableOCEDUCS1[[#This Row],[Structure Line]]," "),"")</f>
        <v>MTPS501</v>
      </c>
      <c r="D200" t="str">
        <f>IF(TableOCEDUCS1[[#This Row],[OUA Code]]&lt;&gt;"",_xlfn.TEXTAFTER(TableOCEDUCS1[[#This Row],[Structure Line]]," "),TableOCEDUCS1[[#This Row],[Structure Line]])</f>
        <v>Pedagogies for Diversity</v>
      </c>
      <c r="E200" s="82">
        <f>TableOCEDUCS1[[#This Row],[Credit Points]]</f>
        <v>25</v>
      </c>
      <c r="F200">
        <v>1</v>
      </c>
      <c r="G200" t="s">
        <v>411</v>
      </c>
      <c r="H200">
        <v>1</v>
      </c>
      <c r="I200" t="s">
        <v>376</v>
      </c>
      <c r="J200" t="s">
        <v>244</v>
      </c>
      <c r="K200">
        <v>1</v>
      </c>
      <c r="L200" t="s">
        <v>405</v>
      </c>
      <c r="M200">
        <v>25</v>
      </c>
      <c r="N200" s="172">
        <v>42736</v>
      </c>
      <c r="O200" s="172"/>
      <c r="Q200" t="s">
        <v>244</v>
      </c>
      <c r="R200">
        <v>1</v>
      </c>
    </row>
    <row r="201" spans="1:18" x14ac:dyDescent="0.25">
      <c r="A201" t="str">
        <f>TableOCEDUCS1[[#This Row],[Study Package Code]]</f>
        <v>EDUC5017</v>
      </c>
      <c r="B201" s="1">
        <f>TableOCEDUCS1[[#This Row],[Ver]]</f>
        <v>1</v>
      </c>
      <c r="C201" t="str">
        <f>IF(TableOCEDUCS1[[#This Row],[Ver]]&gt;0,_xlfn.TEXTBEFORE(TableOCEDUCS1[[#This Row],[Structure Line]]," "),"")</f>
        <v>MTPS504</v>
      </c>
      <c r="D201" t="str">
        <f>IF(TableOCEDUCS1[[#This Row],[OUA Code]]&lt;&gt;"",_xlfn.TEXTAFTER(TableOCEDUCS1[[#This Row],[Structure Line]]," "),TableOCEDUCS1[[#This Row],[Structure Line]])</f>
        <v>Creative Technologies</v>
      </c>
      <c r="E201" s="82">
        <f>TableOCEDUCS1[[#This Row],[Credit Points]]</f>
        <v>25</v>
      </c>
      <c r="F201">
        <v>1</v>
      </c>
      <c r="G201" t="s">
        <v>411</v>
      </c>
      <c r="H201">
        <v>1</v>
      </c>
      <c r="I201" t="s">
        <v>376</v>
      </c>
      <c r="J201" t="s">
        <v>247</v>
      </c>
      <c r="K201">
        <v>1</v>
      </c>
      <c r="L201" t="s">
        <v>395</v>
      </c>
      <c r="M201">
        <v>25</v>
      </c>
      <c r="N201" s="172">
        <v>42736</v>
      </c>
      <c r="O201" s="172"/>
      <c r="Q201" t="s">
        <v>247</v>
      </c>
      <c r="R201">
        <v>1</v>
      </c>
    </row>
    <row r="202" spans="1:18" x14ac:dyDescent="0.25">
      <c r="A202" t="str">
        <f>TableOCEDUCS1[[#This Row],[Study Package Code]]</f>
        <v>EDUC5034</v>
      </c>
      <c r="B202" s="1">
        <f>TableOCEDUCS1[[#This Row],[Ver]]</f>
        <v>1</v>
      </c>
      <c r="C202" t="str">
        <f>IF(TableOCEDUCS1[[#This Row],[Ver]]&gt;0,_xlfn.TEXTBEFORE(TableOCEDUCS1[[#This Row],[Structure Line]]," "),"")</f>
        <v>MTC520</v>
      </c>
      <c r="D202" t="str">
        <f>IF(TableOCEDUCS1[[#This Row],[OUA Code]]&lt;&gt;"",_xlfn.TEXTAFTER(TableOCEDUCS1[[#This Row],[Structure Line]]," "),TableOCEDUCS1[[#This Row],[Structure Line]])</f>
        <v>Mentoring, Coaching and Tutoring</v>
      </c>
      <c r="E202" s="82">
        <f>TableOCEDUCS1[[#This Row],[Credit Points]]</f>
        <v>25</v>
      </c>
      <c r="F202">
        <v>1</v>
      </c>
      <c r="G202" t="s">
        <v>411</v>
      </c>
      <c r="H202">
        <v>1</v>
      </c>
      <c r="I202" t="s">
        <v>376</v>
      </c>
      <c r="J202" t="s">
        <v>268</v>
      </c>
      <c r="K202">
        <v>1</v>
      </c>
      <c r="L202" t="s">
        <v>428</v>
      </c>
      <c r="M202">
        <v>25</v>
      </c>
      <c r="N202" s="172">
        <v>44562</v>
      </c>
      <c r="O202" s="172"/>
      <c r="Q202" t="s">
        <v>268</v>
      </c>
      <c r="R202">
        <v>1</v>
      </c>
    </row>
    <row r="203" spans="1:18" x14ac:dyDescent="0.25">
      <c r="B203"/>
      <c r="E203"/>
      <c r="F203" s="258"/>
      <c r="G203" s="262" t="s">
        <v>359</v>
      </c>
      <c r="H203" s="263">
        <v>45972</v>
      </c>
      <c r="I203" s="264"/>
      <c r="J203" s="259" t="s">
        <v>17</v>
      </c>
      <c r="K203" s="260">
        <v>1</v>
      </c>
      <c r="L203" s="259" t="s">
        <v>16</v>
      </c>
      <c r="M203" s="261"/>
      <c r="N203" s="208">
        <v>44197</v>
      </c>
      <c r="O203" s="263"/>
    </row>
    <row r="204" spans="1:18" x14ac:dyDescent="0.25">
      <c r="A204" t="s">
        <v>3</v>
      </c>
      <c r="B204" s="1" t="s">
        <v>361</v>
      </c>
      <c r="C204" t="s">
        <v>362</v>
      </c>
      <c r="D204" t="s">
        <v>363</v>
      </c>
      <c r="E204" s="82" t="s">
        <v>364</v>
      </c>
      <c r="F204" t="s">
        <v>365</v>
      </c>
      <c r="G204" t="s">
        <v>366</v>
      </c>
      <c r="H204" t="s">
        <v>367</v>
      </c>
      <c r="I204" t="s">
        <v>368</v>
      </c>
      <c r="J204" t="s">
        <v>369</v>
      </c>
      <c r="K204" t="s">
        <v>98</v>
      </c>
      <c r="L204" t="s">
        <v>370</v>
      </c>
      <c r="M204" t="s">
        <v>8</v>
      </c>
      <c r="N204" s="171" t="s">
        <v>371</v>
      </c>
      <c r="O204" s="171" t="s">
        <v>372</v>
      </c>
      <c r="Q204" t="s">
        <v>373</v>
      </c>
      <c r="R204" t="s">
        <v>374</v>
      </c>
    </row>
    <row r="205" spans="1:18" x14ac:dyDescent="0.25">
      <c r="A205" t="str">
        <f>TableOCEDUC[[#This Row],[Study Package Code]]</f>
        <v>Opt-OCEDUC</v>
      </c>
      <c r="B205" s="1">
        <f>TableOCEDUC[[#This Row],[Ver]]</f>
        <v>0</v>
      </c>
      <c r="C205" t="str">
        <f>IF(TableOCEDUC[[#This Row],[Ver]]&gt;0,_xlfn.TEXTBEFORE(TableOCEDUC[[#This Row],[Structure Line]]," "),"")</f>
        <v/>
      </c>
      <c r="D205" t="str">
        <f>IF(TableOCEDUC[[#This Row],[OUA Code]]&lt;&gt;"",_xlfn.TEXTAFTER(TableOCEDUC[[#This Row],[Structure Line]]," "),TableOCEDUC[[#This Row],[Structure Line]])</f>
        <v>Choose 100 credit points of optional units</v>
      </c>
      <c r="E205" s="82">
        <f>TableOCEDUC[[#This Row],[Credit Points]]</f>
        <v>0</v>
      </c>
      <c r="F205">
        <v>1</v>
      </c>
      <c r="G205" t="s">
        <v>411</v>
      </c>
      <c r="H205">
        <v>0</v>
      </c>
      <c r="I205" t="s">
        <v>376</v>
      </c>
      <c r="J205" t="s">
        <v>347</v>
      </c>
      <c r="K205">
        <v>0</v>
      </c>
      <c r="L205" t="s">
        <v>458</v>
      </c>
      <c r="N205" s="172"/>
      <c r="O205" s="172"/>
      <c r="Q205" t="s">
        <v>347</v>
      </c>
    </row>
    <row r="206" spans="1:18" x14ac:dyDescent="0.25">
      <c r="A206" t="str">
        <f>TableOCEDUC[[#This Row],[Study Package Code]]</f>
        <v>EDEC5016</v>
      </c>
      <c r="B206" s="1">
        <f>TableOCEDUC[[#This Row],[Ver]]</f>
        <v>1</v>
      </c>
      <c r="C206" t="str">
        <f>IF(TableOCEDUC[[#This Row],[Ver]]&gt;0,_xlfn.TEXTBEFORE(TableOCEDUC[[#This Row],[Structure Line]]," "),"")</f>
        <v>MTEC503</v>
      </c>
      <c r="D206" t="str">
        <f>IF(TableOCEDUC[[#This Row],[OUA Code]]&lt;&gt;"",_xlfn.TEXTAFTER(TableOCEDUC[[#This Row],[Structure Line]]," "),TableOCEDUC[[#This Row],[Structure Line]])</f>
        <v>Numeracy for 5 to 8 Year-Olds</v>
      </c>
      <c r="E206" s="82">
        <f>TableOCEDUC[[#This Row],[Credit Points]]</f>
        <v>25</v>
      </c>
      <c r="F206">
        <v>1</v>
      </c>
      <c r="G206" t="s">
        <v>411</v>
      </c>
      <c r="H206">
        <v>0</v>
      </c>
      <c r="I206" t="s">
        <v>376</v>
      </c>
      <c r="J206" t="s">
        <v>125</v>
      </c>
      <c r="K206">
        <v>1</v>
      </c>
      <c r="L206" t="s">
        <v>383</v>
      </c>
      <c r="M206">
        <v>25</v>
      </c>
      <c r="N206" s="172">
        <v>43101</v>
      </c>
      <c r="O206" s="172"/>
      <c r="Q206" t="s">
        <v>125</v>
      </c>
      <c r="R206">
        <v>1</v>
      </c>
    </row>
    <row r="207" spans="1:18" x14ac:dyDescent="0.25">
      <c r="A207" t="str">
        <f>TableOCEDUC[[#This Row],[Study Package Code]]</f>
        <v>EDEC5018</v>
      </c>
      <c r="B207" s="1">
        <f>TableOCEDUC[[#This Row],[Ver]]</f>
        <v>1</v>
      </c>
      <c r="C207" t="str">
        <f>IF(TableOCEDUC[[#This Row],[Ver]]&gt;0,_xlfn.TEXTBEFORE(TableOCEDUC[[#This Row],[Structure Line]]," "),"")</f>
        <v>MTEC509</v>
      </c>
      <c r="D207" t="str">
        <f>IF(TableOCEDUC[[#This Row],[OUA Code]]&lt;&gt;"",_xlfn.TEXTAFTER(TableOCEDUC[[#This Row],[Structure Line]]," "),TableOCEDUC[[#This Row],[Structure Line]])</f>
        <v>Creative and Media Arts in Early Childhood</v>
      </c>
      <c r="E207" s="82">
        <f>TableOCEDUC[[#This Row],[Credit Points]]</f>
        <v>25</v>
      </c>
      <c r="F207">
        <v>1</v>
      </c>
      <c r="G207" t="s">
        <v>411</v>
      </c>
      <c r="H207">
        <v>0</v>
      </c>
      <c r="I207" t="s">
        <v>376</v>
      </c>
      <c r="J207" t="s">
        <v>131</v>
      </c>
      <c r="K207">
        <v>1</v>
      </c>
      <c r="L207" t="s">
        <v>392</v>
      </c>
      <c r="M207">
        <v>25</v>
      </c>
      <c r="N207" s="172">
        <v>43101</v>
      </c>
      <c r="O207" s="172"/>
      <c r="Q207" t="s">
        <v>131</v>
      </c>
      <c r="R207">
        <v>1</v>
      </c>
    </row>
    <row r="208" spans="1:18" x14ac:dyDescent="0.25">
      <c r="A208" t="str">
        <f>TableOCEDUC[[#This Row],[Study Package Code]]</f>
        <v>EDEC5019</v>
      </c>
      <c r="B208" s="1">
        <f>TableOCEDUC[[#This Row],[Ver]]</f>
        <v>1</v>
      </c>
      <c r="C208" t="str">
        <f>IF(TableOCEDUC[[#This Row],[Ver]]&gt;0,_xlfn.TEXTBEFORE(TableOCEDUC[[#This Row],[Structure Line]]," "),"")</f>
        <v>MTEC508</v>
      </c>
      <c r="D208" t="str">
        <f>IF(TableOCEDUC[[#This Row],[OUA Code]]&lt;&gt;"",_xlfn.TEXTAFTER(TableOCEDUC[[#This Row],[Structure Line]]," "),TableOCEDUC[[#This Row],[Structure Line]])</f>
        <v>Humanities and Science in Early Childhood</v>
      </c>
      <c r="E208" s="82">
        <f>TableOCEDUC[[#This Row],[Credit Points]]</f>
        <v>25</v>
      </c>
      <c r="F208">
        <v>1</v>
      </c>
      <c r="G208" t="s">
        <v>411</v>
      </c>
      <c r="H208">
        <v>0</v>
      </c>
      <c r="I208" t="s">
        <v>376</v>
      </c>
      <c r="J208" t="s">
        <v>134</v>
      </c>
      <c r="K208">
        <v>1</v>
      </c>
      <c r="L208" t="s">
        <v>391</v>
      </c>
      <c r="M208">
        <v>25</v>
      </c>
      <c r="N208" s="172">
        <v>43101</v>
      </c>
      <c r="O208" s="172"/>
      <c r="Q208" t="s">
        <v>134</v>
      </c>
      <c r="R208">
        <v>1</v>
      </c>
    </row>
    <row r="209" spans="1:18" x14ac:dyDescent="0.25">
      <c r="A209" t="str">
        <f>TableOCEDUC[[#This Row],[Study Package Code]]</f>
        <v>EDPR5010</v>
      </c>
      <c r="B209" s="1">
        <f>TableOCEDUC[[#This Row],[Ver]]</f>
        <v>1</v>
      </c>
      <c r="C209" t="str">
        <f>IF(TableOCEDUC[[#This Row],[Ver]]&gt;0,_xlfn.TEXTBEFORE(TableOCEDUC[[#This Row],[Structure Line]]," "),"")</f>
        <v>MTP501</v>
      </c>
      <c r="D209" t="str">
        <f>IF(TableOCEDUC[[#This Row],[OUA Code]]&lt;&gt;"",_xlfn.TEXTAFTER(TableOCEDUC[[#This Row],[Structure Line]]," "),TableOCEDUC[[#This Row],[Structure Line]])</f>
        <v>Teaching Number, Algebra and Probability in the Primary Years</v>
      </c>
      <c r="E209" s="82">
        <f>TableOCEDUC[[#This Row],[Credit Points]]</f>
        <v>25</v>
      </c>
      <c r="F209">
        <v>1</v>
      </c>
      <c r="G209" t="s">
        <v>411</v>
      </c>
      <c r="H209">
        <v>0</v>
      </c>
      <c r="I209" t="s">
        <v>376</v>
      </c>
      <c r="J209" t="s">
        <v>158</v>
      </c>
      <c r="K209">
        <v>1</v>
      </c>
      <c r="L209" t="s">
        <v>396</v>
      </c>
      <c r="M209">
        <v>25</v>
      </c>
      <c r="N209" s="172">
        <v>42736</v>
      </c>
      <c r="O209" s="172"/>
      <c r="Q209" t="s">
        <v>158</v>
      </c>
      <c r="R209">
        <v>1</v>
      </c>
    </row>
    <row r="210" spans="1:18" x14ac:dyDescent="0.25">
      <c r="A210" t="str">
        <f>TableOCEDUC[[#This Row],[Study Package Code]]</f>
        <v>EDPR5012</v>
      </c>
      <c r="B210" s="1">
        <f>TableOCEDUC[[#This Row],[Ver]]</f>
        <v>1</v>
      </c>
      <c r="C210" t="str">
        <f>IF(TableOCEDUC[[#This Row],[Ver]]&gt;0,_xlfn.TEXTBEFORE(TableOCEDUC[[#This Row],[Structure Line]]," "),"")</f>
        <v>MTP505</v>
      </c>
      <c r="D210" t="str">
        <f>IF(TableOCEDUC[[#This Row],[OUA Code]]&lt;&gt;"",_xlfn.TEXTAFTER(TableOCEDUC[[#This Row],[Structure Line]]," "),TableOCEDUC[[#This Row],[Structure Line]])</f>
        <v>Teaching Science in the Primary Years</v>
      </c>
      <c r="E210" s="82">
        <f>TableOCEDUC[[#This Row],[Credit Points]]</f>
        <v>25</v>
      </c>
      <c r="F210">
        <v>1</v>
      </c>
      <c r="G210" t="s">
        <v>411</v>
      </c>
      <c r="H210">
        <v>0</v>
      </c>
      <c r="I210" t="s">
        <v>376</v>
      </c>
      <c r="J210" t="s">
        <v>164</v>
      </c>
      <c r="K210">
        <v>1</v>
      </c>
      <c r="L210" t="s">
        <v>398</v>
      </c>
      <c r="M210">
        <v>25</v>
      </c>
      <c r="N210" s="172">
        <v>42736</v>
      </c>
      <c r="O210" s="172"/>
      <c r="Q210" t="s">
        <v>164</v>
      </c>
      <c r="R210">
        <v>1</v>
      </c>
    </row>
    <row r="211" spans="1:18" x14ac:dyDescent="0.25">
      <c r="A211" t="str">
        <f>TableOCEDUC[[#This Row],[Study Package Code]]</f>
        <v>EDPR5016</v>
      </c>
      <c r="B211" s="1">
        <f>TableOCEDUC[[#This Row],[Ver]]</f>
        <v>1</v>
      </c>
      <c r="C211" t="str">
        <f>IF(TableOCEDUC[[#This Row],[Ver]]&gt;0,_xlfn.TEXTBEFORE(TableOCEDUC[[#This Row],[Structure Line]]," "),"")</f>
        <v>MTP509</v>
      </c>
      <c r="D211" t="str">
        <f>IF(TableOCEDUC[[#This Row],[OUA Code]]&lt;&gt;"",_xlfn.TEXTAFTER(TableOCEDUC[[#This Row],[Structure Line]]," "),TableOCEDUC[[#This Row],[Structure Line]])</f>
        <v>Teaching Arts in the Primary Years</v>
      </c>
      <c r="E211" s="82">
        <f>TableOCEDUC[[#This Row],[Credit Points]]</f>
        <v>25</v>
      </c>
      <c r="F211">
        <v>1</v>
      </c>
      <c r="G211" t="s">
        <v>411</v>
      </c>
      <c r="H211">
        <v>0</v>
      </c>
      <c r="I211" t="s">
        <v>376</v>
      </c>
      <c r="J211" t="s">
        <v>173</v>
      </c>
      <c r="K211">
        <v>1</v>
      </c>
      <c r="L211" t="s">
        <v>403</v>
      </c>
      <c r="M211">
        <v>25</v>
      </c>
      <c r="N211" s="172">
        <v>42736</v>
      </c>
      <c r="O211" s="172"/>
      <c r="Q211" t="s">
        <v>173</v>
      </c>
      <c r="R211">
        <v>1</v>
      </c>
    </row>
    <row r="212" spans="1:18" x14ac:dyDescent="0.25">
      <c r="A212" t="str">
        <f>TableOCEDUC[[#This Row],[Study Package Code]]</f>
        <v>EDPR5017</v>
      </c>
      <c r="B212" s="1">
        <f>TableOCEDUC[[#This Row],[Ver]]</f>
        <v>1</v>
      </c>
      <c r="C212" t="str">
        <f>IF(TableOCEDUC[[#This Row],[Ver]]&gt;0,_xlfn.TEXTBEFORE(TableOCEDUC[[#This Row],[Structure Line]]," "),"")</f>
        <v>MTP504</v>
      </c>
      <c r="D212" t="str">
        <f>IF(TableOCEDUC[[#This Row],[OUA Code]]&lt;&gt;"",_xlfn.TEXTAFTER(TableOCEDUC[[#This Row],[Structure Line]]," "),TableOCEDUC[[#This Row],[Structure Line]])</f>
        <v>Teaching Humanities and Social Sciences in the Primary Years</v>
      </c>
      <c r="E212" s="82">
        <f>TableOCEDUC[[#This Row],[Credit Points]]</f>
        <v>25</v>
      </c>
      <c r="F212">
        <v>1</v>
      </c>
      <c r="G212" t="s">
        <v>411</v>
      </c>
      <c r="H212">
        <v>0</v>
      </c>
      <c r="I212" t="s">
        <v>376</v>
      </c>
      <c r="J212" t="s">
        <v>176</v>
      </c>
      <c r="K212">
        <v>1</v>
      </c>
      <c r="L212" t="s">
        <v>401</v>
      </c>
      <c r="M212">
        <v>25</v>
      </c>
      <c r="N212" s="172">
        <v>42736</v>
      </c>
      <c r="O212" s="172"/>
      <c r="Q212" t="s">
        <v>176</v>
      </c>
      <c r="R212">
        <v>1</v>
      </c>
    </row>
    <row r="213" spans="1:18" x14ac:dyDescent="0.25">
      <c r="A213" t="str">
        <f>TableOCEDUC[[#This Row],[Study Package Code]]</f>
        <v>EDSC5040</v>
      </c>
      <c r="B213" s="1">
        <f>TableOCEDUC[[#This Row],[Ver]]</f>
        <v>1</v>
      </c>
      <c r="C213" t="str">
        <f>IF(TableOCEDUC[[#This Row],[Ver]]&gt;0,_xlfn.TEXTBEFORE(TableOCEDUC[[#This Row],[Structure Line]]," "),"")</f>
        <v>MTS503</v>
      </c>
      <c r="D213" t="str">
        <f>IF(TableOCEDUC[[#This Row],[OUA Code]]&lt;&gt;"",_xlfn.TEXTAFTER(TableOCEDUC[[#This Row],[Structure Line]]," "),TableOCEDUC[[#This Row],[Structure Line]])</f>
        <v>Managing the Learning Environment</v>
      </c>
      <c r="E213" s="82">
        <f>TableOCEDUC[[#This Row],[Credit Points]]</f>
        <v>25</v>
      </c>
      <c r="F213">
        <v>1</v>
      </c>
      <c r="G213" t="s">
        <v>411</v>
      </c>
      <c r="H213">
        <v>0</v>
      </c>
      <c r="I213" t="s">
        <v>376</v>
      </c>
      <c r="J213" t="s">
        <v>191</v>
      </c>
      <c r="K213">
        <v>1</v>
      </c>
      <c r="L213" t="s">
        <v>409</v>
      </c>
      <c r="M213">
        <v>25</v>
      </c>
      <c r="N213" s="172">
        <v>42736</v>
      </c>
      <c r="O213" s="172"/>
      <c r="Q213" t="s">
        <v>191</v>
      </c>
      <c r="R213">
        <v>1</v>
      </c>
    </row>
    <row r="214" spans="1:18" x14ac:dyDescent="0.25">
      <c r="A214" t="str">
        <f>TableOCEDUC[[#This Row],[Study Package Code]]</f>
        <v>EDUC5012</v>
      </c>
      <c r="B214" s="1">
        <f>TableOCEDUC[[#This Row],[Ver]]</f>
        <v>2</v>
      </c>
      <c r="C214" t="str">
        <f>IF(TableOCEDUC[[#This Row],[Ver]]&gt;0,_xlfn.TEXTBEFORE(TableOCEDUC[[#This Row],[Structure Line]]," "),"")</f>
        <v>MTPS500</v>
      </c>
      <c r="D214" t="str">
        <f>IF(TableOCEDUC[[#This Row],[OUA Code]]&lt;&gt;"",_xlfn.TEXTAFTER(TableOCEDUC[[#This Row],[Structure Line]]," "),TableOCEDUC[[#This Row],[Structure Line]])</f>
        <v>Theories of Development and Learning</v>
      </c>
      <c r="E214" s="82">
        <f>TableOCEDUC[[#This Row],[Credit Points]]</f>
        <v>25</v>
      </c>
      <c r="F214">
        <v>1</v>
      </c>
      <c r="G214" t="s">
        <v>411</v>
      </c>
      <c r="H214">
        <v>0</v>
      </c>
      <c r="I214" t="s">
        <v>376</v>
      </c>
      <c r="J214" t="s">
        <v>239</v>
      </c>
      <c r="K214">
        <v>2</v>
      </c>
      <c r="L214" t="s">
        <v>387</v>
      </c>
      <c r="M214">
        <v>25</v>
      </c>
      <c r="N214" s="172">
        <v>44197</v>
      </c>
      <c r="O214" s="172"/>
      <c r="Q214" t="s">
        <v>239</v>
      </c>
      <c r="R214">
        <v>2</v>
      </c>
    </row>
    <row r="215" spans="1:18" x14ac:dyDescent="0.25">
      <c r="A215" t="str">
        <f>TableOCEDUC[[#This Row],[Study Package Code]]</f>
        <v>EDUC5013</v>
      </c>
      <c r="B215" s="1">
        <f>TableOCEDUC[[#This Row],[Ver]]</f>
        <v>1</v>
      </c>
      <c r="C215" t="str">
        <f>IF(TableOCEDUC[[#This Row],[Ver]]&gt;0,_xlfn.TEXTBEFORE(TableOCEDUC[[#This Row],[Structure Line]]," "),"")</f>
        <v>MTP503</v>
      </c>
      <c r="D215" t="str">
        <f>IF(TableOCEDUC[[#This Row],[OUA Code]]&lt;&gt;"",_xlfn.TEXTAFTER(TableOCEDUC[[#This Row],[Structure Line]]," "),TableOCEDUC[[#This Row],[Structure Line]])</f>
        <v>Developing Positive Learning Environments</v>
      </c>
      <c r="E215" s="82">
        <f>TableOCEDUC[[#This Row],[Credit Points]]</f>
        <v>25</v>
      </c>
      <c r="F215">
        <v>1</v>
      </c>
      <c r="G215" t="s">
        <v>411</v>
      </c>
      <c r="H215">
        <v>0</v>
      </c>
      <c r="I215" t="s">
        <v>376</v>
      </c>
      <c r="J215" t="s">
        <v>241</v>
      </c>
      <c r="K215">
        <v>1</v>
      </c>
      <c r="L215" t="s">
        <v>386</v>
      </c>
      <c r="M215">
        <v>25</v>
      </c>
      <c r="N215" s="172">
        <v>42736</v>
      </c>
      <c r="O215" s="172"/>
      <c r="Q215" t="s">
        <v>241</v>
      </c>
      <c r="R215">
        <v>1</v>
      </c>
    </row>
    <row r="216" spans="1:18" x14ac:dyDescent="0.25">
      <c r="A216" t="str">
        <f>TableOCEDUC[[#This Row],[Study Package Code]]</f>
        <v>EDUC5014</v>
      </c>
      <c r="B216" s="1">
        <f>TableOCEDUC[[#This Row],[Ver]]</f>
        <v>1</v>
      </c>
      <c r="C216" t="str">
        <f>IF(TableOCEDUC[[#This Row],[Ver]]&gt;0,_xlfn.TEXTBEFORE(TableOCEDUC[[#This Row],[Structure Line]]," "),"")</f>
        <v>MTPS501</v>
      </c>
      <c r="D216" t="str">
        <f>IF(TableOCEDUC[[#This Row],[OUA Code]]&lt;&gt;"",_xlfn.TEXTAFTER(TableOCEDUC[[#This Row],[Structure Line]]," "),TableOCEDUC[[#This Row],[Structure Line]])</f>
        <v>Pedagogies for Diversity</v>
      </c>
      <c r="E216" s="82">
        <f>TableOCEDUC[[#This Row],[Credit Points]]</f>
        <v>25</v>
      </c>
      <c r="F216">
        <v>1</v>
      </c>
      <c r="G216" t="s">
        <v>411</v>
      </c>
      <c r="H216">
        <v>0</v>
      </c>
      <c r="I216" t="s">
        <v>376</v>
      </c>
      <c r="J216" t="s">
        <v>244</v>
      </c>
      <c r="K216">
        <v>1</v>
      </c>
      <c r="L216" t="s">
        <v>405</v>
      </c>
      <c r="M216">
        <v>25</v>
      </c>
      <c r="N216" s="172">
        <v>42736</v>
      </c>
      <c r="O216" s="172"/>
      <c r="Q216" t="s">
        <v>244</v>
      </c>
      <c r="R216">
        <v>1</v>
      </c>
    </row>
    <row r="217" spans="1:18" x14ac:dyDescent="0.25">
      <c r="A217" t="str">
        <f>TableOCEDUC[[#This Row],[Study Package Code]]</f>
        <v>EDUC5017</v>
      </c>
      <c r="B217" s="1">
        <f>TableOCEDUC[[#This Row],[Ver]]</f>
        <v>1</v>
      </c>
      <c r="C217" t="str">
        <f>IF(TableOCEDUC[[#This Row],[Ver]]&gt;0,_xlfn.TEXTBEFORE(TableOCEDUC[[#This Row],[Structure Line]]," "),"")</f>
        <v>MTPS504</v>
      </c>
      <c r="D217" t="str">
        <f>IF(TableOCEDUC[[#This Row],[OUA Code]]&lt;&gt;"",_xlfn.TEXTAFTER(TableOCEDUC[[#This Row],[Structure Line]]," "),TableOCEDUC[[#This Row],[Structure Line]])</f>
        <v>Creative Technologies</v>
      </c>
      <c r="E217" s="82">
        <f>TableOCEDUC[[#This Row],[Credit Points]]</f>
        <v>25</v>
      </c>
      <c r="F217">
        <v>1</v>
      </c>
      <c r="G217" t="s">
        <v>411</v>
      </c>
      <c r="H217">
        <v>0</v>
      </c>
      <c r="I217" t="s">
        <v>376</v>
      </c>
      <c r="J217" t="s">
        <v>247</v>
      </c>
      <c r="K217">
        <v>1</v>
      </c>
      <c r="L217" t="s">
        <v>395</v>
      </c>
      <c r="M217">
        <v>25</v>
      </c>
      <c r="N217" s="172">
        <v>42736</v>
      </c>
      <c r="O217" s="172"/>
      <c r="Q217" t="s">
        <v>247</v>
      </c>
      <c r="R217">
        <v>1</v>
      </c>
    </row>
    <row r="218" spans="1:18" x14ac:dyDescent="0.25">
      <c r="A218" t="str">
        <f>TableOCEDUC[[#This Row],[Study Package Code]]</f>
        <v>EDUC5034</v>
      </c>
      <c r="B218" s="1">
        <f>TableOCEDUC[[#This Row],[Ver]]</f>
        <v>1</v>
      </c>
      <c r="C218" t="str">
        <f>IF(TableOCEDUC[[#This Row],[Ver]]&gt;0,_xlfn.TEXTBEFORE(TableOCEDUC[[#This Row],[Structure Line]]," "),"")</f>
        <v>MTC520</v>
      </c>
      <c r="D218" t="str">
        <f>IF(TableOCEDUC[[#This Row],[OUA Code]]&lt;&gt;"",_xlfn.TEXTAFTER(TableOCEDUC[[#This Row],[Structure Line]]," "),TableOCEDUC[[#This Row],[Structure Line]])</f>
        <v>Mentoring, Coaching and Tutoring</v>
      </c>
      <c r="E218" s="82">
        <f>TableOCEDUC[[#This Row],[Credit Points]]</f>
        <v>25</v>
      </c>
      <c r="F218">
        <v>1</v>
      </c>
      <c r="G218" t="s">
        <v>411</v>
      </c>
      <c r="H218">
        <v>0</v>
      </c>
      <c r="I218" t="s">
        <v>376</v>
      </c>
      <c r="J218" t="s">
        <v>268</v>
      </c>
      <c r="K218">
        <v>1</v>
      </c>
      <c r="L218" t="s">
        <v>428</v>
      </c>
      <c r="M218">
        <v>25</v>
      </c>
      <c r="N218" s="172">
        <v>44562</v>
      </c>
      <c r="O218" s="172"/>
      <c r="Q218" t="s">
        <v>268</v>
      </c>
      <c r="R218">
        <v>1</v>
      </c>
    </row>
    <row r="220" spans="1:18" x14ac:dyDescent="0.25">
      <c r="B220"/>
      <c r="E220"/>
      <c r="F220" s="258"/>
      <c r="G220" s="262" t="s">
        <v>359</v>
      </c>
      <c r="H220" s="263">
        <v>45972</v>
      </c>
      <c r="I220" s="264"/>
      <c r="J220" s="259" t="s">
        <v>19</v>
      </c>
      <c r="K220" s="260">
        <v>1</v>
      </c>
      <c r="L220" s="259" t="s">
        <v>18</v>
      </c>
      <c r="M220" s="261"/>
      <c r="N220" s="208">
        <v>44197</v>
      </c>
      <c r="O220" s="263"/>
    </row>
    <row r="221" spans="1:18" x14ac:dyDescent="0.25">
      <c r="A221" t="s">
        <v>3</v>
      </c>
      <c r="B221" s="1" t="s">
        <v>361</v>
      </c>
      <c r="C221" t="s">
        <v>362</v>
      </c>
      <c r="D221" t="s">
        <v>363</v>
      </c>
      <c r="E221" s="82" t="s">
        <v>364</v>
      </c>
      <c r="F221" t="s">
        <v>365</v>
      </c>
      <c r="G221" t="s">
        <v>366</v>
      </c>
      <c r="H221" t="s">
        <v>367</v>
      </c>
      <c r="I221" t="s">
        <v>368</v>
      </c>
      <c r="J221" t="s">
        <v>369</v>
      </c>
      <c r="K221" t="s">
        <v>98</v>
      </c>
      <c r="L221" t="s">
        <v>370</v>
      </c>
      <c r="M221" t="s">
        <v>8</v>
      </c>
      <c r="N221" s="171" t="s">
        <v>371</v>
      </c>
      <c r="O221" s="171" t="s">
        <v>372</v>
      </c>
      <c r="Q221" t="s">
        <v>373</v>
      </c>
      <c r="R221" t="s">
        <v>374</v>
      </c>
    </row>
    <row r="222" spans="1:18" x14ac:dyDescent="0.25">
      <c r="A222" t="str">
        <f>TableOCEDHE1[[#This Row],[Study Package Code]]</f>
        <v>EDHE5001</v>
      </c>
      <c r="B222" s="1">
        <f>TableOCEDHE1[[#This Row],[Ver]]</f>
        <v>1</v>
      </c>
      <c r="C222" t="str">
        <f>IF(TableOCEDHE1[[#This Row],[Ver]]&gt;0,_xlfn.TEXTBEFORE(TableOCEDHE1[[#This Row],[Structure Line]]," "),"")</f>
        <v>EDHE501</v>
      </c>
      <c r="D222" t="str">
        <f>IF(TableOCEDHE1[[#This Row],[OUA Code]]&lt;&gt;"",_xlfn.TEXTAFTER(TableOCEDHE1[[#This Row],[Structure Line]]," "),TableOCEDHE1[[#This Row],[Structure Line]])</f>
        <v>The Learning Cycle: Design and Curriculum</v>
      </c>
      <c r="E222" s="82">
        <f>TableOCEDHE1[[#This Row],[Credit Points]]</f>
        <v>25</v>
      </c>
      <c r="F222">
        <v>1</v>
      </c>
      <c r="G222" t="s">
        <v>379</v>
      </c>
      <c r="H222">
        <v>1</v>
      </c>
      <c r="I222" t="s">
        <v>376</v>
      </c>
      <c r="J222" t="s">
        <v>146</v>
      </c>
      <c r="K222">
        <v>1</v>
      </c>
      <c r="L222" t="s">
        <v>459</v>
      </c>
      <c r="M222">
        <v>25</v>
      </c>
      <c r="N222" s="172">
        <v>43466</v>
      </c>
      <c r="O222" s="172"/>
      <c r="Q222" t="s">
        <v>146</v>
      </c>
      <c r="R222">
        <v>1</v>
      </c>
    </row>
    <row r="223" spans="1:18" x14ac:dyDescent="0.25">
      <c r="A223" t="str">
        <f>TableOCEDHE1[[#This Row],[Study Package Code]]</f>
        <v>EDHE5002</v>
      </c>
      <c r="B223" s="1">
        <f>TableOCEDHE1[[#This Row],[Ver]]</f>
        <v>1</v>
      </c>
      <c r="C223" t="str">
        <f>IF(TableOCEDHE1[[#This Row],[Ver]]&gt;0,_xlfn.TEXTBEFORE(TableOCEDHE1[[#This Row],[Structure Line]]," "),"")</f>
        <v>EDHE502</v>
      </c>
      <c r="D223" t="str">
        <f>IF(TableOCEDHE1[[#This Row],[OUA Code]]&lt;&gt;"",_xlfn.TEXTAFTER(TableOCEDHE1[[#This Row],[Structure Line]]," "),TableOCEDHE1[[#This Row],[Structure Line]])</f>
        <v>Design Thinking and Educational Innovation</v>
      </c>
      <c r="E223" s="82">
        <f>TableOCEDHE1[[#This Row],[Credit Points]]</f>
        <v>25</v>
      </c>
      <c r="F223">
        <v>2</v>
      </c>
      <c r="G223" t="s">
        <v>379</v>
      </c>
      <c r="H223">
        <v>1</v>
      </c>
      <c r="I223" t="s">
        <v>376</v>
      </c>
      <c r="J223" t="s">
        <v>149</v>
      </c>
      <c r="K223">
        <v>1</v>
      </c>
      <c r="L223" t="s">
        <v>460</v>
      </c>
      <c r="M223">
        <v>25</v>
      </c>
      <c r="N223" s="172">
        <v>43466</v>
      </c>
      <c r="O223" s="172"/>
      <c r="Q223" t="s">
        <v>149</v>
      </c>
      <c r="R223">
        <v>1</v>
      </c>
    </row>
    <row r="224" spans="1:18" x14ac:dyDescent="0.25">
      <c r="A224" t="str">
        <f>TableOCEDHE1[[#This Row],[Study Package Code]]</f>
        <v>EDHE5004</v>
      </c>
      <c r="B224" s="1">
        <f>TableOCEDHE1[[#This Row],[Ver]]</f>
        <v>1</v>
      </c>
      <c r="C224" t="str">
        <f>IF(TableOCEDHE1[[#This Row],[Ver]]&gt;0,_xlfn.TEXTBEFORE(TableOCEDHE1[[#This Row],[Structure Line]]," "),"")</f>
        <v>EDHE504</v>
      </c>
      <c r="D224" t="str">
        <f>IF(TableOCEDHE1[[#This Row],[OUA Code]]&lt;&gt;"",_xlfn.TEXTAFTER(TableOCEDHE1[[#This Row],[Structure Line]]," "),TableOCEDHE1[[#This Row],[Structure Line]])</f>
        <v>Research for the Scholarship of Learning and Teaching</v>
      </c>
      <c r="E224" s="82">
        <f>TableOCEDHE1[[#This Row],[Credit Points]]</f>
        <v>25</v>
      </c>
      <c r="F224">
        <v>3</v>
      </c>
      <c r="G224" t="s">
        <v>379</v>
      </c>
      <c r="H224">
        <v>1</v>
      </c>
      <c r="I224" t="s">
        <v>376</v>
      </c>
      <c r="J224" t="s">
        <v>152</v>
      </c>
      <c r="K224">
        <v>1</v>
      </c>
      <c r="L224" t="s">
        <v>461</v>
      </c>
      <c r="M224">
        <v>25</v>
      </c>
      <c r="N224" s="172">
        <v>43466</v>
      </c>
      <c r="O224" s="172"/>
      <c r="Q224" t="s">
        <v>152</v>
      </c>
      <c r="R224">
        <v>1</v>
      </c>
    </row>
    <row r="225" spans="1:18" x14ac:dyDescent="0.25">
      <c r="A225" t="str">
        <f>TableOCEDHE1[[#This Row],[Study Package Code]]</f>
        <v>EDHE5005</v>
      </c>
      <c r="B225" s="1">
        <f>TableOCEDHE1[[#This Row],[Ver]]</f>
        <v>1</v>
      </c>
      <c r="C225" t="str">
        <f>IF(TableOCEDHE1[[#This Row],[Ver]]&gt;0,_xlfn.TEXTBEFORE(TableOCEDHE1[[#This Row],[Structure Line]]," "),"")</f>
        <v>EDHE505</v>
      </c>
      <c r="D225" t="str">
        <f>IF(TableOCEDHE1[[#This Row],[OUA Code]]&lt;&gt;"",_xlfn.TEXTAFTER(TableOCEDHE1[[#This Row],[Structure Line]]," "),TableOCEDHE1[[#This Row],[Structure Line]])</f>
        <v>Teaching Portfolio</v>
      </c>
      <c r="E225" s="82">
        <f>TableOCEDHE1[[#This Row],[Credit Points]]</f>
        <v>25</v>
      </c>
      <c r="F225">
        <v>4</v>
      </c>
      <c r="G225" t="s">
        <v>379</v>
      </c>
      <c r="H225">
        <v>1</v>
      </c>
      <c r="I225" t="s">
        <v>376</v>
      </c>
      <c r="J225" t="s">
        <v>155</v>
      </c>
      <c r="K225">
        <v>1</v>
      </c>
      <c r="L225" t="s">
        <v>462</v>
      </c>
      <c r="M225">
        <v>25</v>
      </c>
      <c r="N225" s="172">
        <v>43466</v>
      </c>
      <c r="O225" s="172"/>
      <c r="Q225" t="s">
        <v>155</v>
      </c>
      <c r="R225">
        <v>1</v>
      </c>
    </row>
    <row r="226" spans="1:18" x14ac:dyDescent="0.25">
      <c r="B226"/>
      <c r="E226"/>
      <c r="F226" s="258"/>
      <c r="G226" s="262" t="s">
        <v>359</v>
      </c>
      <c r="H226" s="263">
        <v>45972</v>
      </c>
      <c r="I226" s="264"/>
      <c r="J226" s="259" t="s">
        <v>21</v>
      </c>
      <c r="K226" s="260">
        <v>1</v>
      </c>
      <c r="L226" s="259" t="s">
        <v>20</v>
      </c>
      <c r="M226" s="261"/>
      <c r="N226" s="208">
        <v>43466</v>
      </c>
      <c r="O226" s="263"/>
    </row>
    <row r="227" spans="1:18" x14ac:dyDescent="0.25">
      <c r="A227" t="s">
        <v>3</v>
      </c>
      <c r="B227" s="1" t="s">
        <v>361</v>
      </c>
      <c r="C227" t="s">
        <v>362</v>
      </c>
      <c r="D227" t="s">
        <v>363</v>
      </c>
      <c r="E227" s="82" t="s">
        <v>364</v>
      </c>
      <c r="F227" t="s">
        <v>365</v>
      </c>
      <c r="G227" t="s">
        <v>366</v>
      </c>
      <c r="H227" t="s">
        <v>367</v>
      </c>
      <c r="I227" t="s">
        <v>368</v>
      </c>
      <c r="J227" t="s">
        <v>369</v>
      </c>
      <c r="K227" t="s">
        <v>98</v>
      </c>
      <c r="L227" t="s">
        <v>370</v>
      </c>
      <c r="M227" t="s">
        <v>8</v>
      </c>
      <c r="N227" s="171" t="s">
        <v>371</v>
      </c>
      <c r="O227" s="171" t="s">
        <v>372</v>
      </c>
      <c r="Q227" t="s">
        <v>373</v>
      </c>
      <c r="R227" t="s">
        <v>374</v>
      </c>
    </row>
    <row r="228" spans="1:18" x14ac:dyDescent="0.25">
      <c r="A228" t="str">
        <f>TableOCEDHE[[#This Row],[Study Package Code]]</f>
        <v>EDHE5004</v>
      </c>
      <c r="B228" s="1">
        <f>TableOCEDHE[[#This Row],[Ver]]</f>
        <v>1</v>
      </c>
      <c r="C228" t="str">
        <f>IF(TableOCEDHE[[#This Row],[Ver]]&gt;0,_xlfn.TEXTBEFORE(TableOCEDHE[[#This Row],[Structure Line]]," "),"")</f>
        <v>EDHE504</v>
      </c>
      <c r="D228" t="str">
        <f>IF(TableOCEDHE[[#This Row],[OUA Code]]&lt;&gt;"",_xlfn.TEXTAFTER(TableOCEDHE[[#This Row],[Structure Line]]," "),TableOCEDHE[[#This Row],[Structure Line]])</f>
        <v>Research for the Scholarship of Learning and Teaching</v>
      </c>
      <c r="E228" s="82">
        <f>TableOCEDHE[[#This Row],[Credit Points]]</f>
        <v>25</v>
      </c>
      <c r="F228">
        <v>1</v>
      </c>
      <c r="G228" t="s">
        <v>379</v>
      </c>
      <c r="H228">
        <v>1</v>
      </c>
      <c r="I228" t="s">
        <v>376</v>
      </c>
      <c r="J228" t="s">
        <v>152</v>
      </c>
      <c r="K228">
        <v>1</v>
      </c>
      <c r="L228" t="s">
        <v>461</v>
      </c>
      <c r="M228">
        <v>25</v>
      </c>
      <c r="N228" s="172">
        <v>43466</v>
      </c>
      <c r="O228" s="172"/>
      <c r="Q228" t="s">
        <v>152</v>
      </c>
      <c r="R228">
        <v>1</v>
      </c>
    </row>
    <row r="229" spans="1:18" x14ac:dyDescent="0.25">
      <c r="A229" t="str">
        <f>TableOCEDHE[[#This Row],[Study Package Code]]</f>
        <v>EDHE5005</v>
      </c>
      <c r="B229" s="1">
        <f>TableOCEDHE[[#This Row],[Ver]]</f>
        <v>1</v>
      </c>
      <c r="C229" t="str">
        <f>IF(TableOCEDHE[[#This Row],[Ver]]&gt;0,_xlfn.TEXTBEFORE(TableOCEDHE[[#This Row],[Structure Line]]," "),"")</f>
        <v>EDHE505</v>
      </c>
      <c r="D229" t="str">
        <f>IF(TableOCEDHE[[#This Row],[OUA Code]]&lt;&gt;"",_xlfn.TEXTAFTER(TableOCEDHE[[#This Row],[Structure Line]]," "),TableOCEDHE[[#This Row],[Structure Line]])</f>
        <v>Teaching Portfolio</v>
      </c>
      <c r="E229" s="82">
        <f>TableOCEDHE[[#This Row],[Credit Points]]</f>
        <v>25</v>
      </c>
      <c r="F229">
        <v>2</v>
      </c>
      <c r="G229" t="s">
        <v>379</v>
      </c>
      <c r="H229">
        <v>1</v>
      </c>
      <c r="I229" t="s">
        <v>376</v>
      </c>
      <c r="J229" t="s">
        <v>155</v>
      </c>
      <c r="K229">
        <v>1</v>
      </c>
      <c r="L229" t="s">
        <v>462</v>
      </c>
      <c r="M229">
        <v>25</v>
      </c>
      <c r="N229" s="172">
        <v>43466</v>
      </c>
      <c r="O229" s="172"/>
      <c r="Q229" t="s">
        <v>155</v>
      </c>
      <c r="R229">
        <v>1</v>
      </c>
    </row>
    <row r="230" spans="1:18" x14ac:dyDescent="0.25">
      <c r="A230" t="str">
        <f>TableOCEDHE[[#This Row],[Study Package Code]]</f>
        <v>EDHE5001</v>
      </c>
      <c r="B230" s="1">
        <f>TableOCEDHE[[#This Row],[Ver]]</f>
        <v>1</v>
      </c>
      <c r="C230" t="str">
        <f>IF(TableOCEDHE[[#This Row],[Ver]]&gt;0,_xlfn.TEXTBEFORE(TableOCEDHE[[#This Row],[Structure Line]]," "),"")</f>
        <v>EDHE501</v>
      </c>
      <c r="D230" t="str">
        <f>IF(TableOCEDHE[[#This Row],[OUA Code]]&lt;&gt;"",_xlfn.TEXTAFTER(TableOCEDHE[[#This Row],[Structure Line]]," "),TableOCEDHE[[#This Row],[Structure Line]])</f>
        <v>The Learning Cycle: Design and Curriculum</v>
      </c>
      <c r="E230" s="82">
        <f>TableOCEDHE[[#This Row],[Credit Points]]</f>
        <v>25</v>
      </c>
      <c r="F230">
        <v>3</v>
      </c>
      <c r="G230" t="s">
        <v>379</v>
      </c>
      <c r="H230">
        <v>1</v>
      </c>
      <c r="I230" t="s">
        <v>376</v>
      </c>
      <c r="J230" t="s">
        <v>146</v>
      </c>
      <c r="K230">
        <v>1</v>
      </c>
      <c r="L230" t="s">
        <v>459</v>
      </c>
      <c r="M230">
        <v>25</v>
      </c>
      <c r="N230" s="172">
        <v>43466</v>
      </c>
      <c r="O230" s="172"/>
      <c r="Q230" t="s">
        <v>146</v>
      </c>
      <c r="R230">
        <v>1</v>
      </c>
    </row>
    <row r="231" spans="1:18" x14ac:dyDescent="0.25">
      <c r="A231" t="str">
        <f>TableOCEDHE[[#This Row],[Study Package Code]]</f>
        <v>EDHE5002</v>
      </c>
      <c r="B231" s="1">
        <f>TableOCEDHE[[#This Row],[Ver]]</f>
        <v>1</v>
      </c>
      <c r="C231" t="str">
        <f>IF(TableOCEDHE[[#This Row],[Ver]]&gt;0,_xlfn.TEXTBEFORE(TableOCEDHE[[#This Row],[Structure Line]]," "),"")</f>
        <v>EDHE502</v>
      </c>
      <c r="D231" t="str">
        <f>IF(TableOCEDHE[[#This Row],[OUA Code]]&lt;&gt;"",_xlfn.TEXTAFTER(TableOCEDHE[[#This Row],[Structure Line]]," "),TableOCEDHE[[#This Row],[Structure Line]])</f>
        <v>Design Thinking and Educational Innovation</v>
      </c>
      <c r="E231" s="82">
        <f>TableOCEDHE[[#This Row],[Credit Points]]</f>
        <v>25</v>
      </c>
      <c r="F231">
        <v>4</v>
      </c>
      <c r="G231" t="s">
        <v>379</v>
      </c>
      <c r="H231">
        <v>1</v>
      </c>
      <c r="I231" t="s">
        <v>376</v>
      </c>
      <c r="J231" t="s">
        <v>149</v>
      </c>
      <c r="K231">
        <v>1</v>
      </c>
      <c r="L231" t="s">
        <v>460</v>
      </c>
      <c r="M231">
        <v>25</v>
      </c>
      <c r="N231" s="172">
        <v>43466</v>
      </c>
      <c r="O231" s="172"/>
      <c r="Q231" t="s">
        <v>149</v>
      </c>
      <c r="R231">
        <v>1</v>
      </c>
    </row>
  </sheetData>
  <conditionalFormatting sqref="J4:J7">
    <cfRule type="duplicateValues" dxfId="98" priority="62"/>
  </conditionalFormatting>
  <conditionalFormatting sqref="J10:J25">
    <cfRule type="duplicateValues" dxfId="97" priority="50"/>
  </conditionalFormatting>
  <conditionalFormatting sqref="J28:J43">
    <cfRule type="duplicateValues" dxfId="96" priority="47"/>
  </conditionalFormatting>
  <conditionalFormatting sqref="J46:J85">
    <cfRule type="duplicateValues" dxfId="95" priority="44"/>
  </conditionalFormatting>
  <conditionalFormatting sqref="J89:J95">
    <cfRule type="duplicateValues" dxfId="94" priority="41"/>
  </conditionalFormatting>
  <conditionalFormatting sqref="J98:J103">
    <cfRule type="duplicateValues" dxfId="93" priority="38"/>
  </conditionalFormatting>
  <conditionalFormatting sqref="J106:J111">
    <cfRule type="duplicateValues" dxfId="92" priority="35"/>
  </conditionalFormatting>
  <conditionalFormatting sqref="J115:J130">
    <cfRule type="duplicateValues" dxfId="91" priority="32"/>
  </conditionalFormatting>
  <conditionalFormatting sqref="J133:J136">
    <cfRule type="duplicateValues" dxfId="90" priority="29"/>
  </conditionalFormatting>
  <conditionalFormatting sqref="J139:J142">
    <cfRule type="duplicateValues" dxfId="89" priority="26"/>
  </conditionalFormatting>
  <conditionalFormatting sqref="J145:J149">
    <cfRule type="duplicateValues" dxfId="88" priority="23"/>
  </conditionalFormatting>
  <conditionalFormatting sqref="J152:J154">
    <cfRule type="duplicateValues" dxfId="87" priority="20"/>
  </conditionalFormatting>
  <conditionalFormatting sqref="J157:J164">
    <cfRule type="duplicateValues" dxfId="86" priority="17"/>
  </conditionalFormatting>
  <conditionalFormatting sqref="J167:J186">
    <cfRule type="duplicateValues" dxfId="85" priority="14"/>
  </conditionalFormatting>
  <conditionalFormatting sqref="J189:J202">
    <cfRule type="duplicateValues" dxfId="84" priority="11"/>
  </conditionalFormatting>
  <conditionalFormatting sqref="J205:J218">
    <cfRule type="duplicateValues" dxfId="83" priority="8"/>
  </conditionalFormatting>
  <conditionalFormatting sqref="J222:J225">
    <cfRule type="duplicateValues" dxfId="82" priority="5"/>
  </conditionalFormatting>
  <conditionalFormatting sqref="J228:J231">
    <cfRule type="duplicateValues" dxfId="81" priority="2"/>
  </conditionalFormatting>
  <conditionalFormatting sqref="N4:N7">
    <cfRule type="cellIs" dxfId="80" priority="61" operator="greaterThan">
      <formula>$P$1</formula>
    </cfRule>
  </conditionalFormatting>
  <conditionalFormatting sqref="N10:N25">
    <cfRule type="cellIs" dxfId="79" priority="49" operator="greaterThan">
      <formula>$P$1</formula>
    </cfRule>
  </conditionalFormatting>
  <conditionalFormatting sqref="N28:N43">
    <cfRule type="cellIs" dxfId="78" priority="46" operator="greaterThan">
      <formula>$P$1</formula>
    </cfRule>
  </conditionalFormatting>
  <conditionalFormatting sqref="N46:N85">
    <cfRule type="cellIs" dxfId="77" priority="43" operator="greaterThan">
      <formula>$P$1</formula>
    </cfRule>
  </conditionalFormatting>
  <conditionalFormatting sqref="N89:N95">
    <cfRule type="cellIs" dxfId="76" priority="40" operator="greaterThan">
      <formula>$P$1</formula>
    </cfRule>
  </conditionalFormatting>
  <conditionalFormatting sqref="N98:N103">
    <cfRule type="cellIs" dxfId="75" priority="37" operator="greaterThan">
      <formula>$P$1</formula>
    </cfRule>
  </conditionalFormatting>
  <conditionalFormatting sqref="N106:N111">
    <cfRule type="cellIs" dxfId="74" priority="34" operator="greaterThan">
      <formula>$P$1</formula>
    </cfRule>
  </conditionalFormatting>
  <conditionalFormatting sqref="N115:N130">
    <cfRule type="cellIs" dxfId="73" priority="31" operator="greaterThan">
      <formula>$P$1</formula>
    </cfRule>
  </conditionalFormatting>
  <conditionalFormatting sqref="N133:N136">
    <cfRule type="cellIs" dxfId="72" priority="28" operator="greaterThan">
      <formula>$P$1</formula>
    </cfRule>
  </conditionalFormatting>
  <conditionalFormatting sqref="N139:N142">
    <cfRule type="cellIs" dxfId="71" priority="25" operator="greaterThan">
      <formula>$P$1</formula>
    </cfRule>
  </conditionalFormatting>
  <conditionalFormatting sqref="N145:N149">
    <cfRule type="cellIs" dxfId="70" priority="22" operator="greaterThan">
      <formula>$P$1</formula>
    </cfRule>
  </conditionalFormatting>
  <conditionalFormatting sqref="N152:N154">
    <cfRule type="cellIs" dxfId="69" priority="19" operator="greaterThan">
      <formula>$P$1</formula>
    </cfRule>
  </conditionalFormatting>
  <conditionalFormatting sqref="N157:N164">
    <cfRule type="cellIs" dxfId="68" priority="16" operator="greaterThan">
      <formula>$P$1</formula>
    </cfRule>
  </conditionalFormatting>
  <conditionalFormatting sqref="N167:N186">
    <cfRule type="cellIs" dxfId="67" priority="13" operator="greaterThan">
      <formula>$P$1</formula>
    </cfRule>
  </conditionalFormatting>
  <conditionalFormatting sqref="N189:N202">
    <cfRule type="cellIs" dxfId="66" priority="10" operator="greaterThan">
      <formula>$P$1</formula>
    </cfRule>
  </conditionalFormatting>
  <conditionalFormatting sqref="N205:N218">
    <cfRule type="cellIs" dxfId="65" priority="7" operator="greaterThan">
      <formula>$P$1</formula>
    </cfRule>
  </conditionalFormatting>
  <conditionalFormatting sqref="N222:N225">
    <cfRule type="cellIs" dxfId="64" priority="4" operator="greaterThan">
      <formula>$P$1</formula>
    </cfRule>
  </conditionalFormatting>
  <conditionalFormatting sqref="N228:N231">
    <cfRule type="cellIs" dxfId="63" priority="1" operator="greaterThan">
      <formula>$P$1</formula>
    </cfRule>
  </conditionalFormatting>
  <conditionalFormatting sqref="O4:O7">
    <cfRule type="notContainsBlanks" dxfId="62" priority="116">
      <formula>LEN(TRIM(O4))&gt;0</formula>
    </cfRule>
  </conditionalFormatting>
  <conditionalFormatting sqref="O10:O25">
    <cfRule type="notContainsBlanks" dxfId="61" priority="51">
      <formula>LEN(TRIM(O10))&gt;0</formula>
    </cfRule>
  </conditionalFormatting>
  <conditionalFormatting sqref="O28:O43">
    <cfRule type="notContainsBlanks" dxfId="60" priority="48">
      <formula>LEN(TRIM(O28))&gt;0</formula>
    </cfRule>
  </conditionalFormatting>
  <conditionalFormatting sqref="O46:O85">
    <cfRule type="notContainsBlanks" dxfId="59" priority="45">
      <formula>LEN(TRIM(O46))&gt;0</formula>
    </cfRule>
  </conditionalFormatting>
  <conditionalFormatting sqref="O89:O95">
    <cfRule type="notContainsBlanks" dxfId="58" priority="42">
      <formula>LEN(TRIM(O89))&gt;0</formula>
    </cfRule>
  </conditionalFormatting>
  <conditionalFormatting sqref="O98:O103">
    <cfRule type="notContainsBlanks" dxfId="57" priority="39">
      <formula>LEN(TRIM(O98))&gt;0</formula>
    </cfRule>
  </conditionalFormatting>
  <conditionalFormatting sqref="O106:O111">
    <cfRule type="notContainsBlanks" dxfId="56" priority="36">
      <formula>LEN(TRIM(O106))&gt;0</formula>
    </cfRule>
  </conditionalFormatting>
  <conditionalFormatting sqref="O115:O130">
    <cfRule type="notContainsBlanks" dxfId="55" priority="33">
      <formula>LEN(TRIM(O115))&gt;0</formula>
    </cfRule>
  </conditionalFormatting>
  <conditionalFormatting sqref="O133:O136">
    <cfRule type="notContainsBlanks" dxfId="54" priority="30">
      <formula>LEN(TRIM(O133))&gt;0</formula>
    </cfRule>
  </conditionalFormatting>
  <conditionalFormatting sqref="O139:O142">
    <cfRule type="notContainsBlanks" dxfId="53" priority="27">
      <formula>LEN(TRIM(O139))&gt;0</formula>
    </cfRule>
  </conditionalFormatting>
  <conditionalFormatting sqref="O145:O149">
    <cfRule type="notContainsBlanks" dxfId="52" priority="24">
      <formula>LEN(TRIM(O145))&gt;0</formula>
    </cfRule>
  </conditionalFormatting>
  <conditionalFormatting sqref="O152:O154">
    <cfRule type="notContainsBlanks" dxfId="51" priority="21">
      <formula>LEN(TRIM(O152))&gt;0</formula>
    </cfRule>
  </conditionalFormatting>
  <conditionalFormatting sqref="O157:O164">
    <cfRule type="notContainsBlanks" dxfId="50" priority="18">
      <formula>LEN(TRIM(O157))&gt;0</formula>
    </cfRule>
  </conditionalFormatting>
  <conditionalFormatting sqref="O167:O186">
    <cfRule type="notContainsBlanks" dxfId="49" priority="15">
      <formula>LEN(TRIM(O167))&gt;0</formula>
    </cfRule>
  </conditionalFormatting>
  <conditionalFormatting sqref="O189:O202">
    <cfRule type="notContainsBlanks" dxfId="48" priority="12">
      <formula>LEN(TRIM(O189))&gt;0</formula>
    </cfRule>
  </conditionalFormatting>
  <conditionalFormatting sqref="O205:O218">
    <cfRule type="notContainsBlanks" dxfId="47" priority="9">
      <formula>LEN(TRIM(O205))&gt;0</formula>
    </cfRule>
  </conditionalFormatting>
  <conditionalFormatting sqref="O222:O225">
    <cfRule type="notContainsBlanks" dxfId="46" priority="6">
      <formula>LEN(TRIM(O222))&gt;0</formula>
    </cfRule>
  </conditionalFormatting>
  <conditionalFormatting sqref="O228:O231">
    <cfRule type="notContainsBlanks" dxfId="45" priority="3">
      <formula>LEN(TRIM(O228))&gt;0</formula>
    </cfRule>
  </conditionalFormatting>
  <conditionalFormatting sqref="Q4:R7 Q152:R154 Q157:R164 Q167:R185">
    <cfRule type="expression" dxfId="44" priority="101">
      <formula>Q4&lt;&gt;J4</formula>
    </cfRule>
  </conditionalFormatting>
  <conditionalFormatting sqref="Q10:R25">
    <cfRule type="expression" dxfId="43" priority="86">
      <formula>Q10&lt;&gt;J10</formula>
    </cfRule>
  </conditionalFormatting>
  <conditionalFormatting sqref="Q28:R43">
    <cfRule type="expression" dxfId="42" priority="85">
      <formula>Q28&lt;&gt;J28</formula>
    </cfRule>
  </conditionalFormatting>
  <conditionalFormatting sqref="Q46:R85">
    <cfRule type="expression" dxfId="41" priority="84">
      <formula>Q46&lt;&gt;J46</formula>
    </cfRule>
  </conditionalFormatting>
  <conditionalFormatting sqref="Q89:R95">
    <cfRule type="expression" dxfId="40" priority="83">
      <formula>Q89&lt;&gt;J89</formula>
    </cfRule>
  </conditionalFormatting>
  <conditionalFormatting sqref="Q98:R103">
    <cfRule type="expression" dxfId="39" priority="82">
      <formula>Q98&lt;&gt;J98</formula>
    </cfRule>
  </conditionalFormatting>
  <conditionalFormatting sqref="Q106:R111">
    <cfRule type="expression" dxfId="38" priority="81">
      <formula>Q106&lt;&gt;J106</formula>
    </cfRule>
  </conditionalFormatting>
  <conditionalFormatting sqref="Q115:R130">
    <cfRule type="expression" dxfId="37" priority="80">
      <formula>Q115&lt;&gt;J115</formula>
    </cfRule>
  </conditionalFormatting>
  <conditionalFormatting sqref="Q133:R136">
    <cfRule type="expression" dxfId="36" priority="79">
      <formula>Q133&lt;&gt;J133</formula>
    </cfRule>
  </conditionalFormatting>
  <conditionalFormatting sqref="Q139:R142">
    <cfRule type="expression" dxfId="35" priority="78">
      <formula>Q139&lt;&gt;J139</formula>
    </cfRule>
  </conditionalFormatting>
  <conditionalFormatting sqref="Q145:R148">
    <cfRule type="expression" dxfId="34" priority="77">
      <formula>Q145&lt;&gt;J145</formula>
    </cfRule>
  </conditionalFormatting>
  <conditionalFormatting sqref="Q189:R202">
    <cfRule type="expression" dxfId="33" priority="75">
      <formula>Q189&lt;&gt;J189</formula>
    </cfRule>
  </conditionalFormatting>
  <conditionalFormatting sqref="Q205:R218">
    <cfRule type="expression" dxfId="32" priority="74">
      <formula>Q205&lt;&gt;J205</formula>
    </cfRule>
  </conditionalFormatting>
  <conditionalFormatting sqref="Q222:R225">
    <cfRule type="expression" dxfId="31" priority="73">
      <formula>Q222&lt;&gt;J222</formula>
    </cfRule>
  </conditionalFormatting>
  <conditionalFormatting sqref="Q228:R231">
    <cfRule type="expression" dxfId="30" priority="72">
      <formula>Q228&lt;&gt;J228</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K74"/>
  <sheetViews>
    <sheetView workbookViewId="0">
      <selection activeCell="A2" sqref="A2"/>
    </sheetView>
  </sheetViews>
  <sheetFormatPr defaultRowHeight="15.75" x14ac:dyDescent="0.25"/>
  <cols>
    <col min="1" max="1" width="12.375" bestFit="1" customWidth="1"/>
    <col min="2" max="5" width="5.375" bestFit="1" customWidth="1"/>
    <col min="6" max="6" width="11.5" bestFit="1" customWidth="1"/>
    <col min="7" max="7" width="9.5" bestFit="1" customWidth="1"/>
    <col min="8" max="11" width="1.875" bestFit="1" customWidth="1"/>
  </cols>
  <sheetData>
    <row r="1" spans="1:11" x14ac:dyDescent="0.25">
      <c r="A1" s="252" t="s">
        <v>359</v>
      </c>
    </row>
    <row r="2" spans="1:11" x14ac:dyDescent="0.25">
      <c r="A2" s="253">
        <v>46031</v>
      </c>
    </row>
    <row r="3" spans="1:11" ht="76.5" x14ac:dyDescent="0.25">
      <c r="A3" t="s">
        <v>463</v>
      </c>
      <c r="B3" s="199" t="s">
        <v>452</v>
      </c>
      <c r="C3" s="199" t="s">
        <v>453</v>
      </c>
      <c r="D3" s="199" t="s">
        <v>454</v>
      </c>
      <c r="E3" s="199" t="s">
        <v>455</v>
      </c>
      <c r="G3" t="s">
        <v>464</v>
      </c>
    </row>
    <row r="4" spans="1:11" x14ac:dyDescent="0.25">
      <c r="A4" t="s">
        <v>112</v>
      </c>
      <c r="B4" s="1"/>
      <c r="C4" s="1">
        <v>1</v>
      </c>
      <c r="D4" s="1"/>
      <c r="E4" s="1"/>
      <c r="G4" t="s">
        <v>112</v>
      </c>
      <c r="I4">
        <v>1</v>
      </c>
    </row>
    <row r="5" spans="1:11" x14ac:dyDescent="0.25">
      <c r="A5" t="s">
        <v>116</v>
      </c>
      <c r="B5" s="1"/>
      <c r="C5" s="1">
        <v>1</v>
      </c>
      <c r="D5" s="1"/>
      <c r="E5" s="1"/>
      <c r="G5" t="s">
        <v>116</v>
      </c>
      <c r="I5">
        <v>1</v>
      </c>
    </row>
    <row r="6" spans="1:11" x14ac:dyDescent="0.25">
      <c r="A6" t="s">
        <v>120</v>
      </c>
      <c r="B6" s="1"/>
      <c r="C6" s="1"/>
      <c r="D6" s="1">
        <v>1</v>
      </c>
      <c r="E6" s="1"/>
      <c r="G6" t="s">
        <v>120</v>
      </c>
      <c r="J6">
        <v>1</v>
      </c>
    </row>
    <row r="7" spans="1:11" x14ac:dyDescent="0.25">
      <c r="A7" t="s">
        <v>125</v>
      </c>
      <c r="B7" s="1"/>
      <c r="C7" s="1"/>
      <c r="D7" s="1">
        <v>1</v>
      </c>
      <c r="E7" s="1"/>
      <c r="G7" t="s">
        <v>125</v>
      </c>
      <c r="J7">
        <v>1</v>
      </c>
    </row>
    <row r="8" spans="1:11" x14ac:dyDescent="0.25">
      <c r="A8" t="s">
        <v>128</v>
      </c>
      <c r="B8" s="1">
        <v>1</v>
      </c>
      <c r="C8" s="1">
        <v>1</v>
      </c>
      <c r="D8" s="1"/>
      <c r="E8" s="1"/>
      <c r="G8" t="s">
        <v>128</v>
      </c>
      <c r="H8">
        <v>1</v>
      </c>
      <c r="I8">
        <v>1</v>
      </c>
    </row>
    <row r="9" spans="1:11" x14ac:dyDescent="0.25">
      <c r="A9" t="s">
        <v>131</v>
      </c>
      <c r="B9" s="1">
        <v>1</v>
      </c>
      <c r="C9" s="1"/>
      <c r="D9" s="1"/>
      <c r="E9" s="1"/>
      <c r="G9" t="s">
        <v>131</v>
      </c>
      <c r="H9">
        <v>1</v>
      </c>
    </row>
    <row r="10" spans="1:11" x14ac:dyDescent="0.25">
      <c r="A10" t="s">
        <v>134</v>
      </c>
      <c r="B10" s="1"/>
      <c r="C10" s="1">
        <v>1</v>
      </c>
      <c r="D10" s="1"/>
      <c r="E10" s="1"/>
      <c r="G10" t="s">
        <v>134</v>
      </c>
      <c r="I10">
        <v>1</v>
      </c>
    </row>
    <row r="11" spans="1:11" x14ac:dyDescent="0.25">
      <c r="A11" t="s">
        <v>137</v>
      </c>
      <c r="B11" s="1"/>
      <c r="C11" s="1"/>
      <c r="D11" s="1"/>
      <c r="E11" s="1">
        <v>1</v>
      </c>
      <c r="G11" t="s">
        <v>137</v>
      </c>
      <c r="K11">
        <v>1</v>
      </c>
    </row>
    <row r="12" spans="1:11" x14ac:dyDescent="0.25">
      <c r="A12" t="s">
        <v>140</v>
      </c>
      <c r="B12" s="1"/>
      <c r="C12" s="1"/>
      <c r="D12" s="1"/>
      <c r="E12" s="1">
        <v>1</v>
      </c>
      <c r="G12" t="s">
        <v>140</v>
      </c>
      <c r="K12">
        <v>1</v>
      </c>
    </row>
    <row r="13" spans="1:11" x14ac:dyDescent="0.25">
      <c r="A13" t="s">
        <v>143</v>
      </c>
      <c r="B13" s="1"/>
      <c r="C13" s="1"/>
      <c r="D13" s="1">
        <v>1</v>
      </c>
      <c r="E13" s="1"/>
      <c r="G13" t="s">
        <v>143</v>
      </c>
      <c r="J13">
        <v>1</v>
      </c>
    </row>
    <row r="14" spans="1:11" x14ac:dyDescent="0.25">
      <c r="A14" t="s">
        <v>146</v>
      </c>
      <c r="B14" s="1">
        <v>1</v>
      </c>
      <c r="C14" s="1"/>
      <c r="D14" s="1">
        <v>1</v>
      </c>
      <c r="E14" s="1"/>
      <c r="G14" t="s">
        <v>146</v>
      </c>
      <c r="H14">
        <v>1</v>
      </c>
      <c r="J14">
        <v>1</v>
      </c>
    </row>
    <row r="15" spans="1:11" x14ac:dyDescent="0.25">
      <c r="A15" t="s">
        <v>149</v>
      </c>
      <c r="B15" s="1"/>
      <c r="C15" s="1">
        <v>1</v>
      </c>
      <c r="D15" s="1"/>
      <c r="E15" s="1">
        <v>1</v>
      </c>
      <c r="G15" t="s">
        <v>149</v>
      </c>
      <c r="I15">
        <v>1</v>
      </c>
      <c r="K15">
        <v>1</v>
      </c>
    </row>
    <row r="16" spans="1:11" x14ac:dyDescent="0.25">
      <c r="A16" t="s">
        <v>152</v>
      </c>
      <c r="B16" s="1">
        <v>1</v>
      </c>
      <c r="C16" s="1"/>
      <c r="D16" s="1">
        <v>1</v>
      </c>
      <c r="E16" s="1"/>
      <c r="G16" t="s">
        <v>152</v>
      </c>
      <c r="H16">
        <v>1</v>
      </c>
      <c r="J16">
        <v>1</v>
      </c>
    </row>
    <row r="17" spans="1:11" x14ac:dyDescent="0.25">
      <c r="A17" t="s">
        <v>155</v>
      </c>
      <c r="B17" s="1"/>
      <c r="C17" s="1">
        <v>1</v>
      </c>
      <c r="D17" s="1"/>
      <c r="E17" s="1">
        <v>1</v>
      </c>
      <c r="G17" t="s">
        <v>155</v>
      </c>
      <c r="I17">
        <v>1</v>
      </c>
      <c r="K17">
        <v>1</v>
      </c>
    </row>
    <row r="18" spans="1:11" x14ac:dyDescent="0.25">
      <c r="A18" t="s">
        <v>158</v>
      </c>
      <c r="B18" s="1"/>
      <c r="C18" s="1">
        <v>1</v>
      </c>
      <c r="D18" s="1"/>
      <c r="E18" s="1">
        <v>1</v>
      </c>
      <c r="G18" t="s">
        <v>158</v>
      </c>
      <c r="I18">
        <v>1</v>
      </c>
      <c r="K18">
        <v>1</v>
      </c>
    </row>
    <row r="19" spans="1:11" x14ac:dyDescent="0.25">
      <c r="A19" t="s">
        <v>161</v>
      </c>
      <c r="B19" s="1">
        <v>1</v>
      </c>
      <c r="C19" s="1">
        <v>1</v>
      </c>
      <c r="D19" s="1"/>
      <c r="E19" s="1"/>
      <c r="G19" t="s">
        <v>161</v>
      </c>
      <c r="H19">
        <v>1</v>
      </c>
      <c r="I19">
        <v>1</v>
      </c>
    </row>
    <row r="20" spans="1:11" x14ac:dyDescent="0.25">
      <c r="A20" t="s">
        <v>164</v>
      </c>
      <c r="B20" s="1"/>
      <c r="C20" s="1">
        <v>1</v>
      </c>
      <c r="D20" s="1"/>
      <c r="E20" s="1"/>
      <c r="G20" t="s">
        <v>164</v>
      </c>
      <c r="I20">
        <v>1</v>
      </c>
    </row>
    <row r="21" spans="1:11" x14ac:dyDescent="0.25">
      <c r="A21" t="s">
        <v>167</v>
      </c>
      <c r="B21" s="1"/>
      <c r="C21" s="1">
        <v>1</v>
      </c>
      <c r="D21" s="1">
        <v>1</v>
      </c>
      <c r="E21" s="1"/>
      <c r="G21" t="s">
        <v>167</v>
      </c>
      <c r="I21">
        <v>1</v>
      </c>
      <c r="J21">
        <v>1</v>
      </c>
    </row>
    <row r="22" spans="1:11" x14ac:dyDescent="0.25">
      <c r="A22" t="s">
        <v>170</v>
      </c>
      <c r="B22" s="1"/>
      <c r="C22" s="1">
        <v>1</v>
      </c>
      <c r="D22" s="1"/>
      <c r="E22" s="1"/>
      <c r="G22" t="s">
        <v>170</v>
      </c>
      <c r="I22">
        <v>1</v>
      </c>
    </row>
    <row r="23" spans="1:11" x14ac:dyDescent="0.25">
      <c r="A23" t="s">
        <v>173</v>
      </c>
      <c r="B23" s="1">
        <v>1</v>
      </c>
      <c r="C23" s="1"/>
      <c r="D23" s="1"/>
      <c r="E23" s="1"/>
      <c r="G23" t="s">
        <v>173</v>
      </c>
      <c r="H23">
        <v>1</v>
      </c>
    </row>
    <row r="24" spans="1:11" x14ac:dyDescent="0.25">
      <c r="A24" t="s">
        <v>176</v>
      </c>
      <c r="B24" s="1"/>
      <c r="C24" s="1"/>
      <c r="D24" s="1"/>
      <c r="E24" s="1">
        <v>1</v>
      </c>
      <c r="G24" t="s">
        <v>176</v>
      </c>
      <c r="K24">
        <v>1</v>
      </c>
    </row>
    <row r="25" spans="1:11" x14ac:dyDescent="0.25">
      <c r="A25" t="s">
        <v>179</v>
      </c>
      <c r="B25" s="1"/>
      <c r="C25" s="1"/>
      <c r="D25" s="1">
        <v>1</v>
      </c>
      <c r="E25" s="1"/>
      <c r="G25" t="s">
        <v>179</v>
      </c>
      <c r="J25">
        <v>1</v>
      </c>
    </row>
    <row r="26" spans="1:11" x14ac:dyDescent="0.25">
      <c r="A26" t="s">
        <v>182</v>
      </c>
      <c r="B26" s="1">
        <v>1</v>
      </c>
      <c r="C26" s="1">
        <v>1</v>
      </c>
      <c r="D26" s="1"/>
      <c r="E26" s="1"/>
      <c r="G26" t="s">
        <v>182</v>
      </c>
      <c r="H26">
        <v>1</v>
      </c>
      <c r="I26">
        <v>1</v>
      </c>
    </row>
    <row r="27" spans="1:11" x14ac:dyDescent="0.25">
      <c r="A27" t="s">
        <v>185</v>
      </c>
      <c r="B27" s="1"/>
      <c r="C27" s="1">
        <v>1</v>
      </c>
      <c r="D27" s="1"/>
      <c r="E27" s="1">
        <v>1</v>
      </c>
      <c r="G27" t="s">
        <v>185</v>
      </c>
      <c r="I27">
        <v>1</v>
      </c>
      <c r="K27">
        <v>1</v>
      </c>
    </row>
    <row r="28" spans="1:11" x14ac:dyDescent="0.25">
      <c r="A28" t="s">
        <v>188</v>
      </c>
      <c r="B28" s="1">
        <v>1</v>
      </c>
      <c r="C28" s="1">
        <v>1</v>
      </c>
      <c r="D28" s="1"/>
      <c r="E28" s="1"/>
      <c r="G28" t="s">
        <v>188</v>
      </c>
      <c r="H28">
        <v>1</v>
      </c>
      <c r="I28">
        <v>1</v>
      </c>
    </row>
    <row r="29" spans="1:11" x14ac:dyDescent="0.25">
      <c r="A29" t="s">
        <v>191</v>
      </c>
      <c r="B29" s="1">
        <v>1</v>
      </c>
      <c r="C29" s="1"/>
      <c r="D29" s="1">
        <v>1</v>
      </c>
      <c r="E29" s="1"/>
      <c r="G29" t="s">
        <v>191</v>
      </c>
      <c r="H29">
        <v>1</v>
      </c>
      <c r="J29">
        <v>1</v>
      </c>
    </row>
    <row r="30" spans="1:11" x14ac:dyDescent="0.25">
      <c r="A30" t="s">
        <v>194</v>
      </c>
      <c r="B30" s="1"/>
      <c r="C30" s="1">
        <v>1</v>
      </c>
      <c r="D30" s="1"/>
      <c r="E30" s="1">
        <v>1</v>
      </c>
      <c r="G30" t="s">
        <v>194</v>
      </c>
      <c r="I30">
        <v>1</v>
      </c>
      <c r="K30">
        <v>1</v>
      </c>
    </row>
    <row r="31" spans="1:11" x14ac:dyDescent="0.25">
      <c r="A31" t="s">
        <v>197</v>
      </c>
      <c r="B31" s="1"/>
      <c r="C31" s="1">
        <v>1</v>
      </c>
      <c r="D31" s="1"/>
      <c r="E31" s="1">
        <v>1</v>
      </c>
      <c r="G31" t="s">
        <v>197</v>
      </c>
      <c r="I31">
        <v>1</v>
      </c>
      <c r="K31">
        <v>1</v>
      </c>
    </row>
    <row r="32" spans="1:11" x14ac:dyDescent="0.25">
      <c r="A32" t="s">
        <v>200</v>
      </c>
      <c r="B32" s="1"/>
      <c r="C32" s="1">
        <v>1</v>
      </c>
      <c r="D32" s="1"/>
      <c r="E32" s="1">
        <v>1</v>
      </c>
      <c r="G32" t="s">
        <v>200</v>
      </c>
      <c r="I32">
        <v>1</v>
      </c>
      <c r="K32">
        <v>1</v>
      </c>
    </row>
    <row r="33" spans="1:11" x14ac:dyDescent="0.25">
      <c r="A33" t="s">
        <v>203</v>
      </c>
      <c r="B33" s="1"/>
      <c r="C33" s="1">
        <v>1</v>
      </c>
      <c r="D33" s="1"/>
      <c r="E33" s="1">
        <v>1</v>
      </c>
      <c r="G33" t="s">
        <v>203</v>
      </c>
      <c r="I33">
        <v>1</v>
      </c>
      <c r="K33">
        <v>1</v>
      </c>
    </row>
    <row r="34" spans="1:11" x14ac:dyDescent="0.25">
      <c r="A34" t="s">
        <v>206</v>
      </c>
      <c r="B34" s="1"/>
      <c r="C34" s="1">
        <v>1</v>
      </c>
      <c r="D34" s="1"/>
      <c r="E34" s="1">
        <v>1</v>
      </c>
      <c r="G34" t="s">
        <v>206</v>
      </c>
      <c r="I34">
        <v>1</v>
      </c>
      <c r="K34">
        <v>1</v>
      </c>
    </row>
    <row r="35" spans="1:11" x14ac:dyDescent="0.25">
      <c r="A35" t="s">
        <v>209</v>
      </c>
      <c r="B35" s="1"/>
      <c r="C35" s="1">
        <v>1</v>
      </c>
      <c r="D35" s="1"/>
      <c r="E35" s="1">
        <v>1</v>
      </c>
      <c r="G35" t="s">
        <v>209</v>
      </c>
      <c r="I35">
        <v>1</v>
      </c>
      <c r="K35">
        <v>1</v>
      </c>
    </row>
    <row r="36" spans="1:11" x14ac:dyDescent="0.25">
      <c r="A36" t="s">
        <v>212</v>
      </c>
      <c r="B36" s="1"/>
      <c r="C36" s="1">
        <v>1</v>
      </c>
      <c r="D36" s="1"/>
      <c r="E36" s="1">
        <v>1</v>
      </c>
      <c r="G36" t="s">
        <v>212</v>
      </c>
      <c r="I36">
        <v>1</v>
      </c>
      <c r="K36">
        <v>1</v>
      </c>
    </row>
    <row r="37" spans="1:11" x14ac:dyDescent="0.25">
      <c r="A37" t="s">
        <v>215</v>
      </c>
      <c r="B37" s="1"/>
      <c r="C37" s="1">
        <v>1</v>
      </c>
      <c r="D37" s="1"/>
      <c r="E37" s="1">
        <v>1</v>
      </c>
      <c r="G37" t="s">
        <v>215</v>
      </c>
      <c r="I37">
        <v>1</v>
      </c>
      <c r="K37">
        <v>1</v>
      </c>
    </row>
    <row r="38" spans="1:11" x14ac:dyDescent="0.25">
      <c r="A38" t="s">
        <v>218</v>
      </c>
      <c r="B38" s="1"/>
      <c r="C38" s="1">
        <v>1</v>
      </c>
      <c r="D38" s="1"/>
      <c r="E38" s="1">
        <v>1</v>
      </c>
      <c r="G38" t="s">
        <v>218</v>
      </c>
      <c r="I38">
        <v>1</v>
      </c>
      <c r="K38">
        <v>1</v>
      </c>
    </row>
    <row r="39" spans="1:11" x14ac:dyDescent="0.25">
      <c r="A39" t="s">
        <v>221</v>
      </c>
      <c r="B39" s="1"/>
      <c r="C39" s="1">
        <v>1</v>
      </c>
      <c r="D39" s="1">
        <v>1</v>
      </c>
      <c r="E39" s="1"/>
      <c r="G39" t="s">
        <v>221</v>
      </c>
      <c r="I39">
        <v>1</v>
      </c>
      <c r="J39">
        <v>1</v>
      </c>
    </row>
    <row r="40" spans="1:11" x14ac:dyDescent="0.25">
      <c r="A40" t="s">
        <v>224</v>
      </c>
      <c r="B40" s="1"/>
      <c r="C40" s="1">
        <v>1</v>
      </c>
      <c r="D40" s="1"/>
      <c r="E40" s="1">
        <v>1</v>
      </c>
      <c r="G40" t="s">
        <v>224</v>
      </c>
      <c r="I40">
        <v>1</v>
      </c>
      <c r="K40">
        <v>1</v>
      </c>
    </row>
    <row r="41" spans="1:11" x14ac:dyDescent="0.25">
      <c r="A41" t="s">
        <v>227</v>
      </c>
      <c r="B41" s="1"/>
      <c r="C41" s="1">
        <v>1</v>
      </c>
      <c r="D41" s="1"/>
      <c r="E41" s="1">
        <v>1</v>
      </c>
      <c r="G41" t="s">
        <v>227</v>
      </c>
      <c r="I41">
        <v>1</v>
      </c>
      <c r="K41">
        <v>1</v>
      </c>
    </row>
    <row r="42" spans="1:11" x14ac:dyDescent="0.25">
      <c r="A42" t="s">
        <v>230</v>
      </c>
      <c r="B42" s="1"/>
      <c r="C42" s="1">
        <v>1</v>
      </c>
      <c r="D42" s="1"/>
      <c r="E42" s="1">
        <v>1</v>
      </c>
      <c r="G42" t="s">
        <v>230</v>
      </c>
      <c r="I42">
        <v>1</v>
      </c>
      <c r="K42">
        <v>1</v>
      </c>
    </row>
    <row r="43" spans="1:11" x14ac:dyDescent="0.25">
      <c r="A43" t="s">
        <v>233</v>
      </c>
      <c r="B43" s="1"/>
      <c r="C43" s="1">
        <v>1</v>
      </c>
      <c r="D43" s="1"/>
      <c r="E43" s="1">
        <v>1</v>
      </c>
      <c r="G43" t="s">
        <v>233</v>
      </c>
      <c r="I43">
        <v>1</v>
      </c>
      <c r="K43">
        <v>1</v>
      </c>
    </row>
    <row r="44" spans="1:11" x14ac:dyDescent="0.25">
      <c r="A44" t="s">
        <v>236</v>
      </c>
      <c r="B44" s="1">
        <v>1</v>
      </c>
      <c r="C44" s="1"/>
      <c r="D44" s="1"/>
      <c r="E44" s="1"/>
      <c r="G44" t="s">
        <v>236</v>
      </c>
      <c r="H44">
        <v>1</v>
      </c>
    </row>
    <row r="45" spans="1:11" x14ac:dyDescent="0.25">
      <c r="A45" t="s">
        <v>239</v>
      </c>
      <c r="B45" s="1">
        <v>1</v>
      </c>
      <c r="C45" s="1"/>
      <c r="D45" s="1">
        <v>1</v>
      </c>
      <c r="E45" s="1"/>
      <c r="G45" t="s">
        <v>239</v>
      </c>
      <c r="H45">
        <v>1</v>
      </c>
      <c r="J45">
        <v>1</v>
      </c>
    </row>
    <row r="46" spans="1:11" x14ac:dyDescent="0.25">
      <c r="A46" t="s">
        <v>241</v>
      </c>
      <c r="B46" s="1"/>
      <c r="C46" s="1">
        <v>1</v>
      </c>
      <c r="D46" s="1"/>
      <c r="E46" s="1">
        <v>1</v>
      </c>
      <c r="G46" t="s">
        <v>241</v>
      </c>
      <c r="I46">
        <v>1</v>
      </c>
      <c r="K46">
        <v>1</v>
      </c>
    </row>
    <row r="47" spans="1:11" x14ac:dyDescent="0.25">
      <c r="A47" t="s">
        <v>244</v>
      </c>
      <c r="B47" s="1">
        <v>1</v>
      </c>
      <c r="C47" s="1"/>
      <c r="D47" s="1">
        <v>1</v>
      </c>
      <c r="E47" s="1"/>
      <c r="G47" t="s">
        <v>244</v>
      </c>
      <c r="H47">
        <v>1</v>
      </c>
      <c r="J47">
        <v>1</v>
      </c>
    </row>
    <row r="48" spans="1:11" x14ac:dyDescent="0.25">
      <c r="A48" t="s">
        <v>247</v>
      </c>
      <c r="B48" s="1"/>
      <c r="C48" s="1">
        <v>1</v>
      </c>
      <c r="D48" s="1">
        <v>1</v>
      </c>
      <c r="E48" s="1">
        <v>1</v>
      </c>
      <c r="G48" t="s">
        <v>247</v>
      </c>
      <c r="I48">
        <v>1</v>
      </c>
      <c r="J48">
        <v>1</v>
      </c>
      <c r="K48">
        <v>1</v>
      </c>
    </row>
    <row r="49" spans="1:11" x14ac:dyDescent="0.25">
      <c r="A49" t="s">
        <v>250</v>
      </c>
      <c r="B49" s="1"/>
      <c r="C49" s="1">
        <v>1</v>
      </c>
      <c r="D49" s="1"/>
      <c r="E49" s="1">
        <v>1</v>
      </c>
      <c r="G49" t="s">
        <v>250</v>
      </c>
      <c r="I49">
        <v>1</v>
      </c>
      <c r="K49">
        <v>1</v>
      </c>
    </row>
    <row r="50" spans="1:11" x14ac:dyDescent="0.25">
      <c r="A50" t="s">
        <v>253</v>
      </c>
      <c r="B50" s="1">
        <v>1</v>
      </c>
      <c r="C50" s="1"/>
      <c r="D50" s="1">
        <v>1</v>
      </c>
      <c r="E50" s="1"/>
      <c r="G50" t="s">
        <v>253</v>
      </c>
      <c r="H50">
        <v>1</v>
      </c>
      <c r="J50">
        <v>1</v>
      </c>
    </row>
    <row r="51" spans="1:11" x14ac:dyDescent="0.25">
      <c r="A51" t="s">
        <v>256</v>
      </c>
      <c r="B51" s="1">
        <v>1</v>
      </c>
      <c r="C51" s="1"/>
      <c r="D51" s="1">
        <v>1</v>
      </c>
      <c r="E51" s="1"/>
      <c r="G51" t="s">
        <v>256</v>
      </c>
      <c r="H51">
        <v>1</v>
      </c>
      <c r="J51">
        <v>1</v>
      </c>
    </row>
    <row r="52" spans="1:11" x14ac:dyDescent="0.25">
      <c r="A52" t="s">
        <v>259</v>
      </c>
      <c r="B52" s="1"/>
      <c r="C52" s="1">
        <v>1</v>
      </c>
      <c r="D52" s="1"/>
      <c r="E52" s="1">
        <v>1</v>
      </c>
      <c r="G52" t="s">
        <v>259</v>
      </c>
      <c r="I52">
        <v>1</v>
      </c>
      <c r="K52">
        <v>1</v>
      </c>
    </row>
    <row r="53" spans="1:11" x14ac:dyDescent="0.25">
      <c r="A53" t="s">
        <v>262</v>
      </c>
      <c r="B53" s="1">
        <v>1</v>
      </c>
      <c r="C53" s="1"/>
      <c r="D53" s="1">
        <v>1</v>
      </c>
      <c r="E53" s="1"/>
      <c r="G53" t="s">
        <v>262</v>
      </c>
      <c r="H53">
        <v>1</v>
      </c>
      <c r="J53">
        <v>1</v>
      </c>
    </row>
    <row r="54" spans="1:11" x14ac:dyDescent="0.25">
      <c r="A54" t="s">
        <v>265</v>
      </c>
      <c r="B54" s="1">
        <v>1</v>
      </c>
      <c r="C54" s="1"/>
      <c r="D54" s="1">
        <v>1</v>
      </c>
      <c r="E54" s="1"/>
      <c r="G54" t="s">
        <v>265</v>
      </c>
      <c r="H54">
        <v>1</v>
      </c>
      <c r="J54">
        <v>1</v>
      </c>
    </row>
    <row r="55" spans="1:11" x14ac:dyDescent="0.25">
      <c r="A55" t="s">
        <v>268</v>
      </c>
      <c r="B55" s="1"/>
      <c r="C55" s="1">
        <v>1</v>
      </c>
      <c r="D55" s="1"/>
      <c r="E55" s="1">
        <v>1</v>
      </c>
      <c r="G55" t="s">
        <v>268</v>
      </c>
      <c r="I55">
        <v>1</v>
      </c>
      <c r="K55">
        <v>1</v>
      </c>
    </row>
    <row r="56" spans="1:11" x14ac:dyDescent="0.25">
      <c r="A56" t="s">
        <v>271</v>
      </c>
      <c r="B56" s="1"/>
      <c r="C56" s="1"/>
      <c r="D56" s="1">
        <v>1</v>
      </c>
      <c r="E56" s="1"/>
      <c r="G56" t="s">
        <v>271</v>
      </c>
      <c r="J56">
        <v>1</v>
      </c>
    </row>
    <row r="57" spans="1:11" x14ac:dyDescent="0.25">
      <c r="A57" t="s">
        <v>274</v>
      </c>
      <c r="B57" s="1"/>
      <c r="C57" s="1">
        <v>1</v>
      </c>
      <c r="D57" s="1"/>
      <c r="E57" s="1">
        <v>1</v>
      </c>
      <c r="G57" t="s">
        <v>274</v>
      </c>
      <c r="I57">
        <v>1</v>
      </c>
      <c r="K57">
        <v>1</v>
      </c>
    </row>
    <row r="58" spans="1:11" x14ac:dyDescent="0.25">
      <c r="A58" t="s">
        <v>277</v>
      </c>
      <c r="B58" s="1">
        <v>1</v>
      </c>
      <c r="C58" s="1"/>
      <c r="D58" s="1">
        <v>1</v>
      </c>
      <c r="E58" s="1"/>
      <c r="G58" t="s">
        <v>277</v>
      </c>
      <c r="H58">
        <v>1</v>
      </c>
      <c r="J58">
        <v>1</v>
      </c>
    </row>
    <row r="59" spans="1:11" x14ac:dyDescent="0.25">
      <c r="A59" t="s">
        <v>280</v>
      </c>
      <c r="B59" s="1"/>
      <c r="C59" s="1">
        <v>1</v>
      </c>
      <c r="D59" s="1"/>
      <c r="E59" s="1">
        <v>1</v>
      </c>
      <c r="G59" t="s">
        <v>280</v>
      </c>
      <c r="I59">
        <v>1</v>
      </c>
      <c r="K59">
        <v>1</v>
      </c>
    </row>
    <row r="60" spans="1:11" x14ac:dyDescent="0.25">
      <c r="A60" t="s">
        <v>284</v>
      </c>
      <c r="B60" s="1"/>
      <c r="C60" s="1">
        <v>1</v>
      </c>
      <c r="D60" s="1"/>
      <c r="E60" s="1">
        <v>1</v>
      </c>
      <c r="G60" t="s">
        <v>284</v>
      </c>
      <c r="I60">
        <v>1</v>
      </c>
      <c r="K60">
        <v>1</v>
      </c>
    </row>
    <row r="61" spans="1:11" x14ac:dyDescent="0.25">
      <c r="A61" t="s">
        <v>287</v>
      </c>
      <c r="B61" s="1">
        <v>1</v>
      </c>
      <c r="C61" s="1"/>
      <c r="D61" s="1">
        <v>1</v>
      </c>
      <c r="E61" s="1"/>
      <c r="G61" t="s">
        <v>287</v>
      </c>
      <c r="H61">
        <v>1</v>
      </c>
      <c r="J61">
        <v>1</v>
      </c>
    </row>
    <row r="62" spans="1:11" x14ac:dyDescent="0.25">
      <c r="A62" t="s">
        <v>290</v>
      </c>
      <c r="B62" s="1"/>
      <c r="C62" s="1">
        <v>1</v>
      </c>
      <c r="D62" s="1"/>
      <c r="E62" s="1">
        <v>1</v>
      </c>
      <c r="G62" t="s">
        <v>290</v>
      </c>
      <c r="I62">
        <v>1</v>
      </c>
      <c r="K62">
        <v>1</v>
      </c>
    </row>
    <row r="63" spans="1:11" x14ac:dyDescent="0.25">
      <c r="A63" t="s">
        <v>293</v>
      </c>
      <c r="B63" s="1"/>
      <c r="C63" s="1"/>
      <c r="D63" s="1">
        <v>1</v>
      </c>
      <c r="E63" s="1"/>
      <c r="G63" t="s">
        <v>293</v>
      </c>
      <c r="J63">
        <v>1</v>
      </c>
    </row>
    <row r="64" spans="1:11" x14ac:dyDescent="0.25">
      <c r="A64" t="s">
        <v>296</v>
      </c>
      <c r="B64" s="1">
        <v>1</v>
      </c>
      <c r="C64" s="1"/>
      <c r="D64" s="1">
        <v>1</v>
      </c>
      <c r="E64" s="1"/>
      <c r="G64" t="s">
        <v>296</v>
      </c>
      <c r="H64">
        <v>1</v>
      </c>
      <c r="J64">
        <v>1</v>
      </c>
    </row>
    <row r="65" spans="1:11" x14ac:dyDescent="0.25">
      <c r="A65" t="s">
        <v>299</v>
      </c>
      <c r="B65" s="1"/>
      <c r="C65" s="1">
        <v>1</v>
      </c>
      <c r="D65" s="1"/>
      <c r="E65" s="1">
        <v>1</v>
      </c>
      <c r="G65" t="s">
        <v>299</v>
      </c>
      <c r="I65">
        <v>1</v>
      </c>
      <c r="K65">
        <v>1</v>
      </c>
    </row>
    <row r="66" spans="1:11" x14ac:dyDescent="0.25">
      <c r="A66" t="s">
        <v>302</v>
      </c>
      <c r="B66" s="1">
        <v>1</v>
      </c>
      <c r="C66" s="1"/>
      <c r="D66" s="1"/>
      <c r="E66" s="1"/>
      <c r="G66" t="s">
        <v>302</v>
      </c>
      <c r="H66">
        <v>1</v>
      </c>
    </row>
    <row r="67" spans="1:11" x14ac:dyDescent="0.25">
      <c r="A67" t="s">
        <v>305</v>
      </c>
      <c r="B67" s="1">
        <v>1</v>
      </c>
      <c r="C67" s="1"/>
      <c r="D67" s="1"/>
      <c r="E67" s="1"/>
      <c r="G67" t="s">
        <v>305</v>
      </c>
      <c r="H67">
        <v>1</v>
      </c>
    </row>
    <row r="68" spans="1:11" x14ac:dyDescent="0.25">
      <c r="A68" t="s">
        <v>308</v>
      </c>
      <c r="B68" s="1"/>
      <c r="C68" s="1"/>
      <c r="D68" s="1">
        <v>1</v>
      </c>
      <c r="E68" s="1"/>
      <c r="G68" t="s">
        <v>308</v>
      </c>
      <c r="J68">
        <v>1</v>
      </c>
    </row>
    <row r="69" spans="1:11" x14ac:dyDescent="0.25">
      <c r="A69" t="s">
        <v>311</v>
      </c>
      <c r="B69" s="1">
        <v>1</v>
      </c>
      <c r="C69" s="1"/>
      <c r="D69" s="1"/>
      <c r="E69" s="1"/>
      <c r="G69" t="s">
        <v>311</v>
      </c>
      <c r="H69">
        <v>1</v>
      </c>
    </row>
    <row r="70" spans="1:11" x14ac:dyDescent="0.25">
      <c r="A70" t="s">
        <v>314</v>
      </c>
      <c r="B70" s="1">
        <v>1</v>
      </c>
      <c r="C70" s="1"/>
      <c r="D70" s="1">
        <v>1</v>
      </c>
      <c r="E70" s="1"/>
      <c r="G70" t="s">
        <v>314</v>
      </c>
      <c r="H70">
        <v>1</v>
      </c>
      <c r="J70">
        <v>1</v>
      </c>
    </row>
    <row r="71" spans="1:11" x14ac:dyDescent="0.25">
      <c r="A71" t="s">
        <v>318</v>
      </c>
      <c r="B71" s="1">
        <v>1</v>
      </c>
      <c r="C71" s="1">
        <v>1</v>
      </c>
      <c r="D71" s="1">
        <v>1</v>
      </c>
      <c r="E71" s="1">
        <v>1</v>
      </c>
      <c r="G71" t="s">
        <v>318</v>
      </c>
      <c r="H71">
        <v>1</v>
      </c>
      <c r="I71">
        <v>1</v>
      </c>
      <c r="J71">
        <v>1</v>
      </c>
      <c r="K71">
        <v>1</v>
      </c>
    </row>
    <row r="72" spans="1:11" x14ac:dyDescent="0.25">
      <c r="A72" t="s">
        <v>321</v>
      </c>
      <c r="B72" s="1">
        <v>1</v>
      </c>
      <c r="C72" s="1"/>
      <c r="D72" s="1"/>
      <c r="E72" s="1">
        <v>1</v>
      </c>
      <c r="G72" t="s">
        <v>321</v>
      </c>
      <c r="H72">
        <v>1</v>
      </c>
      <c r="K72">
        <v>1</v>
      </c>
    </row>
    <row r="73" spans="1:11" x14ac:dyDescent="0.25">
      <c r="A73" t="s">
        <v>336</v>
      </c>
      <c r="B73" s="1">
        <v>1</v>
      </c>
      <c r="C73" s="1"/>
      <c r="D73" s="1">
        <v>1</v>
      </c>
      <c r="E73" s="1"/>
      <c r="G73" t="s">
        <v>336</v>
      </c>
      <c r="H73">
        <v>1</v>
      </c>
      <c r="J73">
        <v>1</v>
      </c>
    </row>
    <row r="74" spans="1:11" x14ac:dyDescent="0.25">
      <c r="A74" t="s">
        <v>339</v>
      </c>
      <c r="B74" s="1">
        <v>1</v>
      </c>
      <c r="C74" s="1"/>
      <c r="D74" s="1"/>
      <c r="E74" s="1"/>
      <c r="G74" t="s">
        <v>339</v>
      </c>
      <c r="H74">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J88"/>
  <sheetViews>
    <sheetView zoomScale="85" zoomScaleNormal="85" workbookViewId="0">
      <selection activeCell="A3" sqref="A3"/>
    </sheetView>
  </sheetViews>
  <sheetFormatPr defaultColWidth="9" defaultRowHeight="15.75" x14ac:dyDescent="0.25"/>
  <cols>
    <col min="1" max="1" width="24.25" style="63" bestFit="1" customWidth="1"/>
    <col min="2" max="2" width="3.625" style="64" customWidth="1"/>
    <col min="3" max="3" width="8.25" style="64" bestFit="1" customWidth="1"/>
    <col min="4" max="4" width="15.25" style="64" bestFit="1" customWidth="1"/>
    <col min="5" max="5" width="5.875" style="64" bestFit="1" customWidth="1"/>
    <col min="6" max="6" width="15.625" style="64" bestFit="1" customWidth="1"/>
    <col min="7" max="7" width="5.875" style="64" bestFit="1" customWidth="1"/>
    <col min="8" max="8" width="15.625" style="64" bestFit="1" customWidth="1"/>
    <col min="9" max="9" width="5.875" style="64" bestFit="1" customWidth="1"/>
    <col min="10" max="10" width="15.625" style="64" bestFit="1" customWidth="1"/>
    <col min="11" max="11" width="7.375" style="64" bestFit="1" customWidth="1"/>
    <col min="12" max="12" width="15.25" style="64" bestFit="1" customWidth="1"/>
    <col min="13" max="13" width="5.875" style="64" bestFit="1" customWidth="1"/>
    <col min="14" max="14" width="15.625" style="64" bestFit="1" customWidth="1"/>
    <col min="15" max="15" width="5.875" style="64" bestFit="1" customWidth="1"/>
    <col min="16" max="16" width="15.5" style="64" customWidth="1"/>
    <col min="17" max="17" width="5.875" style="64" bestFit="1" customWidth="1"/>
    <col min="18" max="18" width="15.625" style="64" bestFit="1" customWidth="1"/>
    <col min="19" max="19" width="5.875" style="64" bestFit="1" customWidth="1"/>
    <col min="20" max="20" width="14.625" style="64" bestFit="1" customWidth="1"/>
    <col min="21" max="21" width="5.875" style="64" bestFit="1" customWidth="1"/>
    <col min="22" max="22" width="15" style="64" bestFit="1" customWidth="1"/>
    <col min="23" max="23" width="5.875" style="64" bestFit="1" customWidth="1"/>
    <col min="24" max="24" width="15" style="64" bestFit="1" customWidth="1"/>
    <col min="25" max="25" width="5.875" style="64" bestFit="1" customWidth="1"/>
    <col min="26" max="26" width="15" style="64" bestFit="1" customWidth="1"/>
    <col min="27" max="27" width="5.875" style="64" bestFit="1" customWidth="1"/>
    <col min="28" max="28" width="14.875" style="64" bestFit="1" customWidth="1"/>
    <col min="29" max="29" width="5.875" style="64" bestFit="1" customWidth="1"/>
    <col min="30" max="30" width="15.125" style="64" bestFit="1" customWidth="1"/>
    <col min="31" max="31" width="5.875" style="64" bestFit="1" customWidth="1"/>
    <col min="32" max="32" width="15.125" style="64" bestFit="1" customWidth="1"/>
    <col min="33" max="33" width="5.875" style="64" bestFit="1" customWidth="1"/>
    <col min="34" max="34" width="15.125" style="64" bestFit="1" customWidth="1"/>
    <col min="35" max="16384" width="9" style="64"/>
  </cols>
  <sheetData>
    <row r="1" spans="1:36" x14ac:dyDescent="0.25">
      <c r="C1" s="67"/>
      <c r="D1" s="68"/>
      <c r="E1" s="69"/>
      <c r="F1" s="68"/>
      <c r="G1" s="70"/>
      <c r="H1" s="68"/>
      <c r="I1" s="69"/>
      <c r="J1" s="68"/>
      <c r="K1" s="68"/>
      <c r="L1" s="68"/>
      <c r="M1" s="68"/>
      <c r="N1" s="68"/>
      <c r="O1" s="68"/>
      <c r="P1" s="68"/>
      <c r="Q1" s="68"/>
      <c r="R1" s="68"/>
      <c r="S1"/>
      <c r="T1"/>
      <c r="U1"/>
      <c r="V1"/>
      <c r="W1"/>
      <c r="X1"/>
      <c r="Y1"/>
      <c r="Z1"/>
      <c r="AA1"/>
      <c r="AB1"/>
      <c r="AC1"/>
      <c r="AD1"/>
      <c r="AE1"/>
      <c r="AF1"/>
      <c r="AG1"/>
      <c r="AH1"/>
      <c r="AI1" s="71"/>
      <c r="AJ1" s="71"/>
    </row>
    <row r="2" spans="1:36" x14ac:dyDescent="0.25">
      <c r="C2" s="116" t="s">
        <v>465</v>
      </c>
      <c r="D2" s="68"/>
      <c r="E2" s="69"/>
      <c r="F2" s="68"/>
      <c r="G2" s="70"/>
      <c r="H2" s="68"/>
      <c r="I2" s="69"/>
      <c r="J2" s="68"/>
      <c r="K2" s="116" t="s">
        <v>466</v>
      </c>
      <c r="L2" s="68"/>
      <c r="M2" s="68"/>
      <c r="N2" s="68"/>
      <c r="O2" s="68"/>
      <c r="P2" s="68"/>
      <c r="Q2" s="68"/>
      <c r="R2" s="68"/>
      <c r="S2"/>
      <c r="T2"/>
      <c r="U2"/>
      <c r="V2"/>
      <c r="W2"/>
      <c r="X2"/>
      <c r="Y2"/>
      <c r="Z2"/>
      <c r="AA2"/>
      <c r="AB2"/>
      <c r="AC2"/>
      <c r="AD2"/>
      <c r="AE2"/>
      <c r="AF2"/>
      <c r="AG2"/>
      <c r="AH2"/>
      <c r="AI2" s="71"/>
      <c r="AJ2" s="71"/>
    </row>
    <row r="3" spans="1:36" x14ac:dyDescent="0.25">
      <c r="A3" s="152" t="s">
        <v>467</v>
      </c>
      <c r="B3" s="72">
        <v>1</v>
      </c>
      <c r="C3" s="74"/>
      <c r="D3" s="73" t="s">
        <v>468</v>
      </c>
      <c r="E3" s="74"/>
      <c r="F3" s="73" t="s">
        <v>469</v>
      </c>
      <c r="G3" s="74"/>
      <c r="H3" s="73" t="s">
        <v>470</v>
      </c>
      <c r="I3" s="74"/>
      <c r="J3" s="73" t="s">
        <v>471</v>
      </c>
      <c r="K3" s="74"/>
      <c r="L3" s="73" t="s">
        <v>472</v>
      </c>
      <c r="M3" s="74"/>
      <c r="N3" s="73" t="s">
        <v>473</v>
      </c>
      <c r="O3" s="74"/>
      <c r="P3" s="73" t="s">
        <v>474</v>
      </c>
      <c r="Q3" s="74"/>
      <c r="R3" s="73" t="s">
        <v>475</v>
      </c>
      <c r="S3"/>
      <c r="T3"/>
      <c r="U3"/>
      <c r="V3"/>
      <c r="W3"/>
      <c r="X3"/>
      <c r="Y3"/>
      <c r="Z3"/>
      <c r="AA3"/>
      <c r="AB3"/>
      <c r="AC3"/>
      <c r="AD3"/>
      <c r="AE3"/>
      <c r="AF3"/>
      <c r="AG3"/>
      <c r="AH3"/>
      <c r="AI3" s="71"/>
      <c r="AJ3" s="71"/>
    </row>
    <row r="4" spans="1:36" x14ac:dyDescent="0.25">
      <c r="B4" s="75">
        <v>2</v>
      </c>
      <c r="C4" s="83" t="s">
        <v>476</v>
      </c>
      <c r="D4" s="87" t="s">
        <v>239</v>
      </c>
      <c r="E4" s="83" t="s">
        <v>477</v>
      </c>
      <c r="F4" s="87" t="s">
        <v>128</v>
      </c>
      <c r="G4" s="83" t="s">
        <v>478</v>
      </c>
      <c r="H4" s="87" t="s">
        <v>239</v>
      </c>
      <c r="I4" s="83" t="s">
        <v>479</v>
      </c>
      <c r="J4" s="87" t="s">
        <v>241</v>
      </c>
      <c r="K4" s="83" t="s">
        <v>476</v>
      </c>
      <c r="L4" s="87" t="s">
        <v>239</v>
      </c>
      <c r="M4" s="83" t="s">
        <v>477</v>
      </c>
      <c r="N4" s="87" t="s">
        <v>241</v>
      </c>
      <c r="O4" s="83" t="s">
        <v>478</v>
      </c>
      <c r="P4" s="87" t="s">
        <v>265</v>
      </c>
      <c r="Q4" s="83" t="s">
        <v>479</v>
      </c>
      <c r="R4" s="87" t="s">
        <v>241</v>
      </c>
      <c r="S4"/>
      <c r="T4"/>
      <c r="U4"/>
      <c r="V4"/>
      <c r="W4"/>
      <c r="X4"/>
      <c r="Y4"/>
      <c r="Z4"/>
      <c r="AA4"/>
      <c r="AB4"/>
      <c r="AC4"/>
      <c r="AD4"/>
      <c r="AE4"/>
      <c r="AF4"/>
      <c r="AG4"/>
      <c r="AH4"/>
      <c r="AI4" s="71"/>
      <c r="AJ4" s="71"/>
    </row>
    <row r="5" spans="1:36" x14ac:dyDescent="0.25">
      <c r="B5" s="75">
        <v>3</v>
      </c>
      <c r="C5" s="84" t="s">
        <v>476</v>
      </c>
      <c r="D5" s="88" t="s">
        <v>265</v>
      </c>
      <c r="E5" s="84" t="s">
        <v>477</v>
      </c>
      <c r="F5" s="88" t="s">
        <v>134</v>
      </c>
      <c r="G5" s="84" t="s">
        <v>478</v>
      </c>
      <c r="H5" s="88" t="s">
        <v>125</v>
      </c>
      <c r="I5" s="84" t="s">
        <v>479</v>
      </c>
      <c r="J5" s="88" t="s">
        <v>137</v>
      </c>
      <c r="K5" s="84" t="s">
        <v>476</v>
      </c>
      <c r="L5" s="88" t="s">
        <v>265</v>
      </c>
      <c r="M5" s="84" t="s">
        <v>477</v>
      </c>
      <c r="N5" s="88" t="s">
        <v>164</v>
      </c>
      <c r="O5" s="84" t="s">
        <v>478</v>
      </c>
      <c r="P5" s="88" t="s">
        <v>239</v>
      </c>
      <c r="Q5" s="84" t="s">
        <v>479</v>
      </c>
      <c r="R5" s="88" t="s">
        <v>158</v>
      </c>
      <c r="S5"/>
      <c r="T5"/>
      <c r="U5"/>
      <c r="V5"/>
      <c r="W5"/>
      <c r="X5"/>
      <c r="Y5"/>
      <c r="Z5"/>
      <c r="AA5"/>
      <c r="AB5"/>
      <c r="AC5"/>
      <c r="AD5"/>
      <c r="AE5"/>
      <c r="AF5"/>
      <c r="AG5"/>
      <c r="AH5"/>
      <c r="AI5" s="71"/>
      <c r="AJ5" s="71"/>
    </row>
    <row r="6" spans="1:36" x14ac:dyDescent="0.25">
      <c r="B6" s="75">
        <v>4</v>
      </c>
      <c r="C6" s="84" t="s">
        <v>477</v>
      </c>
      <c r="D6" s="88" t="s">
        <v>241</v>
      </c>
      <c r="E6" s="84" t="s">
        <v>478</v>
      </c>
      <c r="F6" s="88" t="s">
        <v>125</v>
      </c>
      <c r="G6" s="84" t="s">
        <v>479</v>
      </c>
      <c r="H6" s="88" t="s">
        <v>241</v>
      </c>
      <c r="I6" s="84" t="s">
        <v>476</v>
      </c>
      <c r="J6" s="88" t="s">
        <v>239</v>
      </c>
      <c r="K6" s="84" t="s">
        <v>477</v>
      </c>
      <c r="L6" s="88" t="s">
        <v>241</v>
      </c>
      <c r="M6" s="84" t="s">
        <v>478</v>
      </c>
      <c r="N6" s="88" t="s">
        <v>239</v>
      </c>
      <c r="O6" s="84" t="s">
        <v>479</v>
      </c>
      <c r="P6" s="88" t="s">
        <v>158</v>
      </c>
      <c r="Q6" s="84" t="s">
        <v>476</v>
      </c>
      <c r="R6" s="88" t="s">
        <v>265</v>
      </c>
      <c r="S6"/>
      <c r="T6"/>
      <c r="U6"/>
      <c r="V6"/>
      <c r="W6"/>
      <c r="X6"/>
      <c r="Y6"/>
      <c r="Z6"/>
      <c r="AA6"/>
      <c r="AB6"/>
      <c r="AC6"/>
      <c r="AD6"/>
      <c r="AE6"/>
      <c r="AF6"/>
      <c r="AG6"/>
      <c r="AH6"/>
      <c r="AI6" s="71"/>
      <c r="AJ6" s="71"/>
    </row>
    <row r="7" spans="1:36" x14ac:dyDescent="0.25">
      <c r="B7" s="75">
        <v>5</v>
      </c>
      <c r="C7" s="84" t="s">
        <v>477</v>
      </c>
      <c r="D7" s="88" t="s">
        <v>116</v>
      </c>
      <c r="E7" s="84" t="s">
        <v>478</v>
      </c>
      <c r="F7" s="88" t="s">
        <v>265</v>
      </c>
      <c r="G7" s="84" t="s">
        <v>479</v>
      </c>
      <c r="H7" s="88" t="s">
        <v>137</v>
      </c>
      <c r="I7" s="84" t="s">
        <v>476</v>
      </c>
      <c r="J7" s="88" t="s">
        <v>265</v>
      </c>
      <c r="K7" s="84" t="s">
        <v>477</v>
      </c>
      <c r="L7" s="88" t="s">
        <v>161</v>
      </c>
      <c r="M7" s="84" t="s">
        <v>478</v>
      </c>
      <c r="N7" s="88" t="s">
        <v>265</v>
      </c>
      <c r="O7" s="84" t="s">
        <v>479</v>
      </c>
      <c r="P7" s="88" t="s">
        <v>241</v>
      </c>
      <c r="Q7" s="84" t="s">
        <v>476</v>
      </c>
      <c r="R7" s="88" t="s">
        <v>239</v>
      </c>
      <c r="S7"/>
      <c r="T7"/>
      <c r="U7"/>
      <c r="V7"/>
      <c r="W7"/>
      <c r="X7"/>
      <c r="Y7"/>
      <c r="Z7"/>
      <c r="AA7"/>
      <c r="AB7"/>
      <c r="AC7"/>
      <c r="AD7"/>
      <c r="AE7"/>
      <c r="AF7"/>
      <c r="AG7"/>
      <c r="AH7"/>
      <c r="AI7" s="76"/>
    </row>
    <row r="8" spans="1:36" x14ac:dyDescent="0.25">
      <c r="B8" s="75">
        <v>6</v>
      </c>
      <c r="C8" s="84" t="s">
        <v>478</v>
      </c>
      <c r="D8" s="88" t="s">
        <v>125</v>
      </c>
      <c r="E8" s="84" t="s">
        <v>479</v>
      </c>
      <c r="F8" s="88" t="s">
        <v>137</v>
      </c>
      <c r="G8" s="84" t="s">
        <v>476</v>
      </c>
      <c r="H8" s="88" t="s">
        <v>265</v>
      </c>
      <c r="I8" s="84" t="s">
        <v>477</v>
      </c>
      <c r="J8" s="88" t="s">
        <v>116</v>
      </c>
      <c r="K8" s="84" t="s">
        <v>478</v>
      </c>
      <c r="L8" s="88" t="s">
        <v>247</v>
      </c>
      <c r="M8" s="84" t="s">
        <v>479</v>
      </c>
      <c r="N8" s="88" t="s">
        <v>158</v>
      </c>
      <c r="O8" s="84" t="s">
        <v>476</v>
      </c>
      <c r="P8" s="88" t="s">
        <v>244</v>
      </c>
      <c r="Q8" s="84" t="s">
        <v>477</v>
      </c>
      <c r="R8" s="88" t="s">
        <v>164</v>
      </c>
      <c r="S8"/>
      <c r="T8"/>
      <c r="U8"/>
      <c r="V8"/>
      <c r="W8"/>
      <c r="X8"/>
      <c r="Y8"/>
      <c r="Z8"/>
      <c r="AA8"/>
      <c r="AB8"/>
      <c r="AC8"/>
      <c r="AD8"/>
      <c r="AE8"/>
      <c r="AF8"/>
      <c r="AG8"/>
      <c r="AH8"/>
      <c r="AI8" s="76"/>
    </row>
    <row r="9" spans="1:36" x14ac:dyDescent="0.25">
      <c r="B9" s="75">
        <v>7</v>
      </c>
      <c r="C9" s="84" t="s">
        <v>478</v>
      </c>
      <c r="D9" s="88" t="s">
        <v>120</v>
      </c>
      <c r="E9" s="84" t="s">
        <v>479</v>
      </c>
      <c r="F9" s="88" t="s">
        <v>241</v>
      </c>
      <c r="G9" s="84" t="s">
        <v>476</v>
      </c>
      <c r="H9" s="88" t="s">
        <v>128</v>
      </c>
      <c r="I9" s="84" t="s">
        <v>477</v>
      </c>
      <c r="J9" s="88" t="s">
        <v>128</v>
      </c>
      <c r="K9" s="84" t="s">
        <v>478</v>
      </c>
      <c r="L9" s="88" t="s">
        <v>167</v>
      </c>
      <c r="M9" s="84" t="s">
        <v>479</v>
      </c>
      <c r="N9" s="88" t="s">
        <v>247</v>
      </c>
      <c r="O9" s="84" t="s">
        <v>476</v>
      </c>
      <c r="P9" s="88" t="s">
        <v>161</v>
      </c>
      <c r="Q9" s="84" t="s">
        <v>477</v>
      </c>
      <c r="R9" s="88" t="s">
        <v>161</v>
      </c>
      <c r="S9"/>
      <c r="T9"/>
      <c r="U9"/>
      <c r="V9"/>
      <c r="W9"/>
      <c r="X9"/>
      <c r="Y9"/>
      <c r="Z9"/>
      <c r="AA9"/>
      <c r="AB9"/>
      <c r="AC9"/>
      <c r="AD9"/>
      <c r="AE9"/>
      <c r="AF9"/>
      <c r="AG9"/>
      <c r="AH9"/>
      <c r="AI9" s="76"/>
    </row>
    <row r="10" spans="1:36" x14ac:dyDescent="0.25">
      <c r="B10" s="75">
        <v>8</v>
      </c>
      <c r="C10" s="84" t="s">
        <v>479</v>
      </c>
      <c r="D10" s="88" t="s">
        <v>247</v>
      </c>
      <c r="E10" s="84" t="s">
        <v>476</v>
      </c>
      <c r="F10" s="88" t="s">
        <v>239</v>
      </c>
      <c r="G10" s="84" t="s">
        <v>477</v>
      </c>
      <c r="H10" s="88" t="s">
        <v>116</v>
      </c>
      <c r="I10" s="84" t="s">
        <v>478</v>
      </c>
      <c r="J10" s="88" t="s">
        <v>120</v>
      </c>
      <c r="K10" s="84" t="s">
        <v>479</v>
      </c>
      <c r="L10" s="88" t="s">
        <v>158</v>
      </c>
      <c r="M10" s="84" t="s">
        <v>476</v>
      </c>
      <c r="N10" s="88" t="s">
        <v>244</v>
      </c>
      <c r="O10" s="84" t="s">
        <v>477</v>
      </c>
      <c r="P10" s="88" t="s">
        <v>164</v>
      </c>
      <c r="Q10" s="84" t="s">
        <v>478</v>
      </c>
      <c r="R10" s="88" t="s">
        <v>244</v>
      </c>
      <c r="S10"/>
      <c r="T10"/>
      <c r="U10"/>
      <c r="V10"/>
      <c r="W10"/>
      <c r="X10"/>
      <c r="Y10"/>
      <c r="Z10"/>
      <c r="AA10"/>
      <c r="AB10"/>
      <c r="AC10"/>
      <c r="AD10"/>
      <c r="AE10"/>
      <c r="AF10"/>
      <c r="AG10"/>
      <c r="AH10"/>
      <c r="AI10" s="76"/>
    </row>
    <row r="11" spans="1:36" x14ac:dyDescent="0.25">
      <c r="B11" s="75">
        <v>9</v>
      </c>
      <c r="C11" s="84" t="s">
        <v>479</v>
      </c>
      <c r="D11" s="88" t="s">
        <v>137</v>
      </c>
      <c r="E11" s="86" t="s">
        <v>476</v>
      </c>
      <c r="F11" s="88" t="s">
        <v>131</v>
      </c>
      <c r="G11" s="84" t="s">
        <v>477</v>
      </c>
      <c r="H11" s="88" t="s">
        <v>134</v>
      </c>
      <c r="I11" s="86" t="s">
        <v>478</v>
      </c>
      <c r="J11" s="88" t="s">
        <v>125</v>
      </c>
      <c r="K11" s="84" t="s">
        <v>479</v>
      </c>
      <c r="L11" s="88" t="s">
        <v>176</v>
      </c>
      <c r="M11" s="86" t="s">
        <v>476</v>
      </c>
      <c r="N11" s="88" t="s">
        <v>161</v>
      </c>
      <c r="O11" s="84" t="s">
        <v>477</v>
      </c>
      <c r="P11" s="88" t="s">
        <v>167</v>
      </c>
      <c r="Q11" s="86" t="s">
        <v>478</v>
      </c>
      <c r="R11" s="88" t="s">
        <v>167</v>
      </c>
      <c r="S11"/>
      <c r="T11"/>
      <c r="U11"/>
      <c r="V11"/>
      <c r="W11"/>
      <c r="X11"/>
      <c r="Y11"/>
      <c r="Z11"/>
      <c r="AA11"/>
      <c r="AB11"/>
      <c r="AC11"/>
      <c r="AD11"/>
      <c r="AE11"/>
      <c r="AF11"/>
      <c r="AG11"/>
      <c r="AH11"/>
      <c r="AI11" s="76"/>
    </row>
    <row r="12" spans="1:36" x14ac:dyDescent="0.25">
      <c r="B12" s="75">
        <v>10</v>
      </c>
      <c r="C12" s="83" t="s">
        <v>480</v>
      </c>
      <c r="D12" s="87" t="s">
        <v>128</v>
      </c>
      <c r="E12" s="83" t="s">
        <v>481</v>
      </c>
      <c r="F12" s="87" t="s">
        <v>116</v>
      </c>
      <c r="G12" s="83" t="s">
        <v>482</v>
      </c>
      <c r="H12" s="87" t="s">
        <v>120</v>
      </c>
      <c r="I12" s="83" t="s">
        <v>483</v>
      </c>
      <c r="J12" s="87" t="s">
        <v>140</v>
      </c>
      <c r="K12" s="83" t="s">
        <v>480</v>
      </c>
      <c r="L12" s="87" t="s">
        <v>173</v>
      </c>
      <c r="M12" s="83" t="s">
        <v>481</v>
      </c>
      <c r="N12" s="87" t="s">
        <v>170</v>
      </c>
      <c r="O12" s="83" t="s">
        <v>482</v>
      </c>
      <c r="P12" s="87" t="s">
        <v>247</v>
      </c>
      <c r="Q12" s="83" t="s">
        <v>483</v>
      </c>
      <c r="R12" s="87" t="s">
        <v>176</v>
      </c>
      <c r="S12"/>
      <c r="T12"/>
      <c r="U12"/>
      <c r="V12"/>
      <c r="W12"/>
      <c r="X12"/>
      <c r="Y12"/>
      <c r="Z12"/>
      <c r="AA12"/>
      <c r="AB12"/>
      <c r="AC12"/>
      <c r="AD12"/>
      <c r="AE12"/>
      <c r="AF12"/>
      <c r="AG12"/>
      <c r="AH12"/>
      <c r="AI12" s="76"/>
    </row>
    <row r="13" spans="1:36" x14ac:dyDescent="0.25">
      <c r="B13" s="75">
        <v>11</v>
      </c>
      <c r="C13" s="84" t="s">
        <v>480</v>
      </c>
      <c r="D13" s="88" t="s">
        <v>131</v>
      </c>
      <c r="E13" s="84" t="s">
        <v>481</v>
      </c>
      <c r="F13" s="88" t="s">
        <v>112</v>
      </c>
      <c r="G13" s="84" t="s">
        <v>482</v>
      </c>
      <c r="H13" s="88" t="s">
        <v>143</v>
      </c>
      <c r="I13" s="84" t="s">
        <v>483</v>
      </c>
      <c r="J13" s="88" t="s">
        <v>247</v>
      </c>
      <c r="K13" s="84" t="s">
        <v>480</v>
      </c>
      <c r="L13" s="88" t="s">
        <v>314</v>
      </c>
      <c r="M13" s="84" t="s">
        <v>481</v>
      </c>
      <c r="N13" s="88" t="s">
        <v>167</v>
      </c>
      <c r="O13" s="84" t="s">
        <v>482</v>
      </c>
      <c r="P13" s="88" t="s">
        <v>179</v>
      </c>
      <c r="Q13" s="84" t="s">
        <v>483</v>
      </c>
      <c r="R13" s="88" t="s">
        <v>321</v>
      </c>
      <c r="S13"/>
      <c r="T13"/>
      <c r="U13"/>
      <c r="V13"/>
      <c r="W13"/>
      <c r="X13"/>
      <c r="Y13"/>
      <c r="Z13"/>
      <c r="AA13"/>
      <c r="AB13"/>
      <c r="AC13"/>
      <c r="AD13"/>
      <c r="AE13"/>
      <c r="AF13"/>
      <c r="AG13"/>
      <c r="AH13"/>
      <c r="AI13" s="76"/>
    </row>
    <row r="14" spans="1:36" x14ac:dyDescent="0.25">
      <c r="B14" s="75">
        <v>12</v>
      </c>
      <c r="C14" s="84" t="s">
        <v>481</v>
      </c>
      <c r="D14" s="88" t="s">
        <v>134</v>
      </c>
      <c r="E14" s="84" t="s">
        <v>482</v>
      </c>
      <c r="F14" s="88" t="s">
        <v>120</v>
      </c>
      <c r="G14" s="84" t="s">
        <v>483</v>
      </c>
      <c r="H14" s="88" t="s">
        <v>140</v>
      </c>
      <c r="I14" s="84" t="s">
        <v>480</v>
      </c>
      <c r="J14" s="88" t="s">
        <v>131</v>
      </c>
      <c r="K14" s="84" t="s">
        <v>481</v>
      </c>
      <c r="L14" s="88" t="s">
        <v>170</v>
      </c>
      <c r="M14" s="84" t="s">
        <v>482</v>
      </c>
      <c r="N14" s="88" t="s">
        <v>179</v>
      </c>
      <c r="O14" s="84" t="s">
        <v>483</v>
      </c>
      <c r="P14" s="88" t="s">
        <v>176</v>
      </c>
      <c r="Q14" s="84" t="s">
        <v>480</v>
      </c>
      <c r="R14" s="88" t="s">
        <v>173</v>
      </c>
      <c r="S14"/>
      <c r="T14"/>
      <c r="U14"/>
      <c r="V14"/>
      <c r="W14"/>
      <c r="X14"/>
      <c r="Y14"/>
      <c r="Z14"/>
      <c r="AA14"/>
      <c r="AB14"/>
      <c r="AC14"/>
      <c r="AD14"/>
      <c r="AE14"/>
      <c r="AF14"/>
      <c r="AG14"/>
      <c r="AH14"/>
      <c r="AI14" s="76"/>
    </row>
    <row r="15" spans="1:36" x14ac:dyDescent="0.25">
      <c r="B15" s="75">
        <v>13</v>
      </c>
      <c r="C15" s="84" t="s">
        <v>481</v>
      </c>
      <c r="D15" s="88" t="s">
        <v>112</v>
      </c>
      <c r="E15" s="84" t="s">
        <v>482</v>
      </c>
      <c r="F15" s="88" t="s">
        <v>143</v>
      </c>
      <c r="G15" s="84" t="s">
        <v>483</v>
      </c>
      <c r="H15" s="88" t="s">
        <v>247</v>
      </c>
      <c r="I15" s="84" t="s">
        <v>480</v>
      </c>
      <c r="J15" s="88" t="s">
        <v>314</v>
      </c>
      <c r="K15" s="84" t="s">
        <v>481</v>
      </c>
      <c r="L15" s="88" t="s">
        <v>164</v>
      </c>
      <c r="M15" s="84" t="s">
        <v>482</v>
      </c>
      <c r="N15" s="88" t="s">
        <v>314</v>
      </c>
      <c r="O15" s="84" t="s">
        <v>483</v>
      </c>
      <c r="P15" s="88" t="s">
        <v>321</v>
      </c>
      <c r="Q15" s="84" t="s">
        <v>480</v>
      </c>
      <c r="R15" s="88" t="s">
        <v>314</v>
      </c>
      <c r="S15"/>
      <c r="T15"/>
      <c r="U15"/>
      <c r="V15"/>
      <c r="W15"/>
      <c r="X15"/>
      <c r="Y15"/>
      <c r="Z15"/>
      <c r="AA15"/>
      <c r="AB15"/>
      <c r="AC15"/>
      <c r="AD15"/>
      <c r="AE15"/>
      <c r="AF15"/>
      <c r="AG15"/>
      <c r="AH15"/>
      <c r="AI15" s="76"/>
    </row>
    <row r="16" spans="1:36" x14ac:dyDescent="0.25">
      <c r="B16" s="75">
        <v>14</v>
      </c>
      <c r="C16" s="84" t="s">
        <v>482</v>
      </c>
      <c r="D16" s="88" t="s">
        <v>314</v>
      </c>
      <c r="E16" s="84" t="s">
        <v>483</v>
      </c>
      <c r="F16" s="88" t="s">
        <v>140</v>
      </c>
      <c r="G16" s="84" t="s">
        <v>480</v>
      </c>
      <c r="H16" s="88" t="s">
        <v>314</v>
      </c>
      <c r="I16" s="84" t="s">
        <v>481</v>
      </c>
      <c r="J16" s="88" t="s">
        <v>134</v>
      </c>
      <c r="K16" s="84" t="s">
        <v>482</v>
      </c>
      <c r="L16" s="88" t="s">
        <v>244</v>
      </c>
      <c r="M16" s="84" t="s">
        <v>483</v>
      </c>
      <c r="N16" s="88" t="s">
        <v>176</v>
      </c>
      <c r="O16" s="84" t="s">
        <v>480</v>
      </c>
      <c r="P16" s="88" t="s">
        <v>173</v>
      </c>
      <c r="Q16" s="84" t="s">
        <v>481</v>
      </c>
      <c r="R16" s="88" t="s">
        <v>170</v>
      </c>
      <c r="S16"/>
      <c r="T16"/>
      <c r="U16"/>
      <c r="V16"/>
      <c r="W16"/>
      <c r="X16"/>
      <c r="Y16"/>
      <c r="Z16"/>
      <c r="AA16"/>
      <c r="AB16"/>
      <c r="AC16"/>
      <c r="AD16"/>
      <c r="AE16"/>
      <c r="AF16"/>
      <c r="AG16"/>
      <c r="AH16"/>
      <c r="AI16" s="76"/>
    </row>
    <row r="17" spans="1:36" x14ac:dyDescent="0.25">
      <c r="B17" s="75">
        <v>15</v>
      </c>
      <c r="C17" s="84" t="s">
        <v>482</v>
      </c>
      <c r="D17" s="88" t="s">
        <v>143</v>
      </c>
      <c r="E17" s="84" t="s">
        <v>483</v>
      </c>
      <c r="F17" s="88" t="s">
        <v>247</v>
      </c>
      <c r="G17" s="84" t="s">
        <v>480</v>
      </c>
      <c r="H17" s="88" t="s">
        <v>131</v>
      </c>
      <c r="I17" s="84" t="s">
        <v>481</v>
      </c>
      <c r="J17" s="88" t="s">
        <v>112</v>
      </c>
      <c r="K17" s="84" t="s">
        <v>482</v>
      </c>
      <c r="L17" s="88" t="s">
        <v>179</v>
      </c>
      <c r="M17" s="84" t="s">
        <v>483</v>
      </c>
      <c r="N17" s="88" t="s">
        <v>321</v>
      </c>
      <c r="O17" s="84" t="s">
        <v>480</v>
      </c>
      <c r="P17" s="88" t="s">
        <v>314</v>
      </c>
      <c r="Q17" s="84" t="s">
        <v>481</v>
      </c>
      <c r="R17" s="88" t="s">
        <v>247</v>
      </c>
      <c r="S17"/>
      <c r="T17"/>
      <c r="U17"/>
      <c r="V17"/>
      <c r="W17"/>
      <c r="X17"/>
      <c r="Y17"/>
      <c r="Z17"/>
      <c r="AA17"/>
      <c r="AB17"/>
      <c r="AC17"/>
      <c r="AD17"/>
      <c r="AE17"/>
      <c r="AF17"/>
      <c r="AG17"/>
      <c r="AH17"/>
      <c r="AI17" s="76"/>
    </row>
    <row r="18" spans="1:36" x14ac:dyDescent="0.25">
      <c r="B18" s="75">
        <v>16</v>
      </c>
      <c r="C18" s="84" t="s">
        <v>483</v>
      </c>
      <c r="D18" s="88" t="s">
        <v>140</v>
      </c>
      <c r="E18" s="84" t="s">
        <v>480</v>
      </c>
      <c r="F18" s="88" t="s">
        <v>314</v>
      </c>
      <c r="G18" s="84" t="s">
        <v>481</v>
      </c>
      <c r="H18" s="88" t="s">
        <v>112</v>
      </c>
      <c r="I18" s="84" t="s">
        <v>482</v>
      </c>
      <c r="J18" s="88" t="s">
        <v>143</v>
      </c>
      <c r="K18" s="84" t="s">
        <v>483</v>
      </c>
      <c r="L18" s="88" t="s">
        <v>321</v>
      </c>
      <c r="M18" s="84" t="s">
        <v>480</v>
      </c>
      <c r="N18" s="88" t="s">
        <v>173</v>
      </c>
      <c r="O18" s="84" t="s">
        <v>481</v>
      </c>
      <c r="P18" s="88" t="s">
        <v>170</v>
      </c>
      <c r="Q18" s="84" t="s">
        <v>482</v>
      </c>
      <c r="R18" s="88" t="s">
        <v>179</v>
      </c>
      <c r="S18"/>
      <c r="T18"/>
      <c r="U18"/>
      <c r="V18"/>
      <c r="W18"/>
      <c r="X18"/>
      <c r="Y18"/>
      <c r="Z18"/>
      <c r="AA18"/>
      <c r="AB18"/>
      <c r="AC18"/>
      <c r="AD18"/>
      <c r="AE18"/>
      <c r="AF18"/>
      <c r="AG18"/>
      <c r="AH18"/>
      <c r="AI18" s="76"/>
    </row>
    <row r="19" spans="1:36" x14ac:dyDescent="0.25">
      <c r="B19" s="75">
        <v>17</v>
      </c>
      <c r="C19" s="86" t="s">
        <v>483</v>
      </c>
      <c r="D19" s="85" t="s">
        <v>318</v>
      </c>
      <c r="E19" s="86" t="s">
        <v>480</v>
      </c>
      <c r="F19" s="99" t="s">
        <v>107</v>
      </c>
      <c r="G19" s="86" t="s">
        <v>481</v>
      </c>
      <c r="H19" s="85" t="s">
        <v>318</v>
      </c>
      <c r="I19" s="86" t="s">
        <v>482</v>
      </c>
      <c r="J19" s="85" t="s">
        <v>318</v>
      </c>
      <c r="K19" s="86" t="s">
        <v>483</v>
      </c>
      <c r="L19" s="85" t="s">
        <v>318</v>
      </c>
      <c r="M19" s="86" t="s">
        <v>480</v>
      </c>
      <c r="N19" s="85" t="s">
        <v>318</v>
      </c>
      <c r="O19" s="86" t="s">
        <v>481</v>
      </c>
      <c r="P19" s="85" t="s">
        <v>318</v>
      </c>
      <c r="Q19" s="86" t="s">
        <v>482</v>
      </c>
      <c r="R19" s="85" t="s">
        <v>318</v>
      </c>
      <c r="S19"/>
      <c r="T19"/>
      <c r="U19"/>
      <c r="V19"/>
      <c r="W19"/>
      <c r="X19"/>
      <c r="Y19"/>
      <c r="Z19"/>
      <c r="AA19"/>
      <c r="AB19"/>
      <c r="AC19"/>
      <c r="AD19"/>
      <c r="AE19"/>
      <c r="AF19"/>
      <c r="AG19"/>
      <c r="AH19"/>
      <c r="AI19" s="76"/>
    </row>
    <row r="20" spans="1:36" x14ac:dyDescent="0.25">
      <c r="B20" s="75">
        <v>18</v>
      </c>
      <c r="C20" s="84" t="s">
        <v>484</v>
      </c>
      <c r="D20" s="98" t="s">
        <v>105</v>
      </c>
      <c r="E20" s="84" t="s">
        <v>485</v>
      </c>
      <c r="F20" s="88" t="s">
        <v>318</v>
      </c>
      <c r="G20" s="84" t="s">
        <v>486</v>
      </c>
      <c r="H20" s="98" t="s">
        <v>105</v>
      </c>
      <c r="I20" s="84" t="s">
        <v>487</v>
      </c>
      <c r="J20" s="98" t="s">
        <v>105</v>
      </c>
      <c r="K20" s="84" t="s">
        <v>484</v>
      </c>
      <c r="L20" s="88" t="s">
        <v>105</v>
      </c>
      <c r="M20" s="84" t="s">
        <v>485</v>
      </c>
      <c r="N20" s="88" t="s">
        <v>105</v>
      </c>
      <c r="O20" s="84" t="s">
        <v>486</v>
      </c>
      <c r="P20" s="88" t="s">
        <v>105</v>
      </c>
      <c r="Q20" s="84" t="s">
        <v>487</v>
      </c>
      <c r="R20" s="88" t="s">
        <v>105</v>
      </c>
      <c r="S20"/>
      <c r="T20"/>
      <c r="U20"/>
      <c r="V20"/>
      <c r="W20"/>
      <c r="X20"/>
      <c r="Y20"/>
      <c r="Z20"/>
      <c r="AA20"/>
      <c r="AB20"/>
      <c r="AC20"/>
      <c r="AD20"/>
      <c r="AE20"/>
      <c r="AF20"/>
      <c r="AG20"/>
      <c r="AH20"/>
      <c r="AI20" s="78"/>
    </row>
    <row r="21" spans="1:36" x14ac:dyDescent="0.25">
      <c r="B21" s="75">
        <v>19</v>
      </c>
      <c r="C21" s="86" t="s">
        <v>484</v>
      </c>
      <c r="D21" s="99"/>
      <c r="E21" s="86" t="s">
        <v>485</v>
      </c>
      <c r="F21" s="99"/>
      <c r="G21" s="86" t="s">
        <v>486</v>
      </c>
      <c r="H21" s="99"/>
      <c r="I21" s="86" t="s">
        <v>487</v>
      </c>
      <c r="J21" s="99"/>
      <c r="K21" s="86" t="s">
        <v>484</v>
      </c>
      <c r="L21" s="85"/>
      <c r="M21" s="86" t="s">
        <v>485</v>
      </c>
      <c r="N21" s="85"/>
      <c r="O21" s="86" t="s">
        <v>486</v>
      </c>
      <c r="P21" s="85"/>
      <c r="Q21" s="86" t="s">
        <v>487</v>
      </c>
      <c r="R21" s="85"/>
      <c r="S21"/>
      <c r="T21"/>
      <c r="U21"/>
      <c r="V21"/>
      <c r="W21"/>
      <c r="X21"/>
      <c r="Y21"/>
      <c r="Z21"/>
      <c r="AA21"/>
      <c r="AB21"/>
      <c r="AC21"/>
      <c r="AD21"/>
      <c r="AE21"/>
      <c r="AF21"/>
      <c r="AG21"/>
      <c r="AH21"/>
    </row>
    <row r="22" spans="1:36" x14ac:dyDescent="0.25">
      <c r="S22" s="79"/>
      <c r="T22" s="79"/>
      <c r="U22" s="79"/>
      <c r="V22" s="79"/>
      <c r="W22" s="79"/>
      <c r="X22"/>
      <c r="Y22"/>
      <c r="Z22"/>
      <c r="AA22"/>
      <c r="AB22"/>
      <c r="AC22"/>
      <c r="AI22"/>
      <c r="AJ22"/>
    </row>
    <row r="23" spans="1:36" x14ac:dyDescent="0.25">
      <c r="A23"/>
      <c r="B23"/>
      <c r="D23" s="75"/>
      <c r="E23" s="79"/>
      <c r="F23" s="72"/>
      <c r="G23"/>
      <c r="H23"/>
      <c r="I23"/>
      <c r="J23"/>
      <c r="K23"/>
      <c r="L23"/>
      <c r="M23"/>
      <c r="N23"/>
      <c r="O23"/>
      <c r="P23"/>
      <c r="Q23"/>
      <c r="R23"/>
      <c r="W23" s="79"/>
      <c r="X23"/>
      <c r="Y23"/>
      <c r="Z23"/>
      <c r="AA23"/>
      <c r="AB23"/>
      <c r="AC23"/>
    </row>
    <row r="24" spans="1:36" x14ac:dyDescent="0.25">
      <c r="A24" s="152" t="s">
        <v>488</v>
      </c>
      <c r="B24" s="72">
        <v>1</v>
      </c>
      <c r="C24" s="157"/>
      <c r="D24" s="158" t="s">
        <v>489</v>
      </c>
      <c r="E24" s="157"/>
      <c r="F24" s="158" t="s">
        <v>490</v>
      </c>
      <c r="G24" s="157"/>
      <c r="H24" s="158" t="s">
        <v>491</v>
      </c>
      <c r="I24" s="157"/>
      <c r="J24" s="158" t="s">
        <v>492</v>
      </c>
      <c r="K24" s="157"/>
      <c r="L24" s="158" t="s">
        <v>493</v>
      </c>
      <c r="M24" s="157"/>
      <c r="N24" s="158" t="s">
        <v>494</v>
      </c>
      <c r="O24" s="157"/>
      <c r="P24" s="158" t="s">
        <v>495</v>
      </c>
      <c r="Q24" s="157"/>
      <c r="R24" s="158" t="s">
        <v>496</v>
      </c>
      <c r="S24" s="74"/>
      <c r="T24" s="73" t="s">
        <v>497</v>
      </c>
      <c r="U24" s="74"/>
      <c r="V24" s="73" t="s">
        <v>498</v>
      </c>
      <c r="W24" s="74"/>
      <c r="X24" s="73" t="s">
        <v>499</v>
      </c>
      <c r="Y24" s="74"/>
      <c r="Z24" s="73" t="s">
        <v>500</v>
      </c>
      <c r="AA24" s="74"/>
      <c r="AB24" s="73" t="s">
        <v>501</v>
      </c>
      <c r="AC24" s="74"/>
      <c r="AD24" s="73" t="s">
        <v>502</v>
      </c>
      <c r="AE24" s="74"/>
      <c r="AF24" s="73" t="s">
        <v>503</v>
      </c>
      <c r="AG24" s="74"/>
      <c r="AH24" s="73" t="s">
        <v>504</v>
      </c>
    </row>
    <row r="25" spans="1:36" x14ac:dyDescent="0.25">
      <c r="B25" s="75">
        <v>2</v>
      </c>
      <c r="C25" s="83" t="s">
        <v>505</v>
      </c>
      <c r="D25" s="87" t="s">
        <v>277</v>
      </c>
      <c r="E25" s="83" t="s">
        <v>506</v>
      </c>
      <c r="F25" s="87" t="s">
        <v>290</v>
      </c>
      <c r="G25" s="83" t="s">
        <v>507</v>
      </c>
      <c r="H25" s="87" t="s">
        <v>277</v>
      </c>
      <c r="I25" s="83" t="s">
        <v>508</v>
      </c>
      <c r="J25" s="87" t="s">
        <v>290</v>
      </c>
      <c r="K25" s="83" t="s">
        <v>505</v>
      </c>
      <c r="L25" s="87" t="s">
        <v>277</v>
      </c>
      <c r="M25" s="83" t="s">
        <v>506</v>
      </c>
      <c r="N25" s="87" t="s">
        <v>290</v>
      </c>
      <c r="O25" s="83" t="s">
        <v>507</v>
      </c>
      <c r="P25" s="87" t="s">
        <v>277</v>
      </c>
      <c r="Q25" s="83" t="s">
        <v>508</v>
      </c>
      <c r="R25" s="87" t="s">
        <v>290</v>
      </c>
      <c r="S25" s="83" t="s">
        <v>505</v>
      </c>
      <c r="T25" s="87" t="s">
        <v>277</v>
      </c>
      <c r="U25" s="83" t="s">
        <v>506</v>
      </c>
      <c r="V25" s="87" t="s">
        <v>290</v>
      </c>
      <c r="W25" s="83" t="s">
        <v>507</v>
      </c>
      <c r="X25" s="87" t="s">
        <v>277</v>
      </c>
      <c r="Y25" s="83" t="s">
        <v>508</v>
      </c>
      <c r="Z25" s="87" t="s">
        <v>290</v>
      </c>
      <c r="AA25" s="83" t="s">
        <v>505</v>
      </c>
      <c r="AB25" s="87" t="s">
        <v>277</v>
      </c>
      <c r="AC25" s="83" t="s">
        <v>506</v>
      </c>
      <c r="AD25" s="87" t="s">
        <v>290</v>
      </c>
      <c r="AE25" s="83" t="s">
        <v>507</v>
      </c>
      <c r="AF25" s="87" t="s">
        <v>277</v>
      </c>
      <c r="AG25" s="83" t="s">
        <v>508</v>
      </c>
      <c r="AH25" s="87" t="s">
        <v>290</v>
      </c>
    </row>
    <row r="26" spans="1:36" x14ac:dyDescent="0.25">
      <c r="B26" s="75">
        <v>3</v>
      </c>
      <c r="C26" s="84" t="s">
        <v>505</v>
      </c>
      <c r="D26" s="88" t="s">
        <v>350</v>
      </c>
      <c r="E26" s="84" t="s">
        <v>506</v>
      </c>
      <c r="F26" s="88" t="s">
        <v>350</v>
      </c>
      <c r="G26" s="84" t="s">
        <v>507</v>
      </c>
      <c r="H26" s="88" t="s">
        <v>350</v>
      </c>
      <c r="I26" s="84" t="s">
        <v>508</v>
      </c>
      <c r="J26" s="88" t="s">
        <v>350</v>
      </c>
      <c r="K26" s="84" t="s">
        <v>505</v>
      </c>
      <c r="L26" s="88" t="s">
        <v>305</v>
      </c>
      <c r="M26" s="84" t="s">
        <v>506</v>
      </c>
      <c r="N26" s="88" t="s">
        <v>299</v>
      </c>
      <c r="O26" s="84" t="s">
        <v>507</v>
      </c>
      <c r="P26" s="88" t="s">
        <v>271</v>
      </c>
      <c r="Q26" s="84" t="s">
        <v>508</v>
      </c>
      <c r="R26" s="88" t="s">
        <v>299</v>
      </c>
      <c r="S26" s="84" t="s">
        <v>505</v>
      </c>
      <c r="T26" s="88" t="s">
        <v>302</v>
      </c>
      <c r="U26" s="84" t="s">
        <v>506</v>
      </c>
      <c r="V26" s="88" t="s">
        <v>299</v>
      </c>
      <c r="W26" s="84" t="s">
        <v>507</v>
      </c>
      <c r="X26" s="88" t="s">
        <v>308</v>
      </c>
      <c r="Y26" s="84" t="s">
        <v>508</v>
      </c>
      <c r="Z26" s="88" t="s">
        <v>299</v>
      </c>
      <c r="AA26" s="84" t="s">
        <v>505</v>
      </c>
      <c r="AB26" s="88" t="s">
        <v>311</v>
      </c>
      <c r="AC26" s="84" t="s">
        <v>506</v>
      </c>
      <c r="AD26" s="88" t="s">
        <v>299</v>
      </c>
      <c r="AE26" s="84" t="s">
        <v>507</v>
      </c>
      <c r="AF26" s="88" t="s">
        <v>293</v>
      </c>
      <c r="AG26" s="84" t="s">
        <v>508</v>
      </c>
      <c r="AH26" s="88" t="s">
        <v>299</v>
      </c>
    </row>
    <row r="27" spans="1:36" x14ac:dyDescent="0.25">
      <c r="B27" s="75">
        <v>4</v>
      </c>
      <c r="C27" s="84" t="s">
        <v>506</v>
      </c>
      <c r="D27" s="88" t="s">
        <v>290</v>
      </c>
      <c r="E27" s="84" t="s">
        <v>507</v>
      </c>
      <c r="F27" s="88" t="s">
        <v>277</v>
      </c>
      <c r="G27" s="84" t="s">
        <v>508</v>
      </c>
      <c r="H27" s="88" t="s">
        <v>290</v>
      </c>
      <c r="I27" s="84" t="s">
        <v>505</v>
      </c>
      <c r="J27" s="88" t="s">
        <v>277</v>
      </c>
      <c r="K27" s="84" t="s">
        <v>506</v>
      </c>
      <c r="L27" s="88" t="s">
        <v>290</v>
      </c>
      <c r="M27" s="84" t="s">
        <v>507</v>
      </c>
      <c r="N27" s="88" t="s">
        <v>277</v>
      </c>
      <c r="O27" s="84" t="s">
        <v>508</v>
      </c>
      <c r="P27" s="88" t="s">
        <v>290</v>
      </c>
      <c r="Q27" s="84" t="s">
        <v>505</v>
      </c>
      <c r="R27" s="88" t="s">
        <v>277</v>
      </c>
      <c r="S27" s="84" t="s">
        <v>506</v>
      </c>
      <c r="T27" s="88" t="s">
        <v>290</v>
      </c>
      <c r="U27" s="84" t="s">
        <v>507</v>
      </c>
      <c r="V27" s="88" t="s">
        <v>277</v>
      </c>
      <c r="W27" s="84" t="s">
        <v>508</v>
      </c>
      <c r="X27" s="88" t="s">
        <v>290</v>
      </c>
      <c r="Y27" s="84" t="s">
        <v>505</v>
      </c>
      <c r="Z27" s="88" t="s">
        <v>277</v>
      </c>
      <c r="AA27" s="84" t="s">
        <v>506</v>
      </c>
      <c r="AB27" s="88" t="s">
        <v>290</v>
      </c>
      <c r="AC27" s="84" t="s">
        <v>507</v>
      </c>
      <c r="AD27" s="88" t="s">
        <v>277</v>
      </c>
      <c r="AE27" s="84" t="s">
        <v>508</v>
      </c>
      <c r="AF27" s="88" t="s">
        <v>290</v>
      </c>
      <c r="AG27" s="84" t="s">
        <v>505</v>
      </c>
      <c r="AH27" s="88" t="s">
        <v>277</v>
      </c>
    </row>
    <row r="28" spans="1:36" x14ac:dyDescent="0.25">
      <c r="B28" s="75">
        <v>5</v>
      </c>
      <c r="C28" s="84" t="s">
        <v>506</v>
      </c>
      <c r="D28" s="88" t="s">
        <v>350</v>
      </c>
      <c r="E28" s="84" t="s">
        <v>507</v>
      </c>
      <c r="F28" s="88" t="s">
        <v>350</v>
      </c>
      <c r="G28" s="84" t="s">
        <v>508</v>
      </c>
      <c r="H28" s="88" t="s">
        <v>350</v>
      </c>
      <c r="I28" s="84" t="s">
        <v>505</v>
      </c>
      <c r="J28" s="88" t="s">
        <v>350</v>
      </c>
      <c r="K28" s="84" t="s">
        <v>506</v>
      </c>
      <c r="L28" s="88" t="s">
        <v>299</v>
      </c>
      <c r="M28" s="84" t="s">
        <v>507</v>
      </c>
      <c r="N28" s="88" t="s">
        <v>271</v>
      </c>
      <c r="O28" s="84" t="s">
        <v>508</v>
      </c>
      <c r="P28" s="88" t="s">
        <v>299</v>
      </c>
      <c r="Q28" s="84" t="s">
        <v>505</v>
      </c>
      <c r="R28" s="88" t="s">
        <v>305</v>
      </c>
      <c r="S28" s="84" t="s">
        <v>506</v>
      </c>
      <c r="T28" s="88" t="s">
        <v>299</v>
      </c>
      <c r="U28" s="84" t="s">
        <v>507</v>
      </c>
      <c r="V28" s="88" t="s">
        <v>308</v>
      </c>
      <c r="W28" s="84" t="s">
        <v>508</v>
      </c>
      <c r="X28" s="88" t="s">
        <v>299</v>
      </c>
      <c r="Y28" s="84" t="s">
        <v>505</v>
      </c>
      <c r="Z28" s="88" t="s">
        <v>302</v>
      </c>
      <c r="AA28" s="84" t="s">
        <v>506</v>
      </c>
      <c r="AB28" s="88" t="s">
        <v>299</v>
      </c>
      <c r="AC28" s="84" t="s">
        <v>507</v>
      </c>
      <c r="AD28" s="88" t="s">
        <v>293</v>
      </c>
      <c r="AE28" s="84" t="s">
        <v>508</v>
      </c>
      <c r="AF28" s="88" t="s">
        <v>299</v>
      </c>
      <c r="AG28" s="84" t="s">
        <v>505</v>
      </c>
      <c r="AH28" s="88" t="s">
        <v>311</v>
      </c>
    </row>
    <row r="29" spans="1:36" x14ac:dyDescent="0.25">
      <c r="B29" s="75">
        <v>6</v>
      </c>
      <c r="C29" s="84" t="s">
        <v>507</v>
      </c>
      <c r="D29" s="88" t="s">
        <v>350</v>
      </c>
      <c r="E29" s="84" t="s">
        <v>508</v>
      </c>
      <c r="F29" s="88" t="s">
        <v>280</v>
      </c>
      <c r="G29" s="84" t="s">
        <v>505</v>
      </c>
      <c r="H29" s="88" t="s">
        <v>350</v>
      </c>
      <c r="I29" s="84" t="s">
        <v>506</v>
      </c>
      <c r="J29" s="88" t="s">
        <v>280</v>
      </c>
      <c r="K29" s="84" t="s">
        <v>507</v>
      </c>
      <c r="L29" s="88" t="s">
        <v>336</v>
      </c>
      <c r="M29" s="84" t="s">
        <v>508</v>
      </c>
      <c r="N29" s="88" t="s">
        <v>280</v>
      </c>
      <c r="O29" s="84" t="s">
        <v>505</v>
      </c>
      <c r="P29" s="88" t="s">
        <v>336</v>
      </c>
      <c r="Q29" s="84" t="s">
        <v>506</v>
      </c>
      <c r="R29" s="88" t="s">
        <v>280</v>
      </c>
      <c r="S29" s="84" t="s">
        <v>507</v>
      </c>
      <c r="T29" s="88" t="s">
        <v>296</v>
      </c>
      <c r="U29" s="84" t="s">
        <v>508</v>
      </c>
      <c r="V29" s="88" t="s">
        <v>280</v>
      </c>
      <c r="W29" s="84" t="s">
        <v>505</v>
      </c>
      <c r="X29" s="88" t="s">
        <v>296</v>
      </c>
      <c r="Y29" s="84" t="s">
        <v>506</v>
      </c>
      <c r="Z29" s="88" t="s">
        <v>280</v>
      </c>
      <c r="AA29" s="84" t="s">
        <v>507</v>
      </c>
      <c r="AB29" s="88" t="s">
        <v>296</v>
      </c>
      <c r="AC29" s="84" t="s">
        <v>508</v>
      </c>
      <c r="AD29" s="88" t="s">
        <v>280</v>
      </c>
      <c r="AE29" s="84" t="s">
        <v>505</v>
      </c>
      <c r="AF29" s="88" t="s">
        <v>296</v>
      </c>
      <c r="AG29" s="84" t="s">
        <v>506</v>
      </c>
      <c r="AH29" s="88" t="s">
        <v>280</v>
      </c>
    </row>
    <row r="30" spans="1:36" x14ac:dyDescent="0.25">
      <c r="B30" s="75">
        <v>7</v>
      </c>
      <c r="C30" s="84" t="s">
        <v>507</v>
      </c>
      <c r="D30" s="88" t="s">
        <v>350</v>
      </c>
      <c r="E30" s="84" t="s">
        <v>508</v>
      </c>
      <c r="F30" s="98" t="s">
        <v>103</v>
      </c>
      <c r="G30" s="84" t="s">
        <v>505</v>
      </c>
      <c r="H30" s="88" t="s">
        <v>350</v>
      </c>
      <c r="I30" s="84" t="s">
        <v>506</v>
      </c>
      <c r="J30" s="98" t="s">
        <v>103</v>
      </c>
      <c r="K30" s="84" t="s">
        <v>507</v>
      </c>
      <c r="L30" s="88" t="s">
        <v>271</v>
      </c>
      <c r="M30" s="84" t="s">
        <v>508</v>
      </c>
      <c r="N30" s="98" t="s">
        <v>103</v>
      </c>
      <c r="O30" s="84" t="s">
        <v>505</v>
      </c>
      <c r="P30" s="88" t="s">
        <v>305</v>
      </c>
      <c r="Q30" s="84" t="s">
        <v>506</v>
      </c>
      <c r="R30" s="98" t="s">
        <v>103</v>
      </c>
      <c r="S30" s="84" t="s">
        <v>507</v>
      </c>
      <c r="T30" s="88" t="s">
        <v>308</v>
      </c>
      <c r="U30" s="84" t="s">
        <v>508</v>
      </c>
      <c r="V30" s="98" t="s">
        <v>103</v>
      </c>
      <c r="W30" s="84" t="s">
        <v>505</v>
      </c>
      <c r="X30" s="88" t="s">
        <v>302</v>
      </c>
      <c r="Y30" s="84" t="s">
        <v>506</v>
      </c>
      <c r="Z30" s="98" t="s">
        <v>103</v>
      </c>
      <c r="AA30" s="84" t="s">
        <v>507</v>
      </c>
      <c r="AB30" s="88" t="s">
        <v>293</v>
      </c>
      <c r="AC30" s="84" t="s">
        <v>508</v>
      </c>
      <c r="AD30" s="98" t="s">
        <v>103</v>
      </c>
      <c r="AE30" s="84" t="s">
        <v>505</v>
      </c>
      <c r="AF30" s="88" t="s">
        <v>311</v>
      </c>
      <c r="AG30" s="84" t="s">
        <v>506</v>
      </c>
      <c r="AH30" s="98" t="s">
        <v>103</v>
      </c>
    </row>
    <row r="31" spans="1:36" x14ac:dyDescent="0.25">
      <c r="B31" s="75">
        <v>8</v>
      </c>
      <c r="C31" s="84" t="s">
        <v>508</v>
      </c>
      <c r="D31" s="88" t="s">
        <v>280</v>
      </c>
      <c r="E31" s="84" t="s">
        <v>505</v>
      </c>
      <c r="F31" s="88" t="s">
        <v>350</v>
      </c>
      <c r="G31" s="84" t="s">
        <v>506</v>
      </c>
      <c r="H31" s="88" t="s">
        <v>280</v>
      </c>
      <c r="I31" s="84" t="s">
        <v>507</v>
      </c>
      <c r="J31" s="88" t="s">
        <v>350</v>
      </c>
      <c r="K31" s="84" t="s">
        <v>508</v>
      </c>
      <c r="L31" s="88" t="s">
        <v>280</v>
      </c>
      <c r="M31" s="84" t="s">
        <v>505</v>
      </c>
      <c r="N31" s="88" t="s">
        <v>336</v>
      </c>
      <c r="O31" s="84" t="s">
        <v>506</v>
      </c>
      <c r="P31" s="88" t="s">
        <v>280</v>
      </c>
      <c r="Q31" s="84" t="s">
        <v>507</v>
      </c>
      <c r="R31" s="88" t="s">
        <v>336</v>
      </c>
      <c r="S31" s="84" t="s">
        <v>508</v>
      </c>
      <c r="T31" s="88" t="s">
        <v>280</v>
      </c>
      <c r="U31" s="84" t="s">
        <v>505</v>
      </c>
      <c r="V31" s="88" t="s">
        <v>296</v>
      </c>
      <c r="W31" s="84" t="s">
        <v>506</v>
      </c>
      <c r="X31" s="88" t="s">
        <v>280</v>
      </c>
      <c r="Y31" s="84" t="s">
        <v>507</v>
      </c>
      <c r="Z31" s="88" t="s">
        <v>296</v>
      </c>
      <c r="AA31" s="84" t="s">
        <v>508</v>
      </c>
      <c r="AB31" s="88" t="s">
        <v>280</v>
      </c>
      <c r="AC31" s="84" t="s">
        <v>505</v>
      </c>
      <c r="AD31" s="88" t="s">
        <v>296</v>
      </c>
      <c r="AE31" s="84" t="s">
        <v>506</v>
      </c>
      <c r="AF31" s="88" t="s">
        <v>280</v>
      </c>
      <c r="AG31" s="84" t="s">
        <v>507</v>
      </c>
      <c r="AH31" s="88" t="s">
        <v>296</v>
      </c>
    </row>
    <row r="32" spans="1:36" x14ac:dyDescent="0.25">
      <c r="B32" s="75">
        <v>9</v>
      </c>
      <c r="C32" s="86" t="s">
        <v>508</v>
      </c>
      <c r="D32" s="99" t="s">
        <v>103</v>
      </c>
      <c r="E32" s="86" t="s">
        <v>505</v>
      </c>
      <c r="F32" s="85" t="s">
        <v>350</v>
      </c>
      <c r="G32" s="86" t="s">
        <v>506</v>
      </c>
      <c r="H32" s="99" t="s">
        <v>103</v>
      </c>
      <c r="I32" s="86" t="s">
        <v>507</v>
      </c>
      <c r="J32" s="85" t="s">
        <v>350</v>
      </c>
      <c r="K32" s="86" t="s">
        <v>508</v>
      </c>
      <c r="L32" s="99" t="s">
        <v>103</v>
      </c>
      <c r="M32" s="86" t="s">
        <v>505</v>
      </c>
      <c r="N32" s="85" t="s">
        <v>305</v>
      </c>
      <c r="O32" s="86" t="s">
        <v>506</v>
      </c>
      <c r="P32" s="99" t="s">
        <v>103</v>
      </c>
      <c r="Q32" s="86" t="s">
        <v>507</v>
      </c>
      <c r="R32" s="85" t="s">
        <v>271</v>
      </c>
      <c r="S32" s="86" t="s">
        <v>508</v>
      </c>
      <c r="T32" s="99" t="s">
        <v>103</v>
      </c>
      <c r="U32" s="86" t="s">
        <v>505</v>
      </c>
      <c r="V32" s="85" t="s">
        <v>302</v>
      </c>
      <c r="W32" s="86" t="s">
        <v>506</v>
      </c>
      <c r="X32" s="99" t="s">
        <v>103</v>
      </c>
      <c r="Y32" s="86" t="s">
        <v>507</v>
      </c>
      <c r="Z32" s="85" t="s">
        <v>308</v>
      </c>
      <c r="AA32" s="86" t="s">
        <v>508</v>
      </c>
      <c r="AB32" s="98" t="s">
        <v>103</v>
      </c>
      <c r="AC32" s="86" t="s">
        <v>505</v>
      </c>
      <c r="AD32" s="85" t="s">
        <v>311</v>
      </c>
      <c r="AE32" s="86" t="s">
        <v>506</v>
      </c>
      <c r="AF32" s="98" t="s">
        <v>103</v>
      </c>
      <c r="AG32" s="86" t="s">
        <v>507</v>
      </c>
      <c r="AH32" s="85" t="s">
        <v>293</v>
      </c>
    </row>
    <row r="33" spans="1:34" x14ac:dyDescent="0.25">
      <c r="B33" s="75">
        <v>10</v>
      </c>
      <c r="C33" s="83" t="s">
        <v>509</v>
      </c>
      <c r="D33" s="87" t="s">
        <v>271</v>
      </c>
      <c r="E33" s="83" t="s">
        <v>509</v>
      </c>
      <c r="F33" s="87" t="s">
        <v>271</v>
      </c>
      <c r="G33" s="83" t="s">
        <v>509</v>
      </c>
      <c r="H33" s="87" t="s">
        <v>271</v>
      </c>
      <c r="I33" s="83" t="s">
        <v>509</v>
      </c>
      <c r="J33" s="87" t="s">
        <v>271</v>
      </c>
      <c r="K33" s="83"/>
      <c r="L33" s="159" t="s">
        <v>105</v>
      </c>
      <c r="M33" s="83"/>
      <c r="N33" s="159" t="s">
        <v>105</v>
      </c>
      <c r="O33" s="83"/>
      <c r="P33" s="159" t="s">
        <v>105</v>
      </c>
      <c r="Q33" s="83"/>
      <c r="R33" s="159" t="s">
        <v>105</v>
      </c>
      <c r="S33" s="83"/>
      <c r="T33" s="159" t="s">
        <v>105</v>
      </c>
      <c r="U33" s="83"/>
      <c r="V33" s="159" t="s">
        <v>105</v>
      </c>
      <c r="W33" s="83"/>
      <c r="X33" s="159" t="s">
        <v>105</v>
      </c>
      <c r="Y33" s="83"/>
      <c r="Z33" s="159" t="s">
        <v>105</v>
      </c>
      <c r="AA33" s="83"/>
      <c r="AB33" s="159" t="s">
        <v>105</v>
      </c>
      <c r="AC33" s="83"/>
      <c r="AD33" s="159" t="s">
        <v>105</v>
      </c>
      <c r="AE33" s="83"/>
      <c r="AF33" s="159" t="s">
        <v>105</v>
      </c>
      <c r="AG33" s="83"/>
      <c r="AH33" s="159" t="s">
        <v>105</v>
      </c>
    </row>
    <row r="34" spans="1:34" x14ac:dyDescent="0.25">
      <c r="B34" s="75">
        <v>11</v>
      </c>
      <c r="C34" s="84" t="s">
        <v>510</v>
      </c>
      <c r="D34" s="88" t="s">
        <v>293</v>
      </c>
      <c r="E34" s="84" t="s">
        <v>510</v>
      </c>
      <c r="F34" s="88" t="s">
        <v>293</v>
      </c>
      <c r="G34" s="84" t="s">
        <v>510</v>
      </c>
      <c r="H34" s="88" t="s">
        <v>293</v>
      </c>
      <c r="I34" s="84" t="s">
        <v>510</v>
      </c>
      <c r="J34" s="88" t="s">
        <v>293</v>
      </c>
      <c r="K34" s="84"/>
      <c r="L34" s="88"/>
      <c r="M34" s="84"/>
      <c r="N34" s="88"/>
      <c r="O34" s="84"/>
      <c r="P34" s="88"/>
      <c r="Q34" s="84"/>
      <c r="R34" s="88"/>
      <c r="S34" s="84"/>
      <c r="T34" s="88"/>
      <c r="U34" s="84"/>
      <c r="V34" s="88"/>
      <c r="W34" s="84"/>
      <c r="X34" s="88"/>
      <c r="Y34" s="84"/>
      <c r="Z34" s="88"/>
      <c r="AA34" s="84"/>
      <c r="AB34" s="88"/>
      <c r="AC34" s="84"/>
      <c r="AD34" s="88"/>
      <c r="AE34" s="84"/>
      <c r="AF34" s="88"/>
      <c r="AG34" s="84"/>
      <c r="AH34" s="88"/>
    </row>
    <row r="35" spans="1:34" ht="15.75" customHeight="1" x14ac:dyDescent="0.25">
      <c r="B35" s="75">
        <v>12</v>
      </c>
      <c r="C35" s="84" t="s">
        <v>511</v>
      </c>
      <c r="D35" s="88" t="s">
        <v>296</v>
      </c>
      <c r="E35" s="84" t="s">
        <v>511</v>
      </c>
      <c r="F35" s="88" t="s">
        <v>296</v>
      </c>
      <c r="G35" s="84" t="s">
        <v>511</v>
      </c>
      <c r="H35" s="88" t="s">
        <v>296</v>
      </c>
      <c r="I35" s="84" t="s">
        <v>511</v>
      </c>
      <c r="J35" s="88" t="s">
        <v>296</v>
      </c>
      <c r="K35" s="84"/>
      <c r="L35" s="88"/>
      <c r="M35" s="84"/>
      <c r="N35" s="88"/>
      <c r="O35" s="84"/>
      <c r="P35" s="88"/>
      <c r="Q35" s="84"/>
      <c r="R35" s="88"/>
      <c r="S35" s="84"/>
      <c r="T35" s="88"/>
      <c r="U35" s="84"/>
      <c r="V35" s="88"/>
      <c r="W35" s="84"/>
      <c r="X35" s="88"/>
      <c r="Y35" s="84"/>
      <c r="Z35" s="88"/>
      <c r="AA35" s="84"/>
      <c r="AB35" s="88"/>
      <c r="AC35" s="84"/>
      <c r="AD35" s="88"/>
      <c r="AE35" s="84"/>
      <c r="AF35" s="88"/>
      <c r="AG35" s="84"/>
      <c r="AH35" s="88"/>
    </row>
    <row r="36" spans="1:34" x14ac:dyDescent="0.25">
      <c r="B36" s="75">
        <v>13</v>
      </c>
      <c r="C36" s="84" t="s">
        <v>512</v>
      </c>
      <c r="D36" s="88" t="s">
        <v>299</v>
      </c>
      <c r="E36" s="84" t="s">
        <v>512</v>
      </c>
      <c r="F36" s="88" t="s">
        <v>299</v>
      </c>
      <c r="G36" s="84" t="s">
        <v>512</v>
      </c>
      <c r="H36" s="88" t="s">
        <v>299</v>
      </c>
      <c r="I36" s="84" t="s">
        <v>512</v>
      </c>
      <c r="J36" s="88" t="s">
        <v>299</v>
      </c>
      <c r="K36" s="84"/>
      <c r="L36" s="88"/>
      <c r="M36" s="84"/>
      <c r="N36" s="88"/>
      <c r="O36" s="84"/>
      <c r="P36" s="88"/>
      <c r="Q36" s="84"/>
      <c r="R36" s="88"/>
      <c r="S36" s="84"/>
      <c r="T36" s="88"/>
      <c r="U36" s="84"/>
      <c r="V36" s="88"/>
      <c r="W36" s="84"/>
      <c r="X36" s="88"/>
      <c r="Y36" s="84"/>
      <c r="Z36" s="88"/>
      <c r="AA36" s="84"/>
      <c r="AB36" s="88"/>
      <c r="AC36" s="84"/>
      <c r="AD36" s="88"/>
      <c r="AE36" s="84"/>
      <c r="AF36" s="88"/>
      <c r="AG36" s="84"/>
      <c r="AH36" s="88"/>
    </row>
    <row r="37" spans="1:34" ht="15.75" customHeight="1" x14ac:dyDescent="0.25">
      <c r="B37" s="75">
        <v>14</v>
      </c>
      <c r="C37" s="84" t="s">
        <v>513</v>
      </c>
      <c r="D37" s="88" t="s">
        <v>302</v>
      </c>
      <c r="E37" s="84" t="s">
        <v>513</v>
      </c>
      <c r="F37" s="88" t="s">
        <v>302</v>
      </c>
      <c r="G37" s="84" t="s">
        <v>513</v>
      </c>
      <c r="H37" s="88" t="s">
        <v>302</v>
      </c>
      <c r="I37" s="84" t="s">
        <v>513</v>
      </c>
      <c r="J37" s="88" t="s">
        <v>302</v>
      </c>
      <c r="K37" s="84"/>
      <c r="L37" s="88"/>
      <c r="M37" s="84"/>
      <c r="N37" s="88"/>
      <c r="O37" s="84"/>
      <c r="P37" s="88"/>
      <c r="Q37" s="84"/>
      <c r="R37" s="88"/>
      <c r="S37" s="84"/>
      <c r="T37" s="88"/>
      <c r="U37" s="84"/>
      <c r="V37" s="88"/>
      <c r="W37" s="84"/>
      <c r="X37" s="88"/>
      <c r="Y37" s="84"/>
      <c r="Z37" s="88"/>
      <c r="AA37" s="84"/>
      <c r="AB37" s="88"/>
      <c r="AC37" s="84"/>
      <c r="AD37" s="88"/>
      <c r="AE37" s="84"/>
      <c r="AF37" s="88"/>
      <c r="AG37" s="84"/>
      <c r="AH37" s="88"/>
    </row>
    <row r="38" spans="1:34" ht="15.75" customHeight="1" x14ac:dyDescent="0.25">
      <c r="B38" s="75">
        <v>15</v>
      </c>
      <c r="C38" s="84" t="s">
        <v>514</v>
      </c>
      <c r="D38" s="88" t="s">
        <v>305</v>
      </c>
      <c r="E38" s="84" t="s">
        <v>514</v>
      </c>
      <c r="F38" s="88" t="s">
        <v>305</v>
      </c>
      <c r="G38" s="84" t="s">
        <v>514</v>
      </c>
      <c r="H38" s="88" t="s">
        <v>305</v>
      </c>
      <c r="I38" s="84" t="s">
        <v>514</v>
      </c>
      <c r="J38" s="88" t="s">
        <v>305</v>
      </c>
      <c r="K38" s="84"/>
      <c r="L38" s="88"/>
      <c r="M38" s="84"/>
      <c r="N38" s="98"/>
      <c r="O38" s="84"/>
      <c r="P38" s="88"/>
      <c r="Q38" s="84"/>
      <c r="R38" s="88"/>
      <c r="S38" s="84"/>
      <c r="T38" s="88"/>
      <c r="U38" s="84"/>
      <c r="V38" s="98"/>
      <c r="W38" s="84"/>
      <c r="X38" s="88"/>
      <c r="Y38" s="84"/>
      <c r="Z38" s="98"/>
      <c r="AA38" s="84"/>
      <c r="AB38" s="88"/>
      <c r="AC38" s="84"/>
      <c r="AD38" s="88"/>
      <c r="AE38" s="84"/>
      <c r="AF38" s="88"/>
      <c r="AG38" s="84"/>
      <c r="AH38" s="88"/>
    </row>
    <row r="39" spans="1:34" x14ac:dyDescent="0.25">
      <c r="B39" s="75">
        <v>16</v>
      </c>
      <c r="C39" s="84" t="s">
        <v>515</v>
      </c>
      <c r="D39" s="88" t="s">
        <v>308</v>
      </c>
      <c r="E39" s="84" t="s">
        <v>515</v>
      </c>
      <c r="F39" s="88" t="s">
        <v>308</v>
      </c>
      <c r="G39" s="84" t="s">
        <v>515</v>
      </c>
      <c r="H39" s="88" t="s">
        <v>308</v>
      </c>
      <c r="I39" s="84" t="s">
        <v>515</v>
      </c>
      <c r="J39" s="88" t="s">
        <v>308</v>
      </c>
      <c r="K39" s="84"/>
      <c r="L39" s="88"/>
      <c r="M39" s="84"/>
      <c r="N39" s="98"/>
      <c r="O39" s="84"/>
      <c r="P39" s="88"/>
      <c r="Q39" s="84"/>
      <c r="R39" s="88"/>
      <c r="S39" s="84"/>
      <c r="T39" s="88"/>
      <c r="U39" s="84"/>
      <c r="V39" s="98"/>
      <c r="W39" s="84"/>
      <c r="X39" s="88"/>
      <c r="Y39" s="84"/>
      <c r="Z39" s="98"/>
      <c r="AA39" s="84"/>
      <c r="AB39" s="88"/>
      <c r="AC39" s="84"/>
      <c r="AD39" s="88"/>
      <c r="AE39" s="84"/>
      <c r="AF39" s="88"/>
      <c r="AG39" s="84"/>
      <c r="AH39" s="88"/>
    </row>
    <row r="40" spans="1:34" x14ac:dyDescent="0.25">
      <c r="B40" s="75">
        <v>17</v>
      </c>
      <c r="C40" s="84" t="s">
        <v>516</v>
      </c>
      <c r="D40" s="88" t="s">
        <v>311</v>
      </c>
      <c r="E40" s="84" t="s">
        <v>516</v>
      </c>
      <c r="F40" s="88" t="s">
        <v>311</v>
      </c>
      <c r="G40" s="84" t="s">
        <v>516</v>
      </c>
      <c r="H40" s="88" t="s">
        <v>311</v>
      </c>
      <c r="I40" s="84" t="s">
        <v>516</v>
      </c>
      <c r="J40" s="88" t="s">
        <v>311</v>
      </c>
      <c r="K40" s="84"/>
      <c r="L40" s="88"/>
      <c r="M40" s="84"/>
      <c r="N40" s="88"/>
      <c r="O40" s="84"/>
      <c r="P40" s="88"/>
      <c r="Q40" s="84"/>
      <c r="R40" s="88"/>
      <c r="S40" s="84"/>
      <c r="T40" s="88"/>
      <c r="U40" s="84"/>
      <c r="V40" s="88"/>
      <c r="W40" s="84"/>
      <c r="X40" s="88"/>
      <c r="Y40" s="84"/>
      <c r="Z40" s="88"/>
      <c r="AA40" s="84"/>
      <c r="AB40" s="88"/>
      <c r="AC40" s="84"/>
      <c r="AD40" s="88"/>
      <c r="AE40" s="84"/>
      <c r="AF40" s="88"/>
      <c r="AG40" s="84"/>
      <c r="AH40" s="88"/>
    </row>
    <row r="41" spans="1:34" x14ac:dyDescent="0.25">
      <c r="B41" s="75">
        <v>18</v>
      </c>
      <c r="C41" s="86" t="s">
        <v>517</v>
      </c>
      <c r="D41" s="99" t="s">
        <v>336</v>
      </c>
      <c r="E41" s="86" t="s">
        <v>517</v>
      </c>
      <c r="F41" s="99" t="s">
        <v>336</v>
      </c>
      <c r="G41" s="86" t="s">
        <v>517</v>
      </c>
      <c r="H41" s="99" t="s">
        <v>336</v>
      </c>
      <c r="I41" s="86" t="s">
        <v>517</v>
      </c>
      <c r="J41" s="99" t="s">
        <v>336</v>
      </c>
      <c r="K41" s="86"/>
      <c r="L41" s="99"/>
      <c r="M41" s="86"/>
      <c r="N41" s="85"/>
      <c r="O41" s="86"/>
      <c r="P41" s="99"/>
      <c r="Q41" s="86"/>
      <c r="R41" s="85"/>
      <c r="S41" s="86"/>
      <c r="T41" s="99"/>
      <c r="U41" s="86"/>
      <c r="V41" s="85"/>
      <c r="W41" s="86"/>
      <c r="X41" s="99"/>
      <c r="Y41" s="86"/>
      <c r="Z41" s="85"/>
      <c r="AA41" s="86"/>
      <c r="AB41" s="85"/>
      <c r="AC41" s="86"/>
      <c r="AD41" s="85"/>
      <c r="AE41" s="86"/>
      <c r="AF41" s="85"/>
      <c r="AG41" s="86"/>
      <c r="AH41" s="85"/>
    </row>
    <row r="42" spans="1:34" x14ac:dyDescent="0.25">
      <c r="A42"/>
      <c r="B42"/>
      <c r="D42"/>
      <c r="E42"/>
      <c r="F42"/>
      <c r="G42"/>
      <c r="H42"/>
      <c r="I42"/>
      <c r="J42"/>
    </row>
    <row r="43" spans="1:34" x14ac:dyDescent="0.25">
      <c r="A43"/>
      <c r="B43"/>
    </row>
    <row r="44" spans="1:34" x14ac:dyDescent="0.25">
      <c r="A44" s="152" t="s">
        <v>518</v>
      </c>
      <c r="B44" s="72">
        <v>1</v>
      </c>
      <c r="C44" s="157"/>
      <c r="D44" s="158" t="s">
        <v>519</v>
      </c>
      <c r="E44" s="157"/>
      <c r="F44" s="158" t="s">
        <v>520</v>
      </c>
      <c r="G44" s="157"/>
      <c r="H44" s="158" t="s">
        <v>521</v>
      </c>
      <c r="I44" s="157"/>
      <c r="J44" s="158" t="s">
        <v>522</v>
      </c>
      <c r="K44" s="157"/>
      <c r="L44" s="158" t="s">
        <v>523</v>
      </c>
      <c r="M44" s="157"/>
      <c r="N44" s="158" t="s">
        <v>524</v>
      </c>
      <c r="O44" s="157"/>
      <c r="P44" s="158" t="s">
        <v>525</v>
      </c>
      <c r="Q44" s="157"/>
      <c r="R44" s="158" t="s">
        <v>526</v>
      </c>
      <c r="S44"/>
      <c r="T44"/>
    </row>
    <row r="45" spans="1:34" x14ac:dyDescent="0.25">
      <c r="B45" s="75">
        <v>2</v>
      </c>
      <c r="C45" s="83" t="s">
        <v>505</v>
      </c>
      <c r="D45" s="87" t="s">
        <v>256</v>
      </c>
      <c r="E45" s="83" t="s">
        <v>506</v>
      </c>
      <c r="F45" s="87" t="s">
        <v>250</v>
      </c>
      <c r="G45" s="83" t="s">
        <v>507</v>
      </c>
      <c r="H45" s="170" t="str">
        <f>D45</f>
        <v>EDUC5024</v>
      </c>
      <c r="I45" s="83" t="s">
        <v>508</v>
      </c>
      <c r="J45" s="170" t="str">
        <f>F45</f>
        <v>EDUC5020</v>
      </c>
      <c r="K45" s="83" t="s">
        <v>505</v>
      </c>
      <c r="L45" s="87" t="s">
        <v>287</v>
      </c>
      <c r="M45" s="83" t="s">
        <v>506</v>
      </c>
      <c r="N45" s="87" t="s">
        <v>284</v>
      </c>
      <c r="O45" s="83" t="s">
        <v>507</v>
      </c>
      <c r="P45" s="87" t="s">
        <v>287</v>
      </c>
      <c r="Q45" s="83" t="s">
        <v>508</v>
      </c>
      <c r="R45" s="87" t="s">
        <v>284</v>
      </c>
      <c r="S45"/>
      <c r="T45"/>
    </row>
    <row r="46" spans="1:34" x14ac:dyDescent="0.25">
      <c r="B46" s="75">
        <v>3</v>
      </c>
      <c r="C46" s="84" t="s">
        <v>505</v>
      </c>
      <c r="D46" s="88" t="s">
        <v>109</v>
      </c>
      <c r="E46" s="84" t="s">
        <v>506</v>
      </c>
      <c r="F46" s="88" t="s">
        <v>259</v>
      </c>
      <c r="G46" s="84" t="s">
        <v>507</v>
      </c>
      <c r="H46" s="168" t="str">
        <f t="shared" ref="H46:J48" si="0">D46</f>
        <v>AC-TESOL</v>
      </c>
      <c r="I46" s="84" t="s">
        <v>508</v>
      </c>
      <c r="J46" s="168" t="str">
        <f t="shared" si="0"/>
        <v>EDUC5026</v>
      </c>
      <c r="K46" s="84" t="s">
        <v>505</v>
      </c>
      <c r="L46" s="88" t="s">
        <v>339</v>
      </c>
      <c r="M46" s="84" t="s">
        <v>506</v>
      </c>
      <c r="N46" s="88" t="s">
        <v>274</v>
      </c>
      <c r="O46" s="84" t="s">
        <v>507</v>
      </c>
      <c r="P46" s="88" t="s">
        <v>271</v>
      </c>
      <c r="Q46" s="84" t="s">
        <v>508</v>
      </c>
      <c r="R46" s="88" t="s">
        <v>274</v>
      </c>
      <c r="S46"/>
      <c r="T46"/>
    </row>
    <row r="47" spans="1:34" x14ac:dyDescent="0.25">
      <c r="B47" s="75">
        <v>4</v>
      </c>
      <c r="C47" s="84" t="s">
        <v>506</v>
      </c>
      <c r="D47" s="88" t="s">
        <v>250</v>
      </c>
      <c r="E47" s="84" t="s">
        <v>507</v>
      </c>
      <c r="F47" s="88" t="s">
        <v>256</v>
      </c>
      <c r="G47" s="84" t="s">
        <v>508</v>
      </c>
      <c r="H47" s="168" t="str">
        <f t="shared" si="0"/>
        <v>EDUC5020</v>
      </c>
      <c r="I47" s="84" t="s">
        <v>505</v>
      </c>
      <c r="J47" s="168" t="str">
        <f t="shared" si="0"/>
        <v>EDUC5024</v>
      </c>
      <c r="K47" s="84" t="s">
        <v>506</v>
      </c>
      <c r="L47" s="88" t="s">
        <v>284</v>
      </c>
      <c r="M47" s="84" t="s">
        <v>507</v>
      </c>
      <c r="N47" s="88" t="s">
        <v>287</v>
      </c>
      <c r="O47" s="84" t="s">
        <v>508</v>
      </c>
      <c r="P47" s="88" t="s">
        <v>284</v>
      </c>
      <c r="Q47" s="84" t="s">
        <v>505</v>
      </c>
      <c r="R47" s="88" t="s">
        <v>287</v>
      </c>
      <c r="S47"/>
      <c r="T47"/>
    </row>
    <row r="48" spans="1:34" x14ac:dyDescent="0.25">
      <c r="B48" s="75">
        <v>5</v>
      </c>
      <c r="C48" s="84" t="s">
        <v>506</v>
      </c>
      <c r="D48" s="88" t="s">
        <v>259</v>
      </c>
      <c r="E48" s="84" t="s">
        <v>507</v>
      </c>
      <c r="F48" s="88" t="s">
        <v>109</v>
      </c>
      <c r="G48" s="84" t="s">
        <v>508</v>
      </c>
      <c r="H48" s="168" t="str">
        <f t="shared" si="0"/>
        <v>EDUC5026</v>
      </c>
      <c r="I48" s="84" t="s">
        <v>505</v>
      </c>
      <c r="J48" s="168" t="str">
        <f t="shared" si="0"/>
        <v>AC-TESOL</v>
      </c>
      <c r="K48" s="84" t="s">
        <v>506</v>
      </c>
      <c r="L48" s="88" t="s">
        <v>274</v>
      </c>
      <c r="M48" s="84" t="s">
        <v>507</v>
      </c>
      <c r="N48" s="88" t="s">
        <v>271</v>
      </c>
      <c r="O48" s="84" t="s">
        <v>508</v>
      </c>
      <c r="P48" s="88" t="s">
        <v>274</v>
      </c>
      <c r="Q48" s="84" t="s">
        <v>505</v>
      </c>
      <c r="R48" s="88" t="s">
        <v>339</v>
      </c>
      <c r="S48"/>
      <c r="T48"/>
    </row>
    <row r="49" spans="1:20" x14ac:dyDescent="0.25">
      <c r="B49" s="75">
        <v>6</v>
      </c>
      <c r="C49" s="84" t="s">
        <v>507</v>
      </c>
      <c r="D49" s="88"/>
      <c r="E49" s="84" t="s">
        <v>508</v>
      </c>
      <c r="F49" s="88"/>
      <c r="G49" s="84" t="s">
        <v>505</v>
      </c>
      <c r="H49" s="88"/>
      <c r="I49" s="84" t="s">
        <v>506</v>
      </c>
      <c r="J49" s="88"/>
      <c r="K49" s="84" t="s">
        <v>507</v>
      </c>
      <c r="L49" s="88" t="s">
        <v>336</v>
      </c>
      <c r="M49" s="84" t="s">
        <v>508</v>
      </c>
      <c r="N49" s="88" t="s">
        <v>280</v>
      </c>
      <c r="O49" s="84" t="s">
        <v>505</v>
      </c>
      <c r="P49" s="88" t="s">
        <v>339</v>
      </c>
      <c r="Q49" s="84" t="s">
        <v>506</v>
      </c>
      <c r="R49" s="88" t="s">
        <v>280</v>
      </c>
      <c r="S49"/>
      <c r="T49"/>
    </row>
    <row r="50" spans="1:20" x14ac:dyDescent="0.25">
      <c r="B50" s="75">
        <v>7</v>
      </c>
      <c r="C50" s="84" t="s">
        <v>507</v>
      </c>
      <c r="D50" s="88"/>
      <c r="E50" s="84" t="s">
        <v>508</v>
      </c>
      <c r="F50" s="98"/>
      <c r="G50" s="84" t="s">
        <v>505</v>
      </c>
      <c r="H50" s="88"/>
      <c r="I50" s="84" t="s">
        <v>506</v>
      </c>
      <c r="J50" s="98"/>
      <c r="K50" s="84" t="s">
        <v>507</v>
      </c>
      <c r="L50" s="88" t="s">
        <v>271</v>
      </c>
      <c r="M50" s="84" t="s">
        <v>508</v>
      </c>
      <c r="N50" s="98" t="s">
        <v>103</v>
      </c>
      <c r="O50" s="84" t="s">
        <v>505</v>
      </c>
      <c r="P50" s="88" t="s">
        <v>336</v>
      </c>
      <c r="Q50" s="84" t="s">
        <v>506</v>
      </c>
      <c r="R50" s="98" t="s">
        <v>103</v>
      </c>
      <c r="S50"/>
      <c r="T50"/>
    </row>
    <row r="51" spans="1:20" x14ac:dyDescent="0.25">
      <c r="B51" s="75">
        <v>8</v>
      </c>
      <c r="C51" s="84" t="s">
        <v>508</v>
      </c>
      <c r="D51" s="88"/>
      <c r="E51" s="84" t="s">
        <v>505</v>
      </c>
      <c r="F51" s="88"/>
      <c r="G51" s="84" t="s">
        <v>506</v>
      </c>
      <c r="H51" s="88"/>
      <c r="I51" s="84" t="s">
        <v>507</v>
      </c>
      <c r="J51" s="88"/>
      <c r="K51" s="84" t="s">
        <v>508</v>
      </c>
      <c r="L51" s="88" t="s">
        <v>280</v>
      </c>
      <c r="M51" s="84" t="s">
        <v>505</v>
      </c>
      <c r="N51" s="88" t="s">
        <v>339</v>
      </c>
      <c r="O51" s="84" t="s">
        <v>506</v>
      </c>
      <c r="P51" s="88" t="s">
        <v>280</v>
      </c>
      <c r="Q51" s="84" t="s">
        <v>507</v>
      </c>
      <c r="R51" s="88" t="s">
        <v>271</v>
      </c>
      <c r="S51"/>
      <c r="T51"/>
    </row>
    <row r="52" spans="1:20" x14ac:dyDescent="0.25">
      <c r="B52" s="75">
        <v>9</v>
      </c>
      <c r="C52" s="86" t="s">
        <v>508</v>
      </c>
      <c r="D52" s="99"/>
      <c r="E52" s="86" t="s">
        <v>505</v>
      </c>
      <c r="F52" s="85"/>
      <c r="G52" s="86" t="s">
        <v>506</v>
      </c>
      <c r="H52" s="99"/>
      <c r="I52" s="86" t="s">
        <v>507</v>
      </c>
      <c r="J52" s="85"/>
      <c r="K52" s="86" t="s">
        <v>508</v>
      </c>
      <c r="L52" s="99" t="s">
        <v>103</v>
      </c>
      <c r="M52" s="86" t="s">
        <v>505</v>
      </c>
      <c r="N52" s="85" t="s">
        <v>336</v>
      </c>
      <c r="O52" s="86" t="s">
        <v>506</v>
      </c>
      <c r="P52" s="99" t="s">
        <v>103</v>
      </c>
      <c r="Q52" s="86" t="s">
        <v>507</v>
      </c>
      <c r="R52" s="85" t="s">
        <v>336</v>
      </c>
      <c r="S52"/>
      <c r="T52"/>
    </row>
    <row r="53" spans="1:20" x14ac:dyDescent="0.25">
      <c r="B53" s="75">
        <v>10</v>
      </c>
      <c r="C53" s="84" t="s">
        <v>527</v>
      </c>
      <c r="D53" s="88" t="s">
        <v>109</v>
      </c>
      <c r="E53" s="84" t="s">
        <v>508</v>
      </c>
      <c r="F53" s="168" t="str">
        <f>D53</f>
        <v>AC-TESOL</v>
      </c>
      <c r="G53" s="84" t="s">
        <v>505</v>
      </c>
      <c r="H53" s="168" t="str">
        <f>F53</f>
        <v>AC-TESOL</v>
      </c>
      <c r="I53" s="84" t="s">
        <v>506</v>
      </c>
      <c r="J53" s="168" t="str">
        <f>H53</f>
        <v>AC-TESOL</v>
      </c>
      <c r="K53" s="84"/>
      <c r="L53" s="98"/>
      <c r="M53" s="84"/>
      <c r="N53" s="98"/>
      <c r="O53" s="84"/>
      <c r="P53" s="98"/>
      <c r="Q53" s="84"/>
      <c r="R53" s="98"/>
    </row>
    <row r="54" spans="1:20" x14ac:dyDescent="0.25">
      <c r="B54" s="75">
        <v>11</v>
      </c>
      <c r="C54" s="84" t="s">
        <v>528</v>
      </c>
      <c r="D54" s="88" t="s">
        <v>253</v>
      </c>
      <c r="E54" s="84" t="s">
        <v>505</v>
      </c>
      <c r="F54" s="168" t="str">
        <f t="shared" ref="F54:J55" si="1">D54</f>
        <v>EDUC5022</v>
      </c>
      <c r="G54" s="84" t="s">
        <v>506</v>
      </c>
      <c r="H54" s="168" t="str">
        <f t="shared" si="1"/>
        <v>EDUC5022</v>
      </c>
      <c r="I54" s="84" t="s">
        <v>507</v>
      </c>
      <c r="J54" s="168" t="str">
        <f t="shared" si="1"/>
        <v>EDUC5022</v>
      </c>
      <c r="K54" s="84"/>
      <c r="L54" s="88"/>
      <c r="M54" s="84"/>
      <c r="N54" s="88"/>
      <c r="O54" s="84"/>
      <c r="P54" s="88"/>
      <c r="Q54" s="84"/>
      <c r="R54" s="88"/>
    </row>
    <row r="55" spans="1:20" x14ac:dyDescent="0.25">
      <c r="B55" s="75">
        <v>12</v>
      </c>
      <c r="C55" s="86" t="s">
        <v>529</v>
      </c>
      <c r="D55" s="99" t="s">
        <v>262</v>
      </c>
      <c r="E55" s="86" t="s">
        <v>505</v>
      </c>
      <c r="F55" s="169" t="str">
        <f t="shared" si="1"/>
        <v>EDUC5029</v>
      </c>
      <c r="G55" s="86" t="s">
        <v>506</v>
      </c>
      <c r="H55" s="169" t="str">
        <f t="shared" si="1"/>
        <v>EDUC5029</v>
      </c>
      <c r="I55" s="86" t="s">
        <v>507</v>
      </c>
      <c r="J55" s="169" t="str">
        <f t="shared" si="1"/>
        <v>EDUC5029</v>
      </c>
      <c r="K55" s="86"/>
      <c r="L55" s="99"/>
      <c r="M55" s="86"/>
      <c r="N55" s="85"/>
      <c r="O55" s="86"/>
      <c r="P55" s="99"/>
      <c r="Q55" s="86"/>
      <c r="R55" s="85"/>
    </row>
    <row r="58" spans="1:20" x14ac:dyDescent="0.25">
      <c r="A58" s="152" t="s">
        <v>530</v>
      </c>
      <c r="B58" s="72">
        <v>1</v>
      </c>
      <c r="C58" s="157"/>
      <c r="D58" s="158" t="s">
        <v>531</v>
      </c>
      <c r="E58" s="157"/>
      <c r="F58" s="158" t="s">
        <v>532</v>
      </c>
      <c r="G58" s="157"/>
      <c r="H58" s="158" t="s">
        <v>533</v>
      </c>
      <c r="I58" s="157"/>
      <c r="J58" s="158" t="s">
        <v>534</v>
      </c>
    </row>
    <row r="59" spans="1:20" x14ac:dyDescent="0.25">
      <c r="B59" s="75">
        <v>2</v>
      </c>
      <c r="C59" s="83" t="s">
        <v>505</v>
      </c>
      <c r="D59" s="87" t="s">
        <v>146</v>
      </c>
      <c r="E59" s="83" t="s">
        <v>506</v>
      </c>
      <c r="F59" s="87" t="s">
        <v>149</v>
      </c>
      <c r="G59" s="83" t="s">
        <v>507</v>
      </c>
      <c r="H59" s="170" t="str">
        <f>D59</f>
        <v>EDHE5001</v>
      </c>
      <c r="I59" s="83" t="s">
        <v>508</v>
      </c>
      <c r="J59" s="170" t="str">
        <f>F59</f>
        <v>EDHE5002</v>
      </c>
    </row>
    <row r="60" spans="1:20" x14ac:dyDescent="0.25">
      <c r="B60" s="75">
        <v>3</v>
      </c>
      <c r="C60" s="84" t="s">
        <v>505</v>
      </c>
      <c r="D60" s="88" t="s">
        <v>152</v>
      </c>
      <c r="E60" s="84" t="s">
        <v>506</v>
      </c>
      <c r="F60" s="88" t="s">
        <v>155</v>
      </c>
      <c r="G60" s="84" t="s">
        <v>507</v>
      </c>
      <c r="H60" s="168" t="str">
        <f t="shared" ref="H60:H62" si="2">D60</f>
        <v>EDHE5004</v>
      </c>
      <c r="I60" s="84" t="s">
        <v>508</v>
      </c>
      <c r="J60" s="168" t="str">
        <f t="shared" ref="J60:J62" si="3">F60</f>
        <v>EDHE5005</v>
      </c>
    </row>
    <row r="61" spans="1:20" x14ac:dyDescent="0.25">
      <c r="B61" s="75">
        <v>4</v>
      </c>
      <c r="C61" s="84" t="s">
        <v>506</v>
      </c>
      <c r="D61" s="88" t="s">
        <v>149</v>
      </c>
      <c r="E61" s="84" t="s">
        <v>507</v>
      </c>
      <c r="F61" s="88" t="s">
        <v>146</v>
      </c>
      <c r="G61" s="84" t="s">
        <v>508</v>
      </c>
      <c r="H61" s="168" t="str">
        <f t="shared" si="2"/>
        <v>EDHE5002</v>
      </c>
      <c r="I61" s="84" t="s">
        <v>505</v>
      </c>
      <c r="J61" s="168" t="str">
        <f t="shared" si="3"/>
        <v>EDHE5001</v>
      </c>
    </row>
    <row r="62" spans="1:20" x14ac:dyDescent="0.25">
      <c r="B62" s="75">
        <v>5</v>
      </c>
      <c r="C62" s="86" t="s">
        <v>506</v>
      </c>
      <c r="D62" s="99" t="s">
        <v>155</v>
      </c>
      <c r="E62" s="86" t="s">
        <v>507</v>
      </c>
      <c r="F62" s="99" t="s">
        <v>152</v>
      </c>
      <c r="G62" s="86" t="s">
        <v>508</v>
      </c>
      <c r="H62" s="190" t="str">
        <f t="shared" si="2"/>
        <v>EDHE5005</v>
      </c>
      <c r="I62" s="86" t="s">
        <v>505</v>
      </c>
      <c r="J62" s="190" t="str">
        <f t="shared" si="3"/>
        <v>EDHE5004</v>
      </c>
    </row>
    <row r="65" spans="1:34" x14ac:dyDescent="0.25">
      <c r="A65" s="152" t="s">
        <v>535</v>
      </c>
      <c r="B65" s="72">
        <v>1</v>
      </c>
      <c r="C65" s="74"/>
      <c r="D65" s="73" t="s">
        <v>536</v>
      </c>
      <c r="E65" s="74"/>
      <c r="F65" s="73" t="s">
        <v>537</v>
      </c>
      <c r="G65" s="74"/>
      <c r="H65" s="73" t="s">
        <v>538</v>
      </c>
      <c r="I65" s="74"/>
      <c r="J65" s="73" t="s">
        <v>539</v>
      </c>
      <c r="K65" s="74"/>
      <c r="L65" s="73" t="s">
        <v>540</v>
      </c>
      <c r="M65" s="74"/>
      <c r="N65" s="73" t="s">
        <v>541</v>
      </c>
      <c r="O65" s="74"/>
      <c r="P65" s="73" t="s">
        <v>542</v>
      </c>
      <c r="Q65" s="74"/>
      <c r="R65" s="73" t="s">
        <v>543</v>
      </c>
      <c r="S65" s="74"/>
      <c r="T65" s="73" t="s">
        <v>544</v>
      </c>
      <c r="U65" s="74"/>
      <c r="V65" s="73" t="s">
        <v>545</v>
      </c>
      <c r="W65" s="74"/>
      <c r="X65" s="73" t="s">
        <v>546</v>
      </c>
      <c r="Y65" s="74"/>
      <c r="Z65" s="73" t="s">
        <v>547</v>
      </c>
      <c r="AA65" s="74"/>
      <c r="AB65" s="73" t="s">
        <v>548</v>
      </c>
      <c r="AC65" s="74"/>
      <c r="AD65" s="73" t="s">
        <v>549</v>
      </c>
      <c r="AE65" s="74"/>
      <c r="AF65" s="73" t="s">
        <v>550</v>
      </c>
      <c r="AG65" s="74"/>
      <c r="AH65" s="73" t="s">
        <v>551</v>
      </c>
    </row>
    <row r="66" spans="1:34" x14ac:dyDescent="0.25">
      <c r="B66" s="75">
        <v>2</v>
      </c>
      <c r="C66" s="83" t="s">
        <v>505</v>
      </c>
      <c r="D66" s="87" t="s">
        <v>239</v>
      </c>
      <c r="E66" s="83" t="s">
        <v>506</v>
      </c>
      <c r="F66" s="87" t="s">
        <v>350</v>
      </c>
      <c r="G66" s="83" t="s">
        <v>507</v>
      </c>
      <c r="H66" s="246" t="str">
        <f t="shared" ref="H66:J69" si="4">D66</f>
        <v>EDUC5012</v>
      </c>
      <c r="I66" s="83" t="s">
        <v>508</v>
      </c>
      <c r="J66" s="246" t="str">
        <f t="shared" si="4"/>
        <v>SpecElec</v>
      </c>
      <c r="K66" s="83" t="s">
        <v>505</v>
      </c>
      <c r="L66" s="87" t="s">
        <v>239</v>
      </c>
      <c r="M66" s="83" t="s">
        <v>506</v>
      </c>
      <c r="N66" s="87" t="s">
        <v>241</v>
      </c>
      <c r="O66" s="83" t="s">
        <v>507</v>
      </c>
      <c r="P66" s="246" t="str">
        <f t="shared" ref="P66:P69" si="5">L66</f>
        <v>EDUC5012</v>
      </c>
      <c r="Q66" s="83" t="s">
        <v>508</v>
      </c>
      <c r="R66" s="246" t="str">
        <f t="shared" ref="R66:R69" si="6">N66</f>
        <v>EDUC5013</v>
      </c>
      <c r="S66" s="83" t="s">
        <v>505</v>
      </c>
      <c r="T66" s="87" t="s">
        <v>239</v>
      </c>
      <c r="U66" s="83" t="s">
        <v>506</v>
      </c>
      <c r="V66" s="87" t="s">
        <v>241</v>
      </c>
      <c r="W66" s="83" t="s">
        <v>507</v>
      </c>
      <c r="X66" s="246" t="str">
        <f t="shared" ref="X66:X69" si="7">T66</f>
        <v>EDUC5012</v>
      </c>
      <c r="Y66" s="83" t="s">
        <v>508</v>
      </c>
      <c r="Z66" s="246" t="str">
        <f t="shared" ref="Z66:Z69" si="8">V66</f>
        <v>EDUC5013</v>
      </c>
      <c r="AA66" s="83" t="s">
        <v>505</v>
      </c>
      <c r="AB66" s="87" t="s">
        <v>350</v>
      </c>
      <c r="AC66" s="83" t="s">
        <v>506</v>
      </c>
      <c r="AD66" s="246" t="str">
        <f t="shared" ref="AD66:AH69" si="9">AB66</f>
        <v>SpecElec</v>
      </c>
      <c r="AE66" s="83" t="s">
        <v>507</v>
      </c>
      <c r="AF66" s="246" t="str">
        <f t="shared" si="9"/>
        <v>SpecElec</v>
      </c>
      <c r="AG66" s="83" t="s">
        <v>508</v>
      </c>
      <c r="AH66" s="246" t="str">
        <f t="shared" si="9"/>
        <v>SpecElec</v>
      </c>
    </row>
    <row r="67" spans="1:34" x14ac:dyDescent="0.25">
      <c r="B67" s="75">
        <v>3</v>
      </c>
      <c r="C67" s="84" t="s">
        <v>505</v>
      </c>
      <c r="D67" s="88" t="s">
        <v>350</v>
      </c>
      <c r="E67" s="84" t="s">
        <v>506</v>
      </c>
      <c r="F67" s="88" t="s">
        <v>350</v>
      </c>
      <c r="G67" s="84" t="s">
        <v>507</v>
      </c>
      <c r="H67" s="247" t="str">
        <f t="shared" si="4"/>
        <v>SpecElec</v>
      </c>
      <c r="I67" s="84" t="s">
        <v>508</v>
      </c>
      <c r="J67" s="247" t="str">
        <f t="shared" si="4"/>
        <v>SpecElec</v>
      </c>
      <c r="K67" s="84" t="s">
        <v>505</v>
      </c>
      <c r="L67" s="88" t="s">
        <v>350</v>
      </c>
      <c r="M67" s="84" t="s">
        <v>506</v>
      </c>
      <c r="N67" s="88" t="s">
        <v>350</v>
      </c>
      <c r="O67" s="84" t="s">
        <v>507</v>
      </c>
      <c r="P67" s="247" t="str">
        <f t="shared" si="5"/>
        <v>SpecElec</v>
      </c>
      <c r="Q67" s="84" t="s">
        <v>508</v>
      </c>
      <c r="R67" s="247" t="str">
        <f t="shared" si="6"/>
        <v>SpecElec</v>
      </c>
      <c r="S67" s="84" t="s">
        <v>505</v>
      </c>
      <c r="T67" s="88" t="s">
        <v>350</v>
      </c>
      <c r="U67" s="84" t="s">
        <v>506</v>
      </c>
      <c r="V67" s="88" t="s">
        <v>350</v>
      </c>
      <c r="W67" s="84" t="s">
        <v>507</v>
      </c>
      <c r="X67" s="247" t="str">
        <f t="shared" si="7"/>
        <v>SpecElec</v>
      </c>
      <c r="Y67" s="84" t="s">
        <v>508</v>
      </c>
      <c r="Z67" s="247" t="str">
        <f t="shared" si="8"/>
        <v>SpecElec</v>
      </c>
      <c r="AA67" s="84" t="s">
        <v>505</v>
      </c>
      <c r="AB67" s="88" t="s">
        <v>350</v>
      </c>
      <c r="AC67" s="84" t="s">
        <v>506</v>
      </c>
      <c r="AD67" s="247" t="str">
        <f t="shared" si="9"/>
        <v>SpecElec</v>
      </c>
      <c r="AE67" s="84" t="s">
        <v>507</v>
      </c>
      <c r="AF67" s="247" t="str">
        <f t="shared" si="9"/>
        <v>SpecElec</v>
      </c>
      <c r="AG67" s="84" t="s">
        <v>508</v>
      </c>
      <c r="AH67" s="247" t="str">
        <f t="shared" si="9"/>
        <v>SpecElec</v>
      </c>
    </row>
    <row r="68" spans="1:34" x14ac:dyDescent="0.25">
      <c r="B68" s="75">
        <v>4</v>
      </c>
      <c r="C68" s="84" t="s">
        <v>506</v>
      </c>
      <c r="D68" s="88" t="s">
        <v>350</v>
      </c>
      <c r="E68" s="84" t="s">
        <v>507</v>
      </c>
      <c r="F68" s="88" t="s">
        <v>239</v>
      </c>
      <c r="G68" s="84" t="s">
        <v>508</v>
      </c>
      <c r="H68" s="247" t="str">
        <f t="shared" si="4"/>
        <v>SpecElec</v>
      </c>
      <c r="I68" s="84" t="s">
        <v>505</v>
      </c>
      <c r="J68" s="247" t="str">
        <f t="shared" si="4"/>
        <v>EDUC5012</v>
      </c>
      <c r="K68" s="84" t="s">
        <v>506</v>
      </c>
      <c r="L68" s="88" t="s">
        <v>241</v>
      </c>
      <c r="M68" s="84" t="s">
        <v>507</v>
      </c>
      <c r="N68" s="88" t="s">
        <v>239</v>
      </c>
      <c r="O68" s="84" t="s">
        <v>508</v>
      </c>
      <c r="P68" s="247" t="str">
        <f t="shared" si="5"/>
        <v>EDUC5013</v>
      </c>
      <c r="Q68" s="84" t="s">
        <v>505</v>
      </c>
      <c r="R68" s="247" t="str">
        <f t="shared" si="6"/>
        <v>EDUC5012</v>
      </c>
      <c r="S68" s="84" t="s">
        <v>506</v>
      </c>
      <c r="T68" s="88" t="s">
        <v>241</v>
      </c>
      <c r="U68" s="84" t="s">
        <v>507</v>
      </c>
      <c r="V68" s="88" t="s">
        <v>239</v>
      </c>
      <c r="W68" s="84" t="s">
        <v>508</v>
      </c>
      <c r="X68" s="247" t="str">
        <f t="shared" si="7"/>
        <v>EDUC5013</v>
      </c>
      <c r="Y68" s="84" t="s">
        <v>505</v>
      </c>
      <c r="Z68" s="247" t="str">
        <f t="shared" si="8"/>
        <v>EDUC5012</v>
      </c>
      <c r="AA68" s="84" t="s">
        <v>506</v>
      </c>
      <c r="AB68" s="88" t="s">
        <v>350</v>
      </c>
      <c r="AC68" s="84" t="s">
        <v>507</v>
      </c>
      <c r="AD68" s="247" t="str">
        <f t="shared" si="9"/>
        <v>SpecElec</v>
      </c>
      <c r="AE68" s="84" t="s">
        <v>508</v>
      </c>
      <c r="AF68" s="247" t="str">
        <f t="shared" si="9"/>
        <v>SpecElec</v>
      </c>
      <c r="AG68" s="84" t="s">
        <v>505</v>
      </c>
      <c r="AH68" s="247" t="str">
        <f t="shared" si="9"/>
        <v>SpecElec</v>
      </c>
    </row>
    <row r="69" spans="1:34" x14ac:dyDescent="0.25">
      <c r="B69" s="75">
        <v>5</v>
      </c>
      <c r="C69" s="86" t="s">
        <v>506</v>
      </c>
      <c r="D69" s="85" t="s">
        <v>350</v>
      </c>
      <c r="E69" s="86" t="s">
        <v>507</v>
      </c>
      <c r="F69" s="85" t="s">
        <v>350</v>
      </c>
      <c r="G69" s="86" t="s">
        <v>508</v>
      </c>
      <c r="H69" s="249" t="str">
        <f t="shared" si="4"/>
        <v>SpecElec</v>
      </c>
      <c r="I69" s="86" t="s">
        <v>505</v>
      </c>
      <c r="J69" s="249" t="str">
        <f t="shared" si="4"/>
        <v>SpecElec</v>
      </c>
      <c r="K69" s="86" t="s">
        <v>506</v>
      </c>
      <c r="L69" s="85" t="s">
        <v>350</v>
      </c>
      <c r="M69" s="86" t="s">
        <v>507</v>
      </c>
      <c r="N69" s="85" t="s">
        <v>350</v>
      </c>
      <c r="O69" s="86" t="s">
        <v>508</v>
      </c>
      <c r="P69" s="249" t="str">
        <f t="shared" si="5"/>
        <v>SpecElec</v>
      </c>
      <c r="Q69" s="86" t="s">
        <v>505</v>
      </c>
      <c r="R69" s="249" t="str">
        <f t="shared" si="6"/>
        <v>SpecElec</v>
      </c>
      <c r="S69" s="86" t="s">
        <v>506</v>
      </c>
      <c r="T69" s="85" t="s">
        <v>350</v>
      </c>
      <c r="U69" s="86" t="s">
        <v>507</v>
      </c>
      <c r="V69" s="85" t="s">
        <v>350</v>
      </c>
      <c r="W69" s="86" t="s">
        <v>508</v>
      </c>
      <c r="X69" s="249" t="str">
        <f t="shared" si="7"/>
        <v>SpecElec</v>
      </c>
      <c r="Y69" s="86" t="s">
        <v>505</v>
      </c>
      <c r="Z69" s="249" t="str">
        <f t="shared" si="8"/>
        <v>SpecElec</v>
      </c>
      <c r="AA69" s="86" t="s">
        <v>506</v>
      </c>
      <c r="AB69" s="85" t="s">
        <v>350</v>
      </c>
      <c r="AC69" s="86" t="s">
        <v>507</v>
      </c>
      <c r="AD69" s="249" t="str">
        <f t="shared" si="9"/>
        <v>SpecElec</v>
      </c>
      <c r="AE69" s="86" t="s">
        <v>508</v>
      </c>
      <c r="AF69" s="249" t="str">
        <f t="shared" si="9"/>
        <v>SpecElec</v>
      </c>
      <c r="AG69" s="86" t="s">
        <v>505</v>
      </c>
      <c r="AH69" s="249" t="str">
        <f t="shared" si="9"/>
        <v>SpecElec</v>
      </c>
    </row>
    <row r="70" spans="1:34" x14ac:dyDescent="0.25">
      <c r="B70" s="75">
        <v>6</v>
      </c>
      <c r="C70" s="83" t="s">
        <v>552</v>
      </c>
      <c r="D70" s="159" t="s">
        <v>191</v>
      </c>
      <c r="E70" s="83" t="s">
        <v>552</v>
      </c>
      <c r="F70" s="246" t="str">
        <f t="shared" ref="F70:J73" si="10">D70</f>
        <v>EDSC5040</v>
      </c>
      <c r="G70" s="83" t="s">
        <v>552</v>
      </c>
      <c r="H70" s="246" t="str">
        <f t="shared" si="10"/>
        <v>EDSC5040</v>
      </c>
      <c r="I70" s="83" t="s">
        <v>552</v>
      </c>
      <c r="J70" s="246" t="str">
        <f t="shared" si="10"/>
        <v>EDSC5040</v>
      </c>
      <c r="K70" s="83" t="s">
        <v>552</v>
      </c>
      <c r="L70" s="159" t="s">
        <v>125</v>
      </c>
      <c r="M70" s="83" t="s">
        <v>552</v>
      </c>
      <c r="N70" s="246" t="str">
        <f t="shared" ref="N70:N73" si="11">L70</f>
        <v>EDEC5016</v>
      </c>
      <c r="O70" s="83" t="s">
        <v>552</v>
      </c>
      <c r="P70" s="246" t="str">
        <f t="shared" ref="P70:P73" si="12">N70</f>
        <v>EDEC5016</v>
      </c>
      <c r="Q70" s="83" t="s">
        <v>552</v>
      </c>
      <c r="R70" s="246" t="str">
        <f t="shared" ref="R70:R73" si="13">P70</f>
        <v>EDEC5016</v>
      </c>
      <c r="S70" s="83" t="s">
        <v>552</v>
      </c>
      <c r="T70" s="159" t="s">
        <v>158</v>
      </c>
      <c r="U70" s="83" t="s">
        <v>552</v>
      </c>
      <c r="V70" s="246" t="str">
        <f t="shared" ref="V70:Z72" si="14">T70</f>
        <v>EDPR5010</v>
      </c>
      <c r="W70" s="83" t="s">
        <v>552</v>
      </c>
      <c r="X70" s="246" t="str">
        <f t="shared" si="14"/>
        <v>EDPR5010</v>
      </c>
      <c r="Y70" s="83" t="s">
        <v>552</v>
      </c>
      <c r="Z70" s="246" t="str">
        <f t="shared" si="14"/>
        <v>EDPR5010</v>
      </c>
      <c r="AA70" s="83" t="s">
        <v>552</v>
      </c>
      <c r="AB70" s="87" t="s">
        <v>125</v>
      </c>
      <c r="AC70" s="83" t="s">
        <v>552</v>
      </c>
      <c r="AD70" s="246" t="str">
        <f t="shared" ref="AD70:AH82" si="15">AB70</f>
        <v>EDEC5016</v>
      </c>
      <c r="AE70" s="83" t="s">
        <v>552</v>
      </c>
      <c r="AF70" s="246" t="str">
        <f t="shared" si="15"/>
        <v>EDEC5016</v>
      </c>
      <c r="AG70" s="83" t="s">
        <v>552</v>
      </c>
      <c r="AH70" s="246" t="str">
        <f t="shared" si="15"/>
        <v>EDEC5016</v>
      </c>
    </row>
    <row r="71" spans="1:34" x14ac:dyDescent="0.25">
      <c r="B71" s="75">
        <v>7</v>
      </c>
      <c r="C71" s="84"/>
      <c r="D71" s="88" t="s">
        <v>244</v>
      </c>
      <c r="E71" s="84"/>
      <c r="F71" s="247" t="str">
        <f t="shared" si="10"/>
        <v>EDUC5014</v>
      </c>
      <c r="G71" s="84"/>
      <c r="H71" s="247" t="str">
        <f t="shared" si="10"/>
        <v>EDUC5014</v>
      </c>
      <c r="I71" s="84"/>
      <c r="J71" s="247" t="str">
        <f t="shared" si="10"/>
        <v>EDUC5014</v>
      </c>
      <c r="K71" s="84"/>
      <c r="L71" s="88" t="s">
        <v>131</v>
      </c>
      <c r="M71" s="84"/>
      <c r="N71" s="247" t="str">
        <f t="shared" si="11"/>
        <v>EDEC5018</v>
      </c>
      <c r="O71" s="84"/>
      <c r="P71" s="247" t="str">
        <f t="shared" si="12"/>
        <v>EDEC5018</v>
      </c>
      <c r="Q71" s="84"/>
      <c r="R71" s="247" t="str">
        <f t="shared" si="13"/>
        <v>EDEC5018</v>
      </c>
      <c r="S71" s="84"/>
      <c r="T71" s="88" t="s">
        <v>164</v>
      </c>
      <c r="U71" s="84"/>
      <c r="V71" s="247" t="str">
        <f t="shared" si="14"/>
        <v>EDPR5012</v>
      </c>
      <c r="W71" s="84"/>
      <c r="X71" s="247" t="str">
        <f t="shared" si="14"/>
        <v>EDPR5012</v>
      </c>
      <c r="Y71" s="84"/>
      <c r="Z71" s="247" t="str">
        <f t="shared" si="14"/>
        <v>EDPR5012</v>
      </c>
      <c r="AA71" s="84"/>
      <c r="AB71" s="88" t="s">
        <v>131</v>
      </c>
      <c r="AC71" s="84"/>
      <c r="AD71" s="247" t="str">
        <f t="shared" si="15"/>
        <v>EDEC5018</v>
      </c>
      <c r="AE71" s="84"/>
      <c r="AF71" s="247" t="str">
        <f t="shared" si="15"/>
        <v>EDEC5018</v>
      </c>
      <c r="AG71" s="84"/>
      <c r="AH71" s="247" t="str">
        <f t="shared" si="15"/>
        <v>EDEC5018</v>
      </c>
    </row>
    <row r="72" spans="1:34" x14ac:dyDescent="0.25">
      <c r="B72" s="75">
        <v>8</v>
      </c>
      <c r="C72" s="84"/>
      <c r="D72" s="88" t="s">
        <v>247</v>
      </c>
      <c r="E72" s="84"/>
      <c r="F72" s="248" t="str">
        <f t="shared" si="10"/>
        <v>EDUC5017</v>
      </c>
      <c r="G72" s="84"/>
      <c r="H72" s="248" t="str">
        <f t="shared" si="10"/>
        <v>EDUC5017</v>
      </c>
      <c r="I72" s="84"/>
      <c r="J72" s="248" t="str">
        <f t="shared" si="10"/>
        <v>EDUC5017</v>
      </c>
      <c r="K72" s="84"/>
      <c r="L72" s="88" t="s">
        <v>134</v>
      </c>
      <c r="M72" s="84"/>
      <c r="N72" s="248" t="str">
        <f t="shared" si="11"/>
        <v>EDEC5019</v>
      </c>
      <c r="O72" s="84"/>
      <c r="P72" s="248" t="str">
        <f t="shared" si="12"/>
        <v>EDEC5019</v>
      </c>
      <c r="Q72" s="84"/>
      <c r="R72" s="248" t="str">
        <f t="shared" si="13"/>
        <v>EDEC5019</v>
      </c>
      <c r="S72" s="84"/>
      <c r="T72" s="98" t="s">
        <v>173</v>
      </c>
      <c r="U72" s="84"/>
      <c r="V72" s="248" t="str">
        <f t="shared" si="14"/>
        <v>EDPR5016</v>
      </c>
      <c r="W72" s="84"/>
      <c r="X72" s="248" t="str">
        <f t="shared" si="14"/>
        <v>EDPR5016</v>
      </c>
      <c r="Y72" s="84"/>
      <c r="Z72" s="248" t="str">
        <f t="shared" si="14"/>
        <v>EDPR5016</v>
      </c>
      <c r="AA72" s="84"/>
      <c r="AB72" s="88" t="s">
        <v>134</v>
      </c>
      <c r="AC72" s="84"/>
      <c r="AD72" s="247" t="str">
        <f t="shared" si="15"/>
        <v>EDEC5019</v>
      </c>
      <c r="AE72" s="84"/>
      <c r="AF72" s="247" t="str">
        <f t="shared" si="15"/>
        <v>EDEC5019</v>
      </c>
      <c r="AG72" s="84"/>
      <c r="AH72" s="247" t="str">
        <f t="shared" si="15"/>
        <v>EDEC5019</v>
      </c>
    </row>
    <row r="73" spans="1:34" x14ac:dyDescent="0.25">
      <c r="B73" s="75">
        <v>9</v>
      </c>
      <c r="C73" s="84"/>
      <c r="D73" s="88" t="s">
        <v>268</v>
      </c>
      <c r="E73" s="84"/>
      <c r="F73" s="247" t="str">
        <f t="shared" si="10"/>
        <v>EDUC5034</v>
      </c>
      <c r="G73" s="84"/>
      <c r="H73" s="247" t="str">
        <f t="shared" si="10"/>
        <v>EDUC5034</v>
      </c>
      <c r="I73" s="84"/>
      <c r="J73" s="247" t="str">
        <f t="shared" si="10"/>
        <v>EDUC5034</v>
      </c>
      <c r="K73" s="84"/>
      <c r="L73" s="88" t="s">
        <v>247</v>
      </c>
      <c r="M73" s="84"/>
      <c r="N73" s="247" t="str">
        <f t="shared" si="11"/>
        <v>EDUC5017</v>
      </c>
      <c r="O73" s="84"/>
      <c r="P73" s="247" t="str">
        <f t="shared" si="12"/>
        <v>EDUC5017</v>
      </c>
      <c r="Q73" s="84"/>
      <c r="R73" s="247" t="str">
        <f t="shared" si="13"/>
        <v>EDUC5017</v>
      </c>
      <c r="S73" s="84"/>
      <c r="T73" s="98" t="s">
        <v>176</v>
      </c>
      <c r="U73" s="84"/>
      <c r="V73" s="247" t="str">
        <f>T73</f>
        <v>EDPR5017</v>
      </c>
      <c r="W73" s="84"/>
      <c r="X73" s="247" t="str">
        <f>V73</f>
        <v>EDPR5017</v>
      </c>
      <c r="Y73" s="84"/>
      <c r="Z73" s="247" t="str">
        <f>X73</f>
        <v>EDPR5017</v>
      </c>
      <c r="AA73" s="84"/>
      <c r="AB73" s="88" t="s">
        <v>158</v>
      </c>
      <c r="AC73" s="84"/>
      <c r="AD73" s="248" t="str">
        <f t="shared" si="15"/>
        <v>EDPR5010</v>
      </c>
      <c r="AE73" s="84"/>
      <c r="AF73" s="248" t="str">
        <f t="shared" si="15"/>
        <v>EDPR5010</v>
      </c>
      <c r="AG73" s="84"/>
      <c r="AH73" s="248" t="str">
        <f t="shared" si="15"/>
        <v>EDPR5010</v>
      </c>
    </row>
    <row r="74" spans="1:34" x14ac:dyDescent="0.25">
      <c r="B74" s="75">
        <v>10</v>
      </c>
      <c r="C74" s="84"/>
      <c r="D74" s="98"/>
      <c r="E74" s="84"/>
      <c r="F74" s="98"/>
      <c r="G74" s="84"/>
      <c r="H74" s="98"/>
      <c r="I74" s="84"/>
      <c r="J74" s="98"/>
      <c r="K74" s="84"/>
      <c r="L74" s="98"/>
      <c r="M74" s="84"/>
      <c r="N74" s="98"/>
      <c r="O74" s="84"/>
      <c r="P74" s="98"/>
      <c r="Q74" s="84"/>
      <c r="R74" s="98"/>
      <c r="S74" s="84"/>
      <c r="T74" s="88" t="s">
        <v>244</v>
      </c>
      <c r="U74" s="84"/>
      <c r="V74" s="247" t="str">
        <f>T74</f>
        <v>EDUC5014</v>
      </c>
      <c r="W74" s="84"/>
      <c r="X74" s="247" t="str">
        <f>V74</f>
        <v>EDUC5014</v>
      </c>
      <c r="Y74" s="84"/>
      <c r="Z74" s="247" t="str">
        <f>X74</f>
        <v>EDUC5014</v>
      </c>
      <c r="AA74" s="84"/>
      <c r="AB74" s="88" t="s">
        <v>164</v>
      </c>
      <c r="AC74" s="84"/>
      <c r="AD74" s="248" t="str">
        <f t="shared" si="15"/>
        <v>EDPR5012</v>
      </c>
      <c r="AE74" s="84"/>
      <c r="AF74" s="248" t="str">
        <f t="shared" si="15"/>
        <v>EDPR5012</v>
      </c>
      <c r="AG74" s="84"/>
      <c r="AH74" s="248" t="str">
        <f t="shared" si="15"/>
        <v>EDPR5012</v>
      </c>
    </row>
    <row r="75" spans="1:34" x14ac:dyDescent="0.25">
      <c r="B75" s="75">
        <v>11</v>
      </c>
      <c r="C75" s="84"/>
      <c r="D75" s="98"/>
      <c r="E75" s="84"/>
      <c r="F75" s="98"/>
      <c r="G75" s="84"/>
      <c r="H75" s="98"/>
      <c r="I75" s="84"/>
      <c r="J75" s="98"/>
      <c r="K75" s="84"/>
      <c r="L75" s="98"/>
      <c r="M75" s="84"/>
      <c r="N75" s="98"/>
      <c r="O75" s="84"/>
      <c r="P75" s="98"/>
      <c r="Q75" s="84"/>
      <c r="R75" s="98"/>
      <c r="S75" s="84"/>
      <c r="T75" s="88" t="s">
        <v>247</v>
      </c>
      <c r="U75" s="84"/>
      <c r="V75" s="247" t="str">
        <f>T75</f>
        <v>EDUC5017</v>
      </c>
      <c r="W75" s="84"/>
      <c r="X75" s="247" t="str">
        <f>V75</f>
        <v>EDUC5017</v>
      </c>
      <c r="Y75" s="84"/>
      <c r="Z75" s="247" t="str">
        <f>X75</f>
        <v>EDUC5017</v>
      </c>
      <c r="AA75" s="84"/>
      <c r="AB75" s="88" t="s">
        <v>173</v>
      </c>
      <c r="AC75" s="84"/>
      <c r="AD75" s="248" t="str">
        <f t="shared" si="15"/>
        <v>EDPR5016</v>
      </c>
      <c r="AE75" s="84"/>
      <c r="AF75" s="248" t="str">
        <f t="shared" si="15"/>
        <v>EDPR5016</v>
      </c>
      <c r="AG75" s="84"/>
      <c r="AH75" s="248" t="str">
        <f t="shared" si="15"/>
        <v>EDPR5016</v>
      </c>
    </row>
    <row r="76" spans="1:34" x14ac:dyDescent="0.25">
      <c r="B76" s="75">
        <v>12</v>
      </c>
      <c r="C76" s="84"/>
      <c r="D76" s="88"/>
      <c r="E76" s="84"/>
      <c r="F76" s="88"/>
      <c r="G76" s="84"/>
      <c r="H76" s="88"/>
      <c r="I76" s="84"/>
      <c r="J76" s="88"/>
      <c r="K76" s="84"/>
      <c r="L76" s="88"/>
      <c r="M76" s="84"/>
      <c r="N76" s="88"/>
      <c r="O76" s="84"/>
      <c r="P76" s="88"/>
      <c r="Q76" s="84"/>
      <c r="R76" s="88"/>
      <c r="S76" s="84"/>
      <c r="T76" s="88"/>
      <c r="U76" s="84"/>
      <c r="V76" s="88"/>
      <c r="W76" s="84"/>
      <c r="X76" s="88"/>
      <c r="Y76" s="84"/>
      <c r="Z76" s="88"/>
      <c r="AA76" s="84"/>
      <c r="AB76" s="88" t="s">
        <v>176</v>
      </c>
      <c r="AC76" s="84"/>
      <c r="AD76" s="247" t="str">
        <f t="shared" si="15"/>
        <v>EDPR5017</v>
      </c>
      <c r="AE76" s="84"/>
      <c r="AF76" s="247" t="str">
        <f t="shared" si="15"/>
        <v>EDPR5017</v>
      </c>
      <c r="AG76" s="84"/>
      <c r="AH76" s="247" t="str">
        <f t="shared" si="15"/>
        <v>EDPR5017</v>
      </c>
    </row>
    <row r="77" spans="1:34" x14ac:dyDescent="0.25">
      <c r="B77" s="75">
        <v>13</v>
      </c>
      <c r="C77" s="84"/>
      <c r="D77" s="88"/>
      <c r="E77" s="84"/>
      <c r="F77" s="88"/>
      <c r="G77" s="84"/>
      <c r="H77" s="88"/>
      <c r="I77" s="84"/>
      <c r="J77" s="88"/>
      <c r="K77" s="84"/>
      <c r="L77" s="88"/>
      <c r="M77" s="84"/>
      <c r="N77" s="88"/>
      <c r="O77" s="84"/>
      <c r="P77" s="88"/>
      <c r="Q77" s="84"/>
      <c r="R77" s="88"/>
      <c r="S77" s="84"/>
      <c r="T77" s="88"/>
      <c r="U77" s="84"/>
      <c r="V77" s="88"/>
      <c r="W77" s="84"/>
      <c r="X77" s="88"/>
      <c r="Y77" s="84"/>
      <c r="Z77" s="88"/>
      <c r="AA77" s="84"/>
      <c r="AB77" s="88" t="s">
        <v>191</v>
      </c>
      <c r="AC77" s="84"/>
      <c r="AD77" s="247" t="str">
        <f t="shared" si="15"/>
        <v>EDSC5040</v>
      </c>
      <c r="AE77" s="84"/>
      <c r="AF77" s="247" t="str">
        <f t="shared" si="15"/>
        <v>EDSC5040</v>
      </c>
      <c r="AG77" s="84"/>
      <c r="AH77" s="247" t="str">
        <f t="shared" si="15"/>
        <v>EDSC5040</v>
      </c>
    </row>
    <row r="78" spans="1:34" x14ac:dyDescent="0.25">
      <c r="B78" s="75">
        <v>14</v>
      </c>
      <c r="C78" s="84"/>
      <c r="D78" s="88"/>
      <c r="E78" s="84"/>
      <c r="F78" s="88"/>
      <c r="G78" s="84"/>
      <c r="H78" s="88"/>
      <c r="I78" s="84"/>
      <c r="J78" s="88"/>
      <c r="K78" s="84"/>
      <c r="L78" s="88"/>
      <c r="M78" s="84"/>
      <c r="N78" s="88"/>
      <c r="O78" s="84"/>
      <c r="P78" s="88"/>
      <c r="Q78" s="84"/>
      <c r="R78" s="88"/>
      <c r="S78" s="84"/>
      <c r="T78" s="88"/>
      <c r="U78" s="84"/>
      <c r="V78" s="88"/>
      <c r="W78" s="84"/>
      <c r="X78" s="88"/>
      <c r="Y78" s="84"/>
      <c r="Z78" s="88"/>
      <c r="AA78" s="84"/>
      <c r="AB78" s="88" t="s">
        <v>239</v>
      </c>
      <c r="AC78" s="84"/>
      <c r="AD78" s="247" t="str">
        <f t="shared" si="15"/>
        <v>EDUC5012</v>
      </c>
      <c r="AE78" s="84"/>
      <c r="AF78" s="247" t="str">
        <f t="shared" si="15"/>
        <v>EDUC5012</v>
      </c>
      <c r="AG78" s="84"/>
      <c r="AH78" s="247" t="str">
        <f t="shared" si="15"/>
        <v>EDUC5012</v>
      </c>
    </row>
    <row r="79" spans="1:34" x14ac:dyDescent="0.25">
      <c r="B79" s="75">
        <v>15</v>
      </c>
      <c r="C79" s="84"/>
      <c r="D79" s="88"/>
      <c r="E79" s="84"/>
      <c r="F79" s="88"/>
      <c r="G79" s="84"/>
      <c r="H79" s="88"/>
      <c r="I79" s="84"/>
      <c r="J79" s="88"/>
      <c r="K79" s="84"/>
      <c r="L79" s="88"/>
      <c r="M79" s="84"/>
      <c r="N79" s="88"/>
      <c r="O79" s="84"/>
      <c r="P79" s="88"/>
      <c r="Q79" s="84"/>
      <c r="R79" s="88"/>
      <c r="S79" s="84"/>
      <c r="T79" s="88"/>
      <c r="U79" s="84"/>
      <c r="V79" s="88"/>
      <c r="W79" s="84"/>
      <c r="X79" s="88"/>
      <c r="Y79" s="84"/>
      <c r="Z79" s="88"/>
      <c r="AA79" s="84"/>
      <c r="AB79" s="98" t="s">
        <v>241</v>
      </c>
      <c r="AC79" s="84"/>
      <c r="AD79" s="247" t="str">
        <f t="shared" si="15"/>
        <v>EDUC5013</v>
      </c>
      <c r="AE79" s="84"/>
      <c r="AF79" s="247" t="str">
        <f t="shared" si="15"/>
        <v>EDUC5013</v>
      </c>
      <c r="AG79" s="84"/>
      <c r="AH79" s="247" t="str">
        <f t="shared" si="15"/>
        <v>EDUC5013</v>
      </c>
    </row>
    <row r="80" spans="1:34" x14ac:dyDescent="0.25">
      <c r="B80" s="75">
        <v>16</v>
      </c>
      <c r="C80" s="84"/>
      <c r="D80" s="88"/>
      <c r="E80" s="84"/>
      <c r="F80" s="88"/>
      <c r="G80" s="84"/>
      <c r="H80" s="88"/>
      <c r="I80" s="84"/>
      <c r="J80" s="88"/>
      <c r="K80" s="84"/>
      <c r="L80" s="88"/>
      <c r="M80" s="84"/>
      <c r="N80" s="88"/>
      <c r="O80" s="84"/>
      <c r="P80" s="88"/>
      <c r="Q80" s="84"/>
      <c r="R80" s="88"/>
      <c r="S80" s="84"/>
      <c r="T80" s="88"/>
      <c r="U80" s="84"/>
      <c r="V80" s="88"/>
      <c r="W80" s="84"/>
      <c r="X80" s="88"/>
      <c r="Y80" s="84"/>
      <c r="Z80" s="88"/>
      <c r="AA80" s="84"/>
      <c r="AB80" s="88" t="s">
        <v>244</v>
      </c>
      <c r="AC80" s="84"/>
      <c r="AD80" s="247" t="str">
        <f t="shared" si="15"/>
        <v>EDUC5014</v>
      </c>
      <c r="AE80" s="84"/>
      <c r="AF80" s="247" t="str">
        <f t="shared" si="15"/>
        <v>EDUC5014</v>
      </c>
      <c r="AG80" s="84"/>
      <c r="AH80" s="247" t="str">
        <f t="shared" si="15"/>
        <v>EDUC5014</v>
      </c>
    </row>
    <row r="81" spans="1:34" x14ac:dyDescent="0.25">
      <c r="B81" s="75">
        <v>19</v>
      </c>
      <c r="C81" s="84"/>
      <c r="D81" s="88"/>
      <c r="E81" s="84"/>
      <c r="F81" s="88"/>
      <c r="G81" s="84"/>
      <c r="H81" s="88"/>
      <c r="I81" s="84"/>
      <c r="J81" s="88"/>
      <c r="K81" s="84"/>
      <c r="L81" s="88"/>
      <c r="M81" s="84"/>
      <c r="N81" s="88"/>
      <c r="O81" s="84"/>
      <c r="P81" s="88"/>
      <c r="Q81" s="84"/>
      <c r="R81" s="88"/>
      <c r="S81" s="84"/>
      <c r="T81" s="88"/>
      <c r="U81" s="84"/>
      <c r="V81" s="88"/>
      <c r="W81" s="84"/>
      <c r="X81" s="88"/>
      <c r="Y81" s="84"/>
      <c r="Z81" s="88"/>
      <c r="AA81" s="84"/>
      <c r="AB81" s="88" t="s">
        <v>247</v>
      </c>
      <c r="AC81" s="84"/>
      <c r="AD81" s="247" t="str">
        <f t="shared" si="15"/>
        <v>EDUC5017</v>
      </c>
      <c r="AE81" s="84"/>
      <c r="AF81" s="247" t="str">
        <f t="shared" si="15"/>
        <v>EDUC5017</v>
      </c>
      <c r="AG81" s="84"/>
      <c r="AH81" s="247" t="str">
        <f t="shared" si="15"/>
        <v>EDUC5017</v>
      </c>
    </row>
    <row r="82" spans="1:34" x14ac:dyDescent="0.25">
      <c r="B82" s="75">
        <v>20</v>
      </c>
      <c r="C82" s="86"/>
      <c r="D82" s="99"/>
      <c r="E82" s="86"/>
      <c r="F82" s="99"/>
      <c r="G82" s="86"/>
      <c r="H82" s="99"/>
      <c r="I82" s="86"/>
      <c r="J82" s="99"/>
      <c r="K82" s="86"/>
      <c r="L82" s="99"/>
      <c r="M82" s="86"/>
      <c r="N82" s="99"/>
      <c r="O82" s="86"/>
      <c r="P82" s="99"/>
      <c r="Q82" s="86"/>
      <c r="R82" s="99"/>
      <c r="S82" s="86"/>
      <c r="T82" s="99"/>
      <c r="U82" s="86"/>
      <c r="V82" s="99"/>
      <c r="W82" s="86"/>
      <c r="X82" s="99"/>
      <c r="Y82" s="86"/>
      <c r="Z82" s="99"/>
      <c r="AA82" s="86"/>
      <c r="AB82" s="99" t="s">
        <v>268</v>
      </c>
      <c r="AC82" s="86"/>
      <c r="AD82" s="250" t="str">
        <f t="shared" si="15"/>
        <v>EDUC5034</v>
      </c>
      <c r="AE82" s="86"/>
      <c r="AF82" s="250" t="str">
        <f t="shared" si="15"/>
        <v>EDUC5034</v>
      </c>
      <c r="AG82" s="86"/>
      <c r="AH82" s="250" t="str">
        <f t="shared" si="15"/>
        <v>EDUC5034</v>
      </c>
    </row>
    <row r="85" spans="1:34" x14ac:dyDescent="0.25">
      <c r="A85" s="152" t="s">
        <v>553</v>
      </c>
      <c r="C85" s="234" t="s">
        <v>68</v>
      </c>
      <c r="D85" s="242" t="s">
        <v>554</v>
      </c>
    </row>
    <row r="86" spans="1:34" x14ac:dyDescent="0.25">
      <c r="C86" s="235" t="s">
        <v>70</v>
      </c>
      <c r="D86" s="243" t="s">
        <v>555</v>
      </c>
    </row>
    <row r="87" spans="1:34" x14ac:dyDescent="0.25">
      <c r="C87" s="235" t="s">
        <v>72</v>
      </c>
      <c r="D87" s="243" t="s">
        <v>556</v>
      </c>
    </row>
    <row r="88" spans="1:34" x14ac:dyDescent="0.25">
      <c r="C88" s="236" t="s">
        <v>74</v>
      </c>
      <c r="D88" s="244" t="s">
        <v>557</v>
      </c>
    </row>
  </sheetData>
  <sortState xmlns:xlrd2="http://schemas.microsoft.com/office/spreadsheetml/2017/richdata2" ref="T70:T75">
    <sortCondition ref="T70:T75"/>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66" t="s">
        <v>561</v>
      </c>
      <c r="B3" s="266"/>
      <c r="C3" s="266"/>
      <c r="D3" s="266"/>
      <c r="E3" s="89"/>
      <c r="F3" s="89"/>
      <c r="G3" s="89"/>
      <c r="H3" s="89"/>
      <c r="I3" s="89"/>
      <c r="J3" s="89"/>
      <c r="K3" s="89"/>
      <c r="L3" s="89"/>
    </row>
    <row r="4" spans="1:23" ht="25.5" x14ac:dyDescent="0.25">
      <c r="A4" s="192"/>
      <c r="B4" s="193"/>
      <c r="C4" s="193"/>
      <c r="D4" s="194" t="s">
        <v>562</v>
      </c>
      <c r="E4" s="195"/>
      <c r="F4" s="193"/>
      <c r="G4" s="196"/>
      <c r="H4" s="196"/>
      <c r="I4" s="196"/>
      <c r="J4" s="196"/>
      <c r="K4" s="196"/>
      <c r="L4" s="196"/>
    </row>
    <row r="5" spans="1:23" ht="20.100000000000001" customHeight="1" x14ac:dyDescent="0.25">
      <c r="B5" s="10"/>
      <c r="C5" s="115" t="s">
        <v>563</v>
      </c>
      <c r="D5" s="180" t="s">
        <v>37</v>
      </c>
      <c r="E5" s="11"/>
      <c r="F5" s="115" t="s">
        <v>564</v>
      </c>
      <c r="G5" s="11" t="str">
        <f>IFERROR(CONCATENATE(VLOOKUP(D5,TableCourses[],2,FALSE)," ",VLOOKUP(D5,TableCourses[],3,FALSE)),"")</f>
        <v>OM-TEACH1 v.2</v>
      </c>
      <c r="H5" s="11"/>
      <c r="I5" s="11"/>
      <c r="J5" s="11"/>
      <c r="K5" s="11"/>
      <c r="L5" s="197"/>
    </row>
    <row r="6" spans="1:23" ht="20.100000000000001" customHeight="1" x14ac:dyDescent="0.25">
      <c r="B6" s="10"/>
      <c r="C6" s="115" t="s">
        <v>565</v>
      </c>
      <c r="D6" s="107" t="s">
        <v>43</v>
      </c>
      <c r="E6" s="11"/>
      <c r="F6" s="115" t="s">
        <v>566</v>
      </c>
      <c r="G6" s="11" t="str">
        <f>IFERROR(CONCATENATE(VLOOKUP(D6,TableMajorsMTeach[],2,FALSE)," ",VLOOKUP(D6,TableMajorsMTeach[],3,FALSE)),"")</f>
        <v>OUMP-TCHEC v.2</v>
      </c>
      <c r="H6" s="11"/>
      <c r="I6" s="11"/>
      <c r="J6" s="11"/>
      <c r="K6" s="11"/>
      <c r="L6" s="188"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198"/>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0" t="s">
        <v>82</v>
      </c>
      <c r="I9" s="211" t="s">
        <v>83</v>
      </c>
      <c r="J9" s="211" t="s">
        <v>84</v>
      </c>
      <c r="K9" s="211"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12" t="str">
        <f>IFERROR(VLOOKUP($A10,TableHandbook[],H$2,FALSE),"")</f>
        <v/>
      </c>
      <c r="I10" s="213" t="str">
        <f>IFERROR(VLOOKUP($A10,TableHandbook[],I$2,FALSE),"")</f>
        <v/>
      </c>
      <c r="J10" s="213" t="str">
        <f>IFERROR(VLOOKUP($A10,TableHandbook[],J$2,FALSE),"")</f>
        <v/>
      </c>
      <c r="K10" s="213" t="str">
        <f>IFERROR(VLOOKUP($A10,TableHandbook[],K$2,FALSE),"")</f>
        <v/>
      </c>
      <c r="L10" s="57"/>
      <c r="M10" s="59">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12" t="str">
        <f>IFERROR(VLOOKUP($A11,TableHandbook[],H$2,FALSE),"")</f>
        <v/>
      </c>
      <c r="I11" s="213" t="str">
        <f>IFERROR(VLOOKUP($A11,TableHandbook[],I$2,FALSE),"")</f>
        <v/>
      </c>
      <c r="J11" s="213" t="str">
        <f>IFERROR(VLOOKUP($A11,TableHandbook[],J$2,FALSE),"")</f>
        <v/>
      </c>
      <c r="K11" s="213" t="str">
        <f>IFERROR(VLOOKUP($A11,TableHandbook[],K$2,FALSE),"")</f>
        <v/>
      </c>
      <c r="L11" s="57"/>
      <c r="M11" s="59">
        <v>3</v>
      </c>
      <c r="N11" s="20"/>
      <c r="O11" s="20"/>
      <c r="P11" s="21"/>
      <c r="Q11" s="21"/>
      <c r="R11" s="21"/>
      <c r="S11" s="21"/>
      <c r="T11" s="21"/>
      <c r="U11" s="21"/>
      <c r="V11" s="21"/>
      <c r="W11" s="21"/>
    </row>
    <row r="12" spans="1:23" s="22" customFormat="1" ht="4.5" customHeight="1" x14ac:dyDescent="0.15">
      <c r="A12" s="173"/>
      <c r="B12" s="174"/>
      <c r="C12" s="174"/>
      <c r="D12" s="175"/>
      <c r="E12" s="174"/>
      <c r="F12" s="176"/>
      <c r="G12" s="174"/>
      <c r="H12" s="214"/>
      <c r="I12" s="215"/>
      <c r="J12" s="215"/>
      <c r="K12" s="215"/>
      <c r="L12" s="177"/>
      <c r="M12" s="28"/>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12" t="str">
        <f>IFERROR(VLOOKUP($A13,TableHandbook[],H$2,FALSE),"")</f>
        <v/>
      </c>
      <c r="I13" s="213" t="str">
        <f>IFERROR(VLOOKUP($A13,TableHandbook[],I$2,FALSE),"")</f>
        <v/>
      </c>
      <c r="J13" s="213" t="str">
        <f>IFERROR(VLOOKUP($A13,TableHandbook[],J$2,FALSE),"")</f>
        <v/>
      </c>
      <c r="K13" s="213" t="str">
        <f>IFERROR(VLOOKUP($A13,TableHandbook[],K$2,FALSE),"")</f>
        <v/>
      </c>
      <c r="L13" s="58"/>
      <c r="M13" s="59">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12" t="str">
        <f>IFERROR(VLOOKUP($A14,TableHandbook[],H$2,FALSE),"")</f>
        <v/>
      </c>
      <c r="I14" s="213" t="str">
        <f>IFERROR(VLOOKUP($A14,TableHandbook[],I$2,FALSE),"")</f>
        <v/>
      </c>
      <c r="J14" s="213" t="str">
        <f>IFERROR(VLOOKUP($A14,TableHandbook[],J$2,FALSE),"")</f>
        <v/>
      </c>
      <c r="K14" s="213" t="str">
        <f>IFERROR(VLOOKUP($A14,TableHandbook[],K$2,FALSE),"")</f>
        <v/>
      </c>
      <c r="L14" s="57"/>
      <c r="M14" s="59">
        <v>5</v>
      </c>
      <c r="N14" s="20"/>
      <c r="O14" s="20"/>
      <c r="P14" s="21"/>
      <c r="Q14" s="21"/>
      <c r="R14" s="21"/>
      <c r="S14" s="21"/>
      <c r="T14" s="21"/>
      <c r="U14" s="21"/>
      <c r="V14" s="21"/>
      <c r="W14" s="21"/>
    </row>
    <row r="15" spans="1:23" s="22" customFormat="1" ht="4.5" customHeight="1" x14ac:dyDescent="0.15">
      <c r="A15" s="173"/>
      <c r="B15" s="174"/>
      <c r="C15" s="174"/>
      <c r="D15" s="175"/>
      <c r="E15" s="174"/>
      <c r="F15" s="176"/>
      <c r="G15" s="174"/>
      <c r="H15" s="214"/>
      <c r="I15" s="215"/>
      <c r="J15" s="215"/>
      <c r="K15" s="215"/>
      <c r="L15" s="177"/>
      <c r="M15" s="28"/>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17" t="str">
        <f>IFERROR(VLOOKUP($A16,TableHandbook[],H$2,FALSE),"")</f>
        <v/>
      </c>
      <c r="I16" s="218" t="str">
        <f>IFERROR(VLOOKUP($A16,TableHandbook[],I$2,FALSE),"")</f>
        <v/>
      </c>
      <c r="J16" s="218" t="str">
        <f>IFERROR(VLOOKUP($A16,TableHandbook[],J$2,FALSE),"")</f>
        <v/>
      </c>
      <c r="K16" s="218" t="str">
        <f>IFERROR(VLOOKUP($A16,TableHandbook[],K$2,FALSE),"")</f>
        <v/>
      </c>
      <c r="L16" s="58"/>
      <c r="M16" s="59">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17" t="str">
        <f>IFERROR(VLOOKUP($A17,TableHandbook[],H$2,FALSE),"")</f>
        <v/>
      </c>
      <c r="I17" s="218" t="str">
        <f>IFERROR(VLOOKUP($A17,TableHandbook[],I$2,FALSE),"")</f>
        <v/>
      </c>
      <c r="J17" s="218" t="str">
        <f>IFERROR(VLOOKUP($A17,TableHandbook[],J$2,FALSE),"")</f>
        <v/>
      </c>
      <c r="K17" s="218" t="str">
        <f>IFERROR(VLOOKUP($A17,TableHandbook[],K$2,FALSE),"")</f>
        <v/>
      </c>
      <c r="L17" s="58"/>
      <c r="M17" s="59">
        <v>7</v>
      </c>
      <c r="N17" s="29"/>
      <c r="O17" s="29"/>
      <c r="P17" s="30"/>
      <c r="Q17" s="30"/>
      <c r="R17" s="30"/>
      <c r="S17" s="30"/>
      <c r="T17" s="30"/>
      <c r="U17" s="30"/>
      <c r="V17" s="30"/>
      <c r="W17" s="30"/>
    </row>
    <row r="18" spans="1:23" s="22" customFormat="1" ht="4.5" customHeight="1" x14ac:dyDescent="0.15">
      <c r="A18" s="173"/>
      <c r="B18" s="174"/>
      <c r="C18" s="174"/>
      <c r="D18" s="175"/>
      <c r="E18" s="174"/>
      <c r="F18" s="176"/>
      <c r="G18" s="174"/>
      <c r="H18" s="214"/>
      <c r="I18" s="215"/>
      <c r="J18" s="215"/>
      <c r="K18" s="215"/>
      <c r="L18" s="177"/>
      <c r="M18" s="28"/>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17" t="str">
        <f>IFERROR(VLOOKUP($A19,TableHandbook[],H$2,FALSE),"")</f>
        <v/>
      </c>
      <c r="I19" s="218" t="str">
        <f>IFERROR(VLOOKUP($A19,TableHandbook[],I$2,FALSE),"")</f>
        <v/>
      </c>
      <c r="J19" s="218" t="str">
        <f>IFERROR(VLOOKUP($A19,TableHandbook[],J$2,FALSE),"")</f>
        <v/>
      </c>
      <c r="K19" s="218" t="str">
        <f>IFERROR(VLOOKUP($A19,TableHandbook[],K$2,FALSE),"")</f>
        <v/>
      </c>
      <c r="L19" s="58"/>
      <c r="M19" s="59">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17" t="str">
        <f>IFERROR(VLOOKUP($A20,TableHandbook[],H$2,FALSE),"")</f>
        <v/>
      </c>
      <c r="I20" s="218" t="str">
        <f>IFERROR(VLOOKUP($A20,TableHandbook[],I$2,FALSE),"")</f>
        <v/>
      </c>
      <c r="J20" s="218" t="str">
        <f>IFERROR(VLOOKUP($A20,TableHandbook[],J$2,FALSE),"")</f>
        <v/>
      </c>
      <c r="K20" s="218" t="str">
        <f>IFERROR(VLOOKUP($A20,TableHandbook[],K$2,FALSE),"")</f>
        <v/>
      </c>
      <c r="L20" s="58"/>
      <c r="M20" s="59">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0" t="str">
        <f>H$9</f>
        <v>SP1</v>
      </c>
      <c r="I21" s="211" t="str">
        <f t="shared" ref="I21:L21" si="0">I$9</f>
        <v>SP2</v>
      </c>
      <c r="J21" s="211" t="str">
        <f t="shared" si="0"/>
        <v>SP3</v>
      </c>
      <c r="K21" s="211" t="str">
        <f t="shared" si="0"/>
        <v>SP4</v>
      </c>
      <c r="L21" s="106" t="str">
        <f t="shared" si="0"/>
        <v>Notes / Progress</v>
      </c>
      <c r="M21" s="17"/>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12" t="str">
        <f>IFERROR(VLOOKUP($A22,TableHandbook[],H$2,FALSE),"")</f>
        <v/>
      </c>
      <c r="I22" s="213" t="str">
        <f>IFERROR(VLOOKUP($A22,TableHandbook[],I$2,FALSE),"")</f>
        <v/>
      </c>
      <c r="J22" s="213" t="str">
        <f>IFERROR(VLOOKUP($A22,TableHandbook[],J$2,FALSE),"")</f>
        <v/>
      </c>
      <c r="K22" s="213" t="str">
        <f>IFERROR(VLOOKUP($A22,TableHandbook[],K$2,FALSE),"")</f>
        <v/>
      </c>
      <c r="L22" s="57"/>
      <c r="M22" s="59">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12" t="str">
        <f>IFERROR(VLOOKUP($A23,TableHandbook[],H$2,FALSE),"")</f>
        <v/>
      </c>
      <c r="I23" s="213" t="str">
        <f>IFERROR(VLOOKUP($A23,TableHandbook[],I$2,FALSE),"")</f>
        <v/>
      </c>
      <c r="J23" s="213" t="str">
        <f>IFERROR(VLOOKUP($A23,TableHandbook[],J$2,FALSE),"")</f>
        <v/>
      </c>
      <c r="K23" s="213" t="str">
        <f>IFERROR(VLOOKUP($A23,TableHandbook[],K$2,FALSE),"")</f>
        <v/>
      </c>
      <c r="L23" s="57"/>
      <c r="M23" s="59">
        <v>11</v>
      </c>
      <c r="N23" s="20"/>
      <c r="O23" s="20"/>
      <c r="P23" s="21"/>
      <c r="Q23" s="21"/>
      <c r="R23" s="21"/>
      <c r="S23" s="21"/>
      <c r="T23" s="21"/>
      <c r="U23" s="21"/>
      <c r="V23" s="21"/>
      <c r="W23" s="21"/>
    </row>
    <row r="24" spans="1:23" s="22" customFormat="1" ht="4.5" customHeight="1" x14ac:dyDescent="0.15">
      <c r="A24" s="173"/>
      <c r="B24" s="174"/>
      <c r="C24" s="174"/>
      <c r="D24" s="175"/>
      <c r="E24" s="174"/>
      <c r="F24" s="176"/>
      <c r="G24" s="174"/>
      <c r="H24" s="214"/>
      <c r="I24" s="215"/>
      <c r="J24" s="215"/>
      <c r="K24" s="215"/>
      <c r="L24" s="177"/>
      <c r="M24" s="28"/>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12" t="str">
        <f>IFERROR(VLOOKUP($A25,TableHandbook[],H$2,FALSE),"")</f>
        <v/>
      </c>
      <c r="I25" s="213" t="str">
        <f>IFERROR(VLOOKUP($A25,TableHandbook[],I$2,FALSE),"")</f>
        <v/>
      </c>
      <c r="J25" s="213" t="str">
        <f>IFERROR(VLOOKUP($A25,TableHandbook[],J$2,FALSE),"")</f>
        <v/>
      </c>
      <c r="K25" s="213" t="str">
        <f>IFERROR(VLOOKUP($A25,TableHandbook[],K$2,FALSE),"")</f>
        <v/>
      </c>
      <c r="L25" s="57"/>
      <c r="M25" s="59">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12" t="str">
        <f>IFERROR(VLOOKUP($A26,TableHandbook[],H$2,FALSE),"")</f>
        <v/>
      </c>
      <c r="I26" s="213" t="str">
        <f>IFERROR(VLOOKUP($A26,TableHandbook[],I$2,FALSE),"")</f>
        <v/>
      </c>
      <c r="J26" s="213" t="str">
        <f>IFERROR(VLOOKUP($A26,TableHandbook[],J$2,FALSE),"")</f>
        <v/>
      </c>
      <c r="K26" s="213" t="str">
        <f>IFERROR(VLOOKUP($A26,TableHandbook[],K$2,FALSE),"")</f>
        <v/>
      </c>
      <c r="L26" s="57"/>
      <c r="M26" s="59">
        <v>13</v>
      </c>
      <c r="N26" s="20"/>
      <c r="O26" s="20"/>
      <c r="P26" s="21"/>
      <c r="Q26" s="21"/>
      <c r="R26" s="21"/>
      <c r="S26" s="21"/>
      <c r="T26" s="21"/>
      <c r="U26" s="21"/>
      <c r="V26" s="21"/>
      <c r="W26" s="21"/>
    </row>
    <row r="27" spans="1:23" s="22" customFormat="1" ht="4.5" customHeight="1" x14ac:dyDescent="0.15">
      <c r="A27" s="173"/>
      <c r="B27" s="174"/>
      <c r="C27" s="174"/>
      <c r="D27" s="175"/>
      <c r="E27" s="174"/>
      <c r="F27" s="176"/>
      <c r="G27" s="174"/>
      <c r="H27" s="214"/>
      <c r="I27" s="215"/>
      <c r="J27" s="215"/>
      <c r="K27" s="215"/>
      <c r="L27" s="177"/>
      <c r="M27" s="28"/>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17" t="str">
        <f>IFERROR(VLOOKUP($A28,TableHandbook[],H$2,FALSE),"")</f>
        <v/>
      </c>
      <c r="I28" s="218" t="str">
        <f>IFERROR(VLOOKUP($A28,TableHandbook[],I$2,FALSE),"")</f>
        <v/>
      </c>
      <c r="J28" s="218" t="str">
        <f>IFERROR(VLOOKUP($A28,TableHandbook[],J$2,FALSE),"")</f>
        <v/>
      </c>
      <c r="K28" s="218" t="str">
        <f>IFERROR(VLOOKUP($A28,TableHandbook[],K$2,FALSE),"")</f>
        <v/>
      </c>
      <c r="L28" s="57"/>
      <c r="M28" s="59">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17" t="str">
        <f>IFERROR(VLOOKUP($A29,TableHandbook[],H$2,FALSE),"")</f>
        <v/>
      </c>
      <c r="I29" s="218" t="str">
        <f>IFERROR(VLOOKUP($A29,TableHandbook[],I$2,FALSE),"")</f>
        <v/>
      </c>
      <c r="J29" s="218" t="str">
        <f>IFERROR(VLOOKUP($A29,TableHandbook[],J$2,FALSE),"")</f>
        <v/>
      </c>
      <c r="K29" s="218" t="str">
        <f>IFERROR(VLOOKUP($A29,TableHandbook[],K$2,FALSE),"")</f>
        <v/>
      </c>
      <c r="L29" s="57"/>
      <c r="M29" s="59">
        <v>15</v>
      </c>
      <c r="N29" s="20"/>
      <c r="O29" s="20"/>
      <c r="P29" s="21"/>
      <c r="Q29" s="21"/>
      <c r="R29" s="21"/>
      <c r="S29" s="21"/>
      <c r="T29" s="21"/>
      <c r="U29" s="21"/>
      <c r="V29" s="21"/>
      <c r="W29" s="21"/>
    </row>
    <row r="30" spans="1:23" s="31" customFormat="1" ht="4.5" customHeight="1" x14ac:dyDescent="0.15">
      <c r="A30" s="173"/>
      <c r="B30" s="174"/>
      <c r="C30" s="174"/>
      <c r="D30" s="175"/>
      <c r="E30" s="174"/>
      <c r="F30" s="176"/>
      <c r="G30" s="174"/>
      <c r="H30" s="214"/>
      <c r="I30" s="215"/>
      <c r="J30" s="215"/>
      <c r="K30" s="215"/>
      <c r="L30" s="177"/>
      <c r="M30" s="59"/>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17" t="str">
        <f>IFERROR(VLOOKUP($A31,TableHandbook[],H$2,FALSE),"")</f>
        <v/>
      </c>
      <c r="I31" s="218" t="str">
        <f>IFERROR(VLOOKUP($A31,TableHandbook[],I$2,FALSE),"")</f>
        <v/>
      </c>
      <c r="J31" s="218" t="str">
        <f>IFERROR(VLOOKUP($A31,TableHandbook[],J$2,FALSE),"")</f>
        <v/>
      </c>
      <c r="K31" s="218" t="str">
        <f>IFERROR(VLOOKUP($A31,TableHandbook[],K$2,FALSE),"")</f>
        <v/>
      </c>
      <c r="L31" s="57"/>
      <c r="M31" s="59">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17" t="str">
        <f>IFERROR(VLOOKUP($A32,TableHandbook[],H$2,FALSE),"")</f>
        <v/>
      </c>
      <c r="I32" s="218" t="str">
        <f>IFERROR(VLOOKUP($A32,TableHandbook[],I$2,FALSE),"")</f>
        <v/>
      </c>
      <c r="J32" s="218" t="str">
        <f>IFERROR(VLOOKUP($A32,TableHandbook[],J$2,FALSE),"")</f>
        <v/>
      </c>
      <c r="K32" s="218" t="str">
        <f>IFERROR(VLOOKUP($A32,TableHandbook[],K$2,FALSE),"")</f>
        <v/>
      </c>
      <c r="L32" s="57"/>
      <c r="M32" s="59">
        <v>17</v>
      </c>
      <c r="N32" s="29"/>
      <c r="O32" s="29"/>
      <c r="P32" s="30"/>
      <c r="Q32" s="30"/>
      <c r="R32" s="30"/>
      <c r="S32" s="30"/>
      <c r="T32" s="30"/>
      <c r="U32" s="30"/>
      <c r="V32" s="30"/>
      <c r="W32" s="30"/>
    </row>
    <row r="33" spans="1:23" s="19" customFormat="1" ht="21" x14ac:dyDescent="0.25">
      <c r="A33" s="100" t="s">
        <v>575</v>
      </c>
      <c r="B33" s="100"/>
      <c r="C33" s="100" t="s">
        <v>362</v>
      </c>
      <c r="D33" s="101" t="s">
        <v>363</v>
      </c>
      <c r="E33" s="114" t="s">
        <v>368</v>
      </c>
      <c r="F33" s="100" t="s">
        <v>571</v>
      </c>
      <c r="G33" s="100" t="s">
        <v>572</v>
      </c>
      <c r="H33" s="210" t="str">
        <f>H$9</f>
        <v>SP1</v>
      </c>
      <c r="I33" s="211" t="str">
        <f t="shared" ref="I33:L33" si="1">I$9</f>
        <v>SP2</v>
      </c>
      <c r="J33" s="211" t="str">
        <f t="shared" si="1"/>
        <v>SP3</v>
      </c>
      <c r="K33" s="211" t="str">
        <f t="shared" si="1"/>
        <v>SP4</v>
      </c>
      <c r="L33" s="106" t="str">
        <f t="shared" si="1"/>
        <v>Notes / Progress</v>
      </c>
      <c r="M33" s="17"/>
      <c r="N33" s="17"/>
      <c r="O33" s="17"/>
      <c r="P33" s="18"/>
      <c r="Q33" s="18"/>
      <c r="R33" s="18"/>
      <c r="S33" s="18"/>
      <c r="T33" s="18"/>
      <c r="U33" s="18"/>
      <c r="V33" s="18"/>
      <c r="W33" s="18"/>
    </row>
    <row r="34" spans="1:23" s="22" customFormat="1" ht="21" customHeight="1" x14ac:dyDescent="0.15">
      <c r="A34" s="55"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12" t="str">
        <f>IFERROR(VLOOKUP($A34,TableHandbook[],H$2,FALSE),"")</f>
        <v/>
      </c>
      <c r="I34" s="213" t="str">
        <f>IFERROR(VLOOKUP($A34,TableHandbook[],I$2,FALSE),"")</f>
        <v/>
      </c>
      <c r="J34" s="213" t="str">
        <f>IFERROR(VLOOKUP($A34,TableHandbook[],J$2,FALSE),"")</f>
        <v/>
      </c>
      <c r="K34" s="213" t="str">
        <f>IFERROR(VLOOKUP($A34,TableHandbook[],K$2,FALSE),"")</f>
        <v/>
      </c>
      <c r="L34" s="57"/>
      <c r="M34" s="59">
        <v>18</v>
      </c>
      <c r="N34" s="20"/>
      <c r="O34" s="20"/>
      <c r="P34" s="21"/>
      <c r="Q34" s="21"/>
      <c r="R34" s="21"/>
      <c r="S34" s="21"/>
      <c r="T34" s="21"/>
      <c r="U34" s="21"/>
      <c r="V34" s="21"/>
      <c r="W34" s="21"/>
    </row>
    <row r="35" spans="1:23" s="22" customFormat="1" ht="15" customHeight="1" x14ac:dyDescent="0.15">
      <c r="A35" s="146"/>
      <c r="B35" s="147"/>
      <c r="C35" s="147"/>
      <c r="D35" s="148"/>
      <c r="E35" s="147"/>
      <c r="F35" s="149"/>
      <c r="G35" s="146"/>
      <c r="H35" s="146"/>
      <c r="I35" s="146"/>
      <c r="J35" s="146"/>
      <c r="K35" s="146"/>
      <c r="L35" s="150"/>
      <c r="M35" s="59"/>
      <c r="N35" s="20"/>
      <c r="O35" s="20"/>
      <c r="P35" s="21"/>
      <c r="Q35" s="21"/>
      <c r="R35" s="21"/>
      <c r="S35" s="21"/>
      <c r="T35" s="21"/>
      <c r="U35" s="21"/>
      <c r="V35" s="21"/>
      <c r="W35" s="21"/>
    </row>
    <row r="36" spans="1:23" s="16" customFormat="1" ht="21" customHeight="1" x14ac:dyDescent="0.25">
      <c r="A36" s="60" t="s">
        <v>576</v>
      </c>
      <c r="B36" s="60"/>
      <c r="C36" s="60"/>
      <c r="D36" s="60"/>
      <c r="E36" s="60"/>
      <c r="F36" s="60"/>
      <c r="G36" s="60"/>
      <c r="H36" s="60"/>
      <c r="I36" s="60"/>
      <c r="J36" s="60"/>
      <c r="K36" s="60"/>
      <c r="L36" s="60"/>
    </row>
    <row r="37" spans="1:23" s="38" customFormat="1" ht="17.25" x14ac:dyDescent="0.2">
      <c r="A37" s="32" t="s">
        <v>577</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578</v>
      </c>
      <c r="B38" s="34"/>
      <c r="C38" s="34"/>
      <c r="D38" s="34"/>
      <c r="E38" s="47"/>
      <c r="F38" s="35"/>
      <c r="G38" s="48"/>
      <c r="H38" s="48"/>
      <c r="I38" s="48"/>
      <c r="J38" s="48"/>
      <c r="K38" s="48"/>
      <c r="L38" s="48" t="s">
        <v>579</v>
      </c>
    </row>
  </sheetData>
  <sheetProtection formatCells="0"/>
  <mergeCells count="1">
    <mergeCell ref="A3:D3"/>
  </mergeCells>
  <conditionalFormatting sqref="D5:D7">
    <cfRule type="containsText" dxfId="29" priority="7" operator="containsText" text="Choose">
      <formula>NOT(ISERROR(SEARCH("Choose",D5)))</formula>
    </cfRule>
  </conditionalFormatting>
  <conditionalFormatting sqref="H10:K34">
    <cfRule type="expression" dxfId="28"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CourseDetails!$A$44:$A$48</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66" t="s">
        <v>561</v>
      </c>
      <c r="B3" s="266"/>
      <c r="C3" s="266"/>
      <c r="D3" s="266"/>
      <c r="E3" s="89"/>
      <c r="F3" s="89"/>
      <c r="G3" s="89"/>
      <c r="H3" s="89"/>
      <c r="I3" s="89"/>
      <c r="J3" s="89"/>
      <c r="K3" s="89"/>
      <c r="L3" s="89"/>
    </row>
    <row r="4" spans="1:23" ht="25.5" x14ac:dyDescent="0.25">
      <c r="A4" s="192"/>
      <c r="B4" s="193"/>
      <c r="C4" s="193"/>
      <c r="D4" s="194" t="s">
        <v>562</v>
      </c>
      <c r="E4" s="195"/>
      <c r="F4" s="193"/>
      <c r="G4" s="196"/>
      <c r="H4" s="196"/>
      <c r="I4" s="196"/>
      <c r="J4" s="196"/>
      <c r="K4" s="196"/>
      <c r="L4" s="196"/>
    </row>
    <row r="5" spans="1:23" ht="20.100000000000001" customHeight="1" x14ac:dyDescent="0.25">
      <c r="B5" s="10"/>
      <c r="C5" s="115" t="s">
        <v>563</v>
      </c>
      <c r="D5" s="180" t="s">
        <v>37</v>
      </c>
      <c r="E5" s="11"/>
      <c r="F5" s="115" t="s">
        <v>564</v>
      </c>
      <c r="G5" s="11" t="str">
        <f>IFERROR(CONCATENATE(VLOOKUP(D5,TableCourses[],2,FALSE)," ",VLOOKUP(D5,TableCourses[],3,FALSE)),"")</f>
        <v>OM-TEACH1 v.2</v>
      </c>
      <c r="H5" s="11"/>
      <c r="I5" s="11"/>
      <c r="J5" s="11"/>
      <c r="K5" s="11"/>
      <c r="L5" s="12"/>
    </row>
    <row r="6" spans="1:23" ht="20.100000000000001" customHeight="1" x14ac:dyDescent="0.25">
      <c r="B6" s="10"/>
      <c r="C6" s="115" t="s">
        <v>565</v>
      </c>
      <c r="D6" s="107" t="s">
        <v>45</v>
      </c>
      <c r="E6" s="11"/>
      <c r="F6" s="115" t="s">
        <v>566</v>
      </c>
      <c r="G6" s="11" t="str">
        <f>IFERROR(CONCATENATE(VLOOKUP(D6,TableMajorsMTeach[],2,FALSE)," ",VLOOKUP(D6,TableMajorsMTeach[],3,FALSE)),"")</f>
        <v>OUMP-TCHPE v.2</v>
      </c>
      <c r="H6" s="11"/>
      <c r="I6" s="11"/>
      <c r="J6" s="11"/>
      <c r="K6" s="11"/>
      <c r="L6" s="188"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0" t="s">
        <v>82</v>
      </c>
      <c r="I9" s="211" t="s">
        <v>83</v>
      </c>
      <c r="J9" s="211" t="s">
        <v>84</v>
      </c>
      <c r="K9" s="211"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12" t="str">
        <f>IFERROR(VLOOKUP($A10,TableHandbook[],H$2,FALSE),"")</f>
        <v/>
      </c>
      <c r="I10" s="213" t="str">
        <f>IFERROR(VLOOKUP($A10,TableHandbook[],I$2,FALSE),"")</f>
        <v/>
      </c>
      <c r="J10" s="213" t="str">
        <f>IFERROR(VLOOKUP($A10,TableHandbook[],J$2,FALSE),"")</f>
        <v/>
      </c>
      <c r="K10" s="213" t="str">
        <f>IFERROR(VLOOKUP($A10,TableHandbook[],K$2,FALSE),"")</f>
        <v/>
      </c>
      <c r="L10" s="57"/>
      <c r="M10" s="138">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12" t="str">
        <f>IFERROR(VLOOKUP($A11,TableHandbook[],H$2,FALSE),"")</f>
        <v/>
      </c>
      <c r="I11" s="213" t="str">
        <f>IFERROR(VLOOKUP($A11,TableHandbook[],I$2,FALSE),"")</f>
        <v/>
      </c>
      <c r="J11" s="213" t="str">
        <f>IFERROR(VLOOKUP($A11,TableHandbook[],J$2,FALSE),"")</f>
        <v/>
      </c>
      <c r="K11" s="213" t="str">
        <f>IFERROR(VLOOKUP($A11,TableHandbook[],K$2,FALSE),"")</f>
        <v/>
      </c>
      <c r="L11" s="57"/>
      <c r="M11" s="138">
        <v>3</v>
      </c>
      <c r="N11" s="20"/>
      <c r="O11" s="20"/>
      <c r="P11" s="21"/>
      <c r="Q11" s="21"/>
      <c r="R11" s="21"/>
      <c r="S11" s="21"/>
      <c r="T11" s="21"/>
      <c r="U11" s="21"/>
      <c r="V11" s="21"/>
      <c r="W11" s="21"/>
    </row>
    <row r="12" spans="1:23" s="22" customFormat="1" ht="4.5" customHeight="1" x14ac:dyDescent="0.15">
      <c r="A12" s="173"/>
      <c r="B12" s="174"/>
      <c r="C12" s="174"/>
      <c r="D12" s="175"/>
      <c r="E12" s="174"/>
      <c r="F12" s="176"/>
      <c r="G12" s="174"/>
      <c r="H12" s="214"/>
      <c r="I12" s="215"/>
      <c r="J12" s="215"/>
      <c r="K12" s="215"/>
      <c r="L12" s="177"/>
      <c r="M12" s="138"/>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12" t="str">
        <f>IFERROR(VLOOKUP($A13,TableHandbook[],H$2,FALSE),"")</f>
        <v/>
      </c>
      <c r="I13" s="213" t="str">
        <f>IFERROR(VLOOKUP($A13,TableHandbook[],I$2,FALSE),"")</f>
        <v/>
      </c>
      <c r="J13" s="213" t="str">
        <f>IFERROR(VLOOKUP($A13,TableHandbook[],J$2,FALSE),"")</f>
        <v/>
      </c>
      <c r="K13" s="213" t="str">
        <f>IFERROR(VLOOKUP($A13,TableHandbook[],K$2,FALSE),"")</f>
        <v/>
      </c>
      <c r="L13" s="58"/>
      <c r="M13" s="138">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12" t="str">
        <f>IFERROR(VLOOKUP($A14,TableHandbook[],H$2,FALSE),"")</f>
        <v/>
      </c>
      <c r="I14" s="213" t="str">
        <f>IFERROR(VLOOKUP($A14,TableHandbook[],I$2,FALSE),"")</f>
        <v/>
      </c>
      <c r="J14" s="213" t="str">
        <f>IFERROR(VLOOKUP($A14,TableHandbook[],J$2,FALSE),"")</f>
        <v/>
      </c>
      <c r="K14" s="213" t="str">
        <f>IFERROR(VLOOKUP($A14,TableHandbook[],K$2,FALSE),"")</f>
        <v/>
      </c>
      <c r="L14" s="57"/>
      <c r="M14" s="138">
        <v>5</v>
      </c>
      <c r="N14" s="20"/>
      <c r="O14" s="20"/>
      <c r="P14" s="21"/>
      <c r="Q14" s="21"/>
      <c r="R14" s="21"/>
      <c r="S14" s="21"/>
      <c r="T14" s="21"/>
      <c r="U14" s="21"/>
      <c r="V14" s="21"/>
      <c r="W14" s="21"/>
    </row>
    <row r="15" spans="1:23" s="22" customFormat="1" ht="4.5" customHeight="1" x14ac:dyDescent="0.15">
      <c r="A15" s="173"/>
      <c r="B15" s="174"/>
      <c r="C15" s="174"/>
      <c r="D15" s="175"/>
      <c r="E15" s="174"/>
      <c r="F15" s="176"/>
      <c r="G15" s="174"/>
      <c r="H15" s="214"/>
      <c r="I15" s="215"/>
      <c r="J15" s="215"/>
      <c r="K15" s="215"/>
      <c r="L15" s="177"/>
      <c r="M15" s="138"/>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17" t="str">
        <f>IFERROR(VLOOKUP($A16,TableHandbook[],H$2,FALSE),"")</f>
        <v/>
      </c>
      <c r="I16" s="218" t="str">
        <f>IFERROR(VLOOKUP($A16,TableHandbook[],I$2,FALSE),"")</f>
        <v/>
      </c>
      <c r="J16" s="218" t="str">
        <f>IFERROR(VLOOKUP($A16,TableHandbook[],J$2,FALSE),"")</f>
        <v/>
      </c>
      <c r="K16" s="218" t="str">
        <f>IFERROR(VLOOKUP($A16,TableHandbook[],K$2,FALSE),"")</f>
        <v/>
      </c>
      <c r="L16" s="58"/>
      <c r="M16" s="138">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17" t="str">
        <f>IFERROR(VLOOKUP($A17,TableHandbook[],H$2,FALSE),"")</f>
        <v/>
      </c>
      <c r="I17" s="218" t="str">
        <f>IFERROR(VLOOKUP($A17,TableHandbook[],I$2,FALSE),"")</f>
        <v/>
      </c>
      <c r="J17" s="218" t="str">
        <f>IFERROR(VLOOKUP($A17,TableHandbook[],J$2,FALSE),"")</f>
        <v/>
      </c>
      <c r="K17" s="218" t="str">
        <f>IFERROR(VLOOKUP($A17,TableHandbook[],K$2,FALSE),"")</f>
        <v/>
      </c>
      <c r="L17" s="58"/>
      <c r="M17" s="138">
        <v>7</v>
      </c>
      <c r="N17" s="29"/>
      <c r="O17" s="29"/>
      <c r="P17" s="30"/>
      <c r="Q17" s="30"/>
      <c r="R17" s="30"/>
      <c r="S17" s="30"/>
      <c r="T17" s="30"/>
      <c r="U17" s="30"/>
      <c r="V17" s="30"/>
      <c r="W17" s="30"/>
    </row>
    <row r="18" spans="1:23" s="22" customFormat="1" ht="4.5" customHeight="1" x14ac:dyDescent="0.15">
      <c r="A18" s="173"/>
      <c r="B18" s="174"/>
      <c r="C18" s="174"/>
      <c r="D18" s="175"/>
      <c r="E18" s="174"/>
      <c r="F18" s="176"/>
      <c r="G18" s="174"/>
      <c r="H18" s="214"/>
      <c r="I18" s="215"/>
      <c r="J18" s="215"/>
      <c r="K18" s="215"/>
      <c r="L18" s="177"/>
      <c r="M18" s="138"/>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17" t="str">
        <f>IFERROR(VLOOKUP($A19,TableHandbook[],H$2,FALSE),"")</f>
        <v/>
      </c>
      <c r="I19" s="218" t="str">
        <f>IFERROR(VLOOKUP($A19,TableHandbook[],I$2,FALSE),"")</f>
        <v/>
      </c>
      <c r="J19" s="218" t="str">
        <f>IFERROR(VLOOKUP($A19,TableHandbook[],J$2,FALSE),"")</f>
        <v/>
      </c>
      <c r="K19" s="218" t="str">
        <f>IFERROR(VLOOKUP($A19,TableHandbook[],K$2,FALSE),"")</f>
        <v/>
      </c>
      <c r="L19" s="58"/>
      <c r="M19" s="138">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17" t="str">
        <f>IFERROR(VLOOKUP($A20,TableHandbook[],H$2,FALSE),"")</f>
        <v/>
      </c>
      <c r="I20" s="218" t="str">
        <f>IFERROR(VLOOKUP($A20,TableHandbook[],I$2,FALSE),"")</f>
        <v/>
      </c>
      <c r="J20" s="218" t="str">
        <f>IFERROR(VLOOKUP($A20,TableHandbook[],J$2,FALSE),"")</f>
        <v/>
      </c>
      <c r="K20" s="218" t="str">
        <f>IFERROR(VLOOKUP($A20,TableHandbook[],K$2,FALSE),"")</f>
        <v/>
      </c>
      <c r="L20" s="58"/>
      <c r="M20" s="138">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0" t="str">
        <f>H9</f>
        <v>SP1</v>
      </c>
      <c r="I21" s="211" t="str">
        <f t="shared" ref="I21:L21" si="0">I9</f>
        <v>SP2</v>
      </c>
      <c r="J21" s="211" t="str">
        <f t="shared" si="0"/>
        <v>SP3</v>
      </c>
      <c r="K21" s="211" t="str">
        <f t="shared" si="0"/>
        <v>SP4</v>
      </c>
      <c r="L21" s="106" t="str">
        <f t="shared" si="0"/>
        <v>Notes / Progress</v>
      </c>
      <c r="M21" s="139"/>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12" t="str">
        <f>IFERROR(VLOOKUP($A22,TableHandbook[],H$2,FALSE),"")</f>
        <v/>
      </c>
      <c r="I22" s="213" t="str">
        <f>IFERROR(VLOOKUP($A22,TableHandbook[],I$2,FALSE),"")</f>
        <v/>
      </c>
      <c r="J22" s="213" t="str">
        <f>IFERROR(VLOOKUP($A22,TableHandbook[],J$2,FALSE),"")</f>
        <v/>
      </c>
      <c r="K22" s="213" t="str">
        <f>IFERROR(VLOOKUP($A22,TableHandbook[],K$2,FALSE),"")</f>
        <v/>
      </c>
      <c r="L22" s="57"/>
      <c r="M22" s="138">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12" t="str">
        <f>IFERROR(VLOOKUP($A23,TableHandbook[],H$2,FALSE),"")</f>
        <v/>
      </c>
      <c r="I23" s="213" t="str">
        <f>IFERROR(VLOOKUP($A23,TableHandbook[],I$2,FALSE),"")</f>
        <v/>
      </c>
      <c r="J23" s="213" t="str">
        <f>IFERROR(VLOOKUP($A23,TableHandbook[],J$2,FALSE),"")</f>
        <v/>
      </c>
      <c r="K23" s="213" t="str">
        <f>IFERROR(VLOOKUP($A23,TableHandbook[],K$2,FALSE),"")</f>
        <v/>
      </c>
      <c r="L23" s="57"/>
      <c r="M23" s="138">
        <v>11</v>
      </c>
      <c r="N23" s="20"/>
      <c r="O23" s="20"/>
      <c r="P23" s="21"/>
      <c r="Q23" s="21"/>
      <c r="R23" s="21"/>
      <c r="S23" s="21"/>
      <c r="T23" s="21"/>
      <c r="U23" s="21"/>
      <c r="V23" s="21"/>
      <c r="W23" s="21"/>
    </row>
    <row r="24" spans="1:23" s="22" customFormat="1" ht="4.5" customHeight="1" x14ac:dyDescent="0.15">
      <c r="A24" s="173"/>
      <c r="B24" s="174"/>
      <c r="C24" s="174"/>
      <c r="D24" s="175"/>
      <c r="E24" s="174"/>
      <c r="F24" s="176"/>
      <c r="G24" s="174"/>
      <c r="H24" s="214"/>
      <c r="I24" s="215"/>
      <c r="J24" s="215"/>
      <c r="K24" s="215"/>
      <c r="L24" s="177"/>
      <c r="M24" s="138"/>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12" t="str">
        <f>IFERROR(VLOOKUP($A25,TableHandbook[],H$2,FALSE),"")</f>
        <v/>
      </c>
      <c r="I25" s="213" t="str">
        <f>IFERROR(VLOOKUP($A25,TableHandbook[],I$2,FALSE),"")</f>
        <v/>
      </c>
      <c r="J25" s="213" t="str">
        <f>IFERROR(VLOOKUP($A25,TableHandbook[],J$2,FALSE),"")</f>
        <v/>
      </c>
      <c r="K25" s="213" t="str">
        <f>IFERROR(VLOOKUP($A25,TableHandbook[],K$2,FALSE),"")</f>
        <v/>
      </c>
      <c r="L25" s="57"/>
      <c r="M25" s="138">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12" t="str">
        <f>IFERROR(VLOOKUP($A26,TableHandbook[],H$2,FALSE),"")</f>
        <v/>
      </c>
      <c r="I26" s="213" t="str">
        <f>IFERROR(VLOOKUP($A26,TableHandbook[],I$2,FALSE),"")</f>
        <v/>
      </c>
      <c r="J26" s="213" t="str">
        <f>IFERROR(VLOOKUP($A26,TableHandbook[],J$2,FALSE),"")</f>
        <v/>
      </c>
      <c r="K26" s="213" t="str">
        <f>IFERROR(VLOOKUP($A26,TableHandbook[],K$2,FALSE),"")</f>
        <v/>
      </c>
      <c r="L26" s="57"/>
      <c r="M26" s="138">
        <v>13</v>
      </c>
      <c r="N26" s="20"/>
      <c r="O26" s="20"/>
      <c r="P26" s="21"/>
      <c r="Q26" s="21"/>
      <c r="R26" s="21"/>
      <c r="S26" s="21"/>
      <c r="T26" s="21"/>
      <c r="U26" s="21"/>
      <c r="V26" s="21"/>
      <c r="W26" s="21"/>
    </row>
    <row r="27" spans="1:23" s="22" customFormat="1" ht="4.5" customHeight="1" x14ac:dyDescent="0.15">
      <c r="A27" s="173"/>
      <c r="B27" s="174"/>
      <c r="C27" s="174"/>
      <c r="D27" s="175"/>
      <c r="E27" s="174"/>
      <c r="F27" s="176"/>
      <c r="G27" s="174"/>
      <c r="H27" s="214"/>
      <c r="I27" s="215"/>
      <c r="J27" s="215"/>
      <c r="K27" s="215"/>
      <c r="L27" s="177"/>
      <c r="M27" s="138"/>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17" t="str">
        <f>IFERROR(VLOOKUP($A28,TableHandbook[],H$2,FALSE),"")</f>
        <v/>
      </c>
      <c r="I28" s="218" t="str">
        <f>IFERROR(VLOOKUP($A28,TableHandbook[],I$2,FALSE),"")</f>
        <v/>
      </c>
      <c r="J28" s="218" t="str">
        <f>IFERROR(VLOOKUP($A28,TableHandbook[],J$2,FALSE),"")</f>
        <v/>
      </c>
      <c r="K28" s="218" t="str">
        <f>IFERROR(VLOOKUP($A28,TableHandbook[],K$2,FALSE),"")</f>
        <v/>
      </c>
      <c r="L28" s="57"/>
      <c r="M28" s="138">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17" t="str">
        <f>IFERROR(VLOOKUP($A29,TableHandbook[],H$2,FALSE),"")</f>
        <v/>
      </c>
      <c r="I29" s="218" t="str">
        <f>IFERROR(VLOOKUP($A29,TableHandbook[],I$2,FALSE),"")</f>
        <v/>
      </c>
      <c r="J29" s="218" t="str">
        <f>IFERROR(VLOOKUP($A29,TableHandbook[],J$2,FALSE),"")</f>
        <v/>
      </c>
      <c r="K29" s="218" t="str">
        <f>IFERROR(VLOOKUP($A29,TableHandbook[],K$2,FALSE),"")</f>
        <v/>
      </c>
      <c r="L29" s="57"/>
      <c r="M29" s="138">
        <v>15</v>
      </c>
      <c r="N29" s="20"/>
      <c r="O29" s="20"/>
      <c r="P29" s="21"/>
      <c r="Q29" s="21"/>
      <c r="R29" s="21"/>
      <c r="S29" s="21"/>
      <c r="T29" s="21"/>
      <c r="U29" s="21"/>
      <c r="V29" s="21"/>
      <c r="W29" s="21"/>
    </row>
    <row r="30" spans="1:23" s="31" customFormat="1" ht="4.5" customHeight="1" x14ac:dyDescent="0.15">
      <c r="A30" s="173"/>
      <c r="B30" s="174"/>
      <c r="C30" s="174"/>
      <c r="D30" s="175"/>
      <c r="E30" s="174"/>
      <c r="F30" s="176"/>
      <c r="G30" s="174"/>
      <c r="H30" s="214"/>
      <c r="I30" s="215"/>
      <c r="J30" s="215"/>
      <c r="K30" s="215"/>
      <c r="L30" s="177"/>
      <c r="M30" s="138"/>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17" t="str">
        <f>IFERROR(VLOOKUP($A31,TableHandbook[],H$2,FALSE),"")</f>
        <v/>
      </c>
      <c r="I31" s="218" t="str">
        <f>IFERROR(VLOOKUP($A31,TableHandbook[],I$2,FALSE),"")</f>
        <v/>
      </c>
      <c r="J31" s="218" t="str">
        <f>IFERROR(VLOOKUP($A31,TableHandbook[],J$2,FALSE),"")</f>
        <v/>
      </c>
      <c r="K31" s="218" t="str">
        <f>IFERROR(VLOOKUP($A31,TableHandbook[],K$2,FALSE),"")</f>
        <v/>
      </c>
      <c r="L31" s="57"/>
      <c r="M31" s="138">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17" t="str">
        <f>IFERROR(VLOOKUP($A32,TableHandbook[],H$2,FALSE),"")</f>
        <v/>
      </c>
      <c r="I32" s="218" t="str">
        <f>IFERROR(VLOOKUP($A32,TableHandbook[],I$2,FALSE),"")</f>
        <v/>
      </c>
      <c r="J32" s="218" t="str">
        <f>IFERROR(VLOOKUP($A32,TableHandbook[],J$2,FALSE),"")</f>
        <v/>
      </c>
      <c r="K32" s="218" t="str">
        <f>IFERROR(VLOOKUP($A32,TableHandbook[],K$2,FALSE),"")</f>
        <v/>
      </c>
      <c r="L32" s="57"/>
      <c r="M32" s="138">
        <v>17</v>
      </c>
      <c r="N32" s="29"/>
      <c r="O32" s="29"/>
      <c r="P32" s="30"/>
      <c r="Q32" s="30"/>
      <c r="R32" s="30"/>
      <c r="S32" s="30"/>
      <c r="T32" s="30"/>
      <c r="U32" s="30"/>
      <c r="V32" s="30"/>
      <c r="W32" s="30"/>
    </row>
    <row r="33" spans="1:23" s="22" customFormat="1" ht="15" customHeight="1" x14ac:dyDescent="0.15">
      <c r="A33" s="146"/>
      <c r="B33" s="147"/>
      <c r="C33" s="147"/>
      <c r="D33" s="148"/>
      <c r="E33" s="147"/>
      <c r="F33" s="149"/>
      <c r="G33" s="146"/>
      <c r="H33" s="146"/>
      <c r="I33" s="146"/>
      <c r="J33" s="146"/>
      <c r="K33" s="146"/>
      <c r="L33" s="150"/>
      <c r="M33" s="59"/>
      <c r="N33" s="20"/>
      <c r="O33" s="20"/>
      <c r="P33" s="21"/>
      <c r="Q33" s="21"/>
      <c r="R33" s="21"/>
      <c r="S33" s="21"/>
      <c r="T33" s="21"/>
      <c r="U33" s="21"/>
      <c r="V33" s="21"/>
      <c r="W33" s="21"/>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D5:D7">
    <cfRule type="containsText" dxfId="27" priority="2" operator="containsText" text="Choose">
      <formula>NOT(ISERROR(SEARCH("Choose",D5)))</formula>
    </cfRule>
  </conditionalFormatting>
  <conditionalFormatting sqref="H10:K32">
    <cfRule type="expression" dxfId="26"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CourseDetails!$A$44:$A$48</xm:f>
          </x14:formula1>
          <xm:sqref>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0"/>
      <c r="B2" s="140">
        <v>2</v>
      </c>
      <c r="C2" s="140">
        <v>3</v>
      </c>
      <c r="D2" s="140">
        <v>4</v>
      </c>
      <c r="E2" s="140"/>
      <c r="F2" s="140">
        <v>6</v>
      </c>
      <c r="G2" s="140">
        <v>5</v>
      </c>
      <c r="H2" s="140">
        <v>7</v>
      </c>
      <c r="I2" s="140">
        <v>8</v>
      </c>
      <c r="J2" s="140">
        <v>9</v>
      </c>
      <c r="K2" s="140">
        <v>10</v>
      </c>
      <c r="L2" s="167"/>
    </row>
    <row r="3" spans="1:23" ht="39.950000000000003" customHeight="1" x14ac:dyDescent="0.25">
      <c r="A3" s="266" t="s">
        <v>561</v>
      </c>
      <c r="B3" s="266"/>
      <c r="C3" s="266"/>
      <c r="D3" s="266"/>
      <c r="E3" s="89"/>
      <c r="F3" s="89"/>
      <c r="G3" s="89"/>
      <c r="H3" s="89"/>
      <c r="I3" s="89"/>
      <c r="J3" s="89"/>
      <c r="K3" s="89"/>
      <c r="L3" s="89"/>
    </row>
    <row r="4" spans="1:23" ht="25.5" x14ac:dyDescent="0.25">
      <c r="A4" s="192"/>
      <c r="B4" s="193"/>
      <c r="C4" s="193"/>
      <c r="D4" s="194" t="s">
        <v>562</v>
      </c>
      <c r="E4" s="195"/>
      <c r="F4" s="193"/>
      <c r="G4" s="196"/>
      <c r="H4" s="196"/>
      <c r="I4" s="196"/>
      <c r="J4" s="196"/>
      <c r="K4" s="196"/>
      <c r="L4" s="196"/>
    </row>
    <row r="5" spans="1:23" ht="20.100000000000001" customHeight="1" x14ac:dyDescent="0.25">
      <c r="B5" s="10"/>
      <c r="C5" s="115" t="s">
        <v>563</v>
      </c>
      <c r="D5" s="180" t="s">
        <v>35</v>
      </c>
      <c r="E5" s="11"/>
      <c r="F5" s="115" t="s">
        <v>564</v>
      </c>
      <c r="G5" s="11" t="str">
        <f>IFERROR(CONCATENATE(VLOOKUP(D5,TableCourses[],2,FALSE)," ",VLOOKUP(D5,TableCourses[],3,FALSE)),"")</f>
        <v>OM-EDUC v.2</v>
      </c>
      <c r="H5" s="11"/>
      <c r="I5" s="11"/>
      <c r="J5" s="11"/>
      <c r="K5" s="11"/>
      <c r="L5" s="12"/>
    </row>
    <row r="6" spans="1:23" ht="20.100000000000001" customHeight="1" x14ac:dyDescent="0.25">
      <c r="B6" s="10"/>
      <c r="C6" s="115" t="s">
        <v>580</v>
      </c>
      <c r="D6" s="107" t="s">
        <v>56</v>
      </c>
      <c r="E6" s="11"/>
      <c r="F6" s="115" t="s">
        <v>581</v>
      </c>
      <c r="G6" s="11" t="str">
        <f>IFERROR(CONCATENATE(VLOOKUP(D6,TableSpecialisationsOMEDUC[],2,FALSE)," ",VLOOKUP(D6,TableSpecialisationsOMEDUC[],3,FALSE)),"")</f>
        <v/>
      </c>
      <c r="H6" s="11"/>
      <c r="I6" s="11"/>
      <c r="J6" s="11"/>
      <c r="K6" s="11"/>
      <c r="L6" s="188" t="e">
        <f>CONCATENATE(VLOOKUP(D6,TableSpecialisationsOMEDUC[],2,FALSE),VLOOKUP(D7,TableStudyPeriods[],2,FALSE))</f>
        <v>#N/A</v>
      </c>
    </row>
    <row r="7" spans="1:23" ht="20.100000000000001" customHeight="1" x14ac:dyDescent="0.25">
      <c r="A7" s="13"/>
      <c r="B7" s="14"/>
      <c r="C7" s="115" t="s">
        <v>567</v>
      </c>
      <c r="D7" s="108" t="s">
        <v>76</v>
      </c>
      <c r="E7" s="15"/>
      <c r="F7" s="115"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0" t="s">
        <v>82</v>
      </c>
      <c r="I9" s="211" t="s">
        <v>83</v>
      </c>
      <c r="J9" s="211" t="s">
        <v>84</v>
      </c>
      <c r="K9" s="211" t="s">
        <v>85</v>
      </c>
      <c r="L9" s="106" t="s">
        <v>573</v>
      </c>
      <c r="M9" s="17"/>
      <c r="N9" s="17"/>
      <c r="O9" s="17"/>
      <c r="P9" s="18"/>
      <c r="Q9" s="18"/>
      <c r="R9" s="18"/>
      <c r="S9" s="18"/>
      <c r="T9" s="18"/>
      <c r="U9" s="18"/>
      <c r="V9" s="18"/>
      <c r="W9" s="18"/>
    </row>
    <row r="10" spans="1:23" s="22" customFormat="1" ht="21" customHeight="1" x14ac:dyDescent="0.15">
      <c r="A10" s="55"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12" t="str">
        <f>IFERROR(VLOOKUP($A10,TableHandbook[],H$2,FALSE),"")</f>
        <v/>
      </c>
      <c r="I10" s="213" t="str">
        <f>IFERROR(VLOOKUP($A10,TableHandbook[],I$2,FALSE),"")</f>
        <v/>
      </c>
      <c r="J10" s="213" t="str">
        <f>IFERROR(VLOOKUP($A10,TableHandbook[],J$2,FALSE),"")</f>
        <v/>
      </c>
      <c r="K10" s="213" t="str">
        <f>IFERROR(VLOOKUP($A10,TableHandbook[],K$2,FALSE),"")</f>
        <v/>
      </c>
      <c r="L10" s="57"/>
      <c r="M10" s="138">
        <v>2</v>
      </c>
      <c r="N10" s="20"/>
      <c r="O10" s="20"/>
      <c r="P10" s="21"/>
      <c r="Q10" s="21"/>
      <c r="R10" s="21"/>
      <c r="S10" s="21"/>
      <c r="T10" s="21"/>
      <c r="U10" s="21"/>
      <c r="V10" s="21"/>
      <c r="W10" s="21"/>
    </row>
    <row r="11" spans="1:23" s="22" customFormat="1" ht="21" customHeight="1" x14ac:dyDescent="0.15">
      <c r="A11" s="55"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12" t="str">
        <f>IFERROR(VLOOKUP($A11,TableHandbook[],H$2,FALSE),"")</f>
        <v/>
      </c>
      <c r="I11" s="213" t="str">
        <f>IFERROR(VLOOKUP($A11,TableHandbook[],I$2,FALSE),"")</f>
        <v/>
      </c>
      <c r="J11" s="213" t="str">
        <f>IFERROR(VLOOKUP($A11,TableHandbook[],J$2,FALSE),"")</f>
        <v/>
      </c>
      <c r="K11" s="213" t="str">
        <f>IFERROR(VLOOKUP($A11,TableHandbook[],K$2,FALSE),"")</f>
        <v/>
      </c>
      <c r="L11" s="57"/>
      <c r="M11" s="138">
        <v>3</v>
      </c>
      <c r="N11" s="20"/>
      <c r="O11" s="20"/>
      <c r="P11" s="21"/>
      <c r="Q11" s="21"/>
      <c r="R11" s="21"/>
      <c r="S11" s="21"/>
      <c r="T11" s="21"/>
      <c r="U11" s="21"/>
      <c r="V11" s="21"/>
      <c r="W11" s="21"/>
    </row>
    <row r="12" spans="1:23" s="22" customFormat="1" ht="4.5" customHeight="1" x14ac:dyDescent="0.15">
      <c r="A12" s="173"/>
      <c r="B12" s="174"/>
      <c r="C12" s="174"/>
      <c r="D12" s="175"/>
      <c r="E12" s="174"/>
      <c r="F12" s="176"/>
      <c r="G12" s="174"/>
      <c r="H12" s="214"/>
      <c r="I12" s="215"/>
      <c r="J12" s="215"/>
      <c r="K12" s="215"/>
      <c r="L12" s="177"/>
      <c r="M12" s="138"/>
      <c r="N12" s="20"/>
      <c r="O12" s="20"/>
      <c r="P12" s="20"/>
      <c r="Q12" s="21"/>
      <c r="R12" s="21"/>
      <c r="S12" s="21"/>
      <c r="T12" s="21"/>
      <c r="U12" s="21"/>
      <c r="V12" s="21"/>
      <c r="W12" s="21"/>
    </row>
    <row r="13" spans="1:23" s="22" customFormat="1" ht="21" customHeight="1" x14ac:dyDescent="0.15">
      <c r="A13" s="55"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12" t="str">
        <f>IFERROR(VLOOKUP($A13,TableHandbook[],H$2,FALSE),"")</f>
        <v/>
      </c>
      <c r="I13" s="213" t="str">
        <f>IFERROR(VLOOKUP($A13,TableHandbook[],I$2,FALSE),"")</f>
        <v/>
      </c>
      <c r="J13" s="213" t="str">
        <f>IFERROR(VLOOKUP($A13,TableHandbook[],J$2,FALSE),"")</f>
        <v/>
      </c>
      <c r="K13" s="213" t="str">
        <f>IFERROR(VLOOKUP($A13,TableHandbook[],K$2,FALSE),"")</f>
        <v/>
      </c>
      <c r="L13" s="58"/>
      <c r="M13" s="138">
        <v>4</v>
      </c>
      <c r="N13" s="20"/>
      <c r="O13" s="20"/>
      <c r="P13" s="21"/>
      <c r="Q13" s="21"/>
      <c r="R13" s="21"/>
      <c r="S13" s="21"/>
      <c r="T13" s="21"/>
      <c r="U13" s="21"/>
      <c r="V13" s="21"/>
      <c r="W13" s="21"/>
    </row>
    <row r="14" spans="1:23" s="22" customFormat="1" ht="21" customHeight="1" x14ac:dyDescent="0.15">
      <c r="A14" s="55"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12" t="str">
        <f>IFERROR(VLOOKUP($A14,TableHandbook[],H$2,FALSE),"")</f>
        <v/>
      </c>
      <c r="I14" s="213" t="str">
        <f>IFERROR(VLOOKUP($A14,TableHandbook[],I$2,FALSE),"")</f>
        <v/>
      </c>
      <c r="J14" s="213" t="str">
        <f>IFERROR(VLOOKUP($A14,TableHandbook[],J$2,FALSE),"")</f>
        <v/>
      </c>
      <c r="K14" s="213" t="str">
        <f>IFERROR(VLOOKUP($A14,TableHandbook[],K$2,FALSE),"")</f>
        <v/>
      </c>
      <c r="L14" s="57"/>
      <c r="M14" s="138">
        <v>5</v>
      </c>
      <c r="N14" s="20"/>
      <c r="O14" s="20"/>
      <c r="P14" s="21"/>
      <c r="Q14" s="21"/>
      <c r="R14" s="21"/>
      <c r="S14" s="21"/>
      <c r="T14" s="21"/>
      <c r="U14" s="21"/>
      <c r="V14" s="21"/>
      <c r="W14" s="21"/>
    </row>
    <row r="15" spans="1:23" s="22" customFormat="1" ht="4.5" customHeight="1" x14ac:dyDescent="0.15">
      <c r="A15" s="173"/>
      <c r="B15" s="174"/>
      <c r="C15" s="174"/>
      <c r="D15" s="175"/>
      <c r="E15" s="174"/>
      <c r="F15" s="176"/>
      <c r="G15" s="174"/>
      <c r="H15" s="214"/>
      <c r="I15" s="215"/>
      <c r="J15" s="215"/>
      <c r="K15" s="215"/>
      <c r="L15" s="177"/>
      <c r="M15" s="138"/>
      <c r="N15" s="20"/>
      <c r="O15" s="20"/>
      <c r="P15" s="20"/>
      <c r="Q15" s="21"/>
      <c r="R15" s="21"/>
      <c r="S15" s="21"/>
      <c r="T15" s="21"/>
      <c r="U15" s="21"/>
      <c r="V15" s="21"/>
      <c r="W15" s="21"/>
    </row>
    <row r="16" spans="1:23" s="22" customFormat="1" ht="21" customHeight="1" x14ac:dyDescent="0.15">
      <c r="A16" s="55"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17" t="str">
        <f>IFERROR(VLOOKUP($A16,TableHandbook[],H$2,FALSE),"")</f>
        <v/>
      </c>
      <c r="I16" s="218" t="str">
        <f>IFERROR(VLOOKUP($A16,TableHandbook[],I$2,FALSE),"")</f>
        <v/>
      </c>
      <c r="J16" s="218" t="str">
        <f>IFERROR(VLOOKUP($A16,TableHandbook[],J$2,FALSE),"")</f>
        <v/>
      </c>
      <c r="K16" s="218" t="str">
        <f>IFERROR(VLOOKUP($A16,TableHandbook[],K$2,FALSE),"")</f>
        <v/>
      </c>
      <c r="L16" s="58"/>
      <c r="M16" s="138">
        <v>6</v>
      </c>
      <c r="N16" s="20"/>
      <c r="O16" s="20"/>
      <c r="P16" s="21"/>
      <c r="Q16" s="21"/>
      <c r="R16" s="21"/>
      <c r="S16" s="21"/>
      <c r="T16" s="21"/>
      <c r="U16" s="21"/>
      <c r="V16" s="21"/>
      <c r="W16" s="21"/>
    </row>
    <row r="17" spans="1:23" s="31" customFormat="1" ht="21" customHeight="1" x14ac:dyDescent="0.15">
      <c r="A17" s="55"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17" t="str">
        <f>IFERROR(VLOOKUP($A17,TableHandbook[],H$2,FALSE),"")</f>
        <v/>
      </c>
      <c r="I17" s="218" t="str">
        <f>IFERROR(VLOOKUP($A17,TableHandbook[],I$2,FALSE),"")</f>
        <v/>
      </c>
      <c r="J17" s="218" t="str">
        <f>IFERROR(VLOOKUP($A17,TableHandbook[],J$2,FALSE),"")</f>
        <v/>
      </c>
      <c r="K17" s="218" t="str">
        <f>IFERROR(VLOOKUP($A17,TableHandbook[],K$2,FALSE),"")</f>
        <v/>
      </c>
      <c r="L17" s="58"/>
      <c r="M17" s="138">
        <v>7</v>
      </c>
      <c r="N17" s="29"/>
      <c r="O17" s="29"/>
      <c r="P17" s="30"/>
      <c r="Q17" s="30"/>
      <c r="R17" s="30"/>
      <c r="S17" s="30"/>
      <c r="T17" s="30"/>
      <c r="U17" s="30"/>
      <c r="V17" s="30"/>
      <c r="W17" s="30"/>
    </row>
    <row r="18" spans="1:23" s="22" customFormat="1" ht="4.5" customHeight="1" x14ac:dyDescent="0.15">
      <c r="A18" s="173"/>
      <c r="B18" s="174"/>
      <c r="C18" s="174"/>
      <c r="D18" s="175"/>
      <c r="E18" s="174"/>
      <c r="F18" s="176"/>
      <c r="G18" s="174"/>
      <c r="H18" s="214"/>
      <c r="I18" s="215"/>
      <c r="J18" s="215"/>
      <c r="K18" s="215"/>
      <c r="L18" s="177"/>
      <c r="M18" s="138"/>
      <c r="N18" s="20"/>
      <c r="O18" s="20"/>
      <c r="P18" s="20"/>
      <c r="Q18" s="21"/>
      <c r="R18" s="21"/>
      <c r="S18" s="21"/>
      <c r="T18" s="21"/>
      <c r="U18" s="21"/>
      <c r="V18" s="21"/>
      <c r="W18" s="21"/>
    </row>
    <row r="19" spans="1:23" s="31" customFormat="1" ht="21" customHeight="1" x14ac:dyDescent="0.15">
      <c r="A19" s="55"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17" t="str">
        <f>IFERROR(VLOOKUP($A19,TableHandbook[],H$2,FALSE),"")</f>
        <v/>
      </c>
      <c r="I19" s="218" t="str">
        <f>IFERROR(VLOOKUP($A19,TableHandbook[],I$2,FALSE),"")</f>
        <v/>
      </c>
      <c r="J19" s="218" t="str">
        <f>IFERROR(VLOOKUP($A19,TableHandbook[],J$2,FALSE),"")</f>
        <v/>
      </c>
      <c r="K19" s="218" t="str">
        <f>IFERROR(VLOOKUP($A19,TableHandbook[],K$2,FALSE),"")</f>
        <v/>
      </c>
      <c r="L19" s="58"/>
      <c r="M19" s="138">
        <v>8</v>
      </c>
      <c r="N19" s="29"/>
      <c r="O19" s="29"/>
      <c r="P19" s="30"/>
      <c r="Q19" s="30"/>
      <c r="R19" s="30"/>
      <c r="S19" s="30"/>
      <c r="T19" s="30"/>
      <c r="U19" s="30"/>
      <c r="V19" s="30"/>
      <c r="W19" s="30"/>
    </row>
    <row r="20" spans="1:23" s="31" customFormat="1" ht="21" customHeight="1" x14ac:dyDescent="0.15">
      <c r="A20" s="55"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17" t="str">
        <f>IFERROR(VLOOKUP($A20,TableHandbook[],H$2,FALSE),"")</f>
        <v/>
      </c>
      <c r="I20" s="218" t="str">
        <f>IFERROR(VLOOKUP($A20,TableHandbook[],I$2,FALSE),"")</f>
        <v/>
      </c>
      <c r="J20" s="218" t="str">
        <f>IFERROR(VLOOKUP($A20,TableHandbook[],J$2,FALSE),"")</f>
        <v/>
      </c>
      <c r="K20" s="218" t="str">
        <f>IFERROR(VLOOKUP($A20,TableHandbook[],K$2,FALSE),"")</f>
        <v/>
      </c>
      <c r="L20" s="58"/>
      <c r="M20" s="138">
        <v>9</v>
      </c>
      <c r="N20" s="29"/>
      <c r="O20" s="29"/>
      <c r="P20" s="30"/>
      <c r="Q20" s="30"/>
      <c r="R20" s="30"/>
      <c r="S20" s="30"/>
      <c r="T20" s="30"/>
      <c r="U20" s="30"/>
      <c r="V20" s="30"/>
      <c r="W20" s="30"/>
    </row>
    <row r="21" spans="1:23" s="22" customFormat="1" ht="15" customHeight="1" x14ac:dyDescent="0.15">
      <c r="A21" s="146"/>
      <c r="B21" s="147"/>
      <c r="C21" s="147"/>
      <c r="D21" s="148"/>
      <c r="E21" s="147"/>
      <c r="F21" s="149"/>
      <c r="G21" s="146"/>
      <c r="H21" s="146"/>
      <c r="I21" s="146"/>
      <c r="J21" s="146"/>
      <c r="K21" s="146"/>
      <c r="L21" s="150"/>
      <c r="M21" s="138"/>
      <c r="N21" s="20"/>
      <c r="O21" s="20"/>
      <c r="P21" s="21"/>
      <c r="Q21" s="21"/>
      <c r="R21" s="21"/>
      <c r="S21" s="21"/>
      <c r="T21" s="21"/>
      <c r="U21" s="21"/>
      <c r="V21" s="21"/>
      <c r="W21" s="21"/>
    </row>
    <row r="22" spans="1:23" s="42" customFormat="1" ht="17.25" x14ac:dyDescent="0.25">
      <c r="A22" s="166" t="s">
        <v>582</v>
      </c>
      <c r="B22" s="90"/>
      <c r="C22" s="90"/>
      <c r="D22" s="91"/>
      <c r="E22" s="92"/>
      <c r="F22" s="92"/>
      <c r="G22" s="92"/>
      <c r="H22" s="93" t="str">
        <f>H8</f>
        <v>2026 Availabilities</v>
      </c>
      <c r="I22" s="94"/>
      <c r="J22" s="95"/>
      <c r="K22" s="96"/>
      <c r="L22" s="97"/>
      <c r="M22" s="160"/>
      <c r="N22" s="41"/>
      <c r="O22" s="41"/>
      <c r="P22" s="41"/>
      <c r="Q22" s="41"/>
      <c r="R22" s="41"/>
      <c r="S22" s="41"/>
      <c r="T22" s="41"/>
      <c r="U22" s="41"/>
      <c r="V22" s="41"/>
      <c r="W22" s="41"/>
    </row>
    <row r="23" spans="1:23" ht="21" customHeight="1" x14ac:dyDescent="0.25">
      <c r="A23" s="100"/>
      <c r="B23" s="100"/>
      <c r="C23" s="114" t="s">
        <v>362</v>
      </c>
      <c r="D23" s="101" t="s">
        <v>363</v>
      </c>
      <c r="E23" s="114"/>
      <c r="F23" s="100" t="s">
        <v>571</v>
      </c>
      <c r="G23" s="100" t="s">
        <v>572</v>
      </c>
      <c r="H23" s="210" t="str">
        <f>H9</f>
        <v>SP1</v>
      </c>
      <c r="I23" s="211" t="str">
        <f t="shared" ref="I23:L23" si="0">I9</f>
        <v>SP2</v>
      </c>
      <c r="J23" s="211" t="str">
        <f t="shared" si="0"/>
        <v>SP3</v>
      </c>
      <c r="K23" s="216" t="str">
        <f t="shared" si="0"/>
        <v>SP4</v>
      </c>
      <c r="L23" s="106" t="str">
        <f t="shared" si="0"/>
        <v>Notes / Progress</v>
      </c>
      <c r="M23" s="138"/>
      <c r="N23" s="16"/>
      <c r="O23" s="16"/>
      <c r="P23" s="16"/>
      <c r="Q23" s="16"/>
      <c r="R23" s="16"/>
      <c r="S23" s="16"/>
      <c r="T23" s="16"/>
      <c r="U23" s="16"/>
      <c r="V23" s="16"/>
      <c r="W23" s="16"/>
    </row>
    <row r="24" spans="1:23" x14ac:dyDescent="0.25">
      <c r="A24" s="145" t="str">
        <f t="shared" ref="A24:A32" si="1">IFERROR(IF(HLOOKUP($L$6,RangeUnitsetsOMEDUC,M24,FALSE)=0,"",HLOOKUP($L$6,RangeUnitsetsOMEDUC,M24,FALSE)),"")</f>
        <v/>
      </c>
      <c r="B24" s="179" t="str">
        <f>IFERROR(IF(VLOOKUP($A24,TableHandbook[],2,FALSE)=0,"",VLOOKUP($A24,TableHandbook[],2,FALSE)),"")</f>
        <v/>
      </c>
      <c r="C24" s="179"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17" t="str">
        <f>IFERROR(VLOOKUP($A24,TableHandbook[],H$2,FALSE),"")</f>
        <v/>
      </c>
      <c r="I24" s="218" t="str">
        <f>IFERROR(VLOOKUP($A24,TableHandbook[],I$2,FALSE),"")</f>
        <v/>
      </c>
      <c r="J24" s="218" t="str">
        <f>IFERROR(VLOOKUP($A24,TableHandbook[],J$2,FALSE),"")</f>
        <v/>
      </c>
      <c r="K24" s="219" t="str">
        <f>IFERROR(VLOOKUP($A24,TableHandbook[],K$2,FALSE),"")</f>
        <v/>
      </c>
      <c r="L24" s="51"/>
      <c r="M24" s="138">
        <v>10</v>
      </c>
      <c r="N24" s="16"/>
      <c r="O24" s="16"/>
      <c r="P24" s="16"/>
      <c r="Q24" s="16"/>
      <c r="R24" s="16"/>
      <c r="S24" s="16"/>
      <c r="T24" s="16"/>
      <c r="U24" s="16"/>
      <c r="V24" s="16"/>
      <c r="W24" s="16"/>
    </row>
    <row r="25" spans="1:23" x14ac:dyDescent="0.25">
      <c r="A25" s="145" t="str">
        <f t="shared" si="1"/>
        <v/>
      </c>
      <c r="B25" s="179" t="str">
        <f>IFERROR(IF(VLOOKUP($A25,TableHandbook[],2,FALSE)=0,"",VLOOKUP($A25,TableHandbook[],2,FALSE)),"")</f>
        <v/>
      </c>
      <c r="C25" s="179"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12" t="str">
        <f>IFERROR(VLOOKUP($A25,TableHandbook[],H$2,FALSE),"")</f>
        <v/>
      </c>
      <c r="I25" s="213" t="str">
        <f>IFERROR(VLOOKUP($A25,TableHandbook[],I$2,FALSE),"")</f>
        <v/>
      </c>
      <c r="J25" s="213" t="str">
        <f>IFERROR(VLOOKUP($A25,TableHandbook[],J$2,FALSE),"")</f>
        <v/>
      </c>
      <c r="K25" s="220" t="str">
        <f>IFERROR(VLOOKUP($A25,TableHandbook[],K$2,FALSE),"")</f>
        <v/>
      </c>
      <c r="L25" s="51"/>
      <c r="M25" s="138">
        <v>11</v>
      </c>
      <c r="N25" s="16"/>
      <c r="O25" s="16"/>
      <c r="P25" s="16"/>
      <c r="Q25" s="16"/>
      <c r="R25" s="16"/>
      <c r="S25" s="16"/>
      <c r="T25" s="16"/>
      <c r="U25" s="16"/>
      <c r="V25" s="16"/>
      <c r="W25" s="16"/>
    </row>
    <row r="26" spans="1:23" x14ac:dyDescent="0.25">
      <c r="A26" s="145" t="str">
        <f t="shared" si="1"/>
        <v/>
      </c>
      <c r="B26" s="179" t="str">
        <f>IFERROR(IF(VLOOKUP($A26,TableHandbook[],2,FALSE)=0,"",VLOOKUP($A26,TableHandbook[],2,FALSE)),"")</f>
        <v/>
      </c>
      <c r="C26" s="179"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12" t="str">
        <f>IFERROR(VLOOKUP($A26,TableHandbook[],H$2,FALSE),"")</f>
        <v/>
      </c>
      <c r="I26" s="213" t="str">
        <f>IFERROR(VLOOKUP($A26,TableHandbook[],I$2,FALSE),"")</f>
        <v/>
      </c>
      <c r="J26" s="213" t="str">
        <f>IFERROR(VLOOKUP($A26,TableHandbook[],J$2,FALSE),"")</f>
        <v/>
      </c>
      <c r="K26" s="220" t="str">
        <f>IFERROR(VLOOKUP($A26,TableHandbook[],K$2,FALSE),"")</f>
        <v/>
      </c>
      <c r="L26" s="51"/>
      <c r="M26" s="138">
        <v>12</v>
      </c>
      <c r="N26" s="16"/>
      <c r="O26" s="16"/>
      <c r="P26" s="16"/>
      <c r="Q26" s="16"/>
      <c r="R26" s="16"/>
      <c r="S26" s="16"/>
      <c r="T26" s="16"/>
      <c r="U26" s="16"/>
      <c r="V26" s="16"/>
      <c r="W26" s="16"/>
    </row>
    <row r="27" spans="1:23" x14ac:dyDescent="0.25">
      <c r="A27" s="145" t="str">
        <f t="shared" si="1"/>
        <v/>
      </c>
      <c r="B27" s="179" t="str">
        <f>IFERROR(IF(VLOOKUP($A27,TableHandbook[],2,FALSE)=0,"",VLOOKUP($A27,TableHandbook[],2,FALSE)),"")</f>
        <v/>
      </c>
      <c r="C27" s="179"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12" t="str">
        <f>IFERROR(VLOOKUP($A27,TableHandbook[],H$2,FALSE),"")</f>
        <v/>
      </c>
      <c r="I27" s="213" t="str">
        <f>IFERROR(VLOOKUP($A27,TableHandbook[],I$2,FALSE),"")</f>
        <v/>
      </c>
      <c r="J27" s="213" t="str">
        <f>IFERROR(VLOOKUP($A27,TableHandbook[],J$2,FALSE),"")</f>
        <v/>
      </c>
      <c r="K27" s="220" t="str">
        <f>IFERROR(VLOOKUP($A27,TableHandbook[],K$2,FALSE),"")</f>
        <v/>
      </c>
      <c r="L27" s="51"/>
      <c r="M27" s="138">
        <v>13</v>
      </c>
      <c r="N27" s="16"/>
      <c r="O27" s="16"/>
      <c r="P27" s="16"/>
      <c r="Q27" s="16"/>
      <c r="R27" s="16"/>
      <c r="S27" s="16"/>
      <c r="T27" s="16"/>
      <c r="U27" s="16"/>
      <c r="V27" s="16"/>
      <c r="W27" s="16"/>
    </row>
    <row r="28" spans="1:23" x14ac:dyDescent="0.25">
      <c r="A28" s="145" t="str">
        <f t="shared" si="1"/>
        <v/>
      </c>
      <c r="B28" s="179" t="str">
        <f>IFERROR(IF(VLOOKUP($A28,TableHandbook[],2,FALSE)=0,"",VLOOKUP($A28,TableHandbook[],2,FALSE)),"")</f>
        <v/>
      </c>
      <c r="C28" s="179"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17" t="str">
        <f>IFERROR(VLOOKUP($A28,TableHandbook[],H$2,FALSE),"")</f>
        <v/>
      </c>
      <c r="I28" s="218" t="str">
        <f>IFERROR(VLOOKUP($A28,TableHandbook[],I$2,FALSE),"")</f>
        <v/>
      </c>
      <c r="J28" s="218" t="str">
        <f>IFERROR(VLOOKUP($A28,TableHandbook[],J$2,FALSE),"")</f>
        <v/>
      </c>
      <c r="K28" s="219" t="str">
        <f>IFERROR(VLOOKUP($A28,TableHandbook[],K$2,FALSE),"")</f>
        <v/>
      </c>
      <c r="L28" s="51"/>
      <c r="M28" s="138">
        <v>14</v>
      </c>
      <c r="N28" s="16"/>
      <c r="O28" s="16"/>
      <c r="P28" s="16"/>
      <c r="Q28" s="16"/>
      <c r="R28" s="16"/>
      <c r="S28" s="16"/>
      <c r="T28" s="16"/>
      <c r="U28" s="16"/>
      <c r="V28" s="16"/>
      <c r="W28" s="16"/>
    </row>
    <row r="29" spans="1:23" x14ac:dyDescent="0.25">
      <c r="A29" s="145" t="str">
        <f t="shared" si="1"/>
        <v/>
      </c>
      <c r="B29" s="179" t="str">
        <f>IFERROR(IF(VLOOKUP($A29,TableHandbook[],2,FALSE)=0,"",VLOOKUP($A29,TableHandbook[],2,FALSE)),"")</f>
        <v/>
      </c>
      <c r="C29" s="179"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17" t="str">
        <f>IFERROR(VLOOKUP($A29,TableHandbook[],H$2,FALSE),"")</f>
        <v/>
      </c>
      <c r="I29" s="218" t="str">
        <f>IFERROR(VLOOKUP($A29,TableHandbook[],I$2,FALSE),"")</f>
        <v/>
      </c>
      <c r="J29" s="218" t="str">
        <f>IFERROR(VLOOKUP($A29,TableHandbook[],J$2,FALSE),"")</f>
        <v/>
      </c>
      <c r="K29" s="219" t="str">
        <f>IFERROR(VLOOKUP($A29,TableHandbook[],K$2,FALSE),"")</f>
        <v/>
      </c>
      <c r="L29" s="51"/>
      <c r="M29" s="138">
        <v>15</v>
      </c>
      <c r="N29" s="16"/>
      <c r="O29" s="16"/>
      <c r="P29" s="16"/>
      <c r="Q29" s="16"/>
      <c r="R29" s="16"/>
      <c r="S29" s="16"/>
      <c r="T29" s="16"/>
      <c r="U29" s="16"/>
      <c r="V29" s="16"/>
      <c r="W29" s="16"/>
    </row>
    <row r="30" spans="1:23" x14ac:dyDescent="0.25">
      <c r="A30" s="145" t="str">
        <f t="shared" si="1"/>
        <v/>
      </c>
      <c r="B30" s="179" t="str">
        <f>IFERROR(IF(VLOOKUP($A30,TableHandbook[],2,FALSE)=0,"",VLOOKUP($A30,TableHandbook[],2,FALSE)),"")</f>
        <v/>
      </c>
      <c r="C30" s="179"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17" t="str">
        <f>IFERROR(VLOOKUP($A30,TableHandbook[],H$2,FALSE),"")</f>
        <v/>
      </c>
      <c r="I30" s="218" t="str">
        <f>IFERROR(VLOOKUP($A30,TableHandbook[],I$2,FALSE),"")</f>
        <v/>
      </c>
      <c r="J30" s="218" t="str">
        <f>IFERROR(VLOOKUP($A30,TableHandbook[],J$2,FALSE),"")</f>
        <v/>
      </c>
      <c r="K30" s="219" t="str">
        <f>IFERROR(VLOOKUP($A30,TableHandbook[],K$2,FALSE),"")</f>
        <v/>
      </c>
      <c r="L30" s="51"/>
      <c r="M30" s="138">
        <v>16</v>
      </c>
      <c r="N30" s="16"/>
      <c r="O30" s="16"/>
      <c r="P30" s="16"/>
      <c r="Q30" s="16"/>
      <c r="R30" s="16"/>
      <c r="S30" s="16"/>
      <c r="T30" s="16"/>
      <c r="U30" s="16"/>
      <c r="V30" s="16"/>
      <c r="W30" s="16"/>
    </row>
    <row r="31" spans="1:23" x14ac:dyDescent="0.25">
      <c r="A31" s="145" t="str">
        <f t="shared" si="1"/>
        <v/>
      </c>
      <c r="B31" s="179" t="str">
        <f>IFERROR(IF(VLOOKUP($A31,TableHandbook[],2,FALSE)=0,"",VLOOKUP($A31,TableHandbook[],2,FALSE)),"")</f>
        <v/>
      </c>
      <c r="C31" s="179"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12" t="str">
        <f>IFERROR(VLOOKUP($A31,TableHandbook[],H$2,FALSE),"")</f>
        <v/>
      </c>
      <c r="I31" s="213" t="str">
        <f>IFERROR(VLOOKUP($A31,TableHandbook[],I$2,FALSE),"")</f>
        <v/>
      </c>
      <c r="J31" s="213" t="str">
        <f>IFERROR(VLOOKUP($A31,TableHandbook[],J$2,FALSE),"")</f>
        <v/>
      </c>
      <c r="K31" s="220" t="str">
        <f>IFERROR(VLOOKUP($A31,TableHandbook[],K$2,FALSE),"")</f>
        <v/>
      </c>
      <c r="L31" s="51"/>
      <c r="M31" s="138">
        <v>17</v>
      </c>
      <c r="N31" s="16"/>
      <c r="O31" s="16"/>
      <c r="P31" s="16"/>
      <c r="Q31" s="16"/>
      <c r="R31" s="16"/>
      <c r="S31" s="16"/>
      <c r="T31" s="16"/>
      <c r="U31" s="16"/>
      <c r="V31" s="16"/>
      <c r="W31" s="16"/>
    </row>
    <row r="32" spans="1:23" x14ac:dyDescent="0.25">
      <c r="A32" s="145" t="str">
        <f t="shared" si="1"/>
        <v/>
      </c>
      <c r="B32" s="179" t="str">
        <f>IFERROR(IF(VLOOKUP($A32,TableHandbook[],2,FALSE)=0,"",VLOOKUP($A32,TableHandbook[],2,FALSE)),"")</f>
        <v/>
      </c>
      <c r="C32" s="179"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12" t="str">
        <f>IFERROR(VLOOKUP($A32,TableHandbook[],H$2,FALSE),"")</f>
        <v/>
      </c>
      <c r="I32" s="213" t="str">
        <f>IFERROR(VLOOKUP($A32,TableHandbook[],I$2,FALSE),"")</f>
        <v/>
      </c>
      <c r="J32" s="213" t="str">
        <f>IFERROR(VLOOKUP($A32,TableHandbook[],J$2,FALSE),"")</f>
        <v/>
      </c>
      <c r="K32" s="220" t="str">
        <f>IFERROR(VLOOKUP($A32,TableHandbook[],K$2,FALSE),"")</f>
        <v/>
      </c>
      <c r="L32" s="51"/>
      <c r="M32" s="138">
        <v>18</v>
      </c>
      <c r="N32" s="16"/>
      <c r="O32" s="16"/>
      <c r="P32" s="16"/>
      <c r="Q32" s="16"/>
      <c r="R32" s="16"/>
      <c r="S32" s="16"/>
      <c r="T32" s="16"/>
      <c r="U32" s="16"/>
      <c r="V32" s="16"/>
      <c r="W32" s="16"/>
    </row>
    <row r="33" spans="1:23" ht="15" customHeight="1" x14ac:dyDescent="0.25">
      <c r="A33" s="161"/>
      <c r="B33" s="162"/>
      <c r="C33" s="163"/>
      <c r="D33" s="163"/>
      <c r="E33" s="164"/>
      <c r="F33" s="165"/>
      <c r="G33" s="165"/>
      <c r="H33" s="146"/>
      <c r="I33" s="146"/>
      <c r="J33" s="146"/>
      <c r="K33" s="146"/>
      <c r="L33" s="147"/>
      <c r="M33" s="138"/>
      <c r="N33" s="16"/>
      <c r="O33" s="16"/>
      <c r="P33" s="16"/>
      <c r="Q33" s="16"/>
      <c r="R33" s="16"/>
      <c r="S33" s="16"/>
      <c r="T33" s="16"/>
      <c r="U33" s="16"/>
      <c r="V33" s="16"/>
      <c r="W33" s="16"/>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A24:L32">
    <cfRule type="expression" dxfId="25" priority="2">
      <formula>$A24=""</formula>
    </cfRule>
  </conditionalFormatting>
  <conditionalFormatting sqref="D5:D7">
    <cfRule type="containsText" dxfId="24" priority="3" operator="containsText" text="Choose">
      <formula>NOT(ISERROR(SEARCH("Choose",D5)))</formula>
    </cfRule>
  </conditionalFormatting>
  <conditionalFormatting sqref="H10:K20">
    <cfRule type="expression" dxfId="23"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CourseDetails!$A$30:$A$34</xm:f>
          </x14:formula1>
          <xm:sqref>D6</xm:sqref>
        </x14:dataValidation>
        <x14:dataValidation type="list" allowBlank="1" showInputMessage="1" showErrorMessage="1" xr:uid="{00000000-0002-0000-0200-000002000000}">
          <x14:formula1>
            <xm:f>CourseDetails!$A$44:$A$48</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0"/>
      <c r="B2" s="140">
        <v>2</v>
      </c>
      <c r="C2" s="140">
        <v>3</v>
      </c>
      <c r="D2" s="140">
        <v>4</v>
      </c>
      <c r="E2" s="140"/>
      <c r="F2" s="140">
        <v>6</v>
      </c>
      <c r="G2" s="140">
        <v>5</v>
      </c>
      <c r="H2" s="140">
        <v>7</v>
      </c>
      <c r="I2" s="140">
        <v>8</v>
      </c>
      <c r="J2" s="140">
        <v>9</v>
      </c>
      <c r="K2" s="140">
        <v>10</v>
      </c>
      <c r="L2" s="167"/>
    </row>
    <row r="3" spans="1:23" ht="39.950000000000003" customHeight="1" x14ac:dyDescent="0.25">
      <c r="A3" s="266" t="s">
        <v>561</v>
      </c>
      <c r="B3" s="266"/>
      <c r="C3" s="266"/>
      <c r="D3" s="266"/>
      <c r="E3" s="89"/>
      <c r="F3" s="89"/>
      <c r="G3" s="89"/>
      <c r="H3" s="89"/>
      <c r="I3" s="89"/>
      <c r="J3" s="89"/>
      <c r="K3" s="89"/>
      <c r="L3" s="89"/>
    </row>
    <row r="4" spans="1:23" ht="25.5" x14ac:dyDescent="0.25">
      <c r="A4" s="192"/>
      <c r="B4" s="193"/>
      <c r="C4" s="193"/>
      <c r="D4" s="194" t="s">
        <v>562</v>
      </c>
      <c r="E4" s="195"/>
      <c r="F4" s="193"/>
      <c r="G4" s="196"/>
      <c r="H4" s="196"/>
      <c r="I4" s="196"/>
      <c r="J4" s="196"/>
      <c r="K4" s="196"/>
      <c r="L4" s="196"/>
    </row>
    <row r="5" spans="1:23" ht="20.100000000000001" customHeight="1" x14ac:dyDescent="0.25">
      <c r="B5" s="10"/>
      <c r="C5" s="115" t="s">
        <v>563</v>
      </c>
      <c r="D5" s="180" t="s">
        <v>33</v>
      </c>
      <c r="E5" s="11"/>
      <c r="F5" s="115" t="s">
        <v>564</v>
      </c>
      <c r="G5" s="11" t="str">
        <f>IFERROR(CONCATENATE(VLOOKUP(D5,TableCourses[],2,FALSE)," ",VLOOKUP(D5,TableCourses[],3,FALSE)),"")</f>
        <v>OM-APLING v.1</v>
      </c>
      <c r="H5" s="11"/>
      <c r="I5" s="11"/>
      <c r="J5" s="11"/>
      <c r="K5" s="11"/>
      <c r="L5" s="188"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200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0" t="s">
        <v>82</v>
      </c>
      <c r="I8" s="211" t="s">
        <v>83</v>
      </c>
      <c r="J8" s="211" t="s">
        <v>84</v>
      </c>
      <c r="K8" s="211"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12" t="str">
        <f>IFERROR(VLOOKUP($A9,TableHandbook[],H$2,FALSE),"")</f>
        <v/>
      </c>
      <c r="I9" s="213" t="str">
        <f>IFERROR(VLOOKUP($A9,TableHandbook[],I$2,FALSE),"")</f>
        <v/>
      </c>
      <c r="J9" s="213" t="str">
        <f>IFERROR(VLOOKUP($A9,TableHandbook[],J$2,FALSE),"")</f>
        <v/>
      </c>
      <c r="K9" s="213" t="str">
        <f>IFERROR(VLOOKUP($A9,TableHandbook[],K$2,FALSE),"")</f>
        <v/>
      </c>
      <c r="L9" s="57"/>
      <c r="M9" s="138">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12" t="str">
        <f>IFERROR(VLOOKUP($A10,TableHandbook[],H$2,FALSE),"")</f>
        <v/>
      </c>
      <c r="I10" s="213" t="str">
        <f>IFERROR(VLOOKUP($A10,TableHandbook[],I$2,FALSE),"")</f>
        <v/>
      </c>
      <c r="J10" s="213" t="str">
        <f>IFERROR(VLOOKUP($A10,TableHandbook[],J$2,FALSE),"")</f>
        <v/>
      </c>
      <c r="K10" s="213" t="str">
        <f>IFERROR(VLOOKUP($A10,TableHandbook[],K$2,FALSE),"")</f>
        <v/>
      </c>
      <c r="L10" s="57"/>
      <c r="M10" s="138">
        <v>3</v>
      </c>
      <c r="N10" s="20"/>
      <c r="O10" s="20"/>
      <c r="P10" s="21"/>
      <c r="Q10" s="21"/>
      <c r="R10" s="21"/>
      <c r="S10" s="21"/>
      <c r="T10" s="21"/>
      <c r="U10" s="21"/>
      <c r="V10" s="21"/>
      <c r="W10" s="21"/>
    </row>
    <row r="11" spans="1:23" s="22" customFormat="1" ht="4.5" customHeight="1" x14ac:dyDescent="0.15">
      <c r="A11" s="173"/>
      <c r="B11" s="174"/>
      <c r="C11" s="174"/>
      <c r="D11" s="175"/>
      <c r="E11" s="174"/>
      <c r="F11" s="176"/>
      <c r="G11" s="174"/>
      <c r="H11" s="214"/>
      <c r="I11" s="215"/>
      <c r="J11" s="215"/>
      <c r="K11" s="215"/>
      <c r="L11" s="177"/>
      <c r="M11" s="138"/>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12" t="str">
        <f>IFERROR(VLOOKUP($A12,TableHandbook[],H$2,FALSE),"")</f>
        <v/>
      </c>
      <c r="I12" s="213" t="str">
        <f>IFERROR(VLOOKUP($A12,TableHandbook[],I$2,FALSE),"")</f>
        <v/>
      </c>
      <c r="J12" s="213" t="str">
        <f>IFERROR(VLOOKUP($A12,TableHandbook[],J$2,FALSE),"")</f>
        <v/>
      </c>
      <c r="K12" s="213" t="str">
        <f>IFERROR(VLOOKUP($A12,TableHandbook[],K$2,FALSE),"")</f>
        <v/>
      </c>
      <c r="L12" s="58"/>
      <c r="M12" s="138">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12" t="str">
        <f>IFERROR(VLOOKUP($A13,TableHandbook[],H$2,FALSE),"")</f>
        <v/>
      </c>
      <c r="I13" s="213" t="str">
        <f>IFERROR(VLOOKUP($A13,TableHandbook[],I$2,FALSE),"")</f>
        <v/>
      </c>
      <c r="J13" s="213" t="str">
        <f>IFERROR(VLOOKUP($A13,TableHandbook[],J$2,FALSE),"")</f>
        <v/>
      </c>
      <c r="K13" s="213" t="str">
        <f>IFERROR(VLOOKUP($A13,TableHandbook[],K$2,FALSE),"")</f>
        <v/>
      </c>
      <c r="L13" s="57"/>
      <c r="M13" s="138">
        <v>5</v>
      </c>
      <c r="N13" s="20"/>
      <c r="O13" s="20"/>
      <c r="P13" s="21"/>
      <c r="Q13" s="21"/>
      <c r="R13" s="21"/>
      <c r="S13" s="21"/>
      <c r="T13" s="21"/>
      <c r="U13" s="21"/>
      <c r="V13" s="21"/>
      <c r="W13" s="21"/>
    </row>
    <row r="14" spans="1:23" s="22" customFormat="1" ht="4.5" customHeight="1" x14ac:dyDescent="0.15">
      <c r="A14" s="173"/>
      <c r="B14" s="174"/>
      <c r="C14" s="174"/>
      <c r="D14" s="175"/>
      <c r="E14" s="174"/>
      <c r="F14" s="176"/>
      <c r="G14" s="174"/>
      <c r="H14" s="214"/>
      <c r="I14" s="215"/>
      <c r="J14" s="215"/>
      <c r="K14" s="215"/>
      <c r="L14" s="177"/>
      <c r="M14" s="138"/>
      <c r="N14" s="20"/>
      <c r="O14" s="20"/>
      <c r="P14" s="20"/>
      <c r="Q14" s="21"/>
      <c r="R14" s="21"/>
      <c r="S14" s="21"/>
      <c r="T14" s="21"/>
      <c r="U14" s="21"/>
      <c r="V14" s="21"/>
      <c r="W14" s="21"/>
    </row>
    <row r="15" spans="1:23" s="22" customFormat="1" ht="21" customHeight="1" x14ac:dyDescent="0.15">
      <c r="A15" s="55"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6"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17" t="str">
        <f>IFERROR(VLOOKUP($A15,TableHandbook[],H$2,FALSE),"")</f>
        <v/>
      </c>
      <c r="I15" s="218" t="str">
        <f>IFERROR(VLOOKUP($A15,TableHandbook[],I$2,FALSE),"")</f>
        <v/>
      </c>
      <c r="J15" s="218" t="str">
        <f>IFERROR(VLOOKUP($A15,TableHandbook[],J$2,FALSE),"")</f>
        <v/>
      </c>
      <c r="K15" s="218" t="str">
        <f>IFERROR(VLOOKUP($A15,TableHandbook[],K$2,FALSE),"")</f>
        <v/>
      </c>
      <c r="L15" s="58"/>
      <c r="M15" s="138">
        <v>6</v>
      </c>
      <c r="N15" s="20"/>
      <c r="O15" s="20"/>
      <c r="P15" s="21"/>
      <c r="Q15" s="21"/>
      <c r="R15" s="21"/>
      <c r="S15" s="21"/>
      <c r="T15" s="21"/>
      <c r="U15" s="21"/>
      <c r="V15" s="21"/>
      <c r="W15" s="21"/>
    </row>
    <row r="16" spans="1:23" s="31" customFormat="1" ht="21" customHeight="1" x14ac:dyDescent="0.15">
      <c r="A16" s="55"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17" t="str">
        <f>IFERROR(VLOOKUP($A16,TableHandbook[],H$2,FALSE),"")</f>
        <v/>
      </c>
      <c r="I16" s="218" t="str">
        <f>IFERROR(VLOOKUP($A16,TableHandbook[],I$2,FALSE),"")</f>
        <v/>
      </c>
      <c r="J16" s="218" t="str">
        <f>IFERROR(VLOOKUP($A16,TableHandbook[],J$2,FALSE),"")</f>
        <v/>
      </c>
      <c r="K16" s="218" t="str">
        <f>IFERROR(VLOOKUP($A16,TableHandbook[],K$2,FALSE),"")</f>
        <v/>
      </c>
      <c r="L16" s="58"/>
      <c r="M16" s="138">
        <v>7</v>
      </c>
      <c r="N16" s="29"/>
      <c r="O16" s="29"/>
      <c r="P16" s="30"/>
      <c r="Q16" s="30"/>
      <c r="R16" s="30"/>
      <c r="S16" s="30"/>
      <c r="T16" s="30"/>
      <c r="U16" s="30"/>
      <c r="V16" s="30"/>
      <c r="W16" s="30"/>
    </row>
    <row r="17" spans="1:23" s="22" customFormat="1" ht="4.5" customHeight="1" x14ac:dyDescent="0.15">
      <c r="A17" s="173"/>
      <c r="B17" s="174"/>
      <c r="C17" s="174"/>
      <c r="D17" s="175"/>
      <c r="E17" s="174"/>
      <c r="F17" s="176"/>
      <c r="G17" s="174"/>
      <c r="H17" s="214"/>
      <c r="I17" s="215"/>
      <c r="J17" s="215"/>
      <c r="K17" s="215"/>
      <c r="L17" s="177"/>
      <c r="M17" s="138"/>
      <c r="N17" s="20"/>
      <c r="O17" s="20"/>
      <c r="P17" s="20"/>
      <c r="Q17" s="21"/>
      <c r="R17" s="21"/>
      <c r="S17" s="21"/>
      <c r="T17" s="21"/>
      <c r="U17" s="21"/>
      <c r="V17" s="21"/>
      <c r="W17" s="21"/>
    </row>
    <row r="18" spans="1:23" s="31" customFormat="1" ht="21" customHeight="1" x14ac:dyDescent="0.15">
      <c r="A18" s="55"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17" t="str">
        <f>IFERROR(VLOOKUP($A18,TableHandbook[],H$2,FALSE),"")</f>
        <v/>
      </c>
      <c r="I18" s="218" t="str">
        <f>IFERROR(VLOOKUP($A18,TableHandbook[],I$2,FALSE),"")</f>
        <v/>
      </c>
      <c r="J18" s="218" t="str">
        <f>IFERROR(VLOOKUP($A18,TableHandbook[],J$2,FALSE),"")</f>
        <v/>
      </c>
      <c r="K18" s="218" t="str">
        <f>IFERROR(VLOOKUP($A18,TableHandbook[],K$2,FALSE),"")</f>
        <v/>
      </c>
      <c r="L18" s="58"/>
      <c r="M18" s="138">
        <v>8</v>
      </c>
      <c r="N18" s="29"/>
      <c r="O18" s="29"/>
      <c r="P18" s="30"/>
      <c r="Q18" s="30"/>
      <c r="R18" s="30"/>
      <c r="S18" s="30"/>
      <c r="T18" s="30"/>
      <c r="U18" s="30"/>
      <c r="V18" s="30"/>
      <c r="W18" s="30"/>
    </row>
    <row r="19" spans="1:23" s="31" customFormat="1" ht="21" customHeight="1" x14ac:dyDescent="0.15">
      <c r="A19" s="55"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4"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17" t="str">
        <f>IFERROR(VLOOKUP($A19,TableHandbook[],H$2,FALSE),"")</f>
        <v/>
      </c>
      <c r="I19" s="218" t="str">
        <f>IFERROR(VLOOKUP($A19,TableHandbook[],I$2,FALSE),"")</f>
        <v/>
      </c>
      <c r="J19" s="218" t="str">
        <f>IFERROR(VLOOKUP($A19,TableHandbook[],J$2,FALSE),"")</f>
        <v/>
      </c>
      <c r="K19" s="218" t="str">
        <f>IFERROR(VLOOKUP($A19,TableHandbook[],K$2,FALSE),"")</f>
        <v/>
      </c>
      <c r="L19" s="58"/>
      <c r="M19" s="138">
        <v>9</v>
      </c>
      <c r="N19" s="29"/>
      <c r="O19" s="29"/>
      <c r="P19" s="30"/>
      <c r="Q19" s="30"/>
      <c r="R19" s="30"/>
      <c r="S19" s="30"/>
      <c r="T19" s="30"/>
      <c r="U19" s="30"/>
      <c r="V19" s="30"/>
      <c r="W19" s="30"/>
    </row>
    <row r="20" spans="1:23" ht="15" customHeight="1" x14ac:dyDescent="0.25">
      <c r="A20" s="161"/>
      <c r="B20" s="162"/>
      <c r="C20" s="163"/>
      <c r="D20" s="163"/>
      <c r="E20" s="164"/>
      <c r="F20" s="165"/>
      <c r="G20" s="165"/>
      <c r="H20" s="146"/>
      <c r="I20" s="146"/>
      <c r="J20" s="146"/>
      <c r="K20" s="146"/>
      <c r="L20" s="147"/>
      <c r="M20" s="138"/>
      <c r="N20" s="16"/>
      <c r="O20" s="16"/>
      <c r="P20" s="16"/>
      <c r="Q20" s="16"/>
      <c r="R20" s="16"/>
      <c r="S20" s="16"/>
      <c r="T20" s="16"/>
      <c r="U20" s="16"/>
      <c r="V20" s="16"/>
      <c r="W20" s="16"/>
    </row>
    <row r="21" spans="1:23" s="16" customFormat="1" ht="21" customHeight="1"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D5:D6">
    <cfRule type="containsText" dxfId="22" priority="2" operator="containsText" text="Choose">
      <formula>NOT(ISERROR(SEARCH("Choose",D5)))</formula>
    </cfRule>
  </conditionalFormatting>
  <conditionalFormatting sqref="H9:K19">
    <cfRule type="expression" dxfId="21"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CourseDetails!$A$44:$A$48</xm:f>
          </x14:formula1>
          <xm:sqref>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58b0421-3d9b-4d43-8840-b275eef407cc"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Props1.xml><?xml version="1.0" encoding="utf-8"?>
<ds:datastoreItem xmlns:ds="http://schemas.openxmlformats.org/officeDocument/2006/customXml" ds:itemID="{B30AC3FD-FC20-4855-80BA-DBB21F55FE06}">
  <ds:schemaRefs>
    <ds:schemaRef ds:uri="Microsoft.SharePoint.Taxonomy.ContentTypeSync"/>
  </ds:schemaRefs>
</ds:datastoreItem>
</file>

<file path=customXml/itemProps2.xml><?xml version="1.0" encoding="utf-8"?>
<ds:datastoreItem xmlns:ds="http://schemas.openxmlformats.org/officeDocument/2006/customXml" ds:itemID="{CFA6FADF-3BE8-4365-B8A7-F23F7C2F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4.xml><?xml version="1.0" encoding="utf-8"?>
<ds:datastoreItem xmlns:ds="http://schemas.openxmlformats.org/officeDocument/2006/customXml" ds:itemID="{702FBB4C-6ADF-4262-9F1C-6F0710538C55}">
  <ds:schemaRefs>
    <ds:schemaRef ds:uri="http://purl.org/dc/dcmitype/"/>
    <ds:schemaRef ds:uri="http://schemas.microsoft.com/office/2006/documentManagement/types"/>
    <ds:schemaRef ds:uri="http://www.w3.org/XML/1998/namespace"/>
    <ds:schemaRef ds:uri="http://purl.org/dc/elements/1.1/"/>
    <ds:schemaRef ds:uri="ba69df13-0c3c-4942-8695-6ca01564010c"/>
    <ds:schemaRef ds:uri="http://schemas.microsoft.com/office/infopath/2007/PartnerControls"/>
    <ds:schemaRef ds:uri="http://schemas.microsoft.com/office/2006/metadata/properties"/>
    <ds:schemaRef ds:uri="1f4c0b20-2c14-4291-851e-36bd297de4e2"/>
    <ds:schemaRef ds:uri="http://schemas.microsoft.com/sharepoint/v4"/>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CourseDetails</vt:lpstr>
      <vt:lpstr>Handbook</vt:lpstr>
      <vt:lpstr>Structures</vt:lpstr>
      <vt:lpstr>Availabilities</vt:lpstr>
      <vt:lpstr>Unitsets</vt:lpstr>
      <vt:lpstr>Planner OM-Teach (ECE)</vt:lpstr>
      <vt:lpstr>Planner OM-Teach (Prim)</vt:lpstr>
      <vt:lpstr>Planner OM-EDUC</vt:lpstr>
      <vt:lpstr>Planner OM-APLING</vt:lpstr>
      <vt:lpstr>Planner OC-TESOL</vt:lpstr>
      <vt:lpstr>Planner OC-EDUC</vt:lpstr>
      <vt:lpstr>Planner OC-EDHE</vt:lpstr>
      <vt:lpstr>Unitsets Secondary &amp; GD</vt:lpstr>
      <vt:lpstr>Planner OM-Teach (Sec)</vt:lpstr>
      <vt:lpstr>Planner OG-EDUC (Prim)</vt:lpstr>
      <vt:lpstr>Planner OG-EDUC (Sec)</vt:lpstr>
      <vt:lpstr>FTAArts</vt:lpstr>
      <vt:lpstr>FTAEnglish</vt:lpstr>
      <vt:lpstr>FTAHASS</vt:lpstr>
      <vt:lpstr>FTAHPE</vt:lpstr>
      <vt:lpstr>FTAMaths</vt:lpstr>
      <vt:lpstr>FTAScience</vt:lpstr>
      <vt:lpstr>'Planner OC-EDHE'!Print_Area</vt:lpstr>
      <vt:lpstr>'Planner OC-EDUC'!Print_Area</vt:lpstr>
      <vt:lpstr>'Planner OC-TESOL'!Print_Area</vt:lpstr>
      <vt:lpstr>'Planner OG-EDUC (Prim)'!Print_Area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RangeCourseNotesOCEDUC</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2026-01-09T07:28:58Z</cp:lastPrinted>
  <dcterms:created xsi:type="dcterms:W3CDTF">2022-02-28T04:48:12Z</dcterms:created>
  <dcterms:modified xsi:type="dcterms:W3CDTF">2026-01-09T07:30:00Z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