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271D25DA-49FE-44D4-A155-617F72C3EC7F}" xr6:coauthVersionLast="47" xr6:coauthVersionMax="47" xr10:uidLastSave="{00000000-0000-0000-0000-000000000000}"/>
  <workbookProtection workbookAlgorithmName="SHA-512" workbookHashValue="n4ikkmAEU/Qmbdv68Dw21JnqMfh4I0xLSwJ0ROUiN8tXG1lYEBAdGRvIdl8UtXEoouHShJhyG8qEUyIxkXMnOA==" workbookSaltValue="jUv/hQZMWe4xLQz0dxgfmQ==" workbookSpinCount="100000" lockStructure="1"/>
  <bookViews>
    <workbookView xWindow="-120" yWindow="-120" windowWidth="29040" windowHeight="17520" tabRatio="662" firstSheet="2" activeTab="2" xr2:uid="{00000000-000D-0000-FFFF-FFFF00000000}"/>
  </bookViews>
  <sheets>
    <sheet name="GD-ARCREC Planner" sheetId="13" state="hidden" r:id="rId1"/>
    <sheet name="GD-INFLSC Planner" sheetId="14" state="hidden" r:id="rId2"/>
    <sheet name="M-INFSCI Planner" sheetId="15" r:id="rId3"/>
    <sheet name="M-INFSCI(Ext) Planner" sheetId="11" state="hidden" r:id="rId4"/>
    <sheet name="CourseDetails" sheetId="12" state="hidden" r:id="rId5"/>
    <sheet name="Unitsets" sheetId="2" state="hidden" r:id="rId6"/>
    <sheet name="Handbook" sheetId="3" state="hidden" r:id="rId7"/>
    <sheet name="Structures" sheetId="8" state="hidden" r:id="rId8"/>
    <sheet name="Availabilities" sheetId="9" state="hidden" r:id="rId9"/>
  </sheets>
  <definedNames>
    <definedName name="_xlnm._FilterDatabase" localSheetId="6" hidden="1">Handbook!#REF!</definedName>
    <definedName name="_xlnm.Print_Area" localSheetId="0">'GD-ARCREC Planner'!$A$3:$N$34</definedName>
    <definedName name="_xlnm.Print_Area" localSheetId="1">'GD-INFLSC Planner'!$A$3:$N$24</definedName>
    <definedName name="_xlnm.Print_Area" localSheetId="2">'M-INFSCI Planner'!$A$3:$N$40</definedName>
    <definedName name="_xlnm.Print_Area" localSheetId="3">'M-INFSCI(Ext) Planner'!$A$3:$N$54</definedName>
    <definedName name="RangeOptions">Unitsets!$C$22:$F$37</definedName>
    <definedName name="RangeOptionsHRIGHT">Unitsets!#REF!</definedName>
    <definedName name="RangeUnitSets">Unitsets!$C$2:$AH$18</definedName>
    <definedName name="RangeUnitSetsHRIGHT">Unitsets!#REF!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7" i="8" l="1"/>
  <c r="D47" i="8" s="1"/>
  <c r="C48" i="8"/>
  <c r="D48" i="8" s="1"/>
  <c r="C49" i="8"/>
  <c r="D49" i="8" s="1"/>
  <c r="C50" i="8"/>
  <c r="D50" i="8" s="1"/>
  <c r="C51" i="8"/>
  <c r="D51" i="8" s="1"/>
  <c r="C52" i="8"/>
  <c r="D52" i="8" s="1"/>
  <c r="C53" i="8"/>
  <c r="D53" i="8" s="1"/>
  <c r="C54" i="8"/>
  <c r="D54" i="8" s="1"/>
  <c r="C55" i="8"/>
  <c r="D55" i="8" s="1"/>
  <c r="C56" i="8"/>
  <c r="D56" i="8" s="1"/>
  <c r="C57" i="8"/>
  <c r="D57" i="8" s="1"/>
  <c r="C58" i="8"/>
  <c r="D58" i="8" s="1"/>
  <c r="C59" i="8"/>
  <c r="D59" i="8" s="1"/>
  <c r="C60" i="8"/>
  <c r="D60" i="8" s="1"/>
  <c r="C61" i="8"/>
  <c r="D61" i="8" s="1"/>
  <c r="C62" i="8"/>
  <c r="D62" i="8" s="1"/>
  <c r="C63" i="8"/>
  <c r="D63" i="8" s="1"/>
  <c r="C64" i="8"/>
  <c r="D64" i="8" s="1"/>
  <c r="C65" i="8"/>
  <c r="D65" i="8" s="1"/>
  <c r="C66" i="8"/>
  <c r="D66" i="8" s="1"/>
  <c r="C67" i="8"/>
  <c r="D67" i="8" s="1"/>
  <c r="C68" i="8"/>
  <c r="D68" i="8" s="1"/>
  <c r="C69" i="8"/>
  <c r="D69" i="8" s="1"/>
  <c r="C28" i="8"/>
  <c r="D28" i="8" s="1"/>
  <c r="C29" i="8"/>
  <c r="D29" i="8" s="1"/>
  <c r="C30" i="8"/>
  <c r="D30" i="8" s="1"/>
  <c r="C31" i="8"/>
  <c r="D31" i="8" s="1"/>
  <c r="C32" i="8"/>
  <c r="D32" i="8" s="1"/>
  <c r="C33" i="8"/>
  <c r="D33" i="8" s="1"/>
  <c r="C34" i="8"/>
  <c r="D34" i="8" s="1"/>
  <c r="C35" i="8"/>
  <c r="D35" i="8" s="1"/>
  <c r="C36" i="8"/>
  <c r="D36" i="8" s="1"/>
  <c r="C37" i="8"/>
  <c r="D37" i="8" s="1"/>
  <c r="C38" i="8"/>
  <c r="D38" i="8" s="1"/>
  <c r="C39" i="8"/>
  <c r="D39" i="8" s="1"/>
  <c r="C40" i="8"/>
  <c r="D40" i="8" s="1"/>
  <c r="C41" i="8"/>
  <c r="D41" i="8" s="1"/>
  <c r="C42" i="8"/>
  <c r="D42" i="8" s="1"/>
  <c r="C43" i="8"/>
  <c r="D43" i="8" s="1"/>
  <c r="C44" i="8"/>
  <c r="D44" i="8" s="1"/>
  <c r="C18" i="8"/>
  <c r="D18" i="8" s="1"/>
  <c r="C19" i="8"/>
  <c r="D19" i="8" s="1"/>
  <c r="C20" i="8"/>
  <c r="D20" i="8" s="1"/>
  <c r="C21" i="8"/>
  <c r="D21" i="8" s="1"/>
  <c r="C22" i="8"/>
  <c r="D22" i="8" s="1"/>
  <c r="C23" i="8"/>
  <c r="D23" i="8" s="1"/>
  <c r="C24" i="8"/>
  <c r="D24" i="8" s="1"/>
  <c r="C25" i="8"/>
  <c r="D25" i="8" s="1"/>
  <c r="C3" i="8"/>
  <c r="D3" i="8" s="1"/>
  <c r="C4" i="8"/>
  <c r="D4" i="8" s="1"/>
  <c r="C5" i="8"/>
  <c r="D5" i="8" s="1"/>
  <c r="C6" i="8"/>
  <c r="D6" i="8" s="1"/>
  <c r="C7" i="8"/>
  <c r="D7" i="8" s="1"/>
  <c r="C8" i="8"/>
  <c r="D8" i="8" s="1"/>
  <c r="C9" i="8"/>
  <c r="D9" i="8" s="1"/>
  <c r="C10" i="8"/>
  <c r="D10" i="8" s="1"/>
  <c r="C11" i="8"/>
  <c r="D11" i="8" s="1"/>
  <c r="C12" i="8"/>
  <c r="D12" i="8" s="1"/>
  <c r="C13" i="8"/>
  <c r="D13" i="8" s="1"/>
  <c r="C14" i="8"/>
  <c r="D14" i="8" s="1"/>
  <c r="C15" i="8"/>
  <c r="D15" i="8" s="1"/>
  <c r="G17" i="3"/>
  <c r="H17" i="3"/>
  <c r="I17" i="3"/>
  <c r="J17" i="3"/>
  <c r="K17" i="3"/>
  <c r="L17" i="3"/>
  <c r="G19" i="3"/>
  <c r="H19" i="3"/>
  <c r="I19" i="3"/>
  <c r="J19" i="3"/>
  <c r="K19" i="3"/>
  <c r="L19" i="3"/>
  <c r="G20" i="3"/>
  <c r="H20" i="3"/>
  <c r="I20" i="3"/>
  <c r="J20" i="3"/>
  <c r="K20" i="3"/>
  <c r="L20" i="3"/>
  <c r="N29" i="15"/>
  <c r="M29" i="15"/>
  <c r="L29" i="15"/>
  <c r="K29" i="15"/>
  <c r="J29" i="15"/>
  <c r="I29" i="15"/>
  <c r="H29" i="15"/>
  <c r="N28" i="15"/>
  <c r="H28" i="15"/>
  <c r="N21" i="15"/>
  <c r="M21" i="15"/>
  <c r="L21" i="15"/>
  <c r="K21" i="15"/>
  <c r="J21" i="15"/>
  <c r="I21" i="15"/>
  <c r="H21" i="15"/>
  <c r="B7" i="15"/>
  <c r="G6" i="15"/>
  <c r="N5" i="15"/>
  <c r="G5" i="15"/>
  <c r="B7" i="14"/>
  <c r="G6" i="14"/>
  <c r="N5" i="14"/>
  <c r="A16" i="14" s="1"/>
  <c r="G5" i="14"/>
  <c r="N23" i="13"/>
  <c r="M23" i="13"/>
  <c r="L23" i="13"/>
  <c r="K23" i="13"/>
  <c r="J23" i="13"/>
  <c r="I23" i="13"/>
  <c r="H23" i="13"/>
  <c r="N22" i="13"/>
  <c r="H22" i="13"/>
  <c r="B7" i="13"/>
  <c r="G6" i="13"/>
  <c r="N5" i="13"/>
  <c r="G5" i="13"/>
  <c r="G25" i="3"/>
  <c r="H25" i="3"/>
  <c r="I25" i="3"/>
  <c r="J25" i="3"/>
  <c r="K25" i="3"/>
  <c r="L25" i="3"/>
  <c r="E44" i="8"/>
  <c r="N35" i="11"/>
  <c r="M35" i="11"/>
  <c r="L35" i="11"/>
  <c r="K35" i="11"/>
  <c r="J35" i="11"/>
  <c r="I35" i="11"/>
  <c r="N21" i="11"/>
  <c r="M21" i="11"/>
  <c r="L21" i="11"/>
  <c r="K21" i="11"/>
  <c r="J21" i="11"/>
  <c r="I21" i="11"/>
  <c r="H21" i="11"/>
  <c r="H35" i="11"/>
  <c r="H34" i="11"/>
  <c r="G6" i="11"/>
  <c r="B7" i="11"/>
  <c r="Q1" i="3"/>
  <c r="P1" i="3"/>
  <c r="O1" i="3"/>
  <c r="N1" i="3"/>
  <c r="M1" i="3"/>
  <c r="L1" i="3"/>
  <c r="K1" i="3"/>
  <c r="J1" i="3"/>
  <c r="I1" i="3"/>
  <c r="H1" i="3"/>
  <c r="G1" i="3"/>
  <c r="F1" i="3"/>
  <c r="E1" i="3"/>
  <c r="D1" i="3"/>
  <c r="C1" i="3"/>
  <c r="B1" i="3"/>
  <c r="A1" i="3"/>
  <c r="A33" i="15" l="1"/>
  <c r="A26" i="15"/>
  <c r="A25" i="15"/>
  <c r="A13" i="15"/>
  <c r="A10" i="15"/>
  <c r="A16" i="15"/>
  <c r="A14" i="15"/>
  <c r="A32" i="15"/>
  <c r="A36" i="15"/>
  <c r="A20" i="15"/>
  <c r="A23" i="15"/>
  <c r="A31" i="15"/>
  <c r="A35" i="15"/>
  <c r="A11" i="15"/>
  <c r="A19" i="15"/>
  <c r="A22" i="15"/>
  <c r="A30" i="15"/>
  <c r="A17" i="15"/>
  <c r="A34" i="15"/>
  <c r="A14" i="14"/>
  <c r="F16" i="14"/>
  <c r="D16" i="14"/>
  <c r="G16" i="14"/>
  <c r="E16" i="14"/>
  <c r="B16" i="14"/>
  <c r="C16" i="14"/>
  <c r="A13" i="14"/>
  <c r="A11" i="14"/>
  <c r="A19" i="14"/>
  <c r="A10" i="14"/>
  <c r="A20" i="14"/>
  <c r="A17" i="14"/>
  <c r="A16" i="13"/>
  <c r="A27" i="13"/>
  <c r="A14" i="13"/>
  <c r="A26" i="13"/>
  <c r="A30" i="13"/>
  <c r="A13" i="13"/>
  <c r="A20" i="13"/>
  <c r="A25" i="13"/>
  <c r="A29" i="13"/>
  <c r="A11" i="13"/>
  <c r="A19" i="13"/>
  <c r="A10" i="13"/>
  <c r="A24" i="13"/>
  <c r="A28" i="13"/>
  <c r="A17" i="13"/>
  <c r="B33" i="15" l="1"/>
  <c r="E16" i="13"/>
  <c r="E17" i="13" s="1"/>
  <c r="M16" i="13"/>
  <c r="K16" i="13"/>
  <c r="L16" i="13"/>
  <c r="J16" i="13"/>
  <c r="I16" i="13"/>
  <c r="H16" i="13"/>
  <c r="J14" i="15"/>
  <c r="I14" i="15"/>
  <c r="L14" i="15"/>
  <c r="M14" i="15"/>
  <c r="K14" i="15"/>
  <c r="H14" i="15"/>
  <c r="D10" i="15"/>
  <c r="F33" i="15"/>
  <c r="G33" i="15"/>
  <c r="G10" i="15"/>
  <c r="G26" i="15"/>
  <c r="D26" i="15"/>
  <c r="B10" i="15"/>
  <c r="F26" i="15"/>
  <c r="D33" i="15"/>
  <c r="F10" i="15"/>
  <c r="B26" i="15"/>
  <c r="C26" i="15"/>
  <c r="C33" i="15"/>
  <c r="C10" i="15"/>
  <c r="E16" i="15"/>
  <c r="E17" i="15" s="1"/>
  <c r="F25" i="15"/>
  <c r="F16" i="15"/>
  <c r="C25" i="15"/>
  <c r="D16" i="15"/>
  <c r="B16" i="15"/>
  <c r="G16" i="15"/>
  <c r="G25" i="15"/>
  <c r="D25" i="15"/>
  <c r="B25" i="15"/>
  <c r="E25" i="15"/>
  <c r="E26" i="15" s="1"/>
  <c r="C16" i="15"/>
  <c r="G13" i="15"/>
  <c r="B13" i="15"/>
  <c r="F13" i="15"/>
  <c r="C13" i="15"/>
  <c r="E10" i="15"/>
  <c r="E11" i="15" s="1"/>
  <c r="E13" i="15"/>
  <c r="E14" i="15" s="1"/>
  <c r="D13" i="15"/>
  <c r="B36" i="15"/>
  <c r="G36" i="15"/>
  <c r="F36" i="15"/>
  <c r="D36" i="15"/>
  <c r="C36" i="15"/>
  <c r="D14" i="15"/>
  <c r="G14" i="15"/>
  <c r="F14" i="15"/>
  <c r="C14" i="15"/>
  <c r="B14" i="15"/>
  <c r="G23" i="15"/>
  <c r="F23" i="15"/>
  <c r="D23" i="15"/>
  <c r="C23" i="15"/>
  <c r="B23" i="15"/>
  <c r="D30" i="15"/>
  <c r="C30" i="15"/>
  <c r="B30" i="15"/>
  <c r="G30" i="15"/>
  <c r="F30" i="15"/>
  <c r="F19" i="15"/>
  <c r="E19" i="15"/>
  <c r="E20" i="15" s="1"/>
  <c r="D19" i="15"/>
  <c r="C19" i="15"/>
  <c r="B19" i="15"/>
  <c r="G19" i="15"/>
  <c r="G11" i="15"/>
  <c r="F11" i="15"/>
  <c r="D11" i="15"/>
  <c r="C11" i="15"/>
  <c r="B11" i="15"/>
  <c r="G35" i="15"/>
  <c r="F35" i="15"/>
  <c r="D35" i="15"/>
  <c r="C35" i="15"/>
  <c r="B35" i="15"/>
  <c r="C17" i="15"/>
  <c r="B17" i="15"/>
  <c r="F17" i="15"/>
  <c r="G17" i="15"/>
  <c r="D17" i="15"/>
  <c r="D34" i="15"/>
  <c r="C34" i="15"/>
  <c r="G34" i="15"/>
  <c r="F34" i="15"/>
  <c r="B34" i="15"/>
  <c r="F31" i="15"/>
  <c r="G31" i="15"/>
  <c r="D31" i="15"/>
  <c r="C31" i="15"/>
  <c r="B31" i="15"/>
  <c r="E22" i="15"/>
  <c r="E23" i="15" s="1"/>
  <c r="D22" i="15"/>
  <c r="C22" i="15"/>
  <c r="B22" i="15"/>
  <c r="G22" i="15"/>
  <c r="F22" i="15"/>
  <c r="F20" i="15"/>
  <c r="G20" i="15"/>
  <c r="D20" i="15"/>
  <c r="C20" i="15"/>
  <c r="B20" i="15"/>
  <c r="B32" i="15"/>
  <c r="G32" i="15"/>
  <c r="F32" i="15"/>
  <c r="D32" i="15"/>
  <c r="C32" i="15"/>
  <c r="D14" i="14"/>
  <c r="B14" i="14"/>
  <c r="C14" i="14"/>
  <c r="F14" i="14"/>
  <c r="G14" i="14"/>
  <c r="C13" i="14"/>
  <c r="B13" i="14"/>
  <c r="G13" i="14"/>
  <c r="E13" i="14"/>
  <c r="E14" i="14" s="1"/>
  <c r="F13" i="14"/>
  <c r="D13" i="14"/>
  <c r="D17" i="14"/>
  <c r="B17" i="14"/>
  <c r="C17" i="14"/>
  <c r="G17" i="14"/>
  <c r="E17" i="14"/>
  <c r="F17" i="14"/>
  <c r="G27" i="13"/>
  <c r="E10" i="14"/>
  <c r="E11" i="14" s="1"/>
  <c r="C10" i="14"/>
  <c r="D10" i="14"/>
  <c r="B10" i="14"/>
  <c r="F10" i="14"/>
  <c r="G10" i="14"/>
  <c r="G19" i="14"/>
  <c r="E19" i="14"/>
  <c r="E20" i="14" s="1"/>
  <c r="D19" i="14"/>
  <c r="F19" i="14"/>
  <c r="C19" i="14"/>
  <c r="B19" i="14"/>
  <c r="F27" i="13"/>
  <c r="B20" i="14"/>
  <c r="G20" i="14"/>
  <c r="F20" i="14"/>
  <c r="D20" i="14"/>
  <c r="C20" i="14"/>
  <c r="F11" i="14"/>
  <c r="G11" i="14"/>
  <c r="D11" i="14"/>
  <c r="C11" i="14"/>
  <c r="B11" i="14"/>
  <c r="B27" i="13"/>
  <c r="D27" i="13"/>
  <c r="C27" i="13"/>
  <c r="G16" i="13"/>
  <c r="C16" i="13"/>
  <c r="B16" i="13"/>
  <c r="D16" i="13"/>
  <c r="F16" i="13"/>
  <c r="C14" i="13"/>
  <c r="G14" i="13"/>
  <c r="F14" i="13"/>
  <c r="B14" i="13"/>
  <c r="D14" i="13"/>
  <c r="G11" i="13"/>
  <c r="F11" i="13"/>
  <c r="D11" i="13"/>
  <c r="C11" i="13"/>
  <c r="B11" i="13"/>
  <c r="G13" i="13"/>
  <c r="F13" i="13"/>
  <c r="E13" i="13"/>
  <c r="E14" i="13" s="1"/>
  <c r="D13" i="13"/>
  <c r="C13" i="13"/>
  <c r="B13" i="13"/>
  <c r="G26" i="13"/>
  <c r="F26" i="13"/>
  <c r="D26" i="13"/>
  <c r="B26" i="13"/>
  <c r="C26" i="13"/>
  <c r="G20" i="13"/>
  <c r="F20" i="13"/>
  <c r="D20" i="13"/>
  <c r="C20" i="13"/>
  <c r="B20" i="13"/>
  <c r="C17" i="13"/>
  <c r="B17" i="13"/>
  <c r="D17" i="13"/>
  <c r="F17" i="13"/>
  <c r="G17" i="13"/>
  <c r="G25" i="13"/>
  <c r="F25" i="13"/>
  <c r="D25" i="13"/>
  <c r="C25" i="13"/>
  <c r="B25" i="13"/>
  <c r="F19" i="13"/>
  <c r="E19" i="13"/>
  <c r="E20" i="13" s="1"/>
  <c r="D19" i="13"/>
  <c r="C19" i="13"/>
  <c r="B19" i="13"/>
  <c r="G19" i="13"/>
  <c r="G29" i="13"/>
  <c r="F29" i="13"/>
  <c r="D29" i="13"/>
  <c r="C29" i="13"/>
  <c r="B29" i="13"/>
  <c r="D28" i="13"/>
  <c r="C28" i="13"/>
  <c r="G28" i="13"/>
  <c r="B28" i="13"/>
  <c r="F28" i="13"/>
  <c r="D24" i="13"/>
  <c r="C24" i="13"/>
  <c r="B24" i="13"/>
  <c r="G24" i="13"/>
  <c r="F24" i="13"/>
  <c r="D10" i="13"/>
  <c r="C10" i="13"/>
  <c r="B10" i="13"/>
  <c r="F10" i="13"/>
  <c r="G10" i="13"/>
  <c r="E10" i="13"/>
  <c r="E11" i="13" s="1"/>
  <c r="G30" i="13"/>
  <c r="F30" i="13"/>
  <c r="D30" i="13"/>
  <c r="C30" i="13"/>
  <c r="B30" i="13"/>
  <c r="G4" i="3" l="1"/>
  <c r="H4" i="3"/>
  <c r="I4" i="3"/>
  <c r="J4" i="3"/>
  <c r="K4" i="3"/>
  <c r="L4" i="3"/>
  <c r="G29" i="3"/>
  <c r="H29" i="3"/>
  <c r="I29" i="3"/>
  <c r="J29" i="3"/>
  <c r="K29" i="3"/>
  <c r="L29" i="3"/>
  <c r="K11" i="13" l="1"/>
  <c r="K10" i="13"/>
  <c r="K26" i="15"/>
  <c r="K23" i="15"/>
  <c r="J11" i="13"/>
  <c r="J10" i="13"/>
  <c r="J26" i="15"/>
  <c r="J23" i="15"/>
  <c r="I11" i="13"/>
  <c r="I10" i="13"/>
  <c r="I26" i="15"/>
  <c r="I23" i="15"/>
  <c r="H11" i="13"/>
  <c r="H10" i="13"/>
  <c r="H26" i="15"/>
  <c r="H23" i="15"/>
  <c r="M11" i="13"/>
  <c r="M10" i="13"/>
  <c r="M26" i="15"/>
  <c r="M23" i="15"/>
  <c r="L11" i="13"/>
  <c r="L10" i="13"/>
  <c r="L26" i="15"/>
  <c r="L23" i="15"/>
  <c r="N5" i="11"/>
  <c r="A26" i="11" l="1"/>
  <c r="A31" i="11"/>
  <c r="A28" i="11"/>
  <c r="A29" i="11"/>
  <c r="A32" i="11"/>
  <c r="A22" i="11"/>
  <c r="A23" i="11"/>
  <c r="A25" i="11"/>
  <c r="G28" i="3"/>
  <c r="G6" i="3"/>
  <c r="G5" i="3"/>
  <c r="H28" i="3"/>
  <c r="H6" i="3"/>
  <c r="H5" i="3"/>
  <c r="I28" i="3"/>
  <c r="I6" i="3"/>
  <c r="I5" i="3"/>
  <c r="J28" i="3"/>
  <c r="J6" i="3"/>
  <c r="J5" i="3"/>
  <c r="K28" i="3"/>
  <c r="K6" i="3"/>
  <c r="K5" i="3"/>
  <c r="L28" i="3"/>
  <c r="L6" i="3"/>
  <c r="L5" i="3"/>
  <c r="G14" i="3"/>
  <c r="G13" i="3"/>
  <c r="G23" i="3"/>
  <c r="G21" i="3"/>
  <c r="G15" i="3"/>
  <c r="G26" i="3"/>
  <c r="L24" i="13" s="1"/>
  <c r="G9" i="3"/>
  <c r="G10" i="3"/>
  <c r="G30" i="3"/>
  <c r="G31" i="3"/>
  <c r="G32" i="3"/>
  <c r="G33" i="3"/>
  <c r="G18" i="3"/>
  <c r="G16" i="3"/>
  <c r="G22" i="3"/>
  <c r="G24" i="3"/>
  <c r="G27" i="3"/>
  <c r="L30" i="15" s="1"/>
  <c r="G7" i="3"/>
  <c r="G12" i="3"/>
  <c r="G8" i="3"/>
  <c r="G11" i="3"/>
  <c r="H14" i="3"/>
  <c r="H13" i="3"/>
  <c r="H23" i="3"/>
  <c r="H21" i="3"/>
  <c r="H15" i="3"/>
  <c r="H26" i="3"/>
  <c r="M24" i="13" s="1"/>
  <c r="H9" i="3"/>
  <c r="H10" i="3"/>
  <c r="H30" i="3"/>
  <c r="H31" i="3"/>
  <c r="H32" i="3"/>
  <c r="H33" i="3"/>
  <c r="H18" i="3"/>
  <c r="H16" i="3"/>
  <c r="H22" i="3"/>
  <c r="H24" i="3"/>
  <c r="H27" i="3"/>
  <c r="M30" i="15" s="1"/>
  <c r="H7" i="3"/>
  <c r="H12" i="3"/>
  <c r="H8" i="3"/>
  <c r="H11" i="3"/>
  <c r="I14" i="3"/>
  <c r="I13" i="3"/>
  <c r="I23" i="3"/>
  <c r="I21" i="3"/>
  <c r="I15" i="3"/>
  <c r="I26" i="3"/>
  <c r="H24" i="13" s="1"/>
  <c r="I9" i="3"/>
  <c r="I10" i="3"/>
  <c r="I30" i="3"/>
  <c r="I31" i="3"/>
  <c r="I32" i="3"/>
  <c r="I33" i="3"/>
  <c r="I18" i="3"/>
  <c r="I16" i="3"/>
  <c r="I22" i="3"/>
  <c r="I24" i="3"/>
  <c r="I27" i="3"/>
  <c r="H30" i="15" s="1"/>
  <c r="I7" i="3"/>
  <c r="I12" i="3"/>
  <c r="I8" i="3"/>
  <c r="I11" i="3"/>
  <c r="J14" i="3"/>
  <c r="J13" i="3"/>
  <c r="J23" i="3"/>
  <c r="J21" i="3"/>
  <c r="J15" i="3"/>
  <c r="J26" i="3"/>
  <c r="I24" i="13" s="1"/>
  <c r="J9" i="3"/>
  <c r="J10" i="3"/>
  <c r="J30" i="3"/>
  <c r="J31" i="3"/>
  <c r="J32" i="3"/>
  <c r="J33" i="3"/>
  <c r="J18" i="3"/>
  <c r="J16" i="3"/>
  <c r="J22" i="3"/>
  <c r="J24" i="3"/>
  <c r="J27" i="3"/>
  <c r="I30" i="15" s="1"/>
  <c r="J7" i="3"/>
  <c r="J12" i="3"/>
  <c r="J8" i="3"/>
  <c r="J11" i="3"/>
  <c r="K14" i="3"/>
  <c r="K13" i="3"/>
  <c r="K23" i="3"/>
  <c r="K21" i="3"/>
  <c r="K15" i="3"/>
  <c r="K26" i="3"/>
  <c r="J24" i="13" s="1"/>
  <c r="K9" i="3"/>
  <c r="K10" i="3"/>
  <c r="K30" i="3"/>
  <c r="K31" i="3"/>
  <c r="K32" i="3"/>
  <c r="K33" i="3"/>
  <c r="K18" i="3"/>
  <c r="K16" i="3"/>
  <c r="K22" i="3"/>
  <c r="K24" i="3"/>
  <c r="K27" i="3"/>
  <c r="J30" i="15" s="1"/>
  <c r="K7" i="3"/>
  <c r="K12" i="3"/>
  <c r="K8" i="3"/>
  <c r="K11" i="3"/>
  <c r="L14" i="3"/>
  <c r="L13" i="3"/>
  <c r="L23" i="3"/>
  <c r="L21" i="3"/>
  <c r="L15" i="3"/>
  <c r="L26" i="3"/>
  <c r="K24" i="13" s="1"/>
  <c r="L9" i="3"/>
  <c r="L10" i="3"/>
  <c r="L30" i="3"/>
  <c r="L31" i="3"/>
  <c r="L32" i="3"/>
  <c r="L33" i="3"/>
  <c r="L18" i="3"/>
  <c r="L16" i="3"/>
  <c r="L22" i="3"/>
  <c r="L24" i="3"/>
  <c r="L27" i="3"/>
  <c r="K30" i="15" s="1"/>
  <c r="L7" i="3"/>
  <c r="L12" i="3"/>
  <c r="L8" i="3"/>
  <c r="L11" i="3"/>
  <c r="E69" i="8"/>
  <c r="E66" i="8"/>
  <c r="E67" i="8"/>
  <c r="E68" i="8"/>
  <c r="A69" i="8"/>
  <c r="B69" i="8"/>
  <c r="K14" i="14" l="1"/>
  <c r="K13" i="15"/>
  <c r="K11" i="14"/>
  <c r="K11" i="15"/>
  <c r="K19" i="14"/>
  <c r="K19" i="15"/>
  <c r="K20" i="14"/>
  <c r="K20" i="15"/>
  <c r="K36" i="15"/>
  <c r="K30" i="13"/>
  <c r="K29" i="13"/>
  <c r="K35" i="15"/>
  <c r="K34" i="15"/>
  <c r="K28" i="13"/>
  <c r="K27" i="13"/>
  <c r="K33" i="15"/>
  <c r="K32" i="15"/>
  <c r="K26" i="13"/>
  <c r="K25" i="13"/>
  <c r="K31" i="15"/>
  <c r="K14" i="13"/>
  <c r="K13" i="14"/>
  <c r="K22" i="15"/>
  <c r="K17" i="13"/>
  <c r="K25" i="15"/>
  <c r="K13" i="13"/>
  <c r="K10" i="14"/>
  <c r="K10" i="15"/>
  <c r="K16" i="14"/>
  <c r="K19" i="13"/>
  <c r="K16" i="15"/>
  <c r="K17" i="14"/>
  <c r="K20" i="13"/>
  <c r="K17" i="15"/>
  <c r="J14" i="14"/>
  <c r="J13" i="15"/>
  <c r="J11" i="14"/>
  <c r="J11" i="15"/>
  <c r="J19" i="14"/>
  <c r="J19" i="15"/>
  <c r="J20" i="14"/>
  <c r="J20" i="15"/>
  <c r="J36" i="15"/>
  <c r="J30" i="13"/>
  <c r="J29" i="13"/>
  <c r="J35" i="15"/>
  <c r="J34" i="15"/>
  <c r="J28" i="13"/>
  <c r="J27" i="13"/>
  <c r="J33" i="15"/>
  <c r="J32" i="15"/>
  <c r="J26" i="13"/>
  <c r="J25" i="13"/>
  <c r="J31" i="15"/>
  <c r="J14" i="13"/>
  <c r="J13" i="14"/>
  <c r="J22" i="15"/>
  <c r="J17" i="13"/>
  <c r="J25" i="15"/>
  <c r="J13" i="13"/>
  <c r="J10" i="14"/>
  <c r="J10" i="15"/>
  <c r="J16" i="14"/>
  <c r="J19" i="13"/>
  <c r="J16" i="15"/>
  <c r="J17" i="14"/>
  <c r="J20" i="13"/>
  <c r="J17" i="15"/>
  <c r="I14" i="14"/>
  <c r="I13" i="15"/>
  <c r="I11" i="14"/>
  <c r="I11" i="15"/>
  <c r="I19" i="14"/>
  <c r="I19" i="15"/>
  <c r="I20" i="14"/>
  <c r="I20" i="15"/>
  <c r="I36" i="15"/>
  <c r="I30" i="13"/>
  <c r="I29" i="13"/>
  <c r="I35" i="15"/>
  <c r="I34" i="15"/>
  <c r="I28" i="13"/>
  <c r="I27" i="13"/>
  <c r="I33" i="15"/>
  <c r="I32" i="15"/>
  <c r="I26" i="13"/>
  <c r="I25" i="13"/>
  <c r="I31" i="15"/>
  <c r="I14" i="13"/>
  <c r="I13" i="14"/>
  <c r="I22" i="15"/>
  <c r="I17" i="13"/>
  <c r="I25" i="15"/>
  <c r="I13" i="13"/>
  <c r="I10" i="14"/>
  <c r="I10" i="15"/>
  <c r="I16" i="14"/>
  <c r="I19" i="13"/>
  <c r="I16" i="15"/>
  <c r="I17" i="14"/>
  <c r="I20" i="13"/>
  <c r="I17" i="15"/>
  <c r="H14" i="14"/>
  <c r="H13" i="15"/>
  <c r="H11" i="14"/>
  <c r="H11" i="15"/>
  <c r="H19" i="14"/>
  <c r="H19" i="15"/>
  <c r="H20" i="14"/>
  <c r="H20" i="15"/>
  <c r="H36" i="15"/>
  <c r="H30" i="13"/>
  <c r="H29" i="13"/>
  <c r="H35" i="15"/>
  <c r="H34" i="15"/>
  <c r="H28" i="13"/>
  <c r="H27" i="13"/>
  <c r="H33" i="15"/>
  <c r="H32" i="15"/>
  <c r="H26" i="13"/>
  <c r="H25" i="13"/>
  <c r="H31" i="15"/>
  <c r="H14" i="13"/>
  <c r="H13" i="14"/>
  <c r="H22" i="15"/>
  <c r="H17" i="13"/>
  <c r="H25" i="15"/>
  <c r="H13" i="13"/>
  <c r="H10" i="14"/>
  <c r="H10" i="15"/>
  <c r="H16" i="14"/>
  <c r="H19" i="13"/>
  <c r="H16" i="15"/>
  <c r="H17" i="14"/>
  <c r="H20" i="13"/>
  <c r="H17" i="15"/>
  <c r="M14" i="14"/>
  <c r="M13" i="15"/>
  <c r="M11" i="14"/>
  <c r="M11" i="15"/>
  <c r="M19" i="14"/>
  <c r="M19" i="15"/>
  <c r="M20" i="14"/>
  <c r="M20" i="15"/>
  <c r="M36" i="15"/>
  <c r="M30" i="13"/>
  <c r="M29" i="13"/>
  <c r="M35" i="15"/>
  <c r="M34" i="15"/>
  <c r="M28" i="13"/>
  <c r="M27" i="13"/>
  <c r="M33" i="15"/>
  <c r="M32" i="15"/>
  <c r="M26" i="13"/>
  <c r="M25" i="13"/>
  <c r="M31" i="15"/>
  <c r="M14" i="13"/>
  <c r="M13" i="14"/>
  <c r="M22" i="15"/>
  <c r="M17" i="13"/>
  <c r="M25" i="15"/>
  <c r="M13" i="13"/>
  <c r="M10" i="14"/>
  <c r="M10" i="15"/>
  <c r="M16" i="14"/>
  <c r="M19" i="13"/>
  <c r="M16" i="15"/>
  <c r="M17" i="14"/>
  <c r="M20" i="13"/>
  <c r="M17" i="15"/>
  <c r="L14" i="14"/>
  <c r="L13" i="15"/>
  <c r="L11" i="14"/>
  <c r="L11" i="15"/>
  <c r="L19" i="14"/>
  <c r="L19" i="15"/>
  <c r="L20" i="14"/>
  <c r="L20" i="15"/>
  <c r="L36" i="15"/>
  <c r="L30" i="13"/>
  <c r="L29" i="13"/>
  <c r="L35" i="15"/>
  <c r="L34" i="15"/>
  <c r="L28" i="13"/>
  <c r="L27" i="13"/>
  <c r="L33" i="15"/>
  <c r="L32" i="15"/>
  <c r="L26" i="13"/>
  <c r="L25" i="13"/>
  <c r="L31" i="15"/>
  <c r="L14" i="13"/>
  <c r="L13" i="14"/>
  <c r="L22" i="15"/>
  <c r="L17" i="13"/>
  <c r="L25" i="15"/>
  <c r="L13" i="13"/>
  <c r="L10" i="14"/>
  <c r="L10" i="15"/>
  <c r="L16" i="14"/>
  <c r="L19" i="13"/>
  <c r="L16" i="15"/>
  <c r="L17" i="14"/>
  <c r="L20" i="13"/>
  <c r="L17" i="15"/>
  <c r="E25" i="11"/>
  <c r="E26" i="11" s="1"/>
  <c r="I25" i="11"/>
  <c r="M25" i="11"/>
  <c r="K25" i="11"/>
  <c r="L25" i="11"/>
  <c r="J25" i="11"/>
  <c r="H25" i="11"/>
  <c r="K32" i="11"/>
  <c r="L32" i="11"/>
  <c r="J32" i="11"/>
  <c r="M32" i="11"/>
  <c r="I32" i="11"/>
  <c r="H32" i="11"/>
  <c r="E28" i="11"/>
  <c r="E29" i="11" s="1"/>
  <c r="I28" i="11"/>
  <c r="M28" i="11"/>
  <c r="H28" i="11"/>
  <c r="J28" i="11"/>
  <c r="L28" i="11"/>
  <c r="K28" i="11"/>
  <c r="E31" i="11"/>
  <c r="E32" i="11" s="1"/>
  <c r="M31" i="11"/>
  <c r="K31" i="11"/>
  <c r="J31" i="11"/>
  <c r="I31" i="11"/>
  <c r="L31" i="11"/>
  <c r="H31" i="11"/>
  <c r="E22" i="11"/>
  <c r="E23" i="11" s="1"/>
  <c r="L22" i="11"/>
  <c r="M22" i="11"/>
  <c r="K22" i="11"/>
  <c r="J22" i="11"/>
  <c r="I22" i="11"/>
  <c r="H22" i="11"/>
  <c r="L26" i="11"/>
  <c r="K26" i="11"/>
  <c r="J26" i="11"/>
  <c r="M26" i="11"/>
  <c r="I26" i="11"/>
  <c r="H26" i="11"/>
  <c r="C32" i="11"/>
  <c r="F32" i="11"/>
  <c r="B32" i="11"/>
  <c r="G32" i="11"/>
  <c r="D32" i="11"/>
  <c r="D29" i="11"/>
  <c r="F29" i="11"/>
  <c r="C29" i="11"/>
  <c r="B29" i="11"/>
  <c r="G29" i="11"/>
  <c r="C28" i="11"/>
  <c r="B28" i="11"/>
  <c r="F28" i="11"/>
  <c r="G28" i="11"/>
  <c r="D28" i="11"/>
  <c r="F31" i="11"/>
  <c r="B31" i="11"/>
  <c r="G31" i="11"/>
  <c r="D31" i="11"/>
  <c r="C31" i="11"/>
  <c r="A68" i="8"/>
  <c r="B68" i="8"/>
  <c r="A67" i="8"/>
  <c r="B67" i="8"/>
  <c r="A66" i="8" l="1"/>
  <c r="B66" i="8"/>
  <c r="E63" i="8"/>
  <c r="E64" i="8"/>
  <c r="E65" i="8"/>
  <c r="A63" i="8"/>
  <c r="A64" i="8"/>
  <c r="A65" i="8"/>
  <c r="B63" i="8"/>
  <c r="B64" i="8"/>
  <c r="B65" i="8"/>
  <c r="A44" i="8" l="1"/>
  <c r="B44" i="8"/>
  <c r="E62" i="8" l="1"/>
  <c r="B62" i="8"/>
  <c r="A62" i="8"/>
  <c r="E61" i="8"/>
  <c r="B61" i="8"/>
  <c r="A61" i="8"/>
  <c r="E60" i="8"/>
  <c r="B60" i="8"/>
  <c r="A60" i="8"/>
  <c r="E59" i="8"/>
  <c r="B59" i="8"/>
  <c r="A59" i="8"/>
  <c r="E58" i="8"/>
  <c r="B58" i="8"/>
  <c r="A58" i="8"/>
  <c r="E57" i="8"/>
  <c r="B57" i="8"/>
  <c r="A57" i="8"/>
  <c r="E56" i="8"/>
  <c r="B56" i="8"/>
  <c r="A56" i="8"/>
  <c r="E55" i="8"/>
  <c r="B55" i="8"/>
  <c r="A55" i="8"/>
  <c r="E54" i="8"/>
  <c r="B54" i="8"/>
  <c r="A54" i="8"/>
  <c r="E53" i="8"/>
  <c r="B53" i="8"/>
  <c r="A53" i="8"/>
  <c r="E52" i="8"/>
  <c r="B52" i="8"/>
  <c r="A52" i="8"/>
  <c r="E51" i="8"/>
  <c r="B51" i="8"/>
  <c r="A51" i="8"/>
  <c r="E50" i="8"/>
  <c r="B50" i="8"/>
  <c r="A50" i="8"/>
  <c r="E49" i="8"/>
  <c r="B49" i="8"/>
  <c r="A49" i="8"/>
  <c r="E48" i="8"/>
  <c r="B48" i="8"/>
  <c r="A48" i="8"/>
  <c r="E47" i="8"/>
  <c r="B47" i="8"/>
  <c r="A47" i="8"/>
  <c r="Q17" i="3" l="1"/>
  <c r="Q19" i="3"/>
  <c r="Q20" i="3"/>
  <c r="Q25" i="3"/>
  <c r="Q4" i="3"/>
  <c r="Q29" i="3"/>
  <c r="Q28" i="3"/>
  <c r="Q6" i="3"/>
  <c r="Q5" i="3"/>
  <c r="Q14" i="3"/>
  <c r="Q13" i="3"/>
  <c r="Q23" i="3"/>
  <c r="Q21" i="3"/>
  <c r="Q15" i="3"/>
  <c r="Q26" i="3"/>
  <c r="Q9" i="3"/>
  <c r="Q10" i="3"/>
  <c r="Q30" i="3"/>
  <c r="Q31" i="3"/>
  <c r="Q32" i="3"/>
  <c r="Q33" i="3"/>
  <c r="Q18" i="3"/>
  <c r="Q16" i="3"/>
  <c r="Q22" i="3"/>
  <c r="Q24" i="3"/>
  <c r="Q27" i="3"/>
  <c r="Q7" i="3"/>
  <c r="Q12" i="3"/>
  <c r="Q8" i="3"/>
  <c r="Q11" i="3"/>
  <c r="Q3" i="3"/>
  <c r="N34" i="11" l="1"/>
  <c r="G5" i="11"/>
  <c r="A50" i="11" l="1"/>
  <c r="A42" i="11"/>
  <c r="A37" i="11"/>
  <c r="A49" i="11"/>
  <c r="A41" i="11"/>
  <c r="A38" i="11"/>
  <c r="A44" i="11"/>
  <c r="A36" i="11"/>
  <c r="A48" i="11"/>
  <c r="A40" i="11"/>
  <c r="A45" i="11"/>
  <c r="A47" i="11"/>
  <c r="A39" i="11"/>
  <c r="A46" i="11"/>
  <c r="A43" i="11"/>
  <c r="A10" i="11"/>
  <c r="A11" i="11"/>
  <c r="A13" i="11"/>
  <c r="A14" i="11"/>
  <c r="A16" i="11"/>
  <c r="A17" i="11"/>
  <c r="A19" i="11"/>
  <c r="A20" i="11"/>
  <c r="L3" i="3"/>
  <c r="K3" i="3"/>
  <c r="J23" i="11" l="1"/>
  <c r="J29" i="11"/>
  <c r="K23" i="11"/>
  <c r="K29" i="11"/>
  <c r="B47" i="11"/>
  <c r="K47" i="11"/>
  <c r="M47" i="11"/>
  <c r="L47" i="11"/>
  <c r="J47" i="11"/>
  <c r="I47" i="11"/>
  <c r="H47" i="11"/>
  <c r="C39" i="11"/>
  <c r="K39" i="11"/>
  <c r="M39" i="11"/>
  <c r="L39" i="11"/>
  <c r="J39" i="11"/>
  <c r="I39" i="11"/>
  <c r="H39" i="11"/>
  <c r="G41" i="11"/>
  <c r="J41" i="11"/>
  <c r="I41" i="11"/>
  <c r="H41" i="11"/>
  <c r="K41" i="11"/>
  <c r="M41" i="11"/>
  <c r="L41" i="11"/>
  <c r="M43" i="11"/>
  <c r="L43" i="11"/>
  <c r="K43" i="11"/>
  <c r="J43" i="11"/>
  <c r="I43" i="11"/>
  <c r="H43" i="11"/>
  <c r="M48" i="11"/>
  <c r="L48" i="11"/>
  <c r="K48" i="11"/>
  <c r="J48" i="11"/>
  <c r="I48" i="11"/>
  <c r="H48" i="11"/>
  <c r="J49" i="11"/>
  <c r="I49" i="11"/>
  <c r="K49" i="11"/>
  <c r="H49" i="11"/>
  <c r="M49" i="11"/>
  <c r="L49" i="11"/>
  <c r="M45" i="11"/>
  <c r="L45" i="11"/>
  <c r="K45" i="11"/>
  <c r="J45" i="11"/>
  <c r="I45" i="11"/>
  <c r="H45" i="11"/>
  <c r="H44" i="11"/>
  <c r="I44" i="11"/>
  <c r="M44" i="11"/>
  <c r="L44" i="11"/>
  <c r="K44" i="11"/>
  <c r="J44" i="11"/>
  <c r="F37" i="11"/>
  <c r="M37" i="11"/>
  <c r="L37" i="11"/>
  <c r="K37" i="11"/>
  <c r="J37" i="11"/>
  <c r="I37" i="11"/>
  <c r="H37" i="11"/>
  <c r="L46" i="11"/>
  <c r="K46" i="11"/>
  <c r="J46" i="11"/>
  <c r="I46" i="11"/>
  <c r="H46" i="11"/>
  <c r="M46" i="11"/>
  <c r="H36" i="11"/>
  <c r="M36" i="11"/>
  <c r="I36" i="11"/>
  <c r="L36" i="11"/>
  <c r="K36" i="11"/>
  <c r="J36" i="11"/>
  <c r="D42" i="11"/>
  <c r="I42" i="11"/>
  <c r="M42" i="11"/>
  <c r="L42" i="11"/>
  <c r="K42" i="11"/>
  <c r="J42" i="11"/>
  <c r="H42" i="11"/>
  <c r="M40" i="11"/>
  <c r="L40" i="11"/>
  <c r="K40" i="11"/>
  <c r="J40" i="11"/>
  <c r="I40" i="11"/>
  <c r="H40" i="11"/>
  <c r="L38" i="11"/>
  <c r="K38" i="11"/>
  <c r="J38" i="11"/>
  <c r="I38" i="11"/>
  <c r="H38" i="11"/>
  <c r="M38" i="11"/>
  <c r="I50" i="11"/>
  <c r="M50" i="11"/>
  <c r="L50" i="11"/>
  <c r="K50" i="11"/>
  <c r="J50" i="11"/>
  <c r="H50" i="11"/>
  <c r="E10" i="11"/>
  <c r="E11" i="11" s="1"/>
  <c r="M10" i="11"/>
  <c r="L10" i="11"/>
  <c r="K10" i="11"/>
  <c r="J10" i="11"/>
  <c r="I10" i="11"/>
  <c r="H10" i="11"/>
  <c r="H20" i="11"/>
  <c r="L20" i="11"/>
  <c r="K20" i="11"/>
  <c r="M20" i="11"/>
  <c r="J20" i="11"/>
  <c r="I20" i="11"/>
  <c r="E19" i="11"/>
  <c r="E20" i="11" s="1"/>
  <c r="M19" i="11"/>
  <c r="K19" i="11"/>
  <c r="J19" i="11"/>
  <c r="I19" i="11"/>
  <c r="L19" i="11"/>
  <c r="H19" i="11"/>
  <c r="E16" i="11"/>
  <c r="E17" i="11" s="1"/>
  <c r="I16" i="11"/>
  <c r="H16" i="11"/>
  <c r="J16" i="11"/>
  <c r="M16" i="11"/>
  <c r="L16" i="11"/>
  <c r="K16" i="11"/>
  <c r="E13" i="11"/>
  <c r="E14" i="11" s="1"/>
  <c r="I13" i="11"/>
  <c r="H13" i="11"/>
  <c r="J13" i="11"/>
  <c r="M13" i="11"/>
  <c r="K13" i="11"/>
  <c r="L13" i="11"/>
  <c r="H17" i="11"/>
  <c r="M17" i="11"/>
  <c r="L17" i="11"/>
  <c r="I17" i="11"/>
  <c r="K17" i="11"/>
  <c r="J17" i="11"/>
  <c r="L14" i="11"/>
  <c r="K14" i="11"/>
  <c r="J14" i="11"/>
  <c r="M14" i="11"/>
  <c r="I14" i="11"/>
  <c r="H14" i="11"/>
  <c r="K11" i="11"/>
  <c r="I11" i="11"/>
  <c r="J11" i="11"/>
  <c r="H11" i="11"/>
  <c r="M11" i="11"/>
  <c r="L11" i="11"/>
  <c r="C17" i="11"/>
  <c r="B17" i="11"/>
  <c r="D17" i="11"/>
  <c r="F17" i="11"/>
  <c r="G17" i="11"/>
  <c r="C50" i="11"/>
  <c r="B22" i="11"/>
  <c r="B37" i="11"/>
  <c r="G37" i="11"/>
  <c r="C47" i="11"/>
  <c r="F42" i="11"/>
  <c r="B43" i="11"/>
  <c r="B39" i="11"/>
  <c r="D44" i="11"/>
  <c r="F46" i="11"/>
  <c r="C38" i="11"/>
  <c r="B41" i="11"/>
  <c r="B45" i="11"/>
  <c r="D38" i="11"/>
  <c r="B38" i="11"/>
  <c r="F38" i="11"/>
  <c r="F41" i="11"/>
  <c r="C14" i="11"/>
  <c r="C42" i="11"/>
  <c r="C44" i="11"/>
  <c r="F44" i="11"/>
  <c r="B44" i="11"/>
  <c r="G44" i="11"/>
  <c r="C43" i="11"/>
  <c r="D45" i="11"/>
  <c r="C45" i="11"/>
  <c r="C49" i="11"/>
  <c r="D49" i="11"/>
  <c r="G45" i="11"/>
  <c r="C46" i="11"/>
  <c r="G38" i="11"/>
  <c r="D50" i="11"/>
  <c r="G39" i="11"/>
  <c r="D39" i="11"/>
  <c r="F39" i="11"/>
  <c r="D48" i="11"/>
  <c r="C48" i="11"/>
  <c r="G48" i="11"/>
  <c r="F48" i="11"/>
  <c r="B48" i="11"/>
  <c r="F50" i="11"/>
  <c r="G49" i="11"/>
  <c r="D37" i="11"/>
  <c r="C37" i="11"/>
  <c r="G43" i="11"/>
  <c r="F43" i="11"/>
  <c r="D43" i="11"/>
  <c r="G47" i="11"/>
  <c r="F47" i="11"/>
  <c r="D47" i="11"/>
  <c r="F45" i="11"/>
  <c r="B49" i="11"/>
  <c r="B42" i="11"/>
  <c r="G42" i="11"/>
  <c r="D41" i="11"/>
  <c r="C41" i="11"/>
  <c r="G46" i="11"/>
  <c r="B46" i="11"/>
  <c r="D46" i="11"/>
  <c r="G50" i="11"/>
  <c r="B50" i="11"/>
  <c r="F49" i="11"/>
  <c r="D40" i="11"/>
  <c r="F40" i="11"/>
  <c r="C40" i="11"/>
  <c r="B40" i="11"/>
  <c r="G40" i="11"/>
  <c r="D36" i="11"/>
  <c r="G36" i="11"/>
  <c r="F36" i="11"/>
  <c r="C36" i="11"/>
  <c r="B36" i="11"/>
  <c r="F14" i="11"/>
  <c r="C22" i="11"/>
  <c r="D10" i="11"/>
  <c r="C10" i="11"/>
  <c r="F10" i="11"/>
  <c r="G10" i="11"/>
  <c r="C20" i="11"/>
  <c r="B10" i="11"/>
  <c r="D26" i="11"/>
  <c r="C26" i="11"/>
  <c r="G20" i="11"/>
  <c r="F26" i="11"/>
  <c r="B26" i="11"/>
  <c r="D20" i="11"/>
  <c r="B20" i="11"/>
  <c r="F20" i="11"/>
  <c r="G22" i="11"/>
  <c r="D14" i="11"/>
  <c r="B14" i="11"/>
  <c r="D22" i="11"/>
  <c r="F22" i="11"/>
  <c r="G26" i="11"/>
  <c r="G14" i="11"/>
  <c r="F19" i="11"/>
  <c r="D19" i="11"/>
  <c r="C19" i="11"/>
  <c r="G19" i="11"/>
  <c r="B19" i="11"/>
  <c r="B25" i="11"/>
  <c r="G25" i="11"/>
  <c r="F25" i="11"/>
  <c r="D25" i="11"/>
  <c r="C25" i="11"/>
  <c r="B16" i="11"/>
  <c r="D16" i="11"/>
  <c r="C16" i="11"/>
  <c r="G16" i="11"/>
  <c r="F16" i="11"/>
  <c r="C11" i="11"/>
  <c r="F11" i="11"/>
  <c r="D11" i="11"/>
  <c r="B11" i="11"/>
  <c r="G11" i="11"/>
  <c r="C13" i="11"/>
  <c r="B13" i="11"/>
  <c r="G13" i="11"/>
  <c r="D13" i="11"/>
  <c r="F13" i="11"/>
  <c r="D23" i="11"/>
  <c r="C23" i="11"/>
  <c r="B23" i="11"/>
  <c r="F23" i="11"/>
  <c r="G23" i="11"/>
  <c r="J3" i="3"/>
  <c r="I23" i="11" l="1"/>
  <c r="I29" i="11"/>
  <c r="E42" i="8"/>
  <c r="E43" i="8"/>
  <c r="A42" i="8"/>
  <c r="A43" i="8"/>
  <c r="B42" i="8"/>
  <c r="B43" i="8"/>
  <c r="E41" i="8" l="1"/>
  <c r="B41" i="8"/>
  <c r="A41" i="8"/>
  <c r="E40" i="8"/>
  <c r="B40" i="8"/>
  <c r="A40" i="8"/>
  <c r="E39" i="8"/>
  <c r="B39" i="8"/>
  <c r="A39" i="8"/>
  <c r="E38" i="8"/>
  <c r="B38" i="8"/>
  <c r="A38" i="8"/>
  <c r="E37" i="8"/>
  <c r="B37" i="8"/>
  <c r="A37" i="8"/>
  <c r="E36" i="8"/>
  <c r="B36" i="8"/>
  <c r="A36" i="8"/>
  <c r="E35" i="8"/>
  <c r="B35" i="8"/>
  <c r="A35" i="8"/>
  <c r="E34" i="8"/>
  <c r="B34" i="8"/>
  <c r="A34" i="8"/>
  <c r="E33" i="8"/>
  <c r="B33" i="8"/>
  <c r="A33" i="8"/>
  <c r="E32" i="8"/>
  <c r="B32" i="8"/>
  <c r="A32" i="8"/>
  <c r="E31" i="8"/>
  <c r="B31" i="8"/>
  <c r="A31" i="8"/>
  <c r="E30" i="8"/>
  <c r="B30" i="8"/>
  <c r="A30" i="8"/>
  <c r="E29" i="8"/>
  <c r="B29" i="8"/>
  <c r="A29" i="8"/>
  <c r="E28" i="8"/>
  <c r="B28" i="8"/>
  <c r="A28" i="8"/>
  <c r="P17" i="3" l="1"/>
  <c r="P19" i="3"/>
  <c r="P20" i="3"/>
  <c r="P25" i="3"/>
  <c r="P4" i="3"/>
  <c r="P29" i="3"/>
  <c r="P28" i="3"/>
  <c r="P6" i="3"/>
  <c r="P5" i="3"/>
  <c r="P14" i="3"/>
  <c r="P13" i="3"/>
  <c r="P23" i="3"/>
  <c r="P21" i="3"/>
  <c r="P15" i="3"/>
  <c r="P26" i="3"/>
  <c r="P9" i="3"/>
  <c r="P10" i="3"/>
  <c r="P30" i="3"/>
  <c r="P31" i="3"/>
  <c r="P32" i="3"/>
  <c r="P33" i="3"/>
  <c r="P18" i="3"/>
  <c r="P16" i="3"/>
  <c r="P22" i="3"/>
  <c r="P24" i="3"/>
  <c r="P27" i="3"/>
  <c r="P7" i="3"/>
  <c r="P12" i="3"/>
  <c r="P8" i="3"/>
  <c r="P11" i="3"/>
  <c r="P3" i="3"/>
  <c r="E25" i="8"/>
  <c r="B25" i="8"/>
  <c r="A25" i="8"/>
  <c r="E24" i="8"/>
  <c r="B24" i="8"/>
  <c r="A24" i="8"/>
  <c r="E23" i="8"/>
  <c r="B23" i="8"/>
  <c r="A23" i="8"/>
  <c r="E22" i="8"/>
  <c r="B22" i="8"/>
  <c r="A22" i="8"/>
  <c r="E21" i="8"/>
  <c r="B21" i="8"/>
  <c r="A21" i="8"/>
  <c r="E20" i="8"/>
  <c r="B20" i="8"/>
  <c r="A20" i="8"/>
  <c r="E19" i="8"/>
  <c r="B19" i="8"/>
  <c r="A19" i="8"/>
  <c r="E18" i="8"/>
  <c r="B18" i="8"/>
  <c r="A18" i="8"/>
  <c r="O17" i="3" l="1"/>
  <c r="O19" i="3"/>
  <c r="O20" i="3"/>
  <c r="O25" i="3"/>
  <c r="O4" i="3"/>
  <c r="O29" i="3"/>
  <c r="O28" i="3"/>
  <c r="O6" i="3"/>
  <c r="O5" i="3"/>
  <c r="O14" i="3"/>
  <c r="O13" i="3"/>
  <c r="O23" i="3"/>
  <c r="O21" i="3"/>
  <c r="O15" i="3"/>
  <c r="O26" i="3"/>
  <c r="O9" i="3"/>
  <c r="O10" i="3"/>
  <c r="O30" i="3"/>
  <c r="O31" i="3"/>
  <c r="O32" i="3"/>
  <c r="O33" i="3"/>
  <c r="O18" i="3"/>
  <c r="O16" i="3"/>
  <c r="O22" i="3"/>
  <c r="O24" i="3"/>
  <c r="O27" i="3"/>
  <c r="O7" i="3"/>
  <c r="O12" i="3"/>
  <c r="O8" i="3"/>
  <c r="O11" i="3"/>
  <c r="O3" i="3"/>
  <c r="I3" i="3" l="1"/>
  <c r="H3" i="3"/>
  <c r="G3" i="3"/>
  <c r="L23" i="11" l="1"/>
  <c r="L29" i="11"/>
  <c r="M23" i="11"/>
  <c r="M29" i="11"/>
  <c r="H23" i="11"/>
  <c r="H29" i="11"/>
  <c r="A3" i="8"/>
  <c r="A7" i="8"/>
  <c r="A8" i="8"/>
  <c r="A9" i="8"/>
  <c r="A10" i="8"/>
  <c r="A11" i="8"/>
  <c r="A12" i="8"/>
  <c r="A13" i="8"/>
  <c r="A14" i="8"/>
  <c r="A15" i="8"/>
  <c r="B7" i="8"/>
  <c r="B8" i="8"/>
  <c r="B9" i="8"/>
  <c r="B10" i="8"/>
  <c r="B11" i="8"/>
  <c r="B12" i="8"/>
  <c r="B13" i="8"/>
  <c r="B14" i="8"/>
  <c r="B15" i="8"/>
  <c r="E7" i="8"/>
  <c r="E8" i="8"/>
  <c r="E9" i="8"/>
  <c r="E10" i="8"/>
  <c r="E11" i="8"/>
  <c r="E12" i="8"/>
  <c r="E13" i="8"/>
  <c r="E14" i="8"/>
  <c r="E15" i="8"/>
  <c r="E3" i="8" l="1"/>
  <c r="E4" i="8"/>
  <c r="E5" i="8"/>
  <c r="E6" i="8"/>
  <c r="B3" i="8"/>
  <c r="B4" i="8"/>
  <c r="B5" i="8"/>
  <c r="B6" i="8"/>
  <c r="A4" i="8"/>
  <c r="A5" i="8"/>
  <c r="A6" i="8"/>
  <c r="N14" i="3" s="1"/>
  <c r="N17" i="3" l="1"/>
  <c r="N19" i="3"/>
  <c r="N20" i="3"/>
  <c r="N25" i="3"/>
  <c r="N4" i="3"/>
  <c r="N29" i="3"/>
  <c r="N28" i="3"/>
  <c r="N6" i="3"/>
  <c r="N5" i="3"/>
  <c r="N13" i="3"/>
  <c r="N23" i="3"/>
  <c r="N21" i="3"/>
  <c r="N15" i="3"/>
  <c r="N26" i="3"/>
  <c r="N9" i="3"/>
  <c r="N10" i="3"/>
  <c r="N30" i="3"/>
  <c r="N31" i="3"/>
  <c r="N32" i="3"/>
  <c r="N33" i="3"/>
  <c r="N18" i="3"/>
  <c r="N16" i="3"/>
  <c r="N22" i="3"/>
  <c r="N24" i="3"/>
  <c r="N27" i="3"/>
  <c r="N7" i="3"/>
  <c r="N12" i="3"/>
  <c r="N8" i="3"/>
  <c r="N11" i="3"/>
  <c r="N3" i="3"/>
</calcChain>
</file>

<file path=xl/sharedStrings.xml><?xml version="1.0" encoding="utf-8"?>
<sst xmlns="http://schemas.openxmlformats.org/spreadsheetml/2006/main" count="1320" uniqueCount="250">
  <si>
    <t>UDC</t>
  </si>
  <si>
    <t>Ver</t>
  </si>
  <si>
    <t>OUA Cd</t>
  </si>
  <si>
    <t>Unit Title</t>
  </si>
  <si>
    <t>Pre-reqs</t>
  </si>
  <si>
    <t>Credits</t>
  </si>
  <si>
    <t>Availabilities</t>
  </si>
  <si>
    <t>Progress Notes</t>
  </si>
  <si>
    <r>
      <rPr>
        <b/>
        <sz val="11"/>
        <color rgb="FFFFFFFF"/>
        <rFont val="Arial"/>
        <family val="2"/>
      </rPr>
      <t xml:space="preserve">Curtin University
</t>
    </r>
    <r>
      <rPr>
        <sz val="11"/>
        <color rgb="FFFFFFFF"/>
        <rFont val="Arial"/>
        <family val="2"/>
      </rPr>
      <t>School of Media, Creative Arts and Social</t>
    </r>
  </si>
  <si>
    <t>2026 Full-Time Enrolment Planner</t>
  </si>
  <si>
    <t>Course:</t>
  </si>
  <si>
    <t>Graduate Diploma in Archives and Records Management (OpenUnis)</t>
  </si>
  <si>
    <t>Course version:</t>
  </si>
  <si>
    <t>Commencing:</t>
  </si>
  <si>
    <t>Study Period 4 (November - February)</t>
  </si>
  <si>
    <t>Credits to Complete:</t>
  </si>
  <si>
    <t>Course Notes:</t>
  </si>
  <si>
    <t>2026 Availabilities</t>
  </si>
  <si>
    <t>Year 1</t>
  </si>
  <si>
    <t>OUA Code</t>
  </si>
  <si>
    <t>Study Period</t>
  </si>
  <si>
    <t>Pre Requisite(s)</t>
  </si>
  <si>
    <t>CP</t>
  </si>
  <si>
    <t>SP1</t>
  </si>
  <si>
    <t>SP2</t>
  </si>
  <si>
    <t>SP3</t>
  </si>
  <si>
    <t>SP4</t>
  </si>
  <si>
    <t>OUA
Sess1</t>
  </si>
  <si>
    <t>OUA
Sess2</t>
  </si>
  <si>
    <t>Notes / Progress</t>
  </si>
  <si>
    <t>Specified Elective / Option Subjects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</si>
  <si>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</si>
  <si>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t>Curtin University is a trademark of Curtin University of Technology</t>
  </si>
  <si>
    <t>CRICOS Provider Code 00301J</t>
  </si>
  <si>
    <t>Graduate Diploma in Information and Library Science (OpenUnis)</t>
  </si>
  <si>
    <t>Study Period 1 (February - May)</t>
  </si>
  <si>
    <t>Master of Information Science (OpenUnis)</t>
  </si>
  <si>
    <t>Year 2</t>
  </si>
  <si>
    <t>Master of Information Science (Extended)(OpenUnis)</t>
  </si>
  <si>
    <t>Alternate Core &amp; Specified Elective / Option Subjects</t>
  </si>
  <si>
    <t>TableCourses</t>
  </si>
  <si>
    <t>Choose your Course (drop-down list)</t>
  </si>
  <si>
    <t>SM Version</t>
  </si>
  <si>
    <t>SM Effective Date</t>
  </si>
  <si>
    <t>Akari Iteration</t>
  </si>
  <si>
    <t>Akari Effective Date</t>
  </si>
  <si>
    <t>Credit Points</t>
  </si>
  <si>
    <t>SM Availabilities</t>
  </si>
  <si>
    <t>Course Notes</t>
  </si>
  <si>
    <t>OG-ARCREC</t>
  </si>
  <si>
    <t>v.1</t>
  </si>
  <si>
    <t>200 credit points required</t>
  </si>
  <si>
    <t>SP1; SP2; SP3; SP4</t>
  </si>
  <si>
    <t>OG-INFLSC</t>
  </si>
  <si>
    <t>OM-INFSCI</t>
  </si>
  <si>
    <t>300 credit points required</t>
  </si>
  <si>
    <t>OM-INFSCX</t>
  </si>
  <si>
    <t>v.2</t>
  </si>
  <si>
    <t>400 credit points required</t>
  </si>
  <si>
    <t>TableStudyPeriod</t>
  </si>
  <si>
    <t>Choose your commencing study period (drop-down list)</t>
  </si>
  <si>
    <t>START</t>
  </si>
  <si>
    <t>Next</t>
  </si>
  <si>
    <t>Next2</t>
  </si>
  <si>
    <t>Next3</t>
  </si>
  <si>
    <t>Study Period 2 (May - August)</t>
  </si>
  <si>
    <t>Study Period 3 (August - November)</t>
  </si>
  <si>
    <t>1)      Update high level course / component &amp; study period details (Unitsets Tab)</t>
  </si>
  <si>
    <t>2)      Update Planner page(s) to reference year of planner e.g. “2025” (Planner Tab)</t>
  </si>
  <si>
    <t>3)      Update structures (Structures Tab)</t>
  </si>
  <si>
    <t>4)      Update Handbook unit list from updated structures (Handbook Tab)</t>
  </si>
  <si>
    <t>5)      Update Availabilities using updated Handbook unit list (Availabilities Tab)</t>
  </si>
  <si>
    <t>6)      Update Pre Requisites (Handbook Tab)</t>
  </si>
  <si>
    <t>7)      Update sequences for courses / components (Unitsets Tab)</t>
  </si>
  <si>
    <t>8)      Review Handbook Tab for obvious issues / errors and enter notes (Handbook Tab)</t>
  </si>
  <si>
    <t>9)      Review Planner Tab(s) for obvious issues / errors (Planner Tab)</t>
  </si>
  <si>
    <t>RangeUnitSets</t>
  </si>
  <si>
    <t>OG-ARCRECSP1</t>
  </si>
  <si>
    <t>OG-ARCRECSP2</t>
  </si>
  <si>
    <t>OG-ARCRECSP3</t>
  </si>
  <si>
    <t>OG-ARCRECSP4</t>
  </si>
  <si>
    <t>OG-INFLSCSP1</t>
  </si>
  <si>
    <t>OG-INFLSCSP2</t>
  </si>
  <si>
    <t>OG-INFLSCSP3</t>
  </si>
  <si>
    <t>OG-INFLSCSP4</t>
  </si>
  <si>
    <t>OM-INFSCISP1</t>
  </si>
  <si>
    <t>OM-INFSCISP2</t>
  </si>
  <si>
    <t>OM-INFSCISP3</t>
  </si>
  <si>
    <t>OM-INFSCISP4</t>
  </si>
  <si>
    <t>OM-INFSCXSP1</t>
  </si>
  <si>
    <t>OM-INFSCXSP2</t>
  </si>
  <si>
    <t>OM-INFSCXSP3</t>
  </si>
  <si>
    <t>OM-INFSCXSP4</t>
  </si>
  <si>
    <t>Y1SP1</t>
  </si>
  <si>
    <t>INFO5051</t>
  </si>
  <si>
    <t>Y1SP2</t>
  </si>
  <si>
    <t>INFO5045</t>
  </si>
  <si>
    <t>Y1SP3</t>
  </si>
  <si>
    <t>Y1SP4</t>
  </si>
  <si>
    <t>Option</t>
  </si>
  <si>
    <t>INFO5053</t>
  </si>
  <si>
    <t>INFO5042</t>
  </si>
  <si>
    <t>INFO5048</t>
  </si>
  <si>
    <t>INFO5041</t>
  </si>
  <si>
    <t>INFO5046*</t>
  </si>
  <si>
    <t>INFO5016</t>
  </si>
  <si>
    <t>INFO5044*</t>
  </si>
  <si>
    <t>INFO5023</t>
  </si>
  <si>
    <t>INFO5044</t>
  </si>
  <si>
    <t>INFO5046</t>
  </si>
  <si>
    <t>Y2SP1</t>
  </si>
  <si>
    <t>Y2SP2</t>
  </si>
  <si>
    <t>Y2SP3</t>
  </si>
  <si>
    <t>Y2SP4</t>
  </si>
  <si>
    <t>AC-INFSCX1</t>
  </si>
  <si>
    <t>-</t>
  </si>
  <si>
    <t>AC-INFSCX2</t>
  </si>
  <si>
    <t>GH Reviewed</t>
  </si>
  <si>
    <t>Needs Review</t>
  </si>
  <si>
    <t>To Check</t>
  </si>
  <si>
    <t>50CP Unit</t>
  </si>
  <si>
    <t>Locked to SP</t>
  </si>
  <si>
    <t>RangeOptions</t>
  </si>
  <si>
    <t>Opt-ARCREC</t>
  </si>
  <si>
    <t>--</t>
  </si>
  <si>
    <t>Opt-INFSCI</t>
  </si>
  <si>
    <t>HRIG5006</t>
  </si>
  <si>
    <t>COMS6007</t>
  </si>
  <si>
    <t>HRIG5007</t>
  </si>
  <si>
    <t>HUMN6002</t>
  </si>
  <si>
    <t>PRJM6013</t>
  </si>
  <si>
    <t xml:space="preserve"> </t>
  </si>
  <si>
    <t>PRJM6015</t>
  </si>
  <si>
    <t>PRJM6020</t>
  </si>
  <si>
    <t>COMS6006</t>
  </si>
  <si>
    <t>PRJM6021</t>
  </si>
  <si>
    <t>HUMN6004</t>
  </si>
  <si>
    <t>Opt-INFSCX</t>
  </si>
  <si>
    <t>Title</t>
  </si>
  <si>
    <t>OUASess1</t>
  </si>
  <si>
    <t>OUASess2</t>
  </si>
  <si>
    <t>Notes</t>
  </si>
  <si>
    <t>Please note this is a DOUBLE (50CP) subject</t>
  </si>
  <si>
    <t>Not applicable to this course</t>
  </si>
  <si>
    <t>Study either COM610 or HUMN600 (see below)</t>
  </si>
  <si>
    <t>See below</t>
  </si>
  <si>
    <t>Study either COM600 or HUMN610 (see below)</t>
  </si>
  <si>
    <t>COM600</t>
  </si>
  <si>
    <t>Masters Professional Experience</t>
  </si>
  <si>
    <t>100CP</t>
  </si>
  <si>
    <t>COM610</t>
  </si>
  <si>
    <t>Masters Professional or Creative Project</t>
  </si>
  <si>
    <t>100CP + INF520*</t>
  </si>
  <si>
    <t>CHRE501</t>
  </si>
  <si>
    <t>Introduction to Human Rights and Social Justice</t>
  </si>
  <si>
    <t>Nil</t>
  </si>
  <si>
    <t>CHRE502</t>
  </si>
  <si>
    <t>Dialogue across Cultures and Religions</t>
  </si>
  <si>
    <t>HUMN600</t>
  </si>
  <si>
    <t>Masters Research Project 1</t>
  </si>
  <si>
    <t>HUMN610</t>
  </si>
  <si>
    <t>Masters Research Project 2</t>
  </si>
  <si>
    <t>INFM570</t>
  </si>
  <si>
    <t>Archives and Heritage Collections</t>
  </si>
  <si>
    <t>INFM510</t>
  </si>
  <si>
    <t>Leading and Managing in Information Environments</t>
  </si>
  <si>
    <t>50CP</t>
  </si>
  <si>
    <t>INF500</t>
  </si>
  <si>
    <t>Knowledge Organisation and Metadata</t>
  </si>
  <si>
    <t>INF510</t>
  </si>
  <si>
    <t>Telling Stories with Data</t>
  </si>
  <si>
    <t>INF520</t>
  </si>
  <si>
    <t>Research and Evaluation</t>
  </si>
  <si>
    <t>75CP (*contact Course Coordinator)</t>
  </si>
  <si>
    <t>75CP</t>
  </si>
  <si>
    <t>75CP Pre Req creates sequencing issues for GD</t>
  </si>
  <si>
    <t>INF530</t>
  </si>
  <si>
    <t>Public and Private Records</t>
  </si>
  <si>
    <t>INF540</t>
  </si>
  <si>
    <t>Digital Preservation</t>
  </si>
  <si>
    <t>INFM560</t>
  </si>
  <si>
    <t>Libraries as Organisations</t>
  </si>
  <si>
    <t>INFM520</t>
  </si>
  <si>
    <t>Critical Information Values</t>
  </si>
  <si>
    <t>INFM540</t>
  </si>
  <si>
    <t>Communities and Literacies</t>
  </si>
  <si>
    <t>-N/A-</t>
  </si>
  <si>
    <t>Full-time study is not available with commencement this study period</t>
  </si>
  <si>
    <t>Contact Course Coordinator</t>
  </si>
  <si>
    <t>Study 2 subjects from this Options list</t>
  </si>
  <si>
    <t>Study a subject from the Option list below</t>
  </si>
  <si>
    <t>PRM500</t>
  </si>
  <si>
    <t>Project Management Overview</t>
  </si>
  <si>
    <t>PRM510</t>
  </si>
  <si>
    <t>Project and People</t>
  </si>
  <si>
    <t>PRM550</t>
  </si>
  <si>
    <t>Project Risk Management</t>
  </si>
  <si>
    <t>PRM530</t>
  </si>
  <si>
    <t>Project Planning and Schedule Management</t>
  </si>
  <si>
    <t>Downloaded:</t>
  </si>
  <si>
    <t>V</t>
  </si>
  <si>
    <t>CPs</t>
  </si>
  <si>
    <t>No.</t>
  </si>
  <si>
    <t>Component Type</t>
  </si>
  <si>
    <t>Year Level</t>
  </si>
  <si>
    <t>Study Package Code</t>
  </si>
  <si>
    <t>Structure Line</t>
  </si>
  <si>
    <t>Effective</t>
  </si>
  <si>
    <t>Discont.</t>
  </si>
  <si>
    <t>SPK</t>
  </si>
  <si>
    <t>Core</t>
  </si>
  <si>
    <t>NA</t>
  </si>
  <si>
    <t>INFM510 Leading and Managing in Information Environments</t>
  </si>
  <si>
    <t>INF530 Public and Private Records</t>
  </si>
  <si>
    <t>INFM570 Archives and Heritage Collections</t>
  </si>
  <si>
    <t>INFM520 Critical Information Values</t>
  </si>
  <si>
    <t>INF540 Digital Preservation</t>
  </si>
  <si>
    <t>INF500 Knowledge Organisation and Metadata</t>
  </si>
  <si>
    <t>Choose Options</t>
  </si>
  <si>
    <t>CHRE501 Introduction to Human Rights and Social Justice</t>
  </si>
  <si>
    <t>CHRE502 Dialogue across Cultures and Religions</t>
  </si>
  <si>
    <t>PRM500 Project Management Overview</t>
  </si>
  <si>
    <t>PRM510 Project and People</t>
  </si>
  <si>
    <t>PRM550 Project Risk Management</t>
  </si>
  <si>
    <t>PRM530 Project Planning and Schedule Management</t>
  </si>
  <si>
    <t>INF520 Research and Evaluation</t>
  </si>
  <si>
    <t>INF510 Telling Stories with Data</t>
  </si>
  <si>
    <t>INFM560 Libraries as Organisations</t>
  </si>
  <si>
    <t>INFM540 Communities and Literacies</t>
  </si>
  <si>
    <t>AltCore</t>
  </si>
  <si>
    <t>Choose HUMN6004 or COMS6006</t>
  </si>
  <si>
    <t>Choose HUMN6002 or COMS6007</t>
  </si>
  <si>
    <t>COM600 Masters Professional Experience</t>
  </si>
  <si>
    <t>HUMN610 Masters Research Project 2</t>
  </si>
  <si>
    <t>COM610 Masters Professional or Creative Project</t>
  </si>
  <si>
    <t>HUMN600 Masters Research Project 1</t>
  </si>
  <si>
    <t>Row Labels</t>
  </si>
  <si>
    <t>OpenUnis Session 1</t>
  </si>
  <si>
    <t>OpenUnis Session 2</t>
  </si>
  <si>
    <t>OpenUnis SP 1</t>
  </si>
  <si>
    <t>OpenUnis SP 2</t>
  </si>
  <si>
    <t>OpenUnis SP 3</t>
  </si>
  <si>
    <t>OpenUnis SP 4</t>
  </si>
  <si>
    <t>Previous</t>
  </si>
  <si>
    <t>Pre-reqs (2/12/2025)</t>
  </si>
  <si>
    <t>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t>
  </si>
  <si>
    <t>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t>
  </si>
  <si>
    <t>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t>
  </si>
  <si>
    <t>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t>
  </si>
  <si>
    <t>Ready to Publish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</si>
</sst>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2"/>
      <color theme="1"/>
      <name val="Calibri"/>
      <family val="2"/>
      <scheme val="minor"/>
    </font>
    <font>
      <sz val="11"/>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sz val="6"/>
      <color theme="1"/>
      <name val="Segoe UI"/>
      <family val="2"/>
    </font>
    <font>
      <b/>
      <sz val="6"/>
      <color theme="1"/>
      <name val="Arial"/>
      <family val="2"/>
    </font>
    <font>
      <sz val="6"/>
      <color theme="1"/>
      <name val="Arial"/>
      <family val="2"/>
    </font>
    <font>
      <sz val="11"/>
      <name val="Arial"/>
      <family val="2"/>
    </font>
    <font>
      <sz val="9"/>
      <name val="Segoe UI"/>
      <family val="2"/>
    </font>
    <font>
      <b/>
      <sz val="9"/>
      <color theme="0"/>
      <name val="Segoe UI"/>
      <family val="2"/>
    </font>
    <font>
      <b/>
      <sz val="11"/>
      <color theme="0"/>
      <name val="Arial"/>
      <family val="2"/>
    </font>
    <font>
      <b/>
      <sz val="11"/>
      <color theme="0"/>
      <name val="Segoe UI"/>
      <family val="2"/>
    </font>
    <font>
      <b/>
      <sz val="11"/>
      <color rgb="FFFF0000"/>
      <name val="Segoe UI"/>
      <family val="2"/>
    </font>
    <font>
      <sz val="12"/>
      <name val="Calibri"/>
      <family val="2"/>
      <scheme val="minor"/>
    </font>
    <font>
      <b/>
      <sz val="8"/>
      <color rgb="FFFFFFFF"/>
      <name val="Segoe UI"/>
      <family val="2"/>
    </font>
    <font>
      <b/>
      <sz val="9"/>
      <color rgb="FFFF0000"/>
      <name val="Segoe UI"/>
      <family val="2"/>
    </font>
    <font>
      <sz val="12"/>
      <color rgb="FFFF0000"/>
      <name val="Calibri"/>
      <family val="2"/>
      <scheme val="minor"/>
    </font>
    <font>
      <b/>
      <sz val="12"/>
      <color theme="0"/>
      <name val="Segoe UI"/>
      <family val="2"/>
    </font>
    <font>
      <b/>
      <sz val="14"/>
      <color theme="0"/>
      <name val="Segoe UI"/>
      <family val="2"/>
    </font>
    <font>
      <b/>
      <sz val="18"/>
      <color theme="1"/>
      <name val="Segoe UI"/>
      <family val="2"/>
    </font>
    <font>
      <b/>
      <sz val="11"/>
      <color rgb="FFFFFFFF"/>
      <name val="Arial"/>
      <family val="2"/>
    </font>
    <font>
      <sz val="11"/>
      <color rgb="FFFFFFFF"/>
      <name val="Arial"/>
      <family val="2"/>
    </font>
    <font>
      <b/>
      <i/>
      <sz val="12"/>
      <color theme="0" tint="-0.34998626667073579"/>
      <name val="Calibri"/>
      <family val="2"/>
      <scheme val="minor"/>
    </font>
    <font>
      <sz val="10"/>
      <name val="Arial"/>
      <family val="2"/>
    </font>
    <font>
      <b/>
      <i/>
      <sz val="12"/>
      <color rgb="FF00B050"/>
      <name val="Calibri"/>
      <family val="2"/>
      <scheme val="minor"/>
    </font>
    <font>
      <b/>
      <sz val="10"/>
      <name val="Segoe UI"/>
      <family val="2"/>
    </font>
    <font>
      <sz val="8"/>
      <color rgb="FF00B0F0"/>
      <name val="Arial"/>
      <family val="2"/>
    </font>
    <font>
      <sz val="11"/>
      <color rgb="FF006100"/>
      <name val="Calibri"/>
      <family val="2"/>
      <scheme val="minor"/>
    </font>
    <font>
      <sz val="9"/>
      <color rgb="FFFF0000"/>
      <name val="Segoe UI"/>
      <family val="2"/>
    </font>
    <font>
      <sz val="12"/>
      <color rgb="FF00B050"/>
      <name val="Calibri"/>
      <family val="2"/>
      <scheme val="minor"/>
    </font>
    <font>
      <sz val="11"/>
      <color theme="5" tint="-0.249977111117893"/>
      <name val="Calibri"/>
      <family val="2"/>
      <scheme val="minor"/>
    </font>
    <font>
      <sz val="10"/>
      <color rgb="FF00B050"/>
      <name val="Arial"/>
      <family val="2"/>
    </font>
    <font>
      <b/>
      <i/>
      <sz val="12"/>
      <name val="Calibri"/>
      <family val="2"/>
      <scheme val="minor"/>
    </font>
    <font>
      <b/>
      <sz val="12"/>
      <name val="Calibri"/>
      <family val="2"/>
      <scheme val="minor"/>
    </font>
  </fonts>
  <fills count="18">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0.49998474074526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bgColor indexed="64"/>
      </patternFill>
    </fill>
    <fill>
      <patternFill patternType="solid">
        <fgColor rgb="FFFFFF00"/>
        <bgColor indexed="64"/>
      </patternFill>
    </fill>
    <fill>
      <patternFill patternType="solid">
        <fgColor theme="1"/>
        <bgColor indexed="64"/>
      </patternFill>
    </fill>
    <fill>
      <patternFill patternType="solid">
        <fgColor theme="1"/>
        <bgColor rgb="FF000000"/>
      </patternFill>
    </fill>
    <fill>
      <patternFill patternType="solid">
        <fgColor rgb="FFFFC000"/>
        <bgColor indexed="64"/>
      </patternFill>
    </fill>
    <fill>
      <patternFill patternType="solid">
        <fgColor theme="0" tint="-0.14999847407452621"/>
        <bgColor indexed="64"/>
      </patternFill>
    </fill>
    <fill>
      <patternFill patternType="solid">
        <fgColor theme="5" tint="-0.249977111117893"/>
        <bgColor indexed="64"/>
      </patternFill>
    </fill>
    <fill>
      <patternFill patternType="solid">
        <fgColor rgb="FFC6EFCE"/>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92D050"/>
        <bgColor indexed="64"/>
      </patternFill>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6795556505021"/>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0691854609822"/>
      </left>
      <right/>
      <top/>
      <bottom/>
      <diagonal/>
    </border>
    <border>
      <left/>
      <right style="double">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right style="medium">
        <color theme="0" tint="-0.1498764000366222"/>
      </right>
      <top/>
      <bottom/>
      <diagonal/>
    </border>
    <border>
      <left style="thin">
        <color theme="0" tint="-0.1498764000366222"/>
      </left>
      <right style="medium">
        <color theme="0" tint="-0.1498764000366222"/>
      </right>
      <top style="thin">
        <color theme="0" tint="-0.14993743705557422"/>
      </top>
      <bottom style="thin">
        <color theme="0" tint="-0.14993743705557422"/>
      </bottom>
      <diagonal/>
    </border>
    <border>
      <left style="thin">
        <color theme="0" tint="-0.1498764000366222"/>
      </left>
      <right style="medium">
        <color theme="0" tint="-0.1498764000366222"/>
      </right>
      <top/>
      <bottom/>
      <diagonal/>
    </border>
    <border>
      <left style="medium">
        <color theme="0" tint="-0.1498764000366222"/>
      </left>
      <right style="thin">
        <color theme="0" tint="-0.1498458815271462"/>
      </right>
      <top style="thin">
        <color theme="0" tint="-0.14993743705557422"/>
      </top>
      <bottom style="thin">
        <color theme="0" tint="-0.14993743705557422"/>
      </bottom>
      <diagonal/>
    </border>
    <border>
      <left style="thin">
        <color theme="0" tint="-0.1498458815271462"/>
      </left>
      <right style="thin">
        <color theme="0" tint="-0.14990691854609822"/>
      </right>
      <top style="thin">
        <color theme="0" tint="-0.14993743705557422"/>
      </top>
      <bottom style="thin">
        <color theme="0" tint="-0.14993743705557422"/>
      </bottom>
      <diagonal/>
    </border>
    <border>
      <left style="medium">
        <color theme="0" tint="-0.1498764000366222"/>
      </left>
      <right style="thin">
        <color theme="0" tint="-0.1498458815271462"/>
      </right>
      <top/>
      <bottom/>
      <diagonal/>
    </border>
    <border>
      <left style="thin">
        <color theme="0" tint="-0.1498458815271462"/>
      </left>
      <right style="thin">
        <color theme="0" tint="-0.14990691854609822"/>
      </right>
      <top/>
      <bottom/>
      <diagonal/>
    </border>
    <border>
      <left style="medium">
        <color theme="0" tint="-0.1498764000366222"/>
      </left>
      <right style="thin">
        <color theme="0" tint="-0.1498458815271462"/>
      </right>
      <top style="medium">
        <color theme="0" tint="-0.1498458815271462"/>
      </top>
      <bottom style="thin">
        <color theme="0" tint="-0.14993743705557422"/>
      </bottom>
      <diagonal/>
    </border>
    <border>
      <left style="thin">
        <color theme="0" tint="-0.1498458815271462"/>
      </left>
      <right style="thin">
        <color theme="0" tint="-0.14990691854609822"/>
      </right>
      <top style="medium">
        <color theme="0" tint="-0.1498458815271462"/>
      </top>
      <bottom style="thin">
        <color theme="0" tint="-0.14993743705557422"/>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xf numFmtId="0" fontId="1" fillId="0" borderId="0"/>
    <xf numFmtId="0" fontId="50" fillId="14" borderId="0" applyNumberFormat="0" applyBorder="0" applyAlignment="0" applyProtection="0"/>
  </cellStyleXfs>
  <cellXfs count="343">
    <xf numFmtId="0" fontId="0" fillId="0" borderId="0" xfId="0"/>
    <xf numFmtId="0" fontId="4" fillId="0" borderId="0" xfId="0" applyFont="1" applyAlignment="1">
      <alignment horizontal="center" vertical="center"/>
    </xf>
    <xf numFmtId="0" fontId="0" fillId="0" borderId="0" xfId="0" applyAlignment="1">
      <alignment horizontal="center"/>
    </xf>
    <xf numFmtId="0" fontId="6" fillId="0" borderId="0" xfId="0" applyFont="1"/>
    <xf numFmtId="0" fontId="7" fillId="0" borderId="0" xfId="0" applyFont="1" applyAlignment="1">
      <alignment horizontal="center"/>
    </xf>
    <xf numFmtId="0" fontId="10" fillId="0" borderId="0" xfId="0" applyFont="1"/>
    <xf numFmtId="0" fontId="10" fillId="0" borderId="0" xfId="0" applyFont="1" applyAlignment="1">
      <alignment horizontal="center"/>
    </xf>
    <xf numFmtId="0" fontId="6" fillId="0" borderId="0" xfId="0" applyFont="1" applyAlignment="1">
      <alignment horizontal="right"/>
    </xf>
    <xf numFmtId="0" fontId="7"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1" fillId="0" borderId="0" xfId="0" applyFont="1" applyAlignment="1">
      <alignment horizontal="center" vertical="center"/>
    </xf>
    <xf numFmtId="0" fontId="8" fillId="0" borderId="0" xfId="0" applyFont="1" applyAlignment="1">
      <alignment horizontal="center"/>
    </xf>
    <xf numFmtId="0" fontId="16" fillId="0" borderId="0" xfId="0" applyFont="1"/>
    <xf numFmtId="0" fontId="18" fillId="0" borderId="10" xfId="1" applyFont="1" applyBorder="1" applyAlignment="1">
      <alignment horizontal="center"/>
    </xf>
    <xf numFmtId="0" fontId="18" fillId="0" borderId="11" xfId="1" applyFont="1" applyBorder="1" applyAlignment="1">
      <alignment horizontal="center"/>
    </xf>
    <xf numFmtId="0" fontId="18" fillId="0" borderId="11" xfId="1" applyFont="1" applyBorder="1"/>
    <xf numFmtId="0" fontId="18" fillId="0" borderId="12" xfId="1" applyFont="1" applyBorder="1"/>
    <xf numFmtId="0" fontId="2" fillId="0" borderId="0" xfId="1"/>
    <xf numFmtId="0" fontId="2" fillId="0" borderId="0" xfId="1" applyAlignment="1">
      <alignment horizontal="center"/>
    </xf>
    <xf numFmtId="0" fontId="20" fillId="2" borderId="0" xfId="1" applyFont="1" applyFill="1" applyAlignment="1">
      <alignment horizontal="right" vertical="center" indent="1"/>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 fillId="0" borderId="0" xfId="1" applyProtection="1">
      <protection locked="0"/>
    </xf>
    <xf numFmtId="0" fontId="23" fillId="2" borderId="0" xfId="1" applyFont="1" applyFill="1" applyAlignment="1" applyProtection="1">
      <alignment vertical="center"/>
      <protection locked="0"/>
    </xf>
    <xf numFmtId="0" fontId="24" fillId="2" borderId="0" xfId="1" applyFont="1" applyFill="1" applyAlignment="1" applyProtection="1">
      <alignment vertical="center"/>
      <protection locked="0"/>
    </xf>
    <xf numFmtId="0" fontId="24" fillId="2" borderId="0" xfId="1" applyFont="1" applyFill="1" applyAlignment="1">
      <alignment vertical="center"/>
    </xf>
    <xf numFmtId="0" fontId="23" fillId="2" borderId="0" xfId="1" applyFont="1" applyFill="1" applyAlignment="1" applyProtection="1">
      <alignment wrapText="1"/>
      <protection locked="0"/>
    </xf>
    <xf numFmtId="0" fontId="24" fillId="2" borderId="0" xfId="1" applyFont="1" applyFill="1" applyAlignment="1" applyProtection="1">
      <alignment wrapText="1"/>
      <protection locked="0"/>
    </xf>
    <xf numFmtId="0" fontId="24" fillId="2" borderId="0" xfId="1" applyFont="1" applyFill="1" applyAlignment="1">
      <alignment wrapText="1"/>
    </xf>
    <xf numFmtId="0" fontId="23" fillId="2" borderId="0" xfId="1" applyFont="1" applyFill="1" applyProtection="1">
      <protection locked="0"/>
    </xf>
    <xf numFmtId="0" fontId="24" fillId="2" borderId="0" xfId="1" applyFont="1" applyFill="1" applyProtection="1">
      <protection locked="0"/>
    </xf>
    <xf numFmtId="0" fontId="24" fillId="2" borderId="0" xfId="1" applyFont="1" applyFill="1"/>
    <xf numFmtId="0" fontId="27" fillId="2" borderId="0" xfId="1" applyFont="1" applyFill="1" applyAlignment="1">
      <alignment vertical="center"/>
    </xf>
    <xf numFmtId="0" fontId="29" fillId="2" borderId="0" xfId="1" applyFont="1" applyFill="1" applyAlignment="1">
      <alignment vertical="center"/>
    </xf>
    <xf numFmtId="0" fontId="30" fillId="2" borderId="0" xfId="1" applyFont="1" applyFill="1" applyProtection="1">
      <protection locked="0"/>
    </xf>
    <xf numFmtId="0" fontId="12" fillId="2" borderId="0" xfId="1" applyFont="1" applyFill="1" applyProtection="1">
      <protection locked="0"/>
    </xf>
    <xf numFmtId="0" fontId="12" fillId="2" borderId="0" xfId="1" applyFont="1" applyFill="1"/>
    <xf numFmtId="0" fontId="27" fillId="2" borderId="0" xfId="1" applyFont="1" applyFill="1" applyAlignment="1">
      <alignment horizontal="left" vertical="center" wrapText="1"/>
    </xf>
    <xf numFmtId="0" fontId="28" fillId="2" borderId="0" xfId="1" applyFont="1" applyFill="1" applyAlignment="1">
      <alignment horizontal="left" vertical="center" wrapText="1"/>
    </xf>
    <xf numFmtId="0" fontId="2" fillId="0" borderId="0" xfId="1" applyAlignment="1" applyProtection="1">
      <alignment horizontal="center" vertical="top"/>
      <protection locked="0"/>
    </xf>
    <xf numFmtId="0" fontId="2" fillId="0" borderId="0" xfId="1" applyAlignment="1">
      <alignment horizontal="center" vertical="top"/>
    </xf>
    <xf numFmtId="0" fontId="31" fillId="0" borderId="18" xfId="1" applyFont="1" applyBorder="1" applyAlignment="1">
      <alignment vertical="center"/>
    </xf>
    <xf numFmtId="0" fontId="31" fillId="0" borderId="18" xfId="1" applyFont="1" applyBorder="1" applyAlignment="1">
      <alignment horizontal="center" vertical="center" wrapText="1"/>
    </xf>
    <xf numFmtId="0" fontId="32" fillId="4" borderId="20" xfId="1" applyFont="1" applyFill="1" applyBorder="1" applyAlignment="1">
      <alignment horizontal="left" vertical="center"/>
    </xf>
    <xf numFmtId="0" fontId="32" fillId="4" borderId="21" xfId="1" applyFont="1" applyFill="1" applyBorder="1" applyAlignment="1">
      <alignment horizontal="left" vertical="center"/>
    </xf>
    <xf numFmtId="0" fontId="32" fillId="4" borderId="22" xfId="1" applyFont="1" applyFill="1" applyBorder="1" applyAlignment="1">
      <alignment horizontal="left" vertical="center"/>
    </xf>
    <xf numFmtId="0" fontId="29" fillId="2" borderId="0" xfId="1" applyFont="1" applyFill="1" applyAlignment="1">
      <alignment horizontal="right" vertical="center"/>
    </xf>
    <xf numFmtId="0" fontId="18" fillId="0" borderId="0" xfId="0" applyFont="1" applyAlignment="1">
      <alignment horizontal="center"/>
    </xf>
    <xf numFmtId="0" fontId="17" fillId="0" borderId="0" xfId="0" applyFont="1"/>
    <xf numFmtId="0" fontId="21" fillId="0" borderId="18" xfId="1" applyFont="1" applyBorder="1" applyAlignment="1">
      <alignment horizontal="center" vertical="center" wrapText="1"/>
    </xf>
    <xf numFmtId="0" fontId="21" fillId="0" borderId="0" xfId="1" applyFont="1" applyAlignment="1" applyProtection="1">
      <alignment vertical="top" wrapText="1"/>
      <protection locked="0"/>
    </xf>
    <xf numFmtId="0" fontId="0" fillId="0" borderId="24" xfId="0" applyBorder="1" applyAlignment="1">
      <alignment horizontal="center"/>
    </xf>
    <xf numFmtId="0" fontId="5" fillId="7" borderId="0" xfId="0" applyFont="1" applyFill="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20" fillId="2" borderId="0" xfId="1" applyFont="1" applyFill="1" applyAlignment="1">
      <alignment horizontal="center" vertical="center"/>
    </xf>
    <xf numFmtId="0" fontId="21" fillId="2" borderId="0" xfId="1" applyFont="1" applyFill="1" applyAlignment="1">
      <alignment horizontal="center" vertical="center" wrapText="1"/>
    </xf>
    <xf numFmtId="0" fontId="28" fillId="2" borderId="0" xfId="1" applyFont="1" applyFill="1" applyAlignment="1">
      <alignment horizontal="center" vertical="center" wrapText="1"/>
    </xf>
    <xf numFmtId="0" fontId="32" fillId="4" borderId="21" xfId="1" applyFont="1" applyFill="1" applyBorder="1" applyAlignment="1">
      <alignment horizontal="center" vertical="center"/>
    </xf>
    <xf numFmtId="0" fontId="12" fillId="2" borderId="0" xfId="1" applyFont="1" applyFill="1" applyAlignment="1">
      <alignment horizontal="center" vertical="center"/>
    </xf>
    <xf numFmtId="0" fontId="21" fillId="2" borderId="0" xfId="1" applyFont="1" applyFill="1" applyAlignment="1">
      <alignment horizontal="right" vertical="center" indent="1"/>
    </xf>
    <xf numFmtId="0" fontId="21" fillId="0" borderId="17" xfId="1" applyFont="1" applyBorder="1" applyAlignment="1">
      <alignment horizontal="center" vertical="center" wrapText="1"/>
    </xf>
    <xf numFmtId="0" fontId="21" fillId="0" borderId="18" xfId="1" applyFont="1" applyBorder="1" applyAlignment="1">
      <alignment horizontal="left" vertical="center"/>
    </xf>
    <xf numFmtId="0" fontId="24" fillId="0" borderId="18" xfId="1" applyFont="1" applyBorder="1" applyAlignment="1">
      <alignment horizontal="center" vertical="center" wrapText="1"/>
    </xf>
    <xf numFmtId="0" fontId="22" fillId="9" borderId="0" xfId="1" applyFont="1" applyFill="1" applyAlignment="1">
      <alignment horizontal="center" vertical="center"/>
    </xf>
    <xf numFmtId="0" fontId="22" fillId="9" borderId="0" xfId="1" applyFont="1" applyFill="1" applyAlignment="1">
      <alignment horizontal="left" vertical="center" indent="1"/>
    </xf>
    <xf numFmtId="0" fontId="22" fillId="9" borderId="23" xfId="1" applyFont="1" applyFill="1" applyBorder="1" applyAlignment="1">
      <alignment horizontal="left" vertical="center"/>
    </xf>
    <xf numFmtId="0" fontId="22" fillId="9" borderId="16" xfId="1" applyFont="1" applyFill="1" applyBorder="1" applyAlignment="1">
      <alignment horizontal="left" vertical="center"/>
    </xf>
    <xf numFmtId="0" fontId="22" fillId="9" borderId="0" xfId="1" applyFont="1" applyFill="1" applyAlignment="1" applyProtection="1">
      <alignment vertical="center"/>
      <protection locked="0"/>
    </xf>
    <xf numFmtId="0" fontId="37" fillId="10" borderId="0" xfId="0" applyFont="1" applyFill="1" applyAlignment="1">
      <alignment horizontal="center" vertical="center" wrapText="1"/>
    </xf>
    <xf numFmtId="0" fontId="22" fillId="9" borderId="23" xfId="1" applyFont="1" applyFill="1" applyBorder="1" applyAlignment="1">
      <alignment horizontal="center" vertical="center" wrapText="1"/>
    </xf>
    <xf numFmtId="0" fontId="22" fillId="9" borderId="0" xfId="1" applyFont="1" applyFill="1" applyAlignment="1">
      <alignment horizontal="center" vertical="center" wrapText="1"/>
    </xf>
    <xf numFmtId="0" fontId="22" fillId="9" borderId="16" xfId="1" applyFont="1" applyFill="1" applyBorder="1" applyAlignment="1">
      <alignment horizontal="center" vertical="center" wrapText="1"/>
    </xf>
    <xf numFmtId="0" fontId="22" fillId="9" borderId="0" xfId="1" applyFont="1" applyFill="1" applyAlignment="1" applyProtection="1">
      <alignment horizontal="center" vertical="center"/>
      <protection locked="0"/>
    </xf>
    <xf numFmtId="0" fontId="32" fillId="9" borderId="0" xfId="1" applyFont="1" applyFill="1" applyAlignment="1">
      <alignment horizontal="left" vertical="top" indent="1"/>
    </xf>
    <xf numFmtId="0" fontId="21" fillId="0" borderId="18" xfId="1" applyFont="1" applyBorder="1" applyAlignment="1">
      <alignment vertical="center" wrapText="1"/>
    </xf>
    <xf numFmtId="0" fontId="38" fillId="0" borderId="0" xfId="1" applyFont="1" applyAlignment="1">
      <alignment horizontal="right" vertical="center"/>
    </xf>
    <xf numFmtId="0" fontId="45" fillId="0" borderId="0" xfId="0" applyFont="1" applyAlignment="1">
      <alignment horizontal="right"/>
    </xf>
    <xf numFmtId="14" fontId="0" fillId="0" borderId="0" xfId="0" applyNumberFormat="1"/>
    <xf numFmtId="0" fontId="23" fillId="2" borderId="0" xfId="1" applyFont="1" applyFill="1" applyAlignment="1" applyProtection="1">
      <alignment horizontal="center" vertical="center"/>
      <protection locked="0"/>
    </xf>
    <xf numFmtId="0" fontId="25" fillId="0" borderId="0" xfId="1" applyFont="1" applyAlignment="1" applyProtection="1">
      <alignment horizontal="center" vertical="center" wrapText="1"/>
      <protection locked="0"/>
    </xf>
    <xf numFmtId="0" fontId="30" fillId="2" borderId="0" xfId="1" applyFont="1" applyFill="1" applyAlignment="1" applyProtection="1">
      <alignment horizontal="center" vertical="center"/>
      <protection locked="0"/>
    </xf>
    <xf numFmtId="0" fontId="2" fillId="0" borderId="0" xfId="1" applyAlignment="1" applyProtection="1">
      <alignment horizontal="center" vertical="center"/>
      <protection locked="0"/>
    </xf>
    <xf numFmtId="0" fontId="40" fillId="9" borderId="0" xfId="1" applyFont="1" applyFill="1" applyAlignment="1">
      <alignment vertical="center"/>
    </xf>
    <xf numFmtId="0" fontId="31" fillId="0" borderId="17" xfId="1"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9" fillId="0" borderId="0" xfId="1" applyFont="1" applyAlignment="1">
      <alignment horizontal="center" vertical="center"/>
    </xf>
    <xf numFmtId="0" fontId="5" fillId="0" borderId="5" xfId="0" applyFont="1" applyBorder="1" applyAlignment="1">
      <alignment horizontal="center" vertical="center"/>
    </xf>
    <xf numFmtId="0" fontId="31" fillId="0" borderId="18" xfId="1" applyFont="1" applyBorder="1" applyAlignment="1">
      <alignment horizontal="center" vertical="center"/>
    </xf>
    <xf numFmtId="0" fontId="5" fillId="0" borderId="0" xfId="0" applyFont="1" applyAlignment="1">
      <alignment horizontal="center" vertical="center"/>
    </xf>
    <xf numFmtId="0" fontId="5" fillId="0" borderId="27" xfId="0" applyFont="1" applyBorder="1" applyAlignment="1">
      <alignment horizontal="center" vertical="center"/>
    </xf>
    <xf numFmtId="0" fontId="45" fillId="0" borderId="0" xfId="0" applyFont="1" applyAlignment="1">
      <alignment horizontal="left"/>
    </xf>
    <xf numFmtId="0" fontId="36" fillId="0" borderId="0" xfId="0" applyFont="1"/>
    <xf numFmtId="0" fontId="0" fillId="0" borderId="0" xfId="0" applyAlignment="1">
      <alignment horizontal="left"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21" fillId="12" borderId="12" xfId="1" applyFont="1" applyFill="1" applyBorder="1" applyAlignment="1">
      <alignment horizontal="center" vertical="center" wrapText="1"/>
    </xf>
    <xf numFmtId="0" fontId="21" fillId="12" borderId="0" xfId="1" applyFont="1" applyFill="1" applyAlignment="1">
      <alignment horizontal="center" vertical="center" wrapText="1"/>
    </xf>
    <xf numFmtId="0" fontId="21" fillId="12" borderId="0" xfId="1" applyFont="1" applyFill="1" applyAlignment="1">
      <alignment vertical="center" wrapText="1"/>
    </xf>
    <xf numFmtId="0" fontId="24" fillId="12" borderId="0" xfId="1" applyFont="1" applyFill="1" applyAlignment="1">
      <alignment horizontal="left" vertical="center" wrapText="1"/>
    </xf>
    <xf numFmtId="0" fontId="22" fillId="9" borderId="0" xfId="1" applyFont="1" applyFill="1" applyAlignment="1">
      <alignment horizontal="left" vertical="center"/>
    </xf>
    <xf numFmtId="0" fontId="19" fillId="12" borderId="14" xfId="1" applyFont="1" applyFill="1" applyBorder="1" applyAlignment="1">
      <alignment vertical="center"/>
    </xf>
    <xf numFmtId="0" fontId="19" fillId="12" borderId="15" xfId="1" applyFont="1" applyFill="1" applyBorder="1" applyAlignment="1">
      <alignment vertical="center"/>
    </xf>
    <xf numFmtId="0" fontId="19" fillId="12" borderId="15" xfId="1" applyFont="1" applyFill="1" applyBorder="1" applyAlignment="1">
      <alignment horizontal="right" vertical="center"/>
    </xf>
    <xf numFmtId="0" fontId="42" fillId="12" borderId="15" xfId="1" applyFont="1" applyFill="1" applyBorder="1" applyAlignment="1">
      <alignment horizontal="center" vertical="center"/>
    </xf>
    <xf numFmtId="0" fontId="35" fillId="12" borderId="15" xfId="1" applyFont="1" applyFill="1" applyBorder="1" applyAlignment="1">
      <alignment vertical="center"/>
    </xf>
    <xf numFmtId="0" fontId="33" fillId="13" borderId="0" xfId="1" applyFont="1" applyFill="1" applyAlignment="1">
      <alignment horizontal="center" vertical="center"/>
    </xf>
    <xf numFmtId="0" fontId="33" fillId="13" borderId="0" xfId="1" applyFont="1" applyFill="1" applyAlignment="1">
      <alignment vertical="center" wrapText="1"/>
    </xf>
    <xf numFmtId="0" fontId="41" fillId="13" borderId="0" xfId="1" applyFont="1" applyFill="1" applyAlignment="1">
      <alignment horizontal="left" vertical="center" readingOrder="1"/>
    </xf>
    <xf numFmtId="0" fontId="32" fillId="13" borderId="0" xfId="1" applyFont="1" applyFill="1" applyAlignment="1">
      <alignment horizontal="left" vertical="center" readingOrder="1"/>
    </xf>
    <xf numFmtId="0" fontId="34" fillId="13" borderId="0" xfId="1" applyFont="1" applyFill="1" applyAlignment="1">
      <alignment horizontal="center" vertical="center"/>
    </xf>
    <xf numFmtId="0" fontId="34" fillId="13" borderId="0" xfId="1" applyFont="1" applyFill="1" applyAlignment="1">
      <alignment horizontal="center" vertical="center" readingOrder="1"/>
    </xf>
    <xf numFmtId="0" fontId="22" fillId="13" borderId="23" xfId="1" applyFont="1" applyFill="1" applyBorder="1" applyAlignment="1">
      <alignment vertical="center" readingOrder="1"/>
    </xf>
    <xf numFmtId="0" fontId="34" fillId="13" borderId="16" xfId="1" applyFont="1" applyFill="1" applyBorder="1" applyAlignment="1">
      <alignment vertical="center" readingOrder="1"/>
    </xf>
    <xf numFmtId="0" fontId="39" fillId="0" borderId="0" xfId="0" applyFont="1"/>
    <xf numFmtId="0" fontId="36" fillId="0" borderId="0" xfId="0" applyFont="1" applyAlignment="1">
      <alignment horizontal="center"/>
    </xf>
    <xf numFmtId="14" fontId="36" fillId="0" borderId="0" xfId="0" applyNumberFormat="1" applyFont="1" applyAlignment="1">
      <alignment horizontal="center"/>
    </xf>
    <xf numFmtId="14" fontId="47" fillId="0" borderId="0" xfId="0" applyNumberFormat="1" applyFont="1"/>
    <xf numFmtId="0" fontId="22" fillId="13" borderId="0" xfId="1" applyFont="1" applyFill="1" applyAlignment="1">
      <alignment vertical="center" readingOrder="1"/>
    </xf>
    <xf numFmtId="0" fontId="34" fillId="13" borderId="0" xfId="1" applyFont="1" applyFill="1" applyAlignment="1">
      <alignment vertical="center" readingOrder="1"/>
    </xf>
    <xf numFmtId="0" fontId="22" fillId="9" borderId="0" xfId="1" applyFont="1" applyFill="1" applyAlignment="1">
      <alignment horizontal="center" vertical="center" shrinkToFit="1"/>
    </xf>
    <xf numFmtId="0" fontId="24" fillId="2" borderId="18" xfId="1" applyFont="1" applyFill="1" applyBorder="1" applyAlignment="1">
      <alignment horizontal="center" vertical="center" shrinkToFit="1"/>
    </xf>
    <xf numFmtId="0" fontId="48" fillId="2" borderId="0" xfId="1" applyFont="1" applyFill="1" applyAlignment="1">
      <alignment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11" borderId="6" xfId="0" applyFont="1" applyFill="1" applyBorder="1" applyAlignment="1">
      <alignment horizontal="center" vertical="center"/>
    </xf>
    <xf numFmtId="0" fontId="4" fillId="11" borderId="8" xfId="0" applyFont="1" applyFill="1" applyBorder="1" applyAlignment="1">
      <alignment horizontal="center" vertical="center"/>
    </xf>
    <xf numFmtId="0" fontId="5" fillId="0" borderId="25" xfId="0" quotePrefix="1" applyFont="1" applyBorder="1" applyAlignment="1">
      <alignment horizontal="center" vertical="center"/>
    </xf>
    <xf numFmtId="0" fontId="4" fillId="0" borderId="5" xfId="0" applyFont="1" applyBorder="1" applyAlignment="1">
      <alignment horizontal="center" vertical="center"/>
    </xf>
    <xf numFmtId="0" fontId="49" fillId="0" borderId="8" xfId="0" applyFont="1" applyBorder="1" applyAlignment="1">
      <alignment horizontal="center" vertical="center"/>
    </xf>
    <xf numFmtId="0" fontId="49" fillId="0" borderId="0" xfId="0" applyFont="1" applyAlignment="1">
      <alignment horizontal="center" vertical="center"/>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0" fontId="3" fillId="3" borderId="31" xfId="0" applyFont="1" applyFill="1" applyBorder="1" applyAlignment="1">
      <alignment horizontal="right" vertical="center"/>
    </xf>
    <xf numFmtId="0" fontId="3" fillId="3" borderId="32" xfId="0" applyFont="1" applyFill="1" applyBorder="1" applyAlignment="1">
      <alignment horizontal="right" vertical="center"/>
    </xf>
    <xf numFmtId="0" fontId="4" fillId="0" borderId="33" xfId="0" applyFont="1" applyBorder="1" applyAlignment="1">
      <alignment horizontal="center" vertical="center"/>
    </xf>
    <xf numFmtId="0" fontId="5" fillId="0" borderId="34" xfId="0" applyFont="1" applyBorder="1" applyAlignment="1">
      <alignment horizontal="center" vertical="center"/>
    </xf>
    <xf numFmtId="0" fontId="4" fillId="0" borderId="35" xfId="0" applyFont="1" applyBorder="1" applyAlignment="1">
      <alignment horizontal="center" vertical="center"/>
    </xf>
    <xf numFmtId="0" fontId="49" fillId="0" borderId="34" xfId="0" applyFont="1" applyBorder="1" applyAlignment="1">
      <alignment horizontal="center" vertical="center"/>
    </xf>
    <xf numFmtId="0" fontId="4"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4" fillId="0" borderId="36" xfId="0" applyFont="1" applyBorder="1" applyAlignment="1">
      <alignment horizontal="center"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11" borderId="34" xfId="0" applyFont="1" applyFill="1" applyBorder="1" applyAlignment="1">
      <alignment horizontal="center" vertical="center"/>
    </xf>
    <xf numFmtId="0" fontId="4" fillId="11" borderId="38" xfId="0" applyFont="1" applyFill="1" applyBorder="1" applyAlignment="1">
      <alignment horizontal="center" vertical="center"/>
    </xf>
    <xf numFmtId="0" fontId="4" fillId="11" borderId="41" xfId="0" applyFont="1" applyFill="1" applyBorder="1" applyAlignment="1">
      <alignment horizontal="center" vertical="center"/>
    </xf>
    <xf numFmtId="0" fontId="21" fillId="0" borderId="19" xfId="1" applyFont="1" applyBorder="1" applyAlignment="1" applyProtection="1">
      <alignment horizontal="center" vertical="center" wrapText="1"/>
      <protection locked="0"/>
    </xf>
    <xf numFmtId="0" fontId="21" fillId="12" borderId="16" xfId="1" applyFont="1" applyFill="1" applyBorder="1" applyAlignment="1" applyProtection="1">
      <alignment horizontal="center" vertical="center" wrapText="1"/>
      <protection locked="0"/>
    </xf>
    <xf numFmtId="0" fontId="21" fillId="0" borderId="19" xfId="1" applyFont="1" applyBorder="1" applyAlignment="1">
      <alignment horizontal="center" vertical="center" wrapText="1"/>
    </xf>
    <xf numFmtId="0" fontId="0" fillId="0" borderId="0" xfId="0" applyAlignment="1">
      <alignment horizontal="left"/>
    </xf>
    <xf numFmtId="0" fontId="0" fillId="15" borderId="0" xfId="0" applyFill="1" applyAlignment="1">
      <alignment horizontal="center"/>
    </xf>
    <xf numFmtId="0" fontId="0" fillId="5" borderId="0" xfId="0" applyFill="1" applyAlignment="1">
      <alignment horizontal="center"/>
    </xf>
    <xf numFmtId="0" fontId="46" fillId="0" borderId="0" xfId="0" applyFont="1" applyAlignment="1">
      <alignment horizontal="center"/>
    </xf>
    <xf numFmtId="0" fontId="20" fillId="16" borderId="1" xfId="1" applyFont="1" applyFill="1" applyBorder="1" applyAlignment="1">
      <alignment horizontal="right" vertical="center"/>
    </xf>
    <xf numFmtId="0" fontId="21" fillId="16" borderId="3" xfId="1" applyFont="1" applyFill="1" applyBorder="1" applyAlignment="1">
      <alignment horizontal="centerContinuous" vertical="center" wrapText="1"/>
    </xf>
    <xf numFmtId="0" fontId="21" fillId="16" borderId="3" xfId="1" applyFont="1" applyFill="1" applyBorder="1" applyAlignment="1" applyProtection="1">
      <alignment horizontal="centerContinuous" vertical="top" wrapText="1"/>
      <protection locked="0"/>
    </xf>
    <xf numFmtId="0" fontId="51" fillId="16" borderId="2" xfId="1" applyFont="1" applyFill="1" applyBorder="1" applyAlignment="1">
      <alignment horizontal="centerContinuous" vertical="center" wrapText="1"/>
    </xf>
    <xf numFmtId="14" fontId="50" fillId="14" borderId="0" xfId="3" applyNumberFormat="1" applyAlignment="1">
      <alignment horizontal="center"/>
    </xf>
    <xf numFmtId="0" fontId="52" fillId="6" borderId="0" xfId="0" applyFont="1" applyFill="1"/>
    <xf numFmtId="0" fontId="0" fillId="0" borderId="0" xfId="0" applyAlignment="1">
      <alignment wrapText="1"/>
    </xf>
    <xf numFmtId="0" fontId="4" fillId="0" borderId="6" xfId="0" quotePrefix="1" applyFont="1" applyBorder="1" applyAlignment="1">
      <alignment horizontal="center" vertical="center"/>
    </xf>
    <xf numFmtId="0" fontId="49" fillId="0" borderId="6" xfId="0" quotePrefix="1" applyFont="1" applyBorder="1" applyAlignment="1">
      <alignment horizontal="center" vertical="center"/>
    </xf>
    <xf numFmtId="0" fontId="21" fillId="0" borderId="43" xfId="1" applyFont="1" applyBorder="1" applyAlignment="1">
      <alignment horizontal="center" vertical="center" wrapText="1"/>
    </xf>
    <xf numFmtId="0" fontId="21" fillId="0" borderId="44" xfId="1" applyFont="1" applyBorder="1" applyAlignment="1">
      <alignment horizontal="center" vertical="center" wrapText="1"/>
    </xf>
    <xf numFmtId="0" fontId="21" fillId="12" borderId="45" xfId="1" applyFont="1" applyFill="1" applyBorder="1" applyAlignment="1">
      <alignment horizontal="center" vertical="center" wrapText="1"/>
    </xf>
    <xf numFmtId="0" fontId="21" fillId="12" borderId="46" xfId="1" applyFont="1" applyFill="1" applyBorder="1" applyAlignment="1">
      <alignment horizontal="center" vertical="center" wrapText="1"/>
    </xf>
    <xf numFmtId="0" fontId="22" fillId="9" borderId="47" xfId="1" applyFont="1" applyFill="1" applyBorder="1" applyAlignment="1">
      <alignment horizontal="center" vertical="center" wrapText="1"/>
    </xf>
    <xf numFmtId="0" fontId="21" fillId="0" borderId="48" xfId="1" applyFont="1" applyBorder="1" applyAlignment="1">
      <alignment horizontal="center" vertical="center" wrapText="1"/>
    </xf>
    <xf numFmtId="0" fontId="21" fillId="12" borderId="49" xfId="1" applyFont="1" applyFill="1" applyBorder="1" applyAlignment="1">
      <alignment horizontal="center" vertical="center" wrapText="1"/>
    </xf>
    <xf numFmtId="0" fontId="21" fillId="0" borderId="50" xfId="1" applyFont="1" applyBorder="1" applyAlignment="1">
      <alignment horizontal="center" vertical="center" wrapText="1"/>
    </xf>
    <xf numFmtId="0" fontId="21" fillId="0" borderId="51" xfId="1" applyFont="1" applyBorder="1" applyAlignment="1">
      <alignment horizontal="center" vertical="center" wrapText="1"/>
    </xf>
    <xf numFmtId="0" fontId="21" fillId="12" borderId="52" xfId="1" applyFont="1" applyFill="1" applyBorder="1" applyAlignment="1">
      <alignment horizontal="center" vertical="center" wrapText="1"/>
    </xf>
    <xf numFmtId="0" fontId="21" fillId="12" borderId="53" xfId="1" applyFont="1" applyFill="1" applyBorder="1" applyAlignment="1">
      <alignment horizontal="center" vertical="center" wrapText="1"/>
    </xf>
    <xf numFmtId="0" fontId="21" fillId="2" borderId="43" xfId="1" applyFont="1" applyFill="1" applyBorder="1" applyAlignment="1">
      <alignment horizontal="center" vertical="center"/>
    </xf>
    <xf numFmtId="0" fontId="21" fillId="2" borderId="44" xfId="1" applyFont="1" applyFill="1" applyBorder="1" applyAlignment="1">
      <alignment horizontal="center" vertical="center"/>
    </xf>
    <xf numFmtId="0" fontId="21" fillId="2" borderId="48" xfId="1" applyFont="1" applyFill="1" applyBorder="1" applyAlignment="1">
      <alignment horizontal="center" vertical="center"/>
    </xf>
    <xf numFmtId="0" fontId="21" fillId="2" borderId="54" xfId="1" applyFont="1" applyFill="1" applyBorder="1" applyAlignment="1">
      <alignment horizontal="center" vertical="center"/>
    </xf>
    <xf numFmtId="0" fontId="21" fillId="2" borderId="55" xfId="1" applyFont="1" applyFill="1" applyBorder="1" applyAlignment="1">
      <alignment horizontal="center" vertical="center"/>
    </xf>
    <xf numFmtId="0" fontId="21" fillId="2" borderId="50" xfId="1" applyFont="1" applyFill="1" applyBorder="1" applyAlignment="1">
      <alignment horizontal="center" vertical="center"/>
    </xf>
    <xf numFmtId="0" fontId="21" fillId="2" borderId="51" xfId="1" applyFont="1" applyFill="1" applyBorder="1" applyAlignment="1">
      <alignment horizontal="center" vertical="center"/>
    </xf>
    <xf numFmtId="0" fontId="4" fillId="0" borderId="0" xfId="0" applyFont="1" applyAlignment="1">
      <alignment horizontal="center" vertical="center" wrapText="1"/>
    </xf>
    <xf numFmtId="0" fontId="4" fillId="8" borderId="0" xfId="0" applyFont="1" applyFill="1" applyAlignment="1">
      <alignment horizontal="center" vertical="center" wrapText="1"/>
    </xf>
    <xf numFmtId="0" fontId="32" fillId="0" borderId="0" xfId="1" applyFont="1" applyAlignment="1">
      <alignment horizontal="right" vertical="center"/>
    </xf>
    <xf numFmtId="0" fontId="53" fillId="13" borderId="0" xfId="1" applyFont="1" applyFill="1" applyAlignment="1">
      <alignment horizontal="right" vertical="center"/>
    </xf>
    <xf numFmtId="0" fontId="4" fillId="0" borderId="56" xfId="0" applyFont="1" applyBorder="1" applyAlignment="1">
      <alignment horizontal="center" vertical="center"/>
    </xf>
    <xf numFmtId="0" fontId="5" fillId="0" borderId="9" xfId="0" applyFont="1" applyBorder="1" applyAlignment="1">
      <alignment horizontal="center" vertical="center"/>
    </xf>
    <xf numFmtId="0" fontId="49" fillId="0" borderId="57" xfId="0" applyFont="1" applyBorder="1" applyAlignment="1">
      <alignment horizontal="center" vertical="center"/>
    </xf>
    <xf numFmtId="0" fontId="36" fillId="0" borderId="0" xfId="0" applyFont="1" applyAlignment="1">
      <alignment wrapText="1"/>
    </xf>
    <xf numFmtId="0" fontId="36" fillId="8" borderId="0" xfId="0" applyFont="1" applyFill="1" applyAlignment="1">
      <alignment horizontal="center"/>
    </xf>
    <xf numFmtId="14" fontId="36" fillId="8" borderId="0" xfId="0" applyNumberFormat="1" applyFont="1" applyFill="1" applyAlignment="1">
      <alignment horizontal="center"/>
    </xf>
    <xf numFmtId="0" fontId="46" fillId="17" borderId="0" xfId="0" applyFont="1" applyFill="1" applyAlignment="1">
      <alignment horizontal="center"/>
    </xf>
    <xf numFmtId="14" fontId="46" fillId="17" borderId="0" xfId="0" applyNumberFormat="1" applyFont="1" applyFill="1" applyAlignment="1">
      <alignment horizontal="center"/>
    </xf>
    <xf numFmtId="0" fontId="54" fillId="0" borderId="0" xfId="0" applyFont="1" applyAlignment="1">
      <alignment horizontal="center"/>
    </xf>
    <xf numFmtId="14" fontId="54" fillId="0" borderId="0" xfId="0" applyNumberFormat="1" applyFont="1" applyAlignment="1">
      <alignment horizontal="center"/>
    </xf>
    <xf numFmtId="0" fontId="54" fillId="0" borderId="0" xfId="0" applyFont="1" applyAlignment="1">
      <alignment horizontal="center" wrapText="1"/>
    </xf>
    <xf numFmtId="14" fontId="0" fillId="0" borderId="0" xfId="0" applyNumberFormat="1" applyAlignment="1">
      <alignment horizontal="center"/>
    </xf>
    <xf numFmtId="0" fontId="55" fillId="0" borderId="0" xfId="0" applyFont="1"/>
    <xf numFmtId="0" fontId="55" fillId="0" borderId="0" xfId="0" applyFont="1" applyAlignment="1">
      <alignment horizontal="left"/>
    </xf>
    <xf numFmtId="0" fontId="55" fillId="0" borderId="0" xfId="0" applyFont="1" applyAlignment="1">
      <alignment horizontal="center"/>
    </xf>
    <xf numFmtId="0" fontId="56" fillId="0" borderId="0" xfId="0" applyFont="1" applyAlignment="1">
      <alignment horizontal="right"/>
    </xf>
    <xf numFmtId="14" fontId="56" fillId="0" borderId="0" xfId="0" applyNumberFormat="1" applyFont="1"/>
    <xf numFmtId="14" fontId="56" fillId="0" borderId="0" xfId="0" applyNumberFormat="1" applyFont="1" applyAlignment="1">
      <alignment horizontal="center"/>
    </xf>
    <xf numFmtId="0" fontId="39" fillId="0" borderId="0" xfId="0" applyFont="1" applyAlignment="1">
      <alignment horizontal="center"/>
    </xf>
    <xf numFmtId="0" fontId="36" fillId="6" borderId="0" xfId="0" applyFont="1" applyFill="1"/>
    <xf numFmtId="0" fontId="0" fillId="0" borderId="0" xfId="0" applyAlignment="1">
      <alignment horizontal="right"/>
    </xf>
    <xf numFmtId="0" fontId="43" fillId="13" borderId="13"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26" fillId="2" borderId="0" xfId="1" applyFont="1" applyFill="1" applyAlignment="1">
      <alignment horizontal="center" vertical="center" wrapText="1"/>
    </xf>
    <xf numFmtId="0" fontId="18" fillId="0" borderId="10" xfId="1" applyFont="1" applyBorder="1" applyAlignment="1" applyProtection="1">
      <alignment horizontal="center"/>
    </xf>
    <xf numFmtId="0" fontId="18" fillId="0" borderId="11" xfId="1" applyFont="1" applyBorder="1" applyAlignment="1" applyProtection="1">
      <alignment horizontal="center"/>
    </xf>
    <xf numFmtId="0" fontId="18" fillId="0" borderId="11" xfId="1" applyFont="1" applyBorder="1" applyProtection="1"/>
    <xf numFmtId="0" fontId="18" fillId="0" borderId="12" xfId="1" applyFont="1" applyBorder="1" applyProtection="1"/>
    <xf numFmtId="0" fontId="2" fillId="0" borderId="0" xfId="1" applyProtection="1"/>
    <xf numFmtId="0" fontId="9" fillId="0" borderId="0" xfId="1" applyFont="1" applyAlignment="1" applyProtection="1">
      <alignment horizontal="center" vertical="center"/>
    </xf>
    <xf numFmtId="0" fontId="43" fillId="13" borderId="13" xfId="1" applyFont="1" applyFill="1" applyBorder="1" applyAlignment="1" applyProtection="1">
      <alignment horizontal="left" vertical="center" wrapText="1"/>
    </xf>
    <xf numFmtId="0" fontId="33" fillId="13" borderId="13" xfId="1" applyFont="1" applyFill="1" applyBorder="1" applyAlignment="1" applyProtection="1">
      <alignment horizontal="left" vertical="center" wrapText="1"/>
    </xf>
    <xf numFmtId="0" fontId="33" fillId="13" borderId="0" xfId="1" applyFont="1" applyFill="1" applyAlignment="1" applyProtection="1">
      <alignment horizontal="center" vertical="center"/>
    </xf>
    <xf numFmtId="0" fontId="33" fillId="13" borderId="0" xfId="1" applyFont="1" applyFill="1" applyAlignment="1" applyProtection="1">
      <alignment vertical="center" wrapText="1"/>
    </xf>
    <xf numFmtId="0" fontId="19" fillId="12" borderId="14" xfId="1" applyFont="1" applyFill="1" applyBorder="1" applyAlignment="1" applyProtection="1">
      <alignment vertical="center"/>
    </xf>
    <xf numFmtId="0" fontId="19" fillId="12" borderId="15" xfId="1" applyFont="1" applyFill="1" applyBorder="1" applyAlignment="1" applyProtection="1">
      <alignment vertical="center"/>
    </xf>
    <xf numFmtId="0" fontId="19" fillId="12" borderId="15" xfId="1" applyFont="1" applyFill="1" applyBorder="1" applyAlignment="1" applyProtection="1">
      <alignment horizontal="right" vertical="center"/>
    </xf>
    <xf numFmtId="0" fontId="42" fillId="12" borderId="15" xfId="1" applyFont="1" applyFill="1" applyBorder="1" applyAlignment="1" applyProtection="1">
      <alignment horizontal="center" vertical="center"/>
    </xf>
    <xf numFmtId="0" fontId="35" fillId="12" borderId="15" xfId="1" applyFont="1" applyFill="1" applyBorder="1" applyAlignment="1" applyProtection="1">
      <alignment vertical="center"/>
    </xf>
    <xf numFmtId="0" fontId="2" fillId="0" borderId="0" xfId="1" applyAlignment="1" applyProtection="1">
      <alignment horizontal="center"/>
    </xf>
    <xf numFmtId="0" fontId="20" fillId="2" borderId="0" xfId="1" applyFont="1" applyFill="1" applyAlignment="1" applyProtection="1">
      <alignment horizontal="right" vertical="center" indent="1"/>
    </xf>
    <xf numFmtId="0" fontId="21" fillId="2" borderId="0" xfId="1" applyFont="1" applyFill="1" applyAlignment="1" applyProtection="1">
      <alignment horizontal="right" vertical="center" indent="1"/>
    </xf>
    <xf numFmtId="0" fontId="48" fillId="2" borderId="0" xfId="1" applyFont="1" applyFill="1" applyAlignment="1" applyProtection="1">
      <alignment vertical="center"/>
    </xf>
    <xf numFmtId="0" fontId="20" fillId="2" borderId="0" xfId="1" applyFont="1" applyFill="1" applyAlignment="1" applyProtection="1">
      <alignment horizontal="center" vertical="center"/>
    </xf>
    <xf numFmtId="0" fontId="20" fillId="2" borderId="0" xfId="1" applyFont="1" applyFill="1" applyAlignment="1" applyProtection="1">
      <alignment vertical="center"/>
    </xf>
    <xf numFmtId="0" fontId="32" fillId="0" borderId="0" xfId="1" applyFont="1" applyAlignment="1" applyProtection="1">
      <alignment horizontal="right" vertical="center"/>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1" fillId="2" borderId="0" xfId="1" applyFont="1" applyFill="1" applyAlignment="1" applyProtection="1">
      <alignment horizontal="center" vertical="center" wrapText="1"/>
    </xf>
    <xf numFmtId="0" fontId="21" fillId="0" borderId="0" xfId="1" applyFont="1" applyAlignment="1" applyProtection="1">
      <alignment vertical="top" wrapText="1"/>
    </xf>
    <xf numFmtId="0" fontId="38" fillId="0" borderId="0" xfId="1" applyFont="1" applyAlignment="1" applyProtection="1">
      <alignment horizontal="right" vertical="center"/>
    </xf>
    <xf numFmtId="0" fontId="20" fillId="16" borderId="1" xfId="1" applyFont="1" applyFill="1" applyBorder="1" applyAlignment="1" applyProtection="1">
      <alignment horizontal="right" vertical="center"/>
    </xf>
    <xf numFmtId="0" fontId="21" fillId="16" borderId="3" xfId="1" applyFont="1" applyFill="1" applyBorder="1" applyAlignment="1" applyProtection="1">
      <alignment horizontal="centerContinuous" vertical="center" wrapText="1"/>
    </xf>
    <xf numFmtId="0" fontId="21" fillId="16" borderId="3" xfId="1" applyFont="1" applyFill="1" applyBorder="1" applyAlignment="1" applyProtection="1">
      <alignment horizontal="centerContinuous" vertical="top" wrapText="1"/>
    </xf>
    <xf numFmtId="0" fontId="51" fillId="16" borderId="2" xfId="1" applyFont="1" applyFill="1" applyBorder="1" applyAlignment="1" applyProtection="1">
      <alignment horizontal="centerContinuous" vertical="center" wrapText="1"/>
    </xf>
    <xf numFmtId="0" fontId="22" fillId="9" borderId="0" xfId="1" applyFont="1" applyFill="1" applyAlignment="1" applyProtection="1">
      <alignment horizontal="center" vertical="center"/>
    </xf>
    <xf numFmtId="0" fontId="22" fillId="9" borderId="0" xfId="1" applyFont="1" applyFill="1" applyAlignment="1" applyProtection="1">
      <alignment horizontal="left" vertical="center" indent="1"/>
    </xf>
    <xf numFmtId="0" fontId="22" fillId="9" borderId="23" xfId="1" applyFont="1" applyFill="1" applyBorder="1" applyAlignment="1" applyProtection="1">
      <alignment horizontal="left" vertical="center"/>
    </xf>
    <xf numFmtId="0" fontId="22" fillId="9" borderId="0" xfId="1" applyFont="1" applyFill="1" applyAlignment="1" applyProtection="1">
      <alignment horizontal="left" vertical="center"/>
    </xf>
    <xf numFmtId="0" fontId="22" fillId="9" borderId="16" xfId="1" applyFont="1" applyFill="1" applyBorder="1" applyAlignment="1" applyProtection="1">
      <alignment horizontal="left" vertical="center"/>
    </xf>
    <xf numFmtId="0" fontId="22" fillId="9" borderId="0" xfId="1" applyFont="1" applyFill="1" applyAlignment="1" applyProtection="1">
      <alignment vertical="center"/>
    </xf>
    <xf numFmtId="0" fontId="23" fillId="2" borderId="0" xfId="1" applyFont="1" applyFill="1" applyAlignment="1" applyProtection="1">
      <alignment vertical="center"/>
    </xf>
    <xf numFmtId="0" fontId="24" fillId="2" borderId="0" xfId="1" applyFont="1" applyFill="1" applyAlignment="1" applyProtection="1">
      <alignment vertical="center"/>
    </xf>
    <xf numFmtId="0" fontId="37" fillId="10" borderId="0" xfId="0" applyFont="1" applyFill="1" applyAlignment="1" applyProtection="1">
      <alignment horizontal="center" vertical="center" wrapText="1"/>
    </xf>
    <xf numFmtId="0" fontId="22" fillId="9" borderId="23" xfId="1" applyFont="1" applyFill="1" applyBorder="1" applyAlignment="1" applyProtection="1">
      <alignment horizontal="center" vertical="center" wrapText="1"/>
    </xf>
    <xf numFmtId="0" fontId="22" fillId="9" borderId="0" xfId="1" applyFont="1" applyFill="1" applyAlignment="1" applyProtection="1">
      <alignment horizontal="center" vertical="center" wrapText="1"/>
    </xf>
    <xf numFmtId="0" fontId="22" fillId="9" borderId="16" xfId="1" applyFont="1" applyFill="1" applyBorder="1" applyAlignment="1" applyProtection="1">
      <alignment horizontal="center" vertical="center" wrapText="1"/>
    </xf>
    <xf numFmtId="0" fontId="21" fillId="0" borderId="17" xfId="1" applyFont="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21" fillId="0" borderId="18" xfId="1" applyFont="1" applyBorder="1" applyAlignment="1" applyProtection="1">
      <alignment vertical="center" wrapText="1"/>
    </xf>
    <xf numFmtId="0" fontId="24" fillId="0" borderId="18" xfId="1" applyFont="1" applyBorder="1" applyAlignment="1" applyProtection="1">
      <alignment horizontal="center" vertical="center" wrapText="1"/>
    </xf>
    <xf numFmtId="0" fontId="21" fillId="0" borderId="43" xfId="1" applyFont="1" applyBorder="1" applyAlignment="1" applyProtection="1">
      <alignment horizontal="center" vertical="center" wrapText="1"/>
    </xf>
    <xf numFmtId="0" fontId="21" fillId="0" borderId="44" xfId="1" applyFont="1" applyBorder="1" applyAlignment="1" applyProtection="1">
      <alignment horizontal="center" vertical="center" wrapText="1"/>
    </xf>
    <xf numFmtId="0" fontId="21" fillId="0" borderId="48" xfId="1" applyFont="1" applyBorder="1" applyAlignment="1" applyProtection="1">
      <alignment horizontal="center" vertical="center" wrapText="1"/>
    </xf>
    <xf numFmtId="0" fontId="21" fillId="0" borderId="50" xfId="1" applyFont="1" applyBorder="1" applyAlignment="1" applyProtection="1">
      <alignment horizontal="center" vertical="center" wrapText="1"/>
    </xf>
    <xf numFmtId="0" fontId="21" fillId="0" borderId="51" xfId="1" applyFont="1" applyBorder="1" applyAlignment="1" applyProtection="1">
      <alignment horizontal="center" vertical="center" wrapText="1"/>
    </xf>
    <xf numFmtId="0" fontId="25" fillId="0" borderId="0" xfId="1" applyFont="1" applyAlignment="1" applyProtection="1">
      <alignment horizontal="center" vertical="center" wrapText="1"/>
    </xf>
    <xf numFmtId="0" fontId="23" fillId="2" borderId="0" xfId="1" applyFont="1" applyFill="1" applyAlignment="1" applyProtection="1">
      <alignment wrapText="1"/>
    </xf>
    <xf numFmtId="0" fontId="24" fillId="2" borderId="0" xfId="1" applyFont="1" applyFill="1" applyAlignment="1" applyProtection="1">
      <alignment wrapText="1"/>
    </xf>
    <xf numFmtId="0" fontId="21" fillId="12" borderId="12" xfId="1" applyFont="1" applyFill="1" applyBorder="1" applyAlignment="1" applyProtection="1">
      <alignment horizontal="center" vertical="center" wrapText="1"/>
    </xf>
    <xf numFmtId="0" fontId="21" fillId="12" borderId="0" xfId="1" applyFont="1" applyFill="1" applyAlignment="1" applyProtection="1">
      <alignment horizontal="center" vertical="center" wrapText="1"/>
    </xf>
    <xf numFmtId="0" fontId="21" fillId="12" borderId="0" xfId="1" applyFont="1" applyFill="1" applyAlignment="1" applyProtection="1">
      <alignment vertical="center" wrapText="1"/>
    </xf>
    <xf numFmtId="0" fontId="24" fillId="12" borderId="0" xfId="1" applyFont="1" applyFill="1" applyAlignment="1" applyProtection="1">
      <alignment horizontal="left" vertical="center" wrapText="1"/>
    </xf>
    <xf numFmtId="0" fontId="21" fillId="12" borderId="45" xfId="1" applyFont="1" applyFill="1" applyBorder="1" applyAlignment="1" applyProtection="1">
      <alignment horizontal="center" vertical="center" wrapText="1"/>
    </xf>
    <xf numFmtId="0" fontId="21" fillId="12" borderId="46" xfId="1" applyFont="1" applyFill="1" applyBorder="1" applyAlignment="1" applyProtection="1">
      <alignment horizontal="center" vertical="center" wrapText="1"/>
    </xf>
    <xf numFmtId="0" fontId="21" fillId="12" borderId="49" xfId="1" applyFont="1" applyFill="1" applyBorder="1" applyAlignment="1" applyProtection="1">
      <alignment horizontal="center" vertical="center" wrapText="1"/>
    </xf>
    <xf numFmtId="0" fontId="21" fillId="12" borderId="52" xfId="1" applyFont="1" applyFill="1" applyBorder="1" applyAlignment="1" applyProtection="1">
      <alignment horizontal="center" vertical="center" wrapText="1"/>
    </xf>
    <xf numFmtId="0" fontId="21" fillId="12" borderId="53" xfId="1" applyFont="1" applyFill="1" applyBorder="1" applyAlignment="1" applyProtection="1">
      <alignment horizontal="center" vertical="center" wrapText="1"/>
    </xf>
    <xf numFmtId="0" fontId="23" fillId="2" borderId="0" xfId="1" applyFont="1" applyFill="1" applyProtection="1"/>
    <xf numFmtId="0" fontId="24" fillId="2" borderId="0" xfId="1" applyFont="1" applyFill="1" applyProtection="1"/>
    <xf numFmtId="0" fontId="21" fillId="0" borderId="18" xfId="1" applyFont="1" applyBorder="1" applyAlignment="1" applyProtection="1">
      <alignment horizontal="left" vertical="center"/>
    </xf>
    <xf numFmtId="0" fontId="22" fillId="9" borderId="45" xfId="1" applyFont="1" applyFill="1" applyBorder="1" applyAlignment="1" applyProtection="1">
      <alignment horizontal="center" vertical="center" wrapText="1"/>
    </xf>
    <xf numFmtId="0" fontId="22" fillId="9" borderId="46" xfId="1" applyFont="1" applyFill="1" applyBorder="1" applyAlignment="1" applyProtection="1">
      <alignment horizontal="center" vertical="center" wrapText="1"/>
    </xf>
    <xf numFmtId="0" fontId="22" fillId="9" borderId="49" xfId="1" applyFont="1" applyFill="1" applyBorder="1" applyAlignment="1" applyProtection="1">
      <alignment horizontal="center" vertical="center" wrapText="1"/>
    </xf>
    <xf numFmtId="0" fontId="22" fillId="9" borderId="52" xfId="1" applyFont="1" applyFill="1" applyBorder="1" applyAlignment="1" applyProtection="1">
      <alignment horizontal="center" vertical="center" wrapText="1"/>
    </xf>
    <xf numFmtId="0" fontId="22" fillId="9" borderId="53" xfId="1" applyFont="1" applyFill="1" applyBorder="1" applyAlignment="1" applyProtection="1">
      <alignment horizontal="center" vertical="center" wrapText="1"/>
    </xf>
    <xf numFmtId="0" fontId="23" fillId="2" borderId="0" xfId="1" applyFont="1" applyFill="1" applyAlignment="1" applyProtection="1">
      <alignment horizontal="center" vertical="center"/>
    </xf>
    <xf numFmtId="0" fontId="27" fillId="2" borderId="0" xfId="1" applyFont="1" applyFill="1" applyAlignment="1" applyProtection="1">
      <alignment horizontal="left" vertical="center" wrapText="1"/>
    </xf>
    <xf numFmtId="0" fontId="28" fillId="2" borderId="0" xfId="1" applyFont="1" applyFill="1" applyAlignment="1" applyProtection="1">
      <alignment horizontal="left" vertical="center" wrapText="1"/>
    </xf>
    <xf numFmtId="0" fontId="28" fillId="2" borderId="0" xfId="1" applyFont="1" applyFill="1" applyAlignment="1" applyProtection="1">
      <alignment horizontal="center" vertical="center" wrapText="1"/>
    </xf>
    <xf numFmtId="0" fontId="29" fillId="2" borderId="0" xfId="1" applyFont="1" applyFill="1" applyAlignment="1" applyProtection="1">
      <alignment vertical="center"/>
    </xf>
    <xf numFmtId="0" fontId="30" fillId="2" borderId="0" xfId="1" applyFont="1" applyFill="1" applyAlignment="1" applyProtection="1">
      <alignment horizontal="center" vertical="center"/>
    </xf>
    <xf numFmtId="0" fontId="30" fillId="2" borderId="0" xfId="1" applyFont="1" applyFill="1" applyProtection="1"/>
    <xf numFmtId="0" fontId="12" fillId="2" borderId="0" xfId="1" applyFont="1" applyFill="1" applyProtection="1"/>
    <xf numFmtId="0" fontId="41" fillId="13" borderId="0" xfId="1" applyFont="1" applyFill="1" applyAlignment="1" applyProtection="1">
      <alignment horizontal="left" vertical="center" readingOrder="1"/>
    </xf>
    <xf numFmtId="0" fontId="32" fillId="13" borderId="0" xfId="1" applyFont="1" applyFill="1" applyAlignment="1" applyProtection="1">
      <alignment horizontal="left" vertical="center" readingOrder="1"/>
    </xf>
    <xf numFmtId="0" fontId="34" fillId="13" borderId="0" xfId="1" applyFont="1" applyFill="1" applyAlignment="1" applyProtection="1">
      <alignment horizontal="center" vertical="center"/>
    </xf>
    <xf numFmtId="0" fontId="34" fillId="13" borderId="0" xfId="1" applyFont="1" applyFill="1" applyAlignment="1" applyProtection="1">
      <alignment horizontal="center" vertical="center" readingOrder="1"/>
    </xf>
    <xf numFmtId="0" fontId="22" fillId="13" borderId="23" xfId="1" applyFont="1" applyFill="1" applyBorder="1" applyAlignment="1" applyProtection="1">
      <alignment vertical="center" readingOrder="1"/>
    </xf>
    <xf numFmtId="0" fontId="22" fillId="13" borderId="0" xfId="1" applyFont="1" applyFill="1" applyAlignment="1" applyProtection="1">
      <alignment vertical="center" readingOrder="1"/>
    </xf>
    <xf numFmtId="0" fontId="34" fillId="13" borderId="0" xfId="1" applyFont="1" applyFill="1" applyAlignment="1" applyProtection="1">
      <alignment vertical="center" readingOrder="1"/>
    </xf>
    <xf numFmtId="0" fontId="34" fillId="13" borderId="16" xfId="1" applyFont="1" applyFill="1" applyBorder="1" applyAlignment="1" applyProtection="1">
      <alignment vertical="center" readingOrder="1"/>
    </xf>
    <xf numFmtId="0" fontId="53" fillId="13" borderId="0" xfId="1" applyFont="1" applyFill="1" applyAlignment="1" applyProtection="1">
      <alignment horizontal="right" vertical="center"/>
    </xf>
    <xf numFmtId="0" fontId="2" fillId="0" borderId="0" xfId="1" applyAlignment="1" applyProtection="1">
      <alignment horizontal="center" vertical="center"/>
    </xf>
    <xf numFmtId="0" fontId="40" fillId="9" borderId="0" xfId="1" applyFont="1" applyFill="1" applyAlignment="1" applyProtection="1">
      <alignment vertical="center"/>
    </xf>
    <xf numFmtId="0" fontId="32" fillId="9" borderId="0" xfId="1" applyFont="1" applyFill="1" applyAlignment="1" applyProtection="1">
      <alignment horizontal="left" vertical="top" indent="1"/>
    </xf>
    <xf numFmtId="0" fontId="22" fillId="9" borderId="0" xfId="1" applyFont="1" applyFill="1" applyAlignment="1" applyProtection="1">
      <alignment horizontal="center" vertical="center" shrinkToFit="1"/>
    </xf>
    <xf numFmtId="0" fontId="2" fillId="0" borderId="0" xfId="1" applyAlignment="1" applyProtection="1">
      <alignment horizontal="center" vertical="top"/>
    </xf>
    <xf numFmtId="0" fontId="31" fillId="0" borderId="17" xfId="1" applyFont="1" applyBorder="1" applyAlignment="1" applyProtection="1">
      <alignment horizontal="center" vertical="center"/>
    </xf>
    <xf numFmtId="0" fontId="31" fillId="0" borderId="18" xfId="1" applyFont="1" applyBorder="1" applyAlignment="1" applyProtection="1">
      <alignment horizontal="center" vertical="center"/>
    </xf>
    <xf numFmtId="0" fontId="31" fillId="0" borderId="18" xfId="1" applyFont="1" applyBorder="1" applyAlignment="1" applyProtection="1">
      <alignment vertical="center"/>
    </xf>
    <xf numFmtId="0" fontId="31" fillId="0" borderId="18" xfId="1" applyFont="1" applyBorder="1" applyAlignment="1" applyProtection="1">
      <alignment horizontal="center" vertical="center" wrapText="1"/>
    </xf>
    <xf numFmtId="0" fontId="24" fillId="2" borderId="18" xfId="1" applyFont="1" applyFill="1" applyBorder="1" applyAlignment="1" applyProtection="1">
      <alignment horizontal="center" vertical="center" shrinkToFit="1"/>
    </xf>
    <xf numFmtId="0" fontId="21" fillId="2" borderId="43" xfId="1" applyFont="1" applyFill="1" applyBorder="1" applyAlignment="1" applyProtection="1">
      <alignment horizontal="center" vertical="center"/>
    </xf>
    <xf numFmtId="0" fontId="21" fillId="2" borderId="44" xfId="1" applyFont="1" applyFill="1" applyBorder="1" applyAlignment="1" applyProtection="1">
      <alignment horizontal="center" vertical="center"/>
    </xf>
    <xf numFmtId="0" fontId="21" fillId="2" borderId="48" xfId="1" applyFont="1" applyFill="1" applyBorder="1" applyAlignment="1" applyProtection="1">
      <alignment horizontal="center" vertical="center"/>
    </xf>
    <xf numFmtId="0" fontId="21" fillId="2" borderId="50" xfId="1" applyFont="1" applyFill="1" applyBorder="1" applyAlignment="1" applyProtection="1">
      <alignment horizontal="center" vertical="center"/>
    </xf>
    <xf numFmtId="0" fontId="21" fillId="2" borderId="51" xfId="1" applyFont="1" applyFill="1" applyBorder="1" applyAlignment="1" applyProtection="1">
      <alignment horizontal="center" vertical="center"/>
    </xf>
    <xf numFmtId="0" fontId="26" fillId="2" borderId="0" xfId="1" applyFont="1" applyFill="1" applyAlignment="1" applyProtection="1">
      <alignment horizontal="center" vertical="center" wrapText="1"/>
    </xf>
    <xf numFmtId="0" fontId="32" fillId="4" borderId="20" xfId="1" applyFont="1" applyFill="1" applyBorder="1" applyAlignment="1" applyProtection="1">
      <alignment horizontal="left" vertical="center"/>
    </xf>
    <xf numFmtId="0" fontId="32" fillId="4" borderId="21" xfId="1" applyFont="1" applyFill="1" applyBorder="1" applyAlignment="1" applyProtection="1">
      <alignment horizontal="left" vertical="center"/>
    </xf>
    <xf numFmtId="0" fontId="32" fillId="4" borderId="21" xfId="1" applyFont="1" applyFill="1" applyBorder="1" applyAlignment="1" applyProtection="1">
      <alignment horizontal="center" vertical="center"/>
    </xf>
    <xf numFmtId="0" fontId="32" fillId="4" borderId="22" xfId="1" applyFont="1" applyFill="1" applyBorder="1" applyAlignment="1" applyProtection="1">
      <alignment horizontal="left" vertical="center"/>
    </xf>
    <xf numFmtId="0" fontId="27" fillId="2" borderId="0" xfId="1" applyFont="1" applyFill="1" applyAlignment="1" applyProtection="1">
      <alignment vertical="center"/>
    </xf>
    <xf numFmtId="0" fontId="12" fillId="2" borderId="0" xfId="1" applyFont="1" applyFill="1" applyAlignment="1" applyProtection="1">
      <alignment horizontal="center" vertical="center"/>
    </xf>
    <xf numFmtId="0" fontId="29" fillId="2" borderId="0" xfId="1" applyFont="1" applyFill="1" applyAlignment="1" applyProtection="1">
      <alignment horizontal="right" vertical="center"/>
    </xf>
    <xf numFmtId="0" fontId="20" fillId="2" borderId="0" xfId="1" applyFont="1" applyFill="1" applyAlignment="1" applyProtection="1">
      <alignment vertical="center"/>
      <protection locked="0"/>
    </xf>
  </cellXfs>
  <cellStyles count="4">
    <cellStyle name="Good" xfId="3" builtinId="26"/>
    <cellStyle name="Normal" xfId="0" builtinId="0"/>
    <cellStyle name="Normal 2" xfId="1" xr:uid="{00000000-0005-0000-0000-000001000000}"/>
    <cellStyle name="Normal 2 2" xfId="2" xr:uid="{00000000-0005-0000-0000-000002000000}"/>
  </cellStyles>
  <dxfs count="14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ont>
        <b/>
        <i/>
      </font>
      <fill>
        <patternFill>
          <bgColor theme="0" tint="-0.14996795556505021"/>
        </patternFill>
      </fill>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numFmt numFmtId="19" formatCode="d/mm/yyyy"/>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alignment horizontal="center" vertical="bottom" textRotation="0" wrapText="0" indent="0" justifyLastLine="0" shrinkToFit="0" readingOrder="0"/>
    </dxf>
    <dxf>
      <font>
        <color auto="1"/>
      </font>
      <fill>
        <patternFill patternType="none">
          <fgColor indexed="64"/>
          <bgColor auto="1"/>
        </patternFill>
      </fill>
    </dxf>
    <dxf>
      <font>
        <color auto="1"/>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numFmt numFmtId="19" formatCode="d/mm/yyyy"/>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12"/>
        <color auto="1"/>
        <name val="Calibri"/>
        <scheme val="minor"/>
      </font>
      <fill>
        <patternFill patternType="none">
          <fgColor indexed="64"/>
          <bgColor auto="1"/>
        </patternFill>
      </fill>
    </dxf>
    <dxf>
      <font>
        <strike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dxf>
    <dxf>
      <numFmt numFmtId="0" formatCode="General"/>
    </dxf>
    <dxf>
      <numFmt numFmtId="0" formatCode="General"/>
      <alignment horizontal="center" vertical="bottom" textRotation="0" wrapText="0" indent="0" justifyLastLine="0" shrinkToFit="0" readingOrder="0"/>
    </dxf>
    <dxf>
      <numFmt numFmtId="0" formatCode="General"/>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fill>
        <patternFill patternType="solid">
          <fgColor indexed="64"/>
          <bgColor theme="9" tint="0.79998168889431442"/>
        </patternFill>
      </fill>
      <alignment horizontal="center" vertical="bottom" textRotation="0" wrapText="0" indent="0" justifyLastLine="0" shrinkToFit="0" readingOrder="0"/>
    </dxf>
    <dxf>
      <alignment horizontal="general" vertical="bottom" textRotation="0" wrapText="1"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2"/>
        <color auto="1"/>
        <name val="Calibri"/>
        <family val="2"/>
        <scheme val="minor"/>
      </font>
      <fill>
        <patternFill patternType="solid">
          <fgColor indexed="64"/>
          <bgColor theme="5" tint="0.79998168889431442"/>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sz val="10"/>
        <name val="Arial"/>
        <family val="2"/>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numFmt numFmtId="19" formatCode="d/mm/yyyy"/>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left" vertical="bottom" textRotation="0" indent="0" justifyLastLine="0" shrinkToFit="0" readingOrder="0"/>
    </dxf>
    <dxf>
      <fill>
        <patternFill patternType="none">
          <fgColor indexed="64"/>
          <bgColor auto="1"/>
        </patternFill>
      </fill>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FFE699"/>
      <color rgb="FFB4FFFF"/>
      <color rgb="FF0D4B6D"/>
      <color rgb="FF919296"/>
      <color rgb="FFF2F2F2"/>
      <color rgb="FFB4C6E7"/>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A82069EF-1E2C-4CF4-9598-935DAD23D7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4883260"/>
    <xdr:sp macro="" textlink="">
      <xdr:nvSpPr>
        <xdr:cNvPr id="3" name="TextBox 2">
          <a:extLst>
            <a:ext uri="{FF2B5EF4-FFF2-40B4-BE49-F238E27FC236}">
              <a16:creationId xmlns:a16="http://schemas.microsoft.com/office/drawing/2014/main" id="{FCE8B1F0-87BB-42CF-A5D3-E0E6297E69C6}"/>
            </a:ext>
          </a:extLst>
        </xdr:cNvPr>
        <xdr:cNvSpPr txBox="1"/>
      </xdr:nvSpPr>
      <xdr:spPr>
        <a:xfrm>
          <a:off x="11744325" y="571501"/>
          <a:ext cx="5629275" cy="488326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Archives and Records Management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full-time work placement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 the core subject</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(INFO5046) INF540 Digital Preservation. 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D87CF833-FD0A-468E-8596-D1431814BFC1}"/>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9FFC6A7C-B7B6-4416-9912-CB1694B66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5055487"/>
    <xdr:sp macro="" textlink="">
      <xdr:nvSpPr>
        <xdr:cNvPr id="3" name="TextBox 2">
          <a:extLst>
            <a:ext uri="{FF2B5EF4-FFF2-40B4-BE49-F238E27FC236}">
              <a16:creationId xmlns:a16="http://schemas.microsoft.com/office/drawing/2014/main" id="{302A44EE-35DD-4A6B-A8B7-D860CACE67BB}"/>
            </a:ext>
          </a:extLst>
        </xdr:cNvPr>
        <xdr:cNvSpPr txBox="1"/>
      </xdr:nvSpPr>
      <xdr:spPr>
        <a:xfrm>
          <a:off x="11934825" y="952501"/>
          <a:ext cx="5629275" cy="5055487"/>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Graduate Diploma in Information and Library Science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one full-time work placement in the core subject (INFO5044) INF520 Research and Evaluation. Fieldwork placements are arranged for all students. Exemptions may be possible for students with required levels of work experience in libraries / information services.</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5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1DD10E48-1D67-439A-B2D8-3D0CBF6F2615}"/>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2" name="Picture 1" title="Curtin University logo">
          <a:extLst>
            <a:ext uri="{FF2B5EF4-FFF2-40B4-BE49-F238E27FC236}">
              <a16:creationId xmlns:a16="http://schemas.microsoft.com/office/drawing/2014/main" id="{EE12C2B9-74E3-4A28-8D72-979C220314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401175" y="457199"/>
          <a:ext cx="17820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261073"/>
    <xdr:sp macro="" textlink="">
      <xdr:nvSpPr>
        <xdr:cNvPr id="3" name="TextBox 2">
          <a:extLst>
            <a:ext uri="{FF2B5EF4-FFF2-40B4-BE49-F238E27FC236}">
              <a16:creationId xmlns:a16="http://schemas.microsoft.com/office/drawing/2014/main" id="{58DCD660-230C-4A17-9E68-32ADFF738B19}"/>
            </a:ext>
          </a:extLst>
        </xdr:cNvPr>
        <xdr:cNvSpPr txBox="1"/>
      </xdr:nvSpPr>
      <xdr:spPr>
        <a:xfrm>
          <a:off x="11839575" y="952501"/>
          <a:ext cx="5629275" cy="6261073"/>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(OpenUnis)</a:t>
          </a:r>
          <a:endParaRPr lang="en-AU">
            <a:effectLst/>
          </a:endParaRPr>
        </a:p>
        <a:p>
          <a:pPr algn="ctr" rtl="0" fontAlgn="base"/>
          <a:endParaRPr lang="en-AU" sz="1100" i="1">
            <a:solidFill>
              <a:schemeClr val="dk1"/>
            </a:solidFill>
            <a:effectLst/>
            <a:latin typeface="+mn-lt"/>
            <a:ea typeface="+mn-ea"/>
            <a:cs typeface="+mn-cs"/>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pPr rtl="0" fontAlgn="base"/>
          <a:endParaRPr lang="en-AU">
            <a:effectLst/>
          </a:endParaRPr>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p>
        <a:p>
          <a:endParaRPr lang="en-AU">
            <a:effectLst/>
          </a:endParaRPr>
        </a:p>
        <a:p>
          <a:r>
            <a:rPr lang="en-AU" sz="1100" b="1" i="0">
              <a:solidFill>
                <a:schemeClr val="dk1"/>
              </a:solidFill>
              <a:effectLst/>
              <a:latin typeface="+mn-lt"/>
              <a:ea typeface="+mn-ea"/>
              <a:cs typeface="+mn-cs"/>
            </a:rPr>
            <a:t>Fieldwork / Practicum Placement</a:t>
          </a:r>
          <a:endParaRPr lang="en-AU">
            <a:effectLst/>
          </a:endParaRPr>
        </a:p>
        <a:p>
          <a:pPr eaLnBrk="1" fontAlgn="auto" latinLnBrk="0" hangingPunct="1"/>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p>
        <a:p>
          <a:pPr eaLnBrk="1" fontAlgn="auto" latinLnBrk="0" hangingPunct="1"/>
          <a:endParaRPr lang="en-AU">
            <a:effectLst/>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AU"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4" name="TextBox 3">
          <a:hlinkClick xmlns:r="http://schemas.openxmlformats.org/officeDocument/2006/relationships" r:id="rId2"/>
          <a:extLst>
            <a:ext uri="{FF2B5EF4-FFF2-40B4-BE49-F238E27FC236}">
              <a16:creationId xmlns:a16="http://schemas.microsoft.com/office/drawing/2014/main" id="{89DBB7ED-EE10-4296-ABF9-10CD3C1B2BF6}"/>
            </a:ext>
          </a:extLst>
        </xdr:cNvPr>
        <xdr:cNvSpPr txBox="1"/>
      </xdr:nvSpPr>
      <xdr:spPr>
        <a:xfrm>
          <a:off x="1504950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314325</xdr:colOff>
      <xdr:row>2</xdr:row>
      <xdr:rowOff>76199</xdr:rowOff>
    </xdr:from>
    <xdr:to>
      <xdr:col>13</xdr:col>
      <xdr:colOff>1115290</xdr:colOff>
      <xdr:row>2</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220200" y="457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15</xdr:col>
      <xdr:colOff>161925</xdr:colOff>
      <xdr:row>3</xdr:row>
      <xdr:rowOff>66676</xdr:rowOff>
    </xdr:from>
    <xdr:ext cx="5629275" cy="6433300"/>
    <xdr:sp macro="" textlink="">
      <xdr:nvSpPr>
        <xdr:cNvPr id="4" name="TextBox 3">
          <a:extLst>
            <a:ext uri="{FF2B5EF4-FFF2-40B4-BE49-F238E27FC236}">
              <a16:creationId xmlns:a16="http://schemas.microsoft.com/office/drawing/2014/main" id="{00000000-0008-0000-0100-000002000000}"/>
            </a:ext>
          </a:extLst>
        </xdr:cNvPr>
        <xdr:cNvSpPr txBox="1"/>
      </xdr:nvSpPr>
      <xdr:spPr>
        <a:xfrm>
          <a:off x="11839575" y="952501"/>
          <a:ext cx="5629275" cy="6433300"/>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b="1" u="sng"/>
            <a:t>Full-Time Enrolment Guidelines</a:t>
          </a:r>
        </a:p>
        <a:p>
          <a:pPr algn="ctr"/>
          <a:endParaRPr lang="en-AU" b="1"/>
        </a:p>
        <a:p>
          <a:pPr algn="ctr"/>
          <a:r>
            <a:rPr lang="en-AU" b="1">
              <a:solidFill>
                <a:schemeClr val="accent5"/>
              </a:solidFill>
            </a:rPr>
            <a:t>Master of Information Science (Extended) (OpenUnis)</a:t>
          </a:r>
        </a:p>
        <a:p>
          <a:pPr algn="ctr"/>
          <a:endParaRPr lang="en-AU">
            <a:effectLst/>
          </a:endParaRPr>
        </a:p>
        <a:p>
          <a:pPr algn="ctr" rtl="0" fontAlgn="base"/>
          <a:r>
            <a:rPr lang="en-AU" sz="1100" i="1">
              <a:solidFill>
                <a:schemeClr val="dk1"/>
              </a:solidFill>
              <a:effectLst/>
              <a:latin typeface="+mn-lt"/>
              <a:ea typeface="+mn-ea"/>
              <a:cs typeface="+mn-cs"/>
            </a:rPr>
            <a:t>Use the drop-down lists to select</a:t>
          </a:r>
          <a:r>
            <a:rPr lang="en-AU" sz="1100" i="1" baseline="0">
              <a:solidFill>
                <a:schemeClr val="dk1"/>
              </a:solidFill>
              <a:effectLst/>
              <a:latin typeface="+mn-lt"/>
              <a:ea typeface="+mn-ea"/>
              <a:cs typeface="+mn-cs"/>
            </a:rPr>
            <a:t> your </a:t>
          </a:r>
          <a:r>
            <a:rPr lang="en-AU" sz="1100" b="1" i="0"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a:effectLst/>
          </a:endParaRPr>
        </a:p>
        <a:p>
          <a:endParaRPr lang="en-AU" b="0"/>
        </a:p>
        <a:p>
          <a:pPr rtl="0" fontAlgn="base"/>
          <a:r>
            <a:rPr lang="en-AU" sz="1100" b="0" i="0">
              <a:solidFill>
                <a:schemeClr val="dk1"/>
              </a:solidFill>
              <a:effectLst/>
              <a:latin typeface="+mn-lt"/>
              <a:ea typeface="+mn-ea"/>
              <a:cs typeface="+mn-cs"/>
            </a:rPr>
            <a:t>This planner shows the recommended sequence of </a:t>
          </a:r>
          <a:r>
            <a:rPr lang="en-AU" sz="1100" b="1" i="0">
              <a:solidFill>
                <a:schemeClr val="dk1"/>
              </a:solidFill>
              <a:effectLst/>
              <a:latin typeface="+mn-lt"/>
              <a:ea typeface="+mn-ea"/>
              <a:cs typeface="+mn-cs"/>
            </a:rPr>
            <a:t>full-time study </a:t>
          </a:r>
          <a:r>
            <a:rPr lang="en-AU" sz="1100" b="0" i="0">
              <a:solidFill>
                <a:schemeClr val="dk1"/>
              </a:solidFill>
              <a:effectLst/>
              <a:latin typeface="+mn-lt"/>
              <a:ea typeface="+mn-ea"/>
              <a:cs typeface="+mn-cs"/>
            </a:rPr>
            <a:t>based on your study period of commencement. The standard </a:t>
          </a:r>
          <a:r>
            <a:rPr lang="en-AU" sz="1100" b="1" i="0">
              <a:solidFill>
                <a:schemeClr val="dk1"/>
              </a:solidFill>
              <a:effectLst/>
              <a:latin typeface="+mn-lt"/>
              <a:ea typeface="+mn-ea"/>
              <a:cs typeface="+mn-cs"/>
            </a:rPr>
            <a:t>full-time</a:t>
          </a:r>
          <a:r>
            <a:rPr lang="en-AU" sz="1100" b="0" i="0">
              <a:solidFill>
                <a:schemeClr val="dk1"/>
              </a:solidFill>
              <a:effectLst/>
              <a:latin typeface="+mn-lt"/>
              <a:ea typeface="+mn-ea"/>
              <a:cs typeface="+mn-cs"/>
            </a:rPr>
            <a:t> study load is </a:t>
          </a:r>
          <a:r>
            <a:rPr lang="en-AU" sz="1100" b="1" i="0">
              <a:solidFill>
                <a:schemeClr val="dk1"/>
              </a:solidFill>
              <a:effectLst/>
              <a:latin typeface="+mn-lt"/>
              <a:ea typeface="+mn-ea"/>
              <a:cs typeface="+mn-cs"/>
            </a:rPr>
            <a:t>two subjects per study period</a:t>
          </a:r>
          <a:r>
            <a:rPr lang="en-AU" sz="1100" b="0" i="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endParaRPr lang="en-AU">
            <a:effectLst/>
          </a:endParaRPr>
        </a:p>
        <a:p>
          <a:endParaRPr lang="en-AU" sz="1100" b="0"/>
        </a:p>
        <a:p>
          <a:r>
            <a:rPr lang="en-AU" sz="1100" b="0">
              <a:solidFill>
                <a:schemeClr val="dk1"/>
              </a:solidFill>
              <a:effectLst/>
              <a:latin typeface="+mn-lt"/>
              <a:ea typeface="+mn-ea"/>
              <a:cs typeface="+mn-cs"/>
            </a:rPr>
            <a:t>If you wish to enrol in a part-time load, please contact Curtin Connect or your Course Coordinator to develop an ad hoc study plan OR please select one subject</a:t>
          </a:r>
          <a:r>
            <a:rPr lang="en-AU" sz="1100" b="0" baseline="0">
              <a:solidFill>
                <a:schemeClr val="dk1"/>
              </a:solidFill>
              <a:effectLst/>
              <a:latin typeface="+mn-lt"/>
              <a:ea typeface="+mn-ea"/>
              <a:cs typeface="+mn-cs"/>
            </a:rPr>
            <a:t> </a:t>
          </a:r>
          <a:r>
            <a:rPr lang="en-AU" sz="1100" b="0">
              <a:solidFill>
                <a:schemeClr val="dk1"/>
              </a:solidFill>
              <a:effectLst/>
              <a:latin typeface="+mn-lt"/>
              <a:ea typeface="+mn-ea"/>
              <a:cs typeface="+mn-cs"/>
            </a:rPr>
            <a:t>from the two listed for each study period.</a:t>
          </a:r>
          <a:endParaRPr lang="en-AU">
            <a:effectLst/>
          </a:endParaRPr>
        </a:p>
        <a:p>
          <a:endParaRPr lang="en-AU" sz="1100" b="0"/>
        </a:p>
        <a:p>
          <a:r>
            <a:rPr lang="en-AU" sz="1100" b="1" i="0">
              <a:solidFill>
                <a:schemeClr val="dk1"/>
              </a:solidFill>
              <a:effectLst/>
              <a:latin typeface="+mn-lt"/>
              <a:ea typeface="+mn-ea"/>
              <a:cs typeface="+mn-cs"/>
            </a:rPr>
            <a:t>Fieldwork / Practicum Placement</a:t>
          </a:r>
          <a:endParaRPr lang="en-AU">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AU" sz="1100" b="0" i="0">
              <a:solidFill>
                <a:schemeClr val="dk1"/>
              </a:solidFill>
              <a:effectLst/>
              <a:latin typeface="+mn-lt"/>
              <a:ea typeface="+mn-ea"/>
              <a:cs typeface="+mn-cs"/>
            </a:rPr>
            <a:t>All students undertake two full-time work placements in the core subjects (INFO5044) INF520 Research and Evaluation and (INFO5046) INF540 Digital Preservation.</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Fieldwork placements are arranged for all students. Exemptions may be possible for students with required levels of work experience in libraries / information services.</a:t>
          </a:r>
          <a:endParaRPr lang="en-AU">
            <a:effectLst/>
          </a:endParaRPr>
        </a:p>
        <a:p>
          <a:pPr eaLnBrk="1" fontAlgn="auto" latinLnBrk="0" hangingPunct="1"/>
          <a:endParaRPr lang="en-AU" sz="1100" b="0" i="0">
            <a:solidFill>
              <a:schemeClr val="dk1"/>
            </a:solidFill>
            <a:effectLst/>
            <a:latin typeface="+mn-lt"/>
            <a:ea typeface="+mn-ea"/>
            <a:cs typeface="+mn-cs"/>
          </a:endParaRPr>
        </a:p>
        <a:p>
          <a:r>
            <a:rPr lang="en-AU" sz="1100" b="1" i="0">
              <a:solidFill>
                <a:schemeClr val="dk1"/>
              </a:solidFill>
              <a:effectLst/>
              <a:latin typeface="+mn-lt"/>
              <a:ea typeface="+mn-ea"/>
              <a:cs typeface="+mn-cs"/>
            </a:rPr>
            <a:t>Masters Interim Awards</a:t>
          </a:r>
          <a:endParaRPr lang="en-AU">
            <a:effectLst/>
          </a:endParaRPr>
        </a:p>
        <a:p>
          <a:r>
            <a:rPr lang="en-AU" sz="1100">
              <a:solidFill>
                <a:schemeClr val="dk1"/>
              </a:solidFill>
              <a:effectLst/>
              <a:latin typeface="+mn-lt"/>
              <a:ea typeface="+mn-ea"/>
              <a:cs typeface="+mn-cs"/>
            </a:rPr>
            <a:t>Students entering the Masters courses are strongly advised that if there is a possibility that they may decide to take out an interim award of a Graduate Diploma in Information and Library Studies or a Graduate Diploma in Archives and Records Management, they should commence the course by studying the units required for these qualifications. Please consult the Course Coordinator for further information.</a:t>
          </a:r>
          <a:endParaRPr lang="en-AU">
            <a:effectLst/>
          </a:endParaRPr>
        </a:p>
        <a:p>
          <a:endParaRPr lang="en-AU" sz="1100" b="0"/>
        </a:p>
        <a:p>
          <a:r>
            <a:rPr lang="en-AU" sz="1100" b="1"/>
            <a:t>Need more support?</a:t>
          </a:r>
          <a:r>
            <a:rPr lang="en-AU" sz="1100" b="0"/>
            <a:t> </a:t>
          </a:r>
        </a:p>
        <a:p>
          <a:r>
            <a:rPr lang="en-AU" sz="1100" b="0"/>
            <a:t>This planner is designed to be used in conjunction with the information provided by Curtin Connect on the Student Essentials webpages. If you have any questions regarding your enrolment, please contact Curtin Connect.</a:t>
          </a:r>
        </a:p>
        <a:p>
          <a:pPr algn="ctr" rtl="0" fontAlgn="base"/>
          <a:endParaRPr lang="en-AU">
            <a:effectLst/>
          </a:endParaRPr>
        </a:p>
        <a:p>
          <a:pPr algn="ctr" rtl="0" fontAlgn="base"/>
          <a:r>
            <a:rPr lang="en-AU" sz="1000" b="1" i="0">
              <a:solidFill>
                <a:schemeClr val="dk1"/>
              </a:solidFill>
              <a:effectLst/>
              <a:latin typeface="+mn-lt"/>
              <a:ea typeface="+mn-ea"/>
              <a:cs typeface="+mn-cs"/>
            </a:rPr>
            <a:t>Note:</a:t>
          </a:r>
          <a:endParaRPr lang="en-AU" sz="1000">
            <a:effectLst/>
          </a:endParaRPr>
        </a:p>
        <a:p>
          <a:pPr algn="ctr" rtl="0" fontAlgn="base"/>
          <a:r>
            <a:rPr lang="en-AU" sz="1000" b="0" i="0" baseline="0">
              <a:solidFill>
                <a:schemeClr val="dk1"/>
              </a:solidFill>
              <a:effectLst/>
              <a:latin typeface="+mn-lt"/>
              <a:ea typeface="+mn-ea"/>
              <a:cs typeface="+mn-cs"/>
            </a:rPr>
            <a:t>CP = Credit Points; SP = OUA Study Period; OUA Sess = OUA Session</a:t>
          </a:r>
          <a:endParaRPr lang="en-AU" sz="1000">
            <a:effectLst/>
          </a:endParaRPr>
        </a:p>
      </xdr:txBody>
    </xdr:sp>
    <xdr:clientData/>
  </xdr:oneCellAnchor>
  <xdr:twoCellAnchor>
    <xdr:from>
      <xdr:col>19</xdr:col>
      <xdr:colOff>628650</xdr:colOff>
      <xdr:row>2</xdr:row>
      <xdr:rowOff>228600</xdr:rowOff>
    </xdr:from>
    <xdr:to>
      <xdr:col>23</xdr:col>
      <xdr:colOff>304800</xdr:colOff>
      <xdr:row>3</xdr:row>
      <xdr:rowOff>67070</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000-000004000000}"/>
            </a:ext>
          </a:extLst>
        </xdr:cNvPr>
        <xdr:cNvSpPr txBox="1"/>
      </xdr:nvSpPr>
      <xdr:spPr>
        <a:xfrm>
          <a:off x="14763750" y="609600"/>
          <a:ext cx="2419350" cy="34329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3:I7" totalsRowShown="0" headerRowDxfId="139" dataDxfId="138">
  <autoFilter ref="A3:I7" xr:uid="{00000000-0009-0000-0100-000003000000}"/>
  <tableColumns count="9">
    <tableColumn id="3" xr3:uid="{00000000-0010-0000-0000-000003000000}" name="Choose your Course (drop-down list)" dataDxfId="137"/>
    <tableColumn id="1" xr3:uid="{00000000-0010-0000-0000-000001000000}" name="UDC" dataDxfId="136"/>
    <tableColumn id="2" xr3:uid="{00000000-0010-0000-0000-000002000000}" name="SM Version" dataDxfId="135"/>
    <tableColumn id="5" xr3:uid="{00000000-0010-0000-0000-000005000000}" name="SM Effective Date" dataDxfId="134"/>
    <tableColumn id="4" xr3:uid="{00000000-0010-0000-0000-000004000000}" name="Akari Iteration" dataDxfId="133"/>
    <tableColumn id="7" xr3:uid="{00000000-0010-0000-0000-000007000000}" name="Akari Effective Date" dataDxfId="132"/>
    <tableColumn id="6" xr3:uid="{00000000-0010-0000-0000-000006000000}" name="Credit Points" dataDxfId="131"/>
    <tableColumn id="8" xr3:uid="{2FAC9965-605E-4954-8D92-4B48AC1F6583}" name="SM Availabilities" dataDxfId="130"/>
    <tableColumn id="9" xr3:uid="{075CC3F8-2D34-4ECD-B458-91BF08507353}" name="Course Notes" dataDxfId="12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OMINFSCX" displayName="TableOMINFSCX" ref="A46:O69" totalsRowShown="0">
  <autoFilter ref="A46:O69" xr:uid="{00000000-0009-0000-0100-000005000000}"/>
  <sortState xmlns:xlrd2="http://schemas.microsoft.com/office/spreadsheetml/2017/richdata2" ref="A46:R49">
    <sortCondition ref="O2:O6"/>
  </sortState>
  <tableColumns count="15">
    <tableColumn id="1" xr3:uid="{00000000-0010-0000-0900-000001000000}" name="UDC" dataDxfId="61">
      <calculatedColumnFormula>TableOMINFSCX[[#This Row],[Study Package Code]]</calculatedColumnFormula>
    </tableColumn>
    <tableColumn id="9" xr3:uid="{00000000-0010-0000-0900-000009000000}" name="V" dataDxfId="60">
      <calculatedColumnFormula>TableOMINFSCX[[#This Row],[Ver]]</calculatedColumnFormula>
    </tableColumn>
    <tableColumn id="10" xr3:uid="{00000000-0010-0000-0900-00000A000000}" name="OUA Code" dataDxfId="59">
      <calculatedColumnFormula>IF(TableOMINFSCX[[#This Row],[Ver]]&gt;0,_xlfn.TEXTBEFORE(TableOMINFSCX[[#This Row],[Structure Line]]," "),"")</calculatedColumnFormula>
    </tableColumn>
    <tableColumn id="11" xr3:uid="{00000000-0010-0000-0900-00000B000000}" name="Unit Title" dataDxfId="58">
      <calculatedColumnFormula>IF(TableOMINFSCX[[#This Row],[OUA Code]]&lt;&gt;"",_xlfn.TEXTAFTER(TableOMINFSCX[[#This Row],[Structure Line]]," "),TableOMINFSCX[[#This Row],[Structure Line]])</calculatedColumnFormula>
    </tableColumn>
    <tableColumn id="12" xr3:uid="{00000000-0010-0000-0900-00000C000000}" name="CPs" dataDxfId="57">
      <calculatedColumnFormula>TableOMINFSCX[[#This Row],[Credit Points]]</calculatedColumnFormula>
    </tableColumn>
    <tableColumn id="13" xr3:uid="{00000000-0010-0000-0900-00000D000000}" name="No." dataDxfId="56"/>
    <tableColumn id="2" xr3:uid="{00000000-0010-0000-0900-000002000000}" name="Component Type" dataDxfId="55"/>
    <tableColumn id="3" xr3:uid="{00000000-0010-0000-0900-000003000000}" name="Year Level" dataDxfId="54"/>
    <tableColumn id="4" xr3:uid="{00000000-0010-0000-0900-000004000000}" name="Study Period" dataDxfId="53"/>
    <tableColumn id="5" xr3:uid="{00000000-0010-0000-0900-000005000000}" name="Study Package Code" dataDxfId="52"/>
    <tableColumn id="6" xr3:uid="{00000000-0010-0000-0900-000006000000}" name="Ver" dataDxfId="51"/>
    <tableColumn id="7" xr3:uid="{00000000-0010-0000-0900-000007000000}" name="Structure Line" dataDxfId="50"/>
    <tableColumn id="8" xr3:uid="{00000000-0010-0000-0900-000008000000}" name="Credit Points" dataDxfId="49"/>
    <tableColumn id="16" xr3:uid="{00000000-0010-0000-0900-000010000000}" name="Effective" dataDxfId="48"/>
    <tableColumn id="14" xr3:uid="{00000000-0010-0000-0900-00000E000000}" name="Discont." dataDxfId="47"/>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TableOMINFSCXCheck" displayName="TableOMINFSCXCheck" ref="Q46:R69" totalsRowShown="0">
  <autoFilter ref="Q46:R69" xr:uid="{00000000-0009-0000-0100-000006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G25" totalsRowShown="0">
  <autoFilter ref="A3:G25" xr:uid="{00000000-0009-0000-0100-00000D000000}"/>
  <tableColumns count="7">
    <tableColumn id="1" xr3:uid="{00000000-0010-0000-0B00-000001000000}" name="Row Labels"/>
    <tableColumn id="2" xr3:uid="{00000000-0010-0000-0B00-000002000000}" name="OpenUnis Session 1" dataDxfId="46"/>
    <tableColumn id="3" xr3:uid="{00000000-0010-0000-0B00-000003000000}" name="OpenUnis Session 2" dataDxfId="45"/>
    <tableColumn id="4" xr3:uid="{00000000-0010-0000-0B00-000004000000}" name="OpenUnis SP 1" dataDxfId="44"/>
    <tableColumn id="5" xr3:uid="{00000000-0010-0000-0B00-000005000000}" name="OpenUnis SP 2" dataDxfId="43"/>
    <tableColumn id="6" xr3:uid="{00000000-0010-0000-0B00-000006000000}" name="OpenUnis SP 3" dataDxfId="42"/>
    <tableColumn id="7" xr3:uid="{00000000-0010-0000-0B00-000007000000}" name="OpenUnis SP 4" dataDxfId="41"/>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 displayName="TableStudyPeriod" ref="A10:E14" totalsRowShown="0" dataDxfId="128">
  <autoFilter ref="A10:E14" xr:uid="{00000000-0009-0000-0100-000004000000}"/>
  <tableColumns count="5">
    <tableColumn id="1" xr3:uid="{00000000-0010-0000-0100-000001000000}" name="Choose your commencing study period (drop-down list)" dataDxfId="127"/>
    <tableColumn id="2" xr3:uid="{00000000-0010-0000-0100-000002000000}" name="START" dataDxfId="126"/>
    <tableColumn id="3" xr3:uid="{00000000-0010-0000-0100-000003000000}" name="Next" dataDxfId="125"/>
    <tableColumn id="4" xr3:uid="{00000000-0010-0000-0100-000004000000}" name="Next2" dataDxfId="124"/>
    <tableColumn id="5" xr3:uid="{00000000-0010-0000-0100-000005000000}" name="Next3" dataDxfId="12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Q33" totalsRowShown="0" headerRowDxfId="122">
  <autoFilter ref="A2:Q33" xr:uid="{00000000-0009-0000-0100-000002000000}"/>
  <sortState xmlns:xlrd2="http://schemas.microsoft.com/office/spreadsheetml/2017/richdata2" ref="A3:Q33">
    <sortCondition ref="A2:A33"/>
  </sortState>
  <tableColumns count="17">
    <tableColumn id="1" xr3:uid="{00000000-0010-0000-0200-000001000000}" name="UDC"/>
    <tableColumn id="2" xr3:uid="{00000000-0010-0000-0200-000002000000}" name="Ver" dataDxfId="121"/>
    <tableColumn id="3" xr3:uid="{00000000-0010-0000-0200-000003000000}" name="OUA Cd" dataDxfId="120"/>
    <tableColumn id="4" xr3:uid="{00000000-0010-0000-0200-000004000000}" name="Title"/>
    <tableColumn id="5" xr3:uid="{00000000-0010-0000-0200-000005000000}" name="Credits" dataDxfId="119"/>
    <tableColumn id="6" xr3:uid="{00000000-0010-0000-0200-000006000000}" name="Pre-reqs (2/12/2025)" dataDxfId="118"/>
    <tableColumn id="12" xr3:uid="{00000000-0010-0000-0200-00000C000000}" name="OUASess1" dataDxfId="117">
      <calculatedColumnFormula>IFERROR(IF(VLOOKUP(TableHandbook[[#This Row],[UDC]],TableAvailabilities[],2,FALSE)&gt;0,"Y",""),"")</calculatedColumnFormula>
    </tableColumn>
    <tableColumn id="13" xr3:uid="{00000000-0010-0000-0200-00000D000000}" name="OUASess2" dataDxfId="116">
      <calculatedColumnFormula>IFERROR(IF(VLOOKUP(TableHandbook[[#This Row],[UDC]],TableAvailabilities[],3,FALSE)&gt;0,"Y",""),"")</calculatedColumnFormula>
    </tableColumn>
    <tableColumn id="14" xr3:uid="{00000000-0010-0000-0200-00000E000000}" name="SP1" dataDxfId="115">
      <calculatedColumnFormula>IFERROR(IF(VLOOKUP(TableHandbook[[#This Row],[UDC]],TableAvailabilities[],4,FALSE)&gt;0,"Y",""),"")</calculatedColumnFormula>
    </tableColumn>
    <tableColumn id="18" xr3:uid="{00000000-0010-0000-0200-000012000000}" name="SP2" dataDxfId="114">
      <calculatedColumnFormula>IFERROR(IF(VLOOKUP(TableHandbook[[#This Row],[UDC]],TableAvailabilities[],5,FALSE)&gt;0,"Y",""),"")</calculatedColumnFormula>
    </tableColumn>
    <tableColumn id="17" xr3:uid="{00000000-0010-0000-0200-000011000000}" name="SP3" dataDxfId="113">
      <calculatedColumnFormula>IFERROR(IF(VLOOKUP(TableHandbook[[#This Row],[UDC]],TableAvailabilities[],6,FALSE)&gt;0,"Y",""),"")</calculatedColumnFormula>
    </tableColumn>
    <tableColumn id="15" xr3:uid="{00000000-0010-0000-0200-00000F000000}" name="SP4" dataDxfId="112">
      <calculatedColumnFormula>IFERROR(IF(VLOOKUP(TableHandbook[[#This Row],[UDC]],TableAvailabilities[],7,FALSE)&gt;0,"Y",""),"")</calculatedColumnFormula>
    </tableColumn>
    <tableColumn id="16" xr3:uid="{00000000-0010-0000-0200-000010000000}" name="Notes" dataDxfId="111"/>
    <tableColumn id="8" xr3:uid="{00000000-0010-0000-0200-000008000000}" name="OG-ARCREC" dataDxfId="110">
      <calculatedColumnFormula>IFERROR(VLOOKUP(TableHandbook[[#This Row],[UDC]],TableOGARCREC[],7,FALSE),"")</calculatedColumnFormula>
    </tableColumn>
    <tableColumn id="9" xr3:uid="{00000000-0010-0000-0200-000009000000}" name="OG-INFLSC" dataDxfId="109">
      <calculatedColumnFormula>IFERROR(VLOOKUP(TableHandbook[[#This Row],[UDC]],TableOGINFLSC[],7,FALSE),"")</calculatedColumnFormula>
    </tableColumn>
    <tableColumn id="11" xr3:uid="{00000000-0010-0000-0200-00000B000000}" name="OM-INFSCI" dataDxfId="108">
      <calculatedColumnFormula>IFERROR(VLOOKUP(TableHandbook[[#This Row],[UDC]],TableOMINFSCI[],7,FALSE),"")</calculatedColumnFormula>
    </tableColumn>
    <tableColumn id="19" xr3:uid="{00000000-0010-0000-0200-000013000000}" name="OM-INFSCX" dataDxfId="107">
      <calculatedColumnFormula>IFERROR(VLOOKUP(TableHandbook[[#This Row],[UDC]],TableOMINFSCX[],7,FALSE),"")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GARCREC" displayName="TableOGARCREC" ref="A2:O15" totalsRowShown="0">
  <autoFilter ref="A2:O15" xr:uid="{00000000-0009-0000-0100-000001000000}"/>
  <sortState xmlns:xlrd2="http://schemas.microsoft.com/office/spreadsheetml/2017/richdata2" ref="AE3:AV6">
    <sortCondition ref="AS2:AS6"/>
  </sortState>
  <tableColumns count="15">
    <tableColumn id="1" xr3:uid="{00000000-0010-0000-0300-000001000000}" name="UDC" dataDxfId="106">
      <calculatedColumnFormula>TableOGARCREC[[#This Row],[Study Package Code]]</calculatedColumnFormula>
    </tableColumn>
    <tableColumn id="9" xr3:uid="{00000000-0010-0000-0300-000009000000}" name="V" dataDxfId="105">
      <calculatedColumnFormula>TableOGARCREC[[#This Row],[Ver]]</calculatedColumnFormula>
    </tableColumn>
    <tableColumn id="10" xr3:uid="{00000000-0010-0000-0300-00000A000000}" name="OUA Code" dataDxfId="104">
      <calculatedColumnFormula>IF(TableOGARCREC[[#This Row],[Ver]]&gt;0,_xlfn.TEXTBEFORE(TableOGARCREC[[#This Row],[Structure Line]]," "),"")</calculatedColumnFormula>
    </tableColumn>
    <tableColumn id="11" xr3:uid="{00000000-0010-0000-0300-00000B000000}" name="Unit Title" dataDxfId="103">
      <calculatedColumnFormula>IF(TableOGARCREC[[#This Row],[OUA Code]]&lt;&gt;"",_xlfn.TEXTAFTER(TableOGARCREC[[#This Row],[Structure Line]]," "),TableOGARCREC[[#This Row],[Structure Line]])</calculatedColumnFormula>
    </tableColumn>
    <tableColumn id="12" xr3:uid="{00000000-0010-0000-0300-00000C000000}" name="CPs" dataDxfId="102">
      <calculatedColumnFormula>TableOGARCREC[[#This Row],[Credit Points]]</calculatedColumnFormula>
    </tableColumn>
    <tableColumn id="13" xr3:uid="{00000000-0010-0000-0300-00000D000000}" name="No." dataDxfId="101"/>
    <tableColumn id="2" xr3:uid="{00000000-0010-0000-0300-000002000000}" name="Component Type" dataDxfId="100"/>
    <tableColumn id="3" xr3:uid="{00000000-0010-0000-0300-000003000000}" name="Year Level" dataDxfId="99"/>
    <tableColumn id="4" xr3:uid="{00000000-0010-0000-0300-000004000000}" name="Study Period" dataDxfId="98"/>
    <tableColumn id="5" xr3:uid="{00000000-0010-0000-0300-000005000000}" name="Study Package Code" dataDxfId="97"/>
    <tableColumn id="6" xr3:uid="{00000000-0010-0000-0300-000006000000}" name="Ver" dataDxfId="96"/>
    <tableColumn id="7" xr3:uid="{00000000-0010-0000-0300-000007000000}" name="Structure Line" dataDxfId="95"/>
    <tableColumn id="8" xr3:uid="{00000000-0010-0000-0300-000008000000}" name="Credit Points" dataDxfId="94"/>
    <tableColumn id="16" xr3:uid="{00000000-0010-0000-0300-000010000000}" name="Effective" dataDxfId="93"/>
    <tableColumn id="14" xr3:uid="{00000000-0010-0000-0300-00000E000000}" name="Discont." dataDxfId="92"/>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4000000}" name="TableOGARCRECCheck" displayName="TableOGARCRECCheck" ref="Q2:R15" totalsRowShown="0">
  <autoFilter ref="Q2:R15" xr:uid="{00000000-0009-0000-0100-000008000000}"/>
  <tableColumns count="2">
    <tableColumn id="5" xr3:uid="{00000000-0010-0000-0400-000005000000}" name="SPK"/>
    <tableColumn id="6" xr3:uid="{00000000-0010-0000-0400-000006000000}" name="Ver"/>
  </tableColumns>
  <tableStyleInfo name="TableStyleLight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OGINFLSC" displayName="TableOGINFLSC" ref="A17:O25" totalsRowShown="0">
  <autoFilter ref="A17:O25" xr:uid="{00000000-0009-0000-0100-000009000000}"/>
  <sortState xmlns:xlrd2="http://schemas.microsoft.com/office/spreadsheetml/2017/richdata2" ref="A19:R22">
    <sortCondition ref="O2:O6"/>
  </sortState>
  <tableColumns count="15">
    <tableColumn id="1" xr3:uid="{00000000-0010-0000-0500-000001000000}" name="UDC" dataDxfId="91">
      <calculatedColumnFormula>TableOGINFLSC[[#This Row],[Study Package Code]]</calculatedColumnFormula>
    </tableColumn>
    <tableColumn id="9" xr3:uid="{00000000-0010-0000-0500-000009000000}" name="V" dataDxfId="90">
      <calculatedColumnFormula>TableOGINFLSC[[#This Row],[Ver]]</calculatedColumnFormula>
    </tableColumn>
    <tableColumn id="10" xr3:uid="{00000000-0010-0000-0500-00000A000000}" name="OUA Code" dataDxfId="89">
      <calculatedColumnFormula>IF(TableOGINFLSC[[#This Row],[Ver]]&gt;0,_xlfn.TEXTBEFORE(TableOGINFLSC[[#This Row],[Structure Line]]," "),"")</calculatedColumnFormula>
    </tableColumn>
    <tableColumn id="11" xr3:uid="{00000000-0010-0000-0500-00000B000000}" name="Unit Title" dataDxfId="88">
      <calculatedColumnFormula>IF(TableOGINFLSC[[#This Row],[OUA Code]]&lt;&gt;"",_xlfn.TEXTAFTER(TableOGINFLSC[[#This Row],[Structure Line]]," "),TableOGINFLSC[[#This Row],[Structure Line]])</calculatedColumnFormula>
    </tableColumn>
    <tableColumn id="12" xr3:uid="{00000000-0010-0000-0500-00000C000000}" name="CPs" dataDxfId="87">
      <calculatedColumnFormula>TableOGINFLSC[[#This Row],[Credit Points]]</calculatedColumnFormula>
    </tableColumn>
    <tableColumn id="13" xr3:uid="{00000000-0010-0000-0500-00000D000000}" name="No." dataDxfId="86"/>
    <tableColumn id="2" xr3:uid="{00000000-0010-0000-0500-000002000000}" name="Component Type" dataDxfId="85"/>
    <tableColumn id="3" xr3:uid="{00000000-0010-0000-0500-000003000000}" name="Year Level" dataDxfId="84"/>
    <tableColumn id="4" xr3:uid="{00000000-0010-0000-0500-000004000000}" name="Study Period" dataDxfId="83"/>
    <tableColumn id="5" xr3:uid="{00000000-0010-0000-0500-000005000000}" name="Study Package Code" dataDxfId="82"/>
    <tableColumn id="6" xr3:uid="{00000000-0010-0000-0500-000006000000}" name="Ver" dataDxfId="81"/>
    <tableColumn id="7" xr3:uid="{00000000-0010-0000-0500-000007000000}" name="Structure Line" dataDxfId="80"/>
    <tableColumn id="8" xr3:uid="{00000000-0010-0000-0500-000008000000}" name="Credit Points" dataDxfId="79"/>
    <tableColumn id="16" xr3:uid="{00000000-0010-0000-0500-000010000000}" name="Effective" dataDxfId="78"/>
    <tableColumn id="14" xr3:uid="{00000000-0010-0000-0500-00000E000000}" name="Discont." dataDxfId="7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6000000}" name="TableOGINFLSCCheck" displayName="TableOGINFLSCCheck" ref="Q17:R25" totalsRowShown="0">
  <autoFilter ref="Q17:R25" xr:uid="{00000000-0009-0000-0100-00000A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7000000}" name="TableOMINFSCI" displayName="TableOMINFSCI" ref="A27:O44" totalsRowShown="0">
  <autoFilter ref="A27:O44" xr:uid="{00000000-0009-0000-0100-00000B000000}"/>
  <sortState xmlns:xlrd2="http://schemas.microsoft.com/office/spreadsheetml/2017/richdata2" ref="A35:R38">
    <sortCondition ref="O2:O6"/>
  </sortState>
  <tableColumns count="15">
    <tableColumn id="1" xr3:uid="{00000000-0010-0000-0700-000001000000}" name="UDC" dataDxfId="76">
      <calculatedColumnFormula>TableOMINFSCI[[#This Row],[Study Package Code]]</calculatedColumnFormula>
    </tableColumn>
    <tableColumn id="9" xr3:uid="{00000000-0010-0000-0700-000009000000}" name="V" dataDxfId="75">
      <calculatedColumnFormula>TableOMINFSCI[[#This Row],[Ver]]</calculatedColumnFormula>
    </tableColumn>
    <tableColumn id="10" xr3:uid="{00000000-0010-0000-0700-00000A000000}" name="OUA Code" dataDxfId="74">
      <calculatedColumnFormula>IF(TableOMINFSCI[[#This Row],[Ver]]&gt;0,_xlfn.TEXTBEFORE(TableOMINFSCI[[#This Row],[Structure Line]]," "),"")</calculatedColumnFormula>
    </tableColumn>
    <tableColumn id="11" xr3:uid="{00000000-0010-0000-0700-00000B000000}" name="Unit Title" dataDxfId="73">
      <calculatedColumnFormula>IF(TableOMINFSCI[[#This Row],[OUA Code]]&lt;&gt;"",_xlfn.TEXTAFTER(TableOMINFSCI[[#This Row],[Structure Line]]," "),TableOMINFSCI[[#This Row],[Structure Line]])</calculatedColumnFormula>
    </tableColumn>
    <tableColumn id="12" xr3:uid="{00000000-0010-0000-0700-00000C000000}" name="CPs" dataDxfId="72">
      <calculatedColumnFormula>TableOMINFSCI[[#This Row],[Credit Points]]</calculatedColumnFormula>
    </tableColumn>
    <tableColumn id="13" xr3:uid="{00000000-0010-0000-0700-00000D000000}" name="No." dataDxfId="71"/>
    <tableColumn id="2" xr3:uid="{00000000-0010-0000-0700-000002000000}" name="Component Type" dataDxfId="70"/>
    <tableColumn id="3" xr3:uid="{00000000-0010-0000-0700-000003000000}" name="Year Level" dataDxfId="69"/>
    <tableColumn id="4" xr3:uid="{00000000-0010-0000-0700-000004000000}" name="Study Period" dataDxfId="68"/>
    <tableColumn id="5" xr3:uid="{00000000-0010-0000-0700-000005000000}" name="Study Package Code" dataDxfId="67"/>
    <tableColumn id="6" xr3:uid="{00000000-0010-0000-0700-000006000000}" name="Ver" dataDxfId="66"/>
    <tableColumn id="7" xr3:uid="{00000000-0010-0000-0700-000007000000}" name="Structure Line" dataDxfId="65"/>
    <tableColumn id="8" xr3:uid="{00000000-0010-0000-0700-000008000000}" name="Credit Points" dataDxfId="64"/>
    <tableColumn id="16" xr3:uid="{00000000-0010-0000-0700-000010000000}" name="Effective" dataDxfId="63"/>
    <tableColumn id="14" xr3:uid="{00000000-0010-0000-0700-00000E000000}" name="Discont." dataDxfId="62"/>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8000000}" name="TableOMINFSCICheck" displayName="TableOMINFSCICheck" ref="Q27:R44" totalsRowShown="0">
  <autoFilter ref="Q27:R44" xr:uid="{00000000-0009-0000-0100-00000C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7.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9.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F3AB-1299-4A0D-9C9E-66B91BEA00A7}">
  <sheetPr>
    <pageSetUpPr fitToPage="1"/>
  </sheetPr>
  <dimension ref="A1:Y3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5.1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7" t="s">
        <v>8</v>
      </c>
      <c r="B3" s="228"/>
      <c r="C3" s="228"/>
      <c r="D3" s="228"/>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11</v>
      </c>
      <c r="E5" s="63"/>
      <c r="F5" s="68" t="s">
        <v>12</v>
      </c>
      <c r="G5" s="24" t="str">
        <f>IFERROR(CONCATENATE(VLOOKUP(D5,TableCourses[],2,FALSE)," ",VLOOKUP(D5,TableCourses[],3,FALSE)),"")</f>
        <v>OG-ARCREC v.1</v>
      </c>
      <c r="H5" s="24"/>
      <c r="I5" s="24"/>
      <c r="J5" s="24"/>
      <c r="K5" s="24"/>
      <c r="L5" s="24"/>
      <c r="M5" s="24"/>
      <c r="N5" s="204"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six core subjects including one fieldwork-focused subject and two elective subjects that must be selected from a specified list. Fieldwork placements are arranged for all students.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188" t="s">
        <v>26</v>
      </c>
      <c r="L9" s="79"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ht="16.5" customHeight="1" x14ac:dyDescent="0.25">
      <c r="A22" s="117" t="s">
        <v>30</v>
      </c>
      <c r="B22" s="118"/>
      <c r="C22" s="118"/>
      <c r="D22" s="118"/>
      <c r="E22" s="119"/>
      <c r="F22" s="120"/>
      <c r="G22" s="120"/>
      <c r="H22" s="121" t="str">
        <f>H8</f>
        <v>2026 Availabilities</v>
      </c>
      <c r="I22" s="127"/>
      <c r="J22" s="127"/>
      <c r="K22" s="127"/>
      <c r="L22" s="128"/>
      <c r="M22" s="122"/>
      <c r="N22" s="205" t="str">
        <f>VLOOKUP(D5,TableCourses[],2,FALSE)</f>
        <v>OG-ARCREC</v>
      </c>
      <c r="O22" s="90"/>
      <c r="P22" s="27"/>
      <c r="Q22" s="27"/>
      <c r="R22" s="27"/>
      <c r="S22" s="27"/>
      <c r="T22" s="27"/>
      <c r="U22" s="27"/>
      <c r="V22" s="27"/>
      <c r="W22" s="27"/>
      <c r="X22" s="27"/>
      <c r="Y22" s="27"/>
    </row>
    <row r="23" spans="1:25" s="45" customFormat="1" ht="21.75" thickBot="1" x14ac:dyDescent="0.3">
      <c r="A23" s="91"/>
      <c r="B23" s="82"/>
      <c r="C23" s="72" t="s">
        <v>19</v>
      </c>
      <c r="D23" s="73" t="s">
        <v>3</v>
      </c>
      <c r="E23" s="79"/>
      <c r="F23" s="129" t="s">
        <v>21</v>
      </c>
      <c r="G23" s="72" t="s">
        <v>22</v>
      </c>
      <c r="H23" s="78" t="str">
        <f>H$9</f>
        <v>SP1</v>
      </c>
      <c r="I23" s="79" t="str">
        <f t="shared" ref="I23:N23" si="0">I$9</f>
        <v>SP2</v>
      </c>
      <c r="J23" s="79" t="str">
        <f t="shared" si="0"/>
        <v>SP3</v>
      </c>
      <c r="K23" s="80" t="str">
        <f t="shared" si="0"/>
        <v>SP4</v>
      </c>
      <c r="L23" s="78" t="str">
        <f t="shared" si="0"/>
        <v>OUA
Sess1</v>
      </c>
      <c r="M23" s="80" t="str">
        <f t="shared" si="0"/>
        <v>OUA
Sess2</v>
      </c>
      <c r="N23" s="81" t="str">
        <f t="shared" si="0"/>
        <v>Notes / Progress</v>
      </c>
      <c r="O23" s="90"/>
      <c r="P23" s="44"/>
      <c r="Q23" s="44"/>
      <c r="R23" s="44"/>
      <c r="S23" s="44"/>
      <c r="T23" s="44"/>
      <c r="U23" s="44"/>
      <c r="V23" s="44"/>
      <c r="W23" s="44"/>
      <c r="X23" s="44"/>
      <c r="Y23" s="44"/>
    </row>
    <row r="24" spans="1:25" x14ac:dyDescent="0.25">
      <c r="A24" s="92" t="str">
        <f t="shared" ref="A24:A30" si="1">IFERROR(IF(HLOOKUP($N$22,RangeOptions,O24,FALSE)=0,"",HLOOKUP($N$22,RangeOptions,O24,FALSE)),"")</f>
        <v>Opt-ARCREC</v>
      </c>
      <c r="B24" s="97" t="str">
        <f>IFERROR(IF(VLOOKUP($A24,TableHandbook[],2,FALSE)=0,"",VLOOKUP($A24,TableHandbook[],2,FALSE)),"")</f>
        <v/>
      </c>
      <c r="C24" s="97" t="str">
        <f>IFERROR(IF(VLOOKUP($A24,TableHandbook[],3,FALSE)=0,"",VLOOKUP($A24,TableHandbook[],3,FALSE)),"")</f>
        <v/>
      </c>
      <c r="D24" s="46" t="str">
        <f>IFERROR(IF(VLOOKUP($A24,TableHandbook[],4,FALSE)=0,"",VLOOKUP($A24,TableHandbook[],4,FALSE)),"")</f>
        <v>Study 2 subjects from this Options list</v>
      </c>
      <c r="E24" s="47"/>
      <c r="F24" s="130" t="str">
        <f>IFERROR(IF(VLOOKUP($A24,TableHandbook[],6,FALSE)=0,"",VLOOKUP($A24,TableHandbook[],6,FALSE)),"")</f>
        <v/>
      </c>
      <c r="G24" s="47">
        <f>IFERROR(IF(VLOOKUP($A24,TableHandbook[],5,FALSE)=0,"",VLOOKUP($A24,TableHandbook[],5,FALSE)),"")</f>
        <v>50</v>
      </c>
      <c r="H24" s="195" t="str">
        <f>IFERROR(VLOOKUP($A24,TableHandbook[],H$2,FALSE),"")</f>
        <v/>
      </c>
      <c r="I24" s="196" t="str">
        <f>IFERROR(VLOOKUP($A24,TableHandbook[],I$2,FALSE),"")</f>
        <v/>
      </c>
      <c r="J24" s="196" t="str">
        <f>IFERROR(VLOOKUP($A24,TableHandbook[],J$2,FALSE),"")</f>
        <v/>
      </c>
      <c r="K24" s="197" t="str">
        <f>IFERROR(VLOOKUP($A24,TableHandbook[],K$2,FALSE),"")</f>
        <v/>
      </c>
      <c r="L24" s="198" t="str">
        <f>IFERROR(VLOOKUP($A24,TableHandbook[],L$2,FALSE),"")</f>
        <v/>
      </c>
      <c r="M24" s="199" t="str">
        <f>IFERROR(VLOOKUP($A24,TableHandbook[],M$2,FALSE),"")</f>
        <v/>
      </c>
      <c r="N24" s="170"/>
      <c r="O24" s="88">
        <v>2</v>
      </c>
      <c r="P24" s="27"/>
      <c r="Q24" s="27"/>
      <c r="R24" s="27"/>
      <c r="S24" s="27"/>
      <c r="T24" s="27"/>
      <c r="U24" s="27"/>
      <c r="V24" s="27"/>
      <c r="W24" s="27"/>
      <c r="X24" s="27"/>
      <c r="Y24" s="27"/>
    </row>
    <row r="25" spans="1:25" x14ac:dyDescent="0.25">
      <c r="A25" s="92" t="str">
        <f t="shared" si="1"/>
        <v>HRIG5006</v>
      </c>
      <c r="B25" s="97">
        <f>IFERROR(IF(VLOOKUP($A25,TableHandbook[],2,FALSE)=0,"",VLOOKUP($A25,TableHandbook[],2,FALSE)),"")</f>
        <v>2</v>
      </c>
      <c r="C25" s="97" t="str">
        <f>IFERROR(IF(VLOOKUP($A25,TableHandbook[],3,FALSE)=0,"",VLOOKUP($A25,TableHandbook[],3,FALSE)),"")</f>
        <v>CHRE501</v>
      </c>
      <c r="D25" s="46" t="str">
        <f>IFERROR(IF(VLOOKUP($A25,TableHandbook[],4,FALSE)=0,"",VLOOKUP($A25,TableHandbook[],4,FALSE)),"")</f>
        <v>Introduction to Human Rights and Social Justice</v>
      </c>
      <c r="E25" s="47"/>
      <c r="F25" s="130" t="str">
        <f>IFERROR(IF(VLOOKUP($A25,TableHandbook[],6,FALSE)=0,"",VLOOKUP($A25,TableHandbook[],6,FALSE)),"")</f>
        <v>Nil</v>
      </c>
      <c r="G25" s="47">
        <f>IFERROR(IF(VLOOKUP($A25,TableHandbook[],5,FALSE)=0,"",VLOOKUP($A25,TableHandbook[],5,FALSE)),"")</f>
        <v>25</v>
      </c>
      <c r="H25" s="195" t="str">
        <f>IFERROR(VLOOKUP($A25,TableHandbook[],H$2,FALSE),"")</f>
        <v/>
      </c>
      <c r="I25" s="196" t="str">
        <f>IFERROR(VLOOKUP($A25,TableHandbook[],I$2,FALSE),"")</f>
        <v/>
      </c>
      <c r="J25" s="196" t="str">
        <f>IFERROR(VLOOKUP($A25,TableHandbook[],J$2,FALSE),"")</f>
        <v/>
      </c>
      <c r="K25" s="197" t="str">
        <f>IFERROR(VLOOKUP($A25,TableHandbook[],K$2,FALSE),"")</f>
        <v/>
      </c>
      <c r="L25" s="200" t="str">
        <f>IFERROR(VLOOKUP($A25,TableHandbook[],L$2,FALSE),"")</f>
        <v>Y</v>
      </c>
      <c r="M25" s="201" t="str">
        <f>IFERROR(VLOOKUP($A25,TableHandbook[],M$2,FALSE),"")</f>
        <v/>
      </c>
      <c r="N25" s="170"/>
      <c r="O25" s="88">
        <v>3</v>
      </c>
      <c r="P25" s="27"/>
      <c r="Q25" s="27"/>
      <c r="R25" s="27"/>
      <c r="S25" s="27"/>
      <c r="T25" s="27"/>
      <c r="U25" s="27"/>
      <c r="V25" s="27"/>
      <c r="W25" s="27"/>
      <c r="X25" s="27"/>
      <c r="Y25" s="27"/>
    </row>
    <row r="26" spans="1:25" x14ac:dyDescent="0.25">
      <c r="A26" s="92" t="str">
        <f t="shared" si="1"/>
        <v>HRIG5007</v>
      </c>
      <c r="B26" s="97">
        <f>IFERROR(IF(VLOOKUP($A26,TableHandbook[],2,FALSE)=0,"",VLOOKUP($A26,TableHandbook[],2,FALSE)),"")</f>
        <v>2</v>
      </c>
      <c r="C26" s="97" t="str">
        <f>IFERROR(IF(VLOOKUP($A26,TableHandbook[],3,FALSE)=0,"",VLOOKUP($A26,TableHandbook[],3,FALSE)),"")</f>
        <v>CHRE502</v>
      </c>
      <c r="D26" s="46" t="str">
        <f>IFERROR(IF(VLOOKUP($A26,TableHandbook[],4,FALSE)=0,"",VLOOKUP($A26,TableHandbook[],4,FALSE)),"")</f>
        <v>Dialogue across Cultures and Religions</v>
      </c>
      <c r="E26" s="47"/>
      <c r="F26" s="130" t="str">
        <f>IFERROR(IF(VLOOKUP($A26,TableHandbook[],6,FALSE)=0,"",VLOOKUP($A26,TableHandbook[],6,FALSE)),"")</f>
        <v>Nil</v>
      </c>
      <c r="G26" s="47">
        <f>IFERROR(IF(VLOOKUP($A26,TableHandbook[],5,FALSE)=0,"",VLOOKUP($A26,TableHandbook[],5,FALSE)),"")</f>
        <v>25</v>
      </c>
      <c r="H26" s="195" t="str">
        <f>IFERROR(VLOOKUP($A26,TableHandbook[],H$2,FALSE),"")</f>
        <v/>
      </c>
      <c r="I26" s="196" t="str">
        <f>IFERROR(VLOOKUP($A26,TableHandbook[],I$2,FALSE),"")</f>
        <v/>
      </c>
      <c r="J26" s="196" t="str">
        <f>IFERROR(VLOOKUP($A26,TableHandbook[],J$2,FALSE),"")</f>
        <v/>
      </c>
      <c r="K26" s="197" t="str">
        <f>IFERROR(VLOOKUP($A26,TableHandbook[],K$2,FALSE),"")</f>
        <v/>
      </c>
      <c r="L26" s="200" t="str">
        <f>IFERROR(VLOOKUP($A26,TableHandbook[],L$2,FALSE),"")</f>
        <v/>
      </c>
      <c r="M26" s="201" t="str">
        <f>IFERROR(VLOOKUP($A26,TableHandbook[],M$2,FALSE),"")</f>
        <v>Y</v>
      </c>
      <c r="N26" s="170"/>
      <c r="O26" s="88">
        <v>4</v>
      </c>
      <c r="P26" s="27"/>
      <c r="Q26" s="27"/>
      <c r="R26" s="27"/>
      <c r="S26" s="27"/>
      <c r="T26" s="27"/>
      <c r="U26" s="27"/>
      <c r="V26" s="27"/>
      <c r="W26" s="27"/>
      <c r="X26" s="27"/>
      <c r="Y26" s="27"/>
    </row>
    <row r="27" spans="1:25" x14ac:dyDescent="0.25">
      <c r="A27" s="92" t="str">
        <f t="shared" si="1"/>
        <v>PRJM6013</v>
      </c>
      <c r="B27" s="97">
        <f>IFERROR(IF(VLOOKUP($A27,TableHandbook[],2,FALSE)=0,"",VLOOKUP($A27,TableHandbook[],2,FALSE)),"")</f>
        <v>2</v>
      </c>
      <c r="C27" s="97" t="str">
        <f>IFERROR(IF(VLOOKUP($A27,TableHandbook[],3,FALSE)=0,"",VLOOKUP($A27,TableHandbook[],3,FALSE)),"")</f>
        <v>PRM500</v>
      </c>
      <c r="D27" s="46" t="str">
        <f>IFERROR(IF(VLOOKUP($A27,TableHandbook[],4,FALSE)=0,"",VLOOKUP($A27,TableHandbook[],4,FALSE)),"")</f>
        <v>Project Management Overview</v>
      </c>
      <c r="E27" s="47"/>
      <c r="F27" s="130" t="str">
        <f>IFERROR(IF(VLOOKUP($A27,TableHandbook[],6,FALSE)=0,"",VLOOKUP($A27,TableHandbook[],6,FALSE)),"")</f>
        <v>Nil</v>
      </c>
      <c r="G27" s="47">
        <f>IFERROR(IF(VLOOKUP($A27,TableHandbook[],5,FALSE)=0,"",VLOOKUP($A27,TableHandbook[],5,FALSE)),"")</f>
        <v>25</v>
      </c>
      <c r="H27" s="195" t="str">
        <f>IFERROR(VLOOKUP($A27,TableHandbook[],H$2,FALSE),"")</f>
        <v>Y</v>
      </c>
      <c r="I27" s="196" t="str">
        <f>IFERROR(VLOOKUP($A27,TableHandbook[],I$2,FALSE),"")</f>
        <v/>
      </c>
      <c r="J27" s="196" t="str">
        <f>IFERROR(VLOOKUP($A27,TableHandbook[],J$2,FALSE),"")</f>
        <v>Y</v>
      </c>
      <c r="K27" s="197" t="str">
        <f>IFERROR(VLOOKUP($A27,TableHandbook[],K$2,FALSE),"")</f>
        <v/>
      </c>
      <c r="L27" s="200" t="str">
        <f>IFERROR(VLOOKUP($A27,TableHandbook[],L$2,FALSE),"")</f>
        <v/>
      </c>
      <c r="M27" s="201" t="str">
        <f>IFERROR(VLOOKUP($A27,TableHandbook[],M$2,FALSE),"")</f>
        <v/>
      </c>
      <c r="N27" s="170"/>
      <c r="O27" s="88">
        <v>5</v>
      </c>
      <c r="P27" s="27"/>
      <c r="Q27" s="27"/>
      <c r="R27" s="27"/>
      <c r="S27" s="27"/>
      <c r="T27" s="27"/>
      <c r="U27" s="27"/>
      <c r="V27" s="27"/>
      <c r="W27" s="27"/>
      <c r="X27" s="27"/>
      <c r="Y27" s="27"/>
    </row>
    <row r="28" spans="1:25" x14ac:dyDescent="0.25">
      <c r="A28" s="92" t="str">
        <f t="shared" si="1"/>
        <v>PRJM6015</v>
      </c>
      <c r="B28" s="97">
        <f>IFERROR(IF(VLOOKUP($A28,TableHandbook[],2,FALSE)=0,"",VLOOKUP($A28,TableHandbook[],2,FALSE)),"")</f>
        <v>1</v>
      </c>
      <c r="C28" s="97" t="str">
        <f>IFERROR(IF(VLOOKUP($A28,TableHandbook[],3,FALSE)=0,"",VLOOKUP($A28,TableHandbook[],3,FALSE)),"")</f>
        <v>PRM510</v>
      </c>
      <c r="D28" s="46" t="str">
        <f>IFERROR(IF(VLOOKUP($A28,TableHandbook[],4,FALSE)=0,"",VLOOKUP($A28,TableHandbook[],4,FALSE)),"")</f>
        <v>Project and People</v>
      </c>
      <c r="E28" s="47"/>
      <c r="F28" s="130" t="str">
        <f>IFERROR(IF(VLOOKUP($A28,TableHandbook[],6,FALSE)=0,"",VLOOKUP($A28,TableHandbook[],6,FALSE)),"")</f>
        <v>Nil</v>
      </c>
      <c r="G28" s="47">
        <f>IFERROR(IF(VLOOKUP($A28,TableHandbook[],5,FALSE)=0,"",VLOOKUP($A28,TableHandbook[],5,FALSE)),"")</f>
        <v>25</v>
      </c>
      <c r="H28" s="195" t="str">
        <f>IFERROR(VLOOKUP($A28,TableHandbook[],H$2,FALSE),"")</f>
        <v/>
      </c>
      <c r="I28" s="196" t="str">
        <f>IFERROR(VLOOKUP($A28,TableHandbook[],I$2,FALSE),"")</f>
        <v>Y</v>
      </c>
      <c r="J28" s="196" t="str">
        <f>IFERROR(VLOOKUP($A28,TableHandbook[],J$2,FALSE),"")</f>
        <v/>
      </c>
      <c r="K28" s="197" t="str">
        <f>IFERROR(VLOOKUP($A28,TableHandbook[],K$2,FALSE),"")</f>
        <v>Y</v>
      </c>
      <c r="L28" s="200" t="str">
        <f>IFERROR(VLOOKUP($A28,TableHandbook[],L$2,FALSE),"")</f>
        <v/>
      </c>
      <c r="M28" s="201" t="str">
        <f>IFERROR(VLOOKUP($A28,TableHandbook[],M$2,FALSE),"")</f>
        <v/>
      </c>
      <c r="N28" s="170"/>
      <c r="O28" s="88">
        <v>6</v>
      </c>
      <c r="P28" s="27"/>
      <c r="Q28" s="27"/>
      <c r="R28" s="27"/>
      <c r="S28" s="27"/>
      <c r="T28" s="27"/>
      <c r="U28" s="27"/>
      <c r="V28" s="27"/>
      <c r="W28" s="27"/>
      <c r="X28" s="27"/>
      <c r="Y28" s="27"/>
    </row>
    <row r="29" spans="1:25" x14ac:dyDescent="0.25">
      <c r="A29" s="92" t="str">
        <f t="shared" si="1"/>
        <v>PRJM6020</v>
      </c>
      <c r="B29" s="97">
        <f>IFERROR(IF(VLOOKUP($A29,TableHandbook[],2,FALSE)=0,"",VLOOKUP($A29,TableHandbook[],2,FALSE)),"")</f>
        <v>1</v>
      </c>
      <c r="C29" s="97" t="str">
        <f>IFERROR(IF(VLOOKUP($A29,TableHandbook[],3,FALSE)=0,"",VLOOKUP($A29,TableHandbook[],3,FALSE)),"")</f>
        <v>PRM550</v>
      </c>
      <c r="D29" s="46" t="str">
        <f>IFERROR(IF(VLOOKUP($A29,TableHandbook[],4,FALSE)=0,"",VLOOKUP($A29,TableHandbook[],4,FALSE)),"")</f>
        <v>Project Risk Management</v>
      </c>
      <c r="E29" s="47"/>
      <c r="F29" s="130" t="str">
        <f>IFERROR(IF(VLOOKUP($A29,TableHandbook[],6,FALSE)=0,"",VLOOKUP($A29,TableHandbook[],6,FALSE)),"")</f>
        <v>50CP</v>
      </c>
      <c r="G29" s="47">
        <f>IFERROR(IF(VLOOKUP($A29,TableHandbook[],5,FALSE)=0,"",VLOOKUP($A29,TableHandbook[],5,FALSE)),"")</f>
        <v>25</v>
      </c>
      <c r="H29" s="195" t="str">
        <f>IFERROR(VLOOKUP($A29,TableHandbook[],H$2,FALSE),"")</f>
        <v/>
      </c>
      <c r="I29" s="196" t="str">
        <f>IFERROR(VLOOKUP($A29,TableHandbook[],I$2,FALSE),"")</f>
        <v>Y</v>
      </c>
      <c r="J29" s="196" t="str">
        <f>IFERROR(VLOOKUP($A29,TableHandbook[],J$2,FALSE),"")</f>
        <v/>
      </c>
      <c r="K29" s="197" t="str">
        <f>IFERROR(VLOOKUP($A29,TableHandbook[],K$2,FALSE),"")</f>
        <v/>
      </c>
      <c r="L29" s="200" t="str">
        <f>IFERROR(VLOOKUP($A29,TableHandbook[],L$2,FALSE),"")</f>
        <v/>
      </c>
      <c r="M29" s="201" t="str">
        <f>IFERROR(VLOOKUP($A29,TableHandbook[],M$2,FALSE),"")</f>
        <v/>
      </c>
      <c r="N29" s="170"/>
      <c r="O29" s="88">
        <v>7</v>
      </c>
      <c r="P29" s="27"/>
      <c r="Q29" s="27"/>
      <c r="R29" s="27"/>
      <c r="S29" s="27"/>
      <c r="T29" s="27"/>
      <c r="U29" s="27"/>
      <c r="V29" s="27"/>
      <c r="W29" s="27"/>
      <c r="X29" s="27"/>
      <c r="Y29" s="27"/>
    </row>
    <row r="30" spans="1:25" x14ac:dyDescent="0.25">
      <c r="A30" s="92" t="str">
        <f t="shared" si="1"/>
        <v>PRJM6021</v>
      </c>
      <c r="B30" s="97">
        <f>IFERROR(IF(VLOOKUP($A30,TableHandbook[],2,FALSE)=0,"",VLOOKUP($A30,TableHandbook[],2,FALSE)),"")</f>
        <v>2</v>
      </c>
      <c r="C30" s="97" t="str">
        <f>IFERROR(IF(VLOOKUP($A30,TableHandbook[],3,FALSE)=0,"",VLOOKUP($A30,TableHandbook[],3,FALSE)),"")</f>
        <v>PRM530</v>
      </c>
      <c r="D30" s="46" t="str">
        <f>IFERROR(IF(VLOOKUP($A30,TableHandbook[],4,FALSE)=0,"",VLOOKUP($A30,TableHandbook[],4,FALSE)),"")</f>
        <v>Project Planning and Schedule Management</v>
      </c>
      <c r="E30" s="47"/>
      <c r="F30" s="130" t="str">
        <f>IFERROR(IF(VLOOKUP($A30,TableHandbook[],6,FALSE)=0,"",VLOOKUP($A30,TableHandbook[],6,FALSE)),"")</f>
        <v>Nil</v>
      </c>
      <c r="G30" s="47">
        <f>IFERROR(IF(VLOOKUP($A30,TableHandbook[],5,FALSE)=0,"",VLOOKUP($A30,TableHandbook[],5,FALSE)),"")</f>
        <v>25</v>
      </c>
      <c r="H30" s="195" t="str">
        <f>IFERROR(VLOOKUP($A30,TableHandbook[],H$2,FALSE),"")</f>
        <v/>
      </c>
      <c r="I30" s="196" t="str">
        <f>IFERROR(VLOOKUP($A30,TableHandbook[],I$2,FALSE),"")</f>
        <v>Y</v>
      </c>
      <c r="J30" s="196" t="str">
        <f>IFERROR(VLOOKUP($A30,TableHandbook[],J$2,FALSE),"")</f>
        <v/>
      </c>
      <c r="K30" s="197" t="str">
        <f>IFERROR(VLOOKUP($A30,TableHandbook[],K$2,FALSE),"")</f>
        <v>Y</v>
      </c>
      <c r="L30" s="200" t="str">
        <f>IFERROR(VLOOKUP($A30,TableHandbook[],L$2,FALSE),"")</f>
        <v/>
      </c>
      <c r="M30" s="201" t="str">
        <f>IFERROR(VLOOKUP($A30,TableHandbook[],M$2,FALSE),"")</f>
        <v/>
      </c>
      <c r="N30" s="170"/>
      <c r="O30" s="88">
        <v>8</v>
      </c>
      <c r="P30" s="27"/>
      <c r="Q30" s="27"/>
      <c r="R30" s="27"/>
      <c r="S30" s="27"/>
      <c r="T30" s="27"/>
      <c r="U30" s="27"/>
      <c r="V30" s="27"/>
      <c r="W30" s="27"/>
      <c r="X30" s="27"/>
      <c r="Y30" s="27"/>
    </row>
    <row r="31" spans="1:25" s="41" customFormat="1" ht="13.9" customHeight="1" x14ac:dyDescent="0.2">
      <c r="A31" s="42"/>
      <c r="B31" s="42"/>
      <c r="C31" s="42"/>
      <c r="D31" s="43"/>
      <c r="E31" s="65"/>
      <c r="F31" s="38"/>
      <c r="G31" s="38"/>
      <c r="H31" s="38"/>
      <c r="I31" s="38"/>
      <c r="J31" s="38"/>
      <c r="K31" s="38"/>
      <c r="L31" s="38"/>
      <c r="M31" s="38"/>
      <c r="N31" s="38"/>
      <c r="O31" s="89"/>
      <c r="P31" s="39"/>
      <c r="Q31" s="39"/>
      <c r="R31" s="40"/>
      <c r="S31" s="40"/>
      <c r="T31" s="40"/>
      <c r="U31" s="40"/>
      <c r="V31" s="40"/>
      <c r="W31" s="40"/>
      <c r="X31" s="40"/>
      <c r="Y31" s="40"/>
    </row>
    <row r="32" spans="1:25" s="27" customFormat="1" ht="32.25" customHeight="1" x14ac:dyDescent="0.25">
      <c r="A32" s="229" t="s">
        <v>31</v>
      </c>
      <c r="B32" s="229"/>
      <c r="C32" s="229"/>
      <c r="D32" s="229"/>
      <c r="E32" s="229"/>
      <c r="F32" s="229"/>
      <c r="G32" s="229"/>
      <c r="H32" s="229"/>
      <c r="I32" s="229"/>
      <c r="J32" s="229"/>
      <c r="K32" s="229"/>
      <c r="L32" s="229"/>
      <c r="M32" s="229"/>
      <c r="N32" s="229"/>
    </row>
    <row r="33" spans="1:14" s="27" customFormat="1" x14ac:dyDescent="0.25">
      <c r="A33" s="48"/>
      <c r="B33" s="49"/>
      <c r="C33" s="49"/>
      <c r="D33" s="49"/>
      <c r="E33" s="66"/>
      <c r="F33" s="49"/>
      <c r="G33" s="49"/>
      <c r="H33" s="49"/>
      <c r="I33" s="49"/>
      <c r="J33" s="49"/>
      <c r="K33" s="49"/>
      <c r="L33" s="49"/>
      <c r="M33" s="49"/>
      <c r="N33" s="50"/>
    </row>
    <row r="34" spans="1:14" s="27" customFormat="1" ht="15" customHeight="1" x14ac:dyDescent="0.25">
      <c r="A34" s="37" t="s">
        <v>32</v>
      </c>
      <c r="B34" s="37"/>
      <c r="C34" s="37"/>
      <c r="D34" s="37"/>
      <c r="E34" s="67"/>
      <c r="F34" s="38"/>
      <c r="G34" s="51"/>
      <c r="H34" s="51"/>
      <c r="I34" s="51"/>
      <c r="J34" s="51"/>
      <c r="K34" s="51"/>
      <c r="L34" s="51"/>
      <c r="M34" s="51"/>
      <c r="N34" s="51" t="s">
        <v>33</v>
      </c>
    </row>
  </sheetData>
  <sheetProtection formatCells="0"/>
  <mergeCells count="2">
    <mergeCell ref="A3:D3"/>
    <mergeCell ref="A32:N32"/>
  </mergeCells>
  <conditionalFormatting sqref="A10:N20 A24:N30">
    <cfRule type="expression" dxfId="40" priority="2">
      <formula>$A10=""</formula>
    </cfRule>
  </conditionalFormatting>
  <conditionalFormatting sqref="A24:N30">
    <cfRule type="expression" dxfId="39" priority="3">
      <formula>LEFT($D24,5)="Study"</formula>
    </cfRule>
  </conditionalFormatting>
  <conditionalFormatting sqref="D5:D7">
    <cfRule type="containsText" dxfId="38" priority="4" operator="containsText" text="Choose">
      <formula>NOT(ISERROR(SEARCH("Choose",D5)))</formula>
    </cfRule>
  </conditionalFormatting>
  <conditionalFormatting sqref="H10:K20">
    <cfRule type="expression" dxfId="37" priority="1">
      <formula>$E10=H$9</formula>
    </cfRule>
  </conditionalFormatting>
  <dataValidations count="1">
    <dataValidation type="list" allowBlank="1" showInputMessage="1" showErrorMessage="1" sqref="N15 N12 N18" xr:uid="{B38B5612-0CA0-4E1B-A0F4-131EA3692DE5}"/>
  </dataValidations>
  <printOptions horizontalCentered="1"/>
  <pageMargins left="0.31496062992125984" right="0.31496062992125984" top="0.39370078740157483" bottom="0.39370078740157483" header="0.19685039370078741" footer="0.19685039370078741"/>
  <pageSetup paperSize="9" scale="85"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C24EE1A-9173-4FB6-A6FB-7C24DF740CCF}">
          <x14:formula1>
            <xm:f>CourseDetails!$A$10:$A$14</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7728B-EA7F-47E2-AE96-967D54444862}">
  <sheetPr>
    <pageSetUpPr fitToPage="1"/>
  </sheetPr>
  <dimension ref="A1:Y2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52.625" style="21" bestFit="1" customWidth="1"/>
    <col min="5" max="5" width="7.375" style="22" customWidth="1"/>
    <col min="6" max="6" width="19.25" style="21" bestFit="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7" t="s">
        <v>8</v>
      </c>
      <c r="B3" s="228"/>
      <c r="C3" s="228"/>
      <c r="D3" s="228"/>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34</v>
      </c>
      <c r="E5" s="63"/>
      <c r="F5" s="68" t="s">
        <v>12</v>
      </c>
      <c r="G5" s="24" t="str">
        <f>IFERROR(CONCATENATE(VLOOKUP(D5,TableCourses[],2,FALSE)," ",VLOOKUP(D5,TableCourses[],3,FALSE)),"")</f>
        <v>OG-INFLSC v.1</v>
      </c>
      <c r="H5" s="24"/>
      <c r="I5" s="24"/>
      <c r="J5" s="24"/>
      <c r="K5" s="24"/>
      <c r="L5" s="24"/>
      <c r="M5" s="24"/>
      <c r="N5" s="204"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200 credit points required</v>
      </c>
      <c r="H6" s="55"/>
      <c r="I6" s="55"/>
      <c r="J6" s="55"/>
      <c r="K6" s="55"/>
      <c r="L6" s="55"/>
      <c r="M6" s="55"/>
      <c r="N6" s="84"/>
      <c r="O6" s="27"/>
      <c r="P6" s="27"/>
      <c r="Q6" s="27"/>
      <c r="R6" s="27"/>
      <c r="S6" s="27"/>
      <c r="T6" s="27"/>
      <c r="U6" s="27"/>
      <c r="V6" s="27"/>
      <c r="W6" s="27"/>
      <c r="X6" s="27"/>
      <c r="Y6" s="27"/>
    </row>
    <row r="7" spans="1:25" ht="50.1" customHeight="1" x14ac:dyDescent="0.25">
      <c r="A7" s="175" t="s">
        <v>16</v>
      </c>
      <c r="B7" s="176" t="str">
        <f>IFERROR(VLOOKUP(D5,TableCourses[],9,FALSE),"")</f>
        <v>This degree is one year full-time or equivalent part-time study. Full-time study may not be available for all students, depending on their study period of commencement, resulting in an extended course duration. The degree consists of eight core subjects including one fieldwork-focused subject. Fieldwork placements are arranged for all students.</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41" customFormat="1" ht="13.9" customHeight="1" x14ac:dyDescent="0.2">
      <c r="A21" s="42"/>
      <c r="B21" s="42"/>
      <c r="C21" s="42"/>
      <c r="D21" s="43"/>
      <c r="E21" s="65"/>
      <c r="F21" s="38"/>
      <c r="G21" s="38"/>
      <c r="H21" s="38"/>
      <c r="I21" s="38"/>
      <c r="J21" s="38"/>
      <c r="K21" s="38"/>
      <c r="L21" s="38"/>
      <c r="M21" s="38"/>
      <c r="N21" s="38"/>
      <c r="O21" s="89"/>
      <c r="P21" s="39"/>
      <c r="Q21" s="39"/>
      <c r="R21" s="40"/>
      <c r="S21" s="40"/>
      <c r="T21" s="40"/>
      <c r="U21" s="40"/>
      <c r="V21" s="40"/>
      <c r="W21" s="40"/>
      <c r="X21" s="40"/>
      <c r="Y21" s="40"/>
    </row>
    <row r="22" spans="1:25" s="27" customFormat="1" ht="32.25" customHeight="1" x14ac:dyDescent="0.25">
      <c r="A22" s="229" t="s">
        <v>31</v>
      </c>
      <c r="B22" s="229"/>
      <c r="C22" s="229"/>
      <c r="D22" s="229"/>
      <c r="E22" s="229"/>
      <c r="F22" s="229"/>
      <c r="G22" s="229"/>
      <c r="H22" s="229"/>
      <c r="I22" s="229"/>
      <c r="J22" s="229"/>
      <c r="K22" s="229"/>
      <c r="L22" s="229"/>
      <c r="M22" s="229"/>
      <c r="N22" s="229"/>
    </row>
    <row r="23" spans="1:25" s="27" customFormat="1" x14ac:dyDescent="0.25">
      <c r="A23" s="48"/>
      <c r="B23" s="49"/>
      <c r="C23" s="49"/>
      <c r="D23" s="49"/>
      <c r="E23" s="66"/>
      <c r="F23" s="49"/>
      <c r="G23" s="49"/>
      <c r="H23" s="49"/>
      <c r="I23" s="49"/>
      <c r="J23" s="49"/>
      <c r="K23" s="49"/>
      <c r="L23" s="49"/>
      <c r="M23" s="49"/>
      <c r="N23" s="50"/>
    </row>
    <row r="24" spans="1:25" s="27" customFormat="1" ht="15" customHeight="1" x14ac:dyDescent="0.25">
      <c r="A24" s="37" t="s">
        <v>32</v>
      </c>
      <c r="B24" s="37"/>
      <c r="C24" s="37"/>
      <c r="D24" s="37"/>
      <c r="E24" s="67"/>
      <c r="F24" s="38"/>
      <c r="G24" s="51"/>
      <c r="H24" s="51"/>
      <c r="I24" s="51"/>
      <c r="J24" s="51"/>
      <c r="K24" s="51"/>
      <c r="L24" s="51"/>
      <c r="M24" s="51"/>
      <c r="N24" s="51" t="s">
        <v>33</v>
      </c>
    </row>
  </sheetData>
  <sheetProtection formatCells="0"/>
  <mergeCells count="2">
    <mergeCell ref="A3:D3"/>
    <mergeCell ref="A22:N22"/>
  </mergeCells>
  <conditionalFormatting sqref="A10:N20">
    <cfRule type="expression" dxfId="36" priority="2">
      <formula>$A10=""</formula>
    </cfRule>
  </conditionalFormatting>
  <conditionalFormatting sqref="D5:D7">
    <cfRule type="containsText" dxfId="35" priority="4" operator="containsText" text="Choose">
      <formula>NOT(ISERROR(SEARCH("Choose",D5)))</formula>
    </cfRule>
  </conditionalFormatting>
  <conditionalFormatting sqref="H10:K20">
    <cfRule type="expression" dxfId="34" priority="1">
      <formula>$E10=H$9</formula>
    </cfRule>
  </conditionalFormatting>
  <dataValidations count="1">
    <dataValidation type="list" allowBlank="1" showInputMessage="1" showErrorMessage="1" sqref="N15 N12 N18" xr:uid="{7C91164F-344E-4604-BFB4-B8ECECCFA046}"/>
  </dataValidations>
  <printOptions horizontalCentered="1"/>
  <pageMargins left="0.31496062992125984" right="0.31496062992125984" top="0.39370078740157483" bottom="0.39370078740157483" header="0.19685039370078741" footer="0.19685039370078741"/>
  <pageSetup paperSize="9" scale="86" orientation="landscape" r:id="rId1"/>
  <rowBreaks count="1" manualBreakCount="1">
    <brk id="20"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6A6E7F7-25D4-4D6F-8F02-0C68541522C0}">
          <x14:formula1>
            <xm:f>CourseDetails!$A$10:$A$14</xm:f>
          </x14:formula1>
          <xm:sqref>D6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3EFCE-331C-4335-A444-228769BD68AD}">
  <sheetPr>
    <pageSetUpPr fitToPage="1"/>
  </sheetPr>
  <dimension ref="A1:R40"/>
  <sheetViews>
    <sheetView showGridLines="0" tabSelected="1" topLeftCell="A3" zoomScaleNormal="100" workbookViewId="0">
      <selection activeCell="D6" sqref="D6"/>
    </sheetView>
  </sheetViews>
  <sheetFormatPr defaultColWidth="9" defaultRowHeight="15" x14ac:dyDescent="0.25"/>
  <cols>
    <col min="1" max="1" width="10.625" style="245" customWidth="1"/>
    <col min="2" max="2" width="3.25" style="245" customWidth="1"/>
    <col min="3" max="3" width="8.875" style="245" customWidth="1"/>
    <col min="4" max="4" width="43.375" style="234" customWidth="1"/>
    <col min="5" max="5" width="7.375" style="245" customWidth="1"/>
    <col min="6" max="6" width="18" style="234" customWidth="1"/>
    <col min="7" max="7" width="5.625" style="234" customWidth="1"/>
    <col min="8" max="11" width="3.625" style="234" customWidth="1"/>
    <col min="12" max="13" width="4.375" style="234" bestFit="1" customWidth="1"/>
    <col min="14" max="14" width="18.625" style="234" customWidth="1"/>
    <col min="15" max="15" width="2.5" style="234" hidden="1" customWidth="1"/>
    <col min="16" max="16384" width="9" style="234"/>
  </cols>
  <sheetData>
    <row r="1" spans="1:18" hidden="1" x14ac:dyDescent="0.25">
      <c r="A1" s="230" t="s">
        <v>0</v>
      </c>
      <c r="B1" s="231" t="s">
        <v>1</v>
      </c>
      <c r="C1" s="231" t="s">
        <v>2</v>
      </c>
      <c r="D1" s="232" t="s">
        <v>3</v>
      </c>
      <c r="E1" s="231"/>
      <c r="F1" s="232" t="s">
        <v>4</v>
      </c>
      <c r="G1" s="232" t="s">
        <v>5</v>
      </c>
      <c r="H1" s="233" t="s">
        <v>6</v>
      </c>
      <c r="I1" s="233"/>
      <c r="J1" s="233"/>
      <c r="K1" s="232"/>
      <c r="L1" s="232"/>
      <c r="M1" s="232"/>
      <c r="N1" s="232" t="s">
        <v>7</v>
      </c>
    </row>
    <row r="2" spans="1:18" hidden="1" x14ac:dyDescent="0.25">
      <c r="A2" s="235"/>
      <c r="B2" s="235">
        <v>2</v>
      </c>
      <c r="C2" s="235">
        <v>3</v>
      </c>
      <c r="D2" s="235">
        <v>4</v>
      </c>
      <c r="E2" s="235"/>
      <c r="F2" s="235">
        <v>6</v>
      </c>
      <c r="G2" s="235">
        <v>5</v>
      </c>
      <c r="H2" s="235">
        <v>9</v>
      </c>
      <c r="I2" s="235">
        <v>10</v>
      </c>
      <c r="J2" s="235">
        <v>11</v>
      </c>
      <c r="K2" s="235">
        <v>12</v>
      </c>
      <c r="L2" s="235">
        <v>7</v>
      </c>
      <c r="M2" s="235">
        <v>8</v>
      </c>
      <c r="N2" s="235"/>
    </row>
    <row r="3" spans="1:18" ht="39.950000000000003" customHeight="1" x14ac:dyDescent="0.25">
      <c r="A3" s="236" t="s">
        <v>8</v>
      </c>
      <c r="B3" s="237"/>
      <c r="C3" s="237"/>
      <c r="D3" s="237"/>
      <c r="E3" s="238"/>
      <c r="F3" s="239"/>
      <c r="G3" s="239"/>
      <c r="H3" s="239"/>
      <c r="I3" s="239"/>
      <c r="J3" s="239"/>
      <c r="K3" s="239"/>
      <c r="L3" s="239"/>
      <c r="M3" s="239"/>
      <c r="N3" s="239"/>
    </row>
    <row r="4" spans="1:18" ht="26.25" x14ac:dyDescent="0.25">
      <c r="A4" s="240"/>
      <c r="B4" s="241"/>
      <c r="C4" s="241"/>
      <c r="D4" s="242"/>
      <c r="E4" s="243" t="s">
        <v>9</v>
      </c>
      <c r="F4" s="241"/>
      <c r="G4" s="244"/>
      <c r="H4" s="244"/>
      <c r="I4" s="244"/>
      <c r="J4" s="244"/>
      <c r="K4" s="244"/>
      <c r="L4" s="244"/>
      <c r="M4" s="244"/>
      <c r="N4" s="244"/>
    </row>
    <row r="5" spans="1:18" ht="20.100000000000001" customHeight="1" x14ac:dyDescent="0.25">
      <c r="B5" s="246"/>
      <c r="C5" s="247" t="s">
        <v>10</v>
      </c>
      <c r="D5" s="248" t="s">
        <v>36</v>
      </c>
      <c r="E5" s="249"/>
      <c r="F5" s="247" t="s">
        <v>12</v>
      </c>
      <c r="G5" s="250" t="str">
        <f>IFERROR(CONCATENATE(VLOOKUP(D5,TableCourses[],2,FALSE)," ",VLOOKUP(D5,TableCourses[],3,FALSE)),"")</f>
        <v>OM-INFSCI v.1</v>
      </c>
      <c r="H5" s="250"/>
      <c r="I5" s="250"/>
      <c r="J5" s="250"/>
      <c r="K5" s="250"/>
      <c r="L5" s="250"/>
      <c r="M5" s="250"/>
      <c r="N5" s="251" t="e">
        <f>CONCATENATE(VLOOKUP(D5,TableCourses[],2,FALSE),VLOOKUP(D6,TableStudyPeriod[],2,FALSE))</f>
        <v>#N/A</v>
      </c>
    </row>
    <row r="6" spans="1:18" ht="20.100000000000001" customHeight="1" x14ac:dyDescent="0.25">
      <c r="A6" s="252"/>
      <c r="B6" s="253"/>
      <c r="C6" s="247" t="s">
        <v>13</v>
      </c>
      <c r="D6" s="342" t="s">
        <v>60</v>
      </c>
      <c r="E6" s="254"/>
      <c r="F6" s="247" t="s">
        <v>15</v>
      </c>
      <c r="G6" s="250" t="str">
        <f>IFERROR(VLOOKUP($D$5,TableCourses[],7,FALSE),"")</f>
        <v>300 credit points required</v>
      </c>
      <c r="H6" s="255"/>
      <c r="I6" s="255"/>
      <c r="J6" s="255"/>
      <c r="K6" s="255"/>
      <c r="L6" s="255"/>
      <c r="M6" s="255"/>
      <c r="N6" s="256"/>
    </row>
    <row r="7" spans="1:18" ht="60" customHeight="1" x14ac:dyDescent="0.25">
      <c r="A7" s="257" t="s">
        <v>16</v>
      </c>
      <c r="B7" s="258" t="str">
        <f>IFERROR(VLOOKUP(D5,TableCourses[],9,FALSE),"")</f>
        <v>This degree is 18 months full-time or equivalent part-time study. Full-time study may not be available for all students, depending on their study period of commencement, resulting in an extended course duration. The degree consists of ten core subjects, including two fieldwork-focused subjects, and two elective subjects that must be selected from a specified list. Fieldwork placements are arranged for all students. Students may request approval from the Course Coordinator for an alternative unit from those listed in the Options List.</v>
      </c>
      <c r="C7" s="258"/>
      <c r="D7" s="258"/>
      <c r="E7" s="258"/>
      <c r="F7" s="258"/>
      <c r="G7" s="258"/>
      <c r="H7" s="259"/>
      <c r="I7" s="259"/>
      <c r="J7" s="259"/>
      <c r="K7" s="259"/>
      <c r="L7" s="259"/>
      <c r="M7" s="259"/>
      <c r="N7" s="260"/>
    </row>
    <row r="8" spans="1:18" s="268" customFormat="1" ht="14.1" customHeight="1" x14ac:dyDescent="0.25">
      <c r="A8" s="261"/>
      <c r="B8" s="261"/>
      <c r="C8" s="261"/>
      <c r="D8" s="262"/>
      <c r="E8" s="261"/>
      <c r="F8" s="261"/>
      <c r="G8" s="261"/>
      <c r="H8" s="263" t="s">
        <v>17</v>
      </c>
      <c r="I8" s="264"/>
      <c r="J8" s="264"/>
      <c r="K8" s="264"/>
      <c r="L8" s="264"/>
      <c r="M8" s="265"/>
      <c r="N8" s="266"/>
      <c r="O8" s="267"/>
      <c r="P8" s="267"/>
      <c r="Q8" s="267"/>
    </row>
    <row r="9" spans="1:18" s="268" customFormat="1" ht="21" x14ac:dyDescent="0.25">
      <c r="A9" s="261" t="s">
        <v>18</v>
      </c>
      <c r="B9" s="261"/>
      <c r="C9" s="261" t="s">
        <v>19</v>
      </c>
      <c r="D9" s="262" t="s">
        <v>3</v>
      </c>
      <c r="E9" s="269" t="s">
        <v>20</v>
      </c>
      <c r="F9" s="261" t="s">
        <v>21</v>
      </c>
      <c r="G9" s="261" t="s">
        <v>22</v>
      </c>
      <c r="H9" s="270" t="s">
        <v>23</v>
      </c>
      <c r="I9" s="271" t="s">
        <v>24</v>
      </c>
      <c r="J9" s="271" t="s">
        <v>25</v>
      </c>
      <c r="K9" s="272" t="s">
        <v>26</v>
      </c>
      <c r="L9" s="270" t="s">
        <v>27</v>
      </c>
      <c r="M9" s="272" t="s">
        <v>28</v>
      </c>
      <c r="N9" s="261" t="s">
        <v>29</v>
      </c>
      <c r="O9" s="267"/>
      <c r="P9" s="267"/>
      <c r="Q9" s="267"/>
    </row>
    <row r="10" spans="1:18" s="284" customFormat="1" ht="20.100000000000001" customHeight="1" x14ac:dyDescent="0.15">
      <c r="A10" s="273" t="str">
        <f>IFERROR(IF(HLOOKUP($N$5,RangeUnitSets,O10,FALSE)=0,"",HLOOKUP($N$5,RangeUnitSets,O10,FALSE)),"")</f>
        <v/>
      </c>
      <c r="B10" s="274" t="str">
        <f>IFERROR(IF(VLOOKUP($A10,TableHandbook[],2,FALSE)=0,"",VLOOKUP($A10,TableHandbook[],2,FALSE)),"")</f>
        <v/>
      </c>
      <c r="C10" s="274" t="str">
        <f>IFERROR(IF(VLOOKUP($A10,TableHandbook[],3,FALSE)=0,"",VLOOKUP($A10,TableHandbook[],3,FALSE)),"")</f>
        <v/>
      </c>
      <c r="D10" s="275" t="str">
        <f>IFERROR(IF(VLOOKUP($A10,TableHandbook[],4,FALSE)=0,"",VLOOKUP($A10,TableHandbook[],4,FALSE)),"")</f>
        <v/>
      </c>
      <c r="E10" s="274" t="str">
        <f>IF(A10="","",VLOOKUP($D$6,TableStudyPeriod[],2,FALSE))</f>
        <v/>
      </c>
      <c r="F10" s="276" t="str">
        <f>IFERROR(IF(VLOOKUP($A10,TableHandbook[],6,FALSE)=0,"",VLOOKUP($A10,TableHandbook[],6,FALSE)),"")</f>
        <v/>
      </c>
      <c r="G10" s="274" t="str">
        <f>IFERROR(IF(VLOOKUP($A10,TableHandbook[],5,FALSE)=0,"",VLOOKUP($A10,TableHandbook[],5,FALSE)),"")</f>
        <v/>
      </c>
      <c r="H10" s="277" t="str">
        <f>IFERROR(VLOOKUP($A10,TableHandbook[],H$2,FALSE),"")</f>
        <v/>
      </c>
      <c r="I10" s="278" t="str">
        <f>IFERROR(VLOOKUP($A10,TableHandbook[],I$2,FALSE),"")</f>
        <v/>
      </c>
      <c r="J10" s="278" t="str">
        <f>IFERROR(VLOOKUP($A10,TableHandbook[],J$2,FALSE),"")</f>
        <v/>
      </c>
      <c r="K10" s="279" t="str">
        <f>IFERROR(VLOOKUP($A10,TableHandbook[],K$2,FALSE),"")</f>
        <v/>
      </c>
      <c r="L10" s="280" t="str">
        <f>IFERROR(VLOOKUP($A10,TableHandbook[],L$2,FALSE),"")</f>
        <v/>
      </c>
      <c r="M10" s="281" t="str">
        <f>IFERROR(VLOOKUP($A10,TableHandbook[],M$2,FALSE),"")</f>
        <v/>
      </c>
      <c r="N10" s="168"/>
      <c r="O10" s="282">
        <v>2</v>
      </c>
      <c r="P10" s="283"/>
      <c r="Q10" s="283"/>
    </row>
    <row r="11" spans="1:18" s="284" customFormat="1" ht="20.100000000000001" customHeight="1" x14ac:dyDescent="0.15">
      <c r="A11" s="273" t="str">
        <f>IFERROR(IF(HLOOKUP($N$5,RangeUnitSets,O11,FALSE)=0,"",HLOOKUP($N$5,RangeUnitSets,O11,FALSE)),"")</f>
        <v/>
      </c>
      <c r="B11" s="274" t="str">
        <f>IFERROR(IF(VLOOKUP($A11,TableHandbook[],2,FALSE)=0,"",VLOOKUP($A11,TableHandbook[],2,FALSE)),"")</f>
        <v/>
      </c>
      <c r="C11" s="274" t="str">
        <f>IFERROR(IF(VLOOKUP($A11,TableHandbook[],3,FALSE)=0,"",VLOOKUP($A11,TableHandbook[],3,FALSE)),"")</f>
        <v/>
      </c>
      <c r="D11" s="275" t="str">
        <f>IFERROR(IF(VLOOKUP($A11,TableHandbook[],4,FALSE)=0,"",VLOOKUP($A11,TableHandbook[],4,FALSE)),"")</f>
        <v/>
      </c>
      <c r="E11" s="274" t="str">
        <f>IF(OR(A11="",A11="-"),"",E10)</f>
        <v/>
      </c>
      <c r="F11" s="276" t="str">
        <f>IFERROR(IF(VLOOKUP($A11,TableHandbook[],6,FALSE)=0,"",VLOOKUP($A11,TableHandbook[],6,FALSE)),"")</f>
        <v/>
      </c>
      <c r="G11" s="274" t="str">
        <f>IFERROR(IF(VLOOKUP($A11,TableHandbook[],5,FALSE)=0,"",VLOOKUP($A11,TableHandbook[],5,FALSE)),"")</f>
        <v/>
      </c>
      <c r="H11" s="277" t="str">
        <f>IFERROR(VLOOKUP($A11,TableHandbook[],H$2,FALSE),"")</f>
        <v/>
      </c>
      <c r="I11" s="278" t="str">
        <f>IFERROR(VLOOKUP($A11,TableHandbook[],I$2,FALSE),"")</f>
        <v/>
      </c>
      <c r="J11" s="278" t="str">
        <f>IFERROR(VLOOKUP($A11,TableHandbook[],J$2,FALSE),"")</f>
        <v/>
      </c>
      <c r="K11" s="279" t="str">
        <f>IFERROR(VLOOKUP($A11,TableHandbook[],K$2,FALSE),"")</f>
        <v/>
      </c>
      <c r="L11" s="280" t="str">
        <f>IFERROR(VLOOKUP($A11,TableHandbook[],L$2,FALSE),"")</f>
        <v/>
      </c>
      <c r="M11" s="281" t="str">
        <f>IFERROR(VLOOKUP($A11,TableHandbook[],M$2,FALSE),"")</f>
        <v/>
      </c>
      <c r="N11" s="168"/>
      <c r="O11" s="282">
        <v>3</v>
      </c>
      <c r="P11" s="283"/>
      <c r="Q11" s="283"/>
    </row>
    <row r="12" spans="1:18" s="284" customFormat="1" ht="5.0999999999999996" customHeight="1" x14ac:dyDescent="0.15">
      <c r="A12" s="285"/>
      <c r="B12" s="286"/>
      <c r="C12" s="286"/>
      <c r="D12" s="287"/>
      <c r="E12" s="286"/>
      <c r="F12" s="288"/>
      <c r="G12" s="286"/>
      <c r="H12" s="289"/>
      <c r="I12" s="290"/>
      <c r="J12" s="290"/>
      <c r="K12" s="291"/>
      <c r="L12" s="292"/>
      <c r="M12" s="293"/>
      <c r="N12" s="169"/>
      <c r="O12" s="282"/>
      <c r="P12" s="283"/>
      <c r="Q12" s="283"/>
      <c r="R12" s="283"/>
    </row>
    <row r="13" spans="1:18" s="284" customFormat="1" ht="20.100000000000001" customHeight="1" x14ac:dyDescent="0.15">
      <c r="A13" s="273" t="str">
        <f>IFERROR(IF(HLOOKUP($N$5,RangeUnitSets,O13,FALSE)=0,"",HLOOKUP($N$5,RangeUnitSets,O13,FALSE)),"")</f>
        <v/>
      </c>
      <c r="B13" s="274" t="str">
        <f>IFERROR(IF(VLOOKUP($A13,TableHandbook[],2,FALSE)=0,"",VLOOKUP($A13,TableHandbook[],2,FALSE)),"")</f>
        <v/>
      </c>
      <c r="C13" s="274" t="str">
        <f>IFERROR(IF(VLOOKUP($A13,TableHandbook[],3,FALSE)=0,"",VLOOKUP($A13,TableHandbook[],3,FALSE)),"")</f>
        <v/>
      </c>
      <c r="D13" s="275" t="str">
        <f>IFERROR(IF(VLOOKUP($A13,TableHandbook[],4,FALSE)=0,"",VLOOKUP($A13,TableHandbook[],4,FALSE)),"")</f>
        <v/>
      </c>
      <c r="E13" s="274" t="str">
        <f>IF(A13="","",VLOOKUP($D$6,TableStudyPeriod[],3,FALSE))</f>
        <v/>
      </c>
      <c r="F13" s="276" t="str">
        <f>IFERROR(IF(VLOOKUP($A13,TableHandbook[],6,FALSE)=0,"",VLOOKUP($A13,TableHandbook[],6,FALSE)),"")</f>
        <v/>
      </c>
      <c r="G13" s="274" t="str">
        <f>IFERROR(IF(VLOOKUP($A13,TableHandbook[],5,FALSE)=0,"",VLOOKUP($A13,TableHandbook[],5,FALSE)),"")</f>
        <v/>
      </c>
      <c r="H13" s="277" t="str">
        <f>IFERROR(VLOOKUP($A13,TableHandbook[],H$2,FALSE),"")</f>
        <v/>
      </c>
      <c r="I13" s="278" t="str">
        <f>IFERROR(VLOOKUP($A13,TableHandbook[],I$2,FALSE),"")</f>
        <v/>
      </c>
      <c r="J13" s="278" t="str">
        <f>IFERROR(VLOOKUP($A13,TableHandbook[],J$2,FALSE),"")</f>
        <v/>
      </c>
      <c r="K13" s="279" t="str">
        <f>IFERROR(VLOOKUP($A13,TableHandbook[],K$2,FALSE),"")</f>
        <v/>
      </c>
      <c r="L13" s="280" t="str">
        <f>IFERROR(VLOOKUP($A13,TableHandbook[],L$2,FALSE),"")</f>
        <v/>
      </c>
      <c r="M13" s="281" t="str">
        <f>IFERROR(VLOOKUP($A13,TableHandbook[],M$2,FALSE),"")</f>
        <v/>
      </c>
      <c r="N13" s="168"/>
      <c r="O13" s="282">
        <v>4</v>
      </c>
      <c r="P13" s="283"/>
      <c r="Q13" s="283"/>
    </row>
    <row r="14" spans="1:18" s="295" customFormat="1" ht="20.100000000000001" customHeight="1" x14ac:dyDescent="0.15">
      <c r="A14" s="273" t="str">
        <f>IFERROR(IF(HLOOKUP($N$5,RangeUnitSets,O14,FALSE)=0,"",HLOOKUP($N$5,RangeUnitSets,O14,FALSE)),"")</f>
        <v/>
      </c>
      <c r="B14" s="274" t="str">
        <f>IFERROR(IF(VLOOKUP($A14,TableHandbook[],2,FALSE)=0,"",VLOOKUP($A14,TableHandbook[],2,FALSE)),"")</f>
        <v/>
      </c>
      <c r="C14" s="274" t="str">
        <f>IFERROR(IF(VLOOKUP($A14,TableHandbook[],3,FALSE)=0,"",VLOOKUP($A14,TableHandbook[],3,FALSE)),"")</f>
        <v/>
      </c>
      <c r="D14" s="275" t="str">
        <f>IFERROR(IF(VLOOKUP($A14,TableHandbook[],4,FALSE)=0,"",VLOOKUP($A14,TableHandbook[],4,FALSE)),"")</f>
        <v/>
      </c>
      <c r="E14" s="274" t="str">
        <f>IF(OR(A14="",A14="-"),"",E13)</f>
        <v/>
      </c>
      <c r="F14" s="276" t="str">
        <f>IFERROR(IF(VLOOKUP($A14,TableHandbook[],6,FALSE)=0,"",VLOOKUP($A14,TableHandbook[],6,FALSE)),"")</f>
        <v/>
      </c>
      <c r="G14" s="274" t="str">
        <f>IFERROR(IF(VLOOKUP($A14,TableHandbook[],5,FALSE)=0,"",VLOOKUP($A14,TableHandbook[],5,FALSE)),"")</f>
        <v/>
      </c>
      <c r="H14" s="277" t="str">
        <f>IFERROR(VLOOKUP($A14,TableHandbook[],H$2,FALSE),"")</f>
        <v/>
      </c>
      <c r="I14" s="278" t="str">
        <f>IFERROR(VLOOKUP($A14,TableHandbook[],I$2,FALSE),"")</f>
        <v/>
      </c>
      <c r="J14" s="278" t="str">
        <f>IFERROR(VLOOKUP($A14,TableHandbook[],J$2,FALSE),"")</f>
        <v/>
      </c>
      <c r="K14" s="279" t="str">
        <f>IFERROR(VLOOKUP($A14,TableHandbook[],K$2,FALSE),"")</f>
        <v/>
      </c>
      <c r="L14" s="280" t="str">
        <f>IFERROR(VLOOKUP($A14,TableHandbook[],L$2,FALSE),"")</f>
        <v/>
      </c>
      <c r="M14" s="281" t="str">
        <f>IFERROR(VLOOKUP($A14,TableHandbook[],M$2,FALSE),"")</f>
        <v/>
      </c>
      <c r="N14" s="168"/>
      <c r="O14" s="282">
        <v>5</v>
      </c>
      <c r="P14" s="294"/>
      <c r="Q14" s="294"/>
    </row>
    <row r="15" spans="1:18" s="284" customFormat="1" ht="5.0999999999999996" customHeight="1" x14ac:dyDescent="0.15">
      <c r="A15" s="285"/>
      <c r="B15" s="286"/>
      <c r="C15" s="286"/>
      <c r="D15" s="287"/>
      <c r="E15" s="286"/>
      <c r="F15" s="288"/>
      <c r="G15" s="286"/>
      <c r="H15" s="289"/>
      <c r="I15" s="290"/>
      <c r="J15" s="290"/>
      <c r="K15" s="291"/>
      <c r="L15" s="292"/>
      <c r="M15" s="293"/>
      <c r="N15" s="169"/>
      <c r="O15" s="282"/>
      <c r="P15" s="283"/>
      <c r="Q15" s="283"/>
      <c r="R15" s="283"/>
    </row>
    <row r="16" spans="1:18" s="284" customFormat="1" ht="20.100000000000001" customHeight="1" x14ac:dyDescent="0.15">
      <c r="A16" s="273" t="str">
        <f>IFERROR(IF(HLOOKUP($N$5,RangeUnitSets,O16,FALSE)=0,"",HLOOKUP($N$5,RangeUnitSets,O16,FALSE)),"")</f>
        <v/>
      </c>
      <c r="B16" s="274" t="str">
        <f>IFERROR(IF(VLOOKUP($A16,TableHandbook[],2,FALSE)=0,"",VLOOKUP($A16,TableHandbook[],2,FALSE)),"")</f>
        <v/>
      </c>
      <c r="C16" s="274" t="str">
        <f>IFERROR(IF(VLOOKUP($A16,TableHandbook[],3,FALSE)=0,"",VLOOKUP($A16,TableHandbook[],3,FALSE)),"")</f>
        <v/>
      </c>
      <c r="D16" s="275" t="str">
        <f>IFERROR(IF(VLOOKUP($A16,TableHandbook[],4,FALSE)=0,"",VLOOKUP($A16,TableHandbook[],4,FALSE)),"")</f>
        <v/>
      </c>
      <c r="E16" s="274" t="str">
        <f>IF(A16="","",VLOOKUP($D$6,TableStudyPeriod[],4,FALSE))</f>
        <v/>
      </c>
      <c r="F16" s="276" t="str">
        <f>IFERROR(IF(VLOOKUP($A16,TableHandbook[],6,FALSE)=0,"",VLOOKUP($A16,TableHandbook[],6,FALSE)),"")</f>
        <v/>
      </c>
      <c r="G16" s="274" t="str">
        <f>IFERROR(IF(VLOOKUP($A16,TableHandbook[],5,FALSE)=0,"",VLOOKUP($A16,TableHandbook[],5,FALSE)),"")</f>
        <v/>
      </c>
      <c r="H16" s="277" t="str">
        <f>IFERROR(VLOOKUP($A16,TableHandbook[],H$2,FALSE),"")</f>
        <v/>
      </c>
      <c r="I16" s="278" t="str">
        <f>IFERROR(VLOOKUP($A16,TableHandbook[],I$2,FALSE),"")</f>
        <v/>
      </c>
      <c r="J16" s="278" t="str">
        <f>IFERROR(VLOOKUP($A16,TableHandbook[],J$2,FALSE),"")</f>
        <v/>
      </c>
      <c r="K16" s="279" t="str">
        <f>IFERROR(VLOOKUP($A16,TableHandbook[],K$2,FALSE),"")</f>
        <v/>
      </c>
      <c r="L16" s="280" t="str">
        <f>IFERROR(VLOOKUP($A16,TableHandbook[],L$2,FALSE),"")</f>
        <v/>
      </c>
      <c r="M16" s="281" t="str">
        <f>IFERROR(VLOOKUP($A16,TableHandbook[],M$2,FALSE),"")</f>
        <v/>
      </c>
      <c r="N16" s="168"/>
      <c r="O16" s="282">
        <v>6</v>
      </c>
      <c r="P16" s="283"/>
      <c r="Q16" s="283"/>
    </row>
    <row r="17" spans="1:18" s="295" customFormat="1" ht="20.100000000000001" customHeight="1" x14ac:dyDescent="0.15">
      <c r="A17" s="273" t="str">
        <f>IFERROR(IF(HLOOKUP($N$5,RangeUnitSets,O17,FALSE)=0,"",HLOOKUP($N$5,RangeUnitSets,O17,FALSE)),"")</f>
        <v/>
      </c>
      <c r="B17" s="274" t="str">
        <f>IFERROR(IF(VLOOKUP($A17,TableHandbook[],2,FALSE)=0,"",VLOOKUP($A17,TableHandbook[],2,FALSE)),"")</f>
        <v/>
      </c>
      <c r="C17" s="274" t="str">
        <f>IFERROR(IF(VLOOKUP($A17,TableHandbook[],3,FALSE)=0,"",VLOOKUP($A17,TableHandbook[],3,FALSE)),"")</f>
        <v/>
      </c>
      <c r="D17" s="275" t="str">
        <f>IFERROR(IF(VLOOKUP($A17,TableHandbook[],4,FALSE)=0,"",VLOOKUP($A17,TableHandbook[],4,FALSE)),"")</f>
        <v/>
      </c>
      <c r="E17" s="274" t="str">
        <f>IF(OR(A17="",A17="-"),"",E16)</f>
        <v/>
      </c>
      <c r="F17" s="276" t="str">
        <f>IFERROR(IF(VLOOKUP($A17,TableHandbook[],6,FALSE)=0,"",VLOOKUP($A17,TableHandbook[],6,FALSE)),"")</f>
        <v/>
      </c>
      <c r="G17" s="274" t="str">
        <f>IFERROR(IF(VLOOKUP($A17,TableHandbook[],5,FALSE)=0,"",VLOOKUP($A17,TableHandbook[],5,FALSE)),"")</f>
        <v/>
      </c>
      <c r="H17" s="277" t="str">
        <f>IFERROR(VLOOKUP($A17,TableHandbook[],H$2,FALSE),"")</f>
        <v/>
      </c>
      <c r="I17" s="278" t="str">
        <f>IFERROR(VLOOKUP($A17,TableHandbook[],I$2,FALSE),"")</f>
        <v/>
      </c>
      <c r="J17" s="278" t="str">
        <f>IFERROR(VLOOKUP($A17,TableHandbook[],J$2,FALSE),"")</f>
        <v/>
      </c>
      <c r="K17" s="279" t="str">
        <f>IFERROR(VLOOKUP($A17,TableHandbook[],K$2,FALSE),"")</f>
        <v/>
      </c>
      <c r="L17" s="280" t="str">
        <f>IFERROR(VLOOKUP($A17,TableHandbook[],L$2,FALSE),"")</f>
        <v/>
      </c>
      <c r="M17" s="281" t="str">
        <f>IFERROR(VLOOKUP($A17,TableHandbook[],M$2,FALSE),"")</f>
        <v/>
      </c>
      <c r="N17" s="168"/>
      <c r="O17" s="282">
        <v>7</v>
      </c>
      <c r="P17" s="294"/>
      <c r="Q17" s="294"/>
    </row>
    <row r="18" spans="1:18" s="284" customFormat="1" ht="5.0999999999999996" customHeight="1" x14ac:dyDescent="0.15">
      <c r="A18" s="285"/>
      <c r="B18" s="286"/>
      <c r="C18" s="286"/>
      <c r="D18" s="287"/>
      <c r="E18" s="286"/>
      <c r="F18" s="288"/>
      <c r="G18" s="286"/>
      <c r="H18" s="289"/>
      <c r="I18" s="290"/>
      <c r="J18" s="290"/>
      <c r="K18" s="291"/>
      <c r="L18" s="292"/>
      <c r="M18" s="293"/>
      <c r="N18" s="169"/>
      <c r="O18" s="282"/>
      <c r="P18" s="283"/>
      <c r="Q18" s="283"/>
      <c r="R18" s="283"/>
    </row>
    <row r="19" spans="1:18" s="284" customFormat="1" ht="20.100000000000001" customHeight="1" x14ac:dyDescent="0.15">
      <c r="A19" s="273" t="str">
        <f>IFERROR(IF(HLOOKUP($N$5,RangeUnitSets,O19,FALSE)=0,"",HLOOKUP($N$5,RangeUnitSets,O19,FALSE)),"")</f>
        <v/>
      </c>
      <c r="B19" s="274" t="str">
        <f>IFERROR(IF(VLOOKUP($A19,TableHandbook[],2,FALSE)=0,"",VLOOKUP($A19,TableHandbook[],2,FALSE)),"")</f>
        <v/>
      </c>
      <c r="C19" s="274" t="str">
        <f>IFERROR(IF(VLOOKUP($A19,TableHandbook[],3,FALSE)=0,"",VLOOKUP($A19,TableHandbook[],3,FALSE)),"")</f>
        <v/>
      </c>
      <c r="D19" s="275" t="str">
        <f>IFERROR(IF(VLOOKUP($A19,TableHandbook[],4,FALSE)=0,"",VLOOKUP($A19,TableHandbook[],4,FALSE)),"")</f>
        <v/>
      </c>
      <c r="E19" s="274" t="str">
        <f>IF(A19="","",VLOOKUP($D$6,TableStudyPeriod[],5,FALSE))</f>
        <v/>
      </c>
      <c r="F19" s="276" t="str">
        <f>IFERROR(IF(VLOOKUP($A19,TableHandbook[],6,FALSE)=0,"",VLOOKUP($A19,TableHandbook[],6,FALSE)),"")</f>
        <v/>
      </c>
      <c r="G19" s="274" t="str">
        <f>IFERROR(IF(VLOOKUP($A19,TableHandbook[],5,FALSE)=0,"",VLOOKUP($A19,TableHandbook[],5,FALSE)),"")</f>
        <v/>
      </c>
      <c r="H19" s="277" t="str">
        <f>IFERROR(VLOOKUP($A19,TableHandbook[],H$2,FALSE),"")</f>
        <v/>
      </c>
      <c r="I19" s="278" t="str">
        <f>IFERROR(VLOOKUP($A19,TableHandbook[],I$2,FALSE),"")</f>
        <v/>
      </c>
      <c r="J19" s="278" t="str">
        <f>IFERROR(VLOOKUP($A19,TableHandbook[],J$2,FALSE),"")</f>
        <v/>
      </c>
      <c r="K19" s="279" t="str">
        <f>IFERROR(VLOOKUP($A19,TableHandbook[],K$2,FALSE),"")</f>
        <v/>
      </c>
      <c r="L19" s="280" t="str">
        <f>IFERROR(VLOOKUP($A19,TableHandbook[],L$2,FALSE),"")</f>
        <v/>
      </c>
      <c r="M19" s="281" t="str">
        <f>IFERROR(VLOOKUP($A19,TableHandbook[],M$2,FALSE),"")</f>
        <v/>
      </c>
      <c r="N19" s="168"/>
      <c r="O19" s="282">
        <v>8</v>
      </c>
      <c r="P19" s="283"/>
      <c r="Q19" s="283"/>
    </row>
    <row r="20" spans="1:18" s="295" customFormat="1" ht="20.100000000000001" customHeight="1" x14ac:dyDescent="0.15">
      <c r="A20" s="273" t="str">
        <f>IFERROR(IF(HLOOKUP($N$5,RangeUnitSets,O20,FALSE)=0,"",HLOOKUP($N$5,RangeUnitSets,O20,FALSE)),"")</f>
        <v/>
      </c>
      <c r="B20" s="274" t="str">
        <f>IFERROR(IF(VLOOKUP($A20,TableHandbook[],2,FALSE)=0,"",VLOOKUP($A20,TableHandbook[],2,FALSE)),"")</f>
        <v/>
      </c>
      <c r="C20" s="274" t="str">
        <f>IFERROR(IF(VLOOKUP($A20,TableHandbook[],3,FALSE)=0,"",VLOOKUP($A20,TableHandbook[],3,FALSE)),"")</f>
        <v/>
      </c>
      <c r="D20" s="296" t="str">
        <f>IFERROR(IF(VLOOKUP($A20,TableHandbook[],4,FALSE)=0,"",VLOOKUP($A20,TableHandbook[],4,FALSE)),"")</f>
        <v/>
      </c>
      <c r="E20" s="274" t="str">
        <f>IF(OR(A20="",A20="-"),"",E19)</f>
        <v/>
      </c>
      <c r="F20" s="276" t="str">
        <f>IFERROR(IF(VLOOKUP($A20,TableHandbook[],6,FALSE)=0,"",VLOOKUP($A20,TableHandbook[],6,FALSE)),"")</f>
        <v/>
      </c>
      <c r="G20" s="274" t="str">
        <f>IFERROR(IF(VLOOKUP($A20,TableHandbook[],5,FALSE)=0,"",VLOOKUP($A20,TableHandbook[],5,FALSE)),"")</f>
        <v/>
      </c>
      <c r="H20" s="277" t="str">
        <f>IFERROR(VLOOKUP($A20,TableHandbook[],H$2,FALSE),"")</f>
        <v/>
      </c>
      <c r="I20" s="278" t="str">
        <f>IFERROR(VLOOKUP($A20,TableHandbook[],I$2,FALSE),"")</f>
        <v/>
      </c>
      <c r="J20" s="278" t="str">
        <f>IFERROR(VLOOKUP($A20,TableHandbook[],J$2,FALSE),"")</f>
        <v/>
      </c>
      <c r="K20" s="279" t="str">
        <f>IFERROR(VLOOKUP($A20,TableHandbook[],K$2,FALSE),"")</f>
        <v/>
      </c>
      <c r="L20" s="280" t="str">
        <f>IFERROR(VLOOKUP($A20,TableHandbook[],L$2,FALSE),"")</f>
        <v/>
      </c>
      <c r="M20" s="281" t="str">
        <f>IFERROR(VLOOKUP($A20,TableHandbook[],M$2,FALSE),"")</f>
        <v/>
      </c>
      <c r="N20" s="168"/>
      <c r="O20" s="282">
        <v>9</v>
      </c>
      <c r="P20" s="294"/>
      <c r="Q20" s="294"/>
    </row>
    <row r="21" spans="1:18" s="268" customFormat="1" ht="21" x14ac:dyDescent="0.25">
      <c r="A21" s="261" t="s">
        <v>37</v>
      </c>
      <c r="B21" s="261"/>
      <c r="C21" s="261" t="s">
        <v>19</v>
      </c>
      <c r="D21" s="262" t="s">
        <v>3</v>
      </c>
      <c r="E21" s="269" t="s">
        <v>20</v>
      </c>
      <c r="F21" s="261" t="s">
        <v>21</v>
      </c>
      <c r="G21" s="261" t="s">
        <v>22</v>
      </c>
      <c r="H21" s="297" t="str">
        <f t="shared" ref="H21:N21" si="0">H$9</f>
        <v>SP1</v>
      </c>
      <c r="I21" s="298" t="str">
        <f t="shared" si="0"/>
        <v>SP2</v>
      </c>
      <c r="J21" s="298" t="str">
        <f t="shared" si="0"/>
        <v>SP3</v>
      </c>
      <c r="K21" s="299" t="str">
        <f t="shared" si="0"/>
        <v>SP4</v>
      </c>
      <c r="L21" s="300" t="str">
        <f t="shared" si="0"/>
        <v>OUA
Sess1</v>
      </c>
      <c r="M21" s="301" t="str">
        <f t="shared" si="0"/>
        <v>OUA
Sess2</v>
      </c>
      <c r="N21" s="261" t="str">
        <f t="shared" si="0"/>
        <v>Notes / Progress</v>
      </c>
      <c r="O21" s="302"/>
      <c r="P21" s="267"/>
      <c r="Q21" s="267"/>
    </row>
    <row r="22" spans="1:18" s="284" customFormat="1" ht="20.100000000000001" customHeight="1" x14ac:dyDescent="0.15">
      <c r="A22" s="273" t="str">
        <f>IFERROR(IF(HLOOKUP($N$5,RangeUnitSets,O22,FALSE)=0,"",HLOOKUP($N$5,RangeUnitSets,O22,FALSE)),"")</f>
        <v/>
      </c>
      <c r="B22" s="274" t="str">
        <f>IFERROR(IF(VLOOKUP($A22,TableHandbook[],2,FALSE)=0,"",VLOOKUP($A22,TableHandbook[],2,FALSE)),"")</f>
        <v/>
      </c>
      <c r="C22" s="274" t="str">
        <f>IFERROR(IF(VLOOKUP($A22,TableHandbook[],3,FALSE)=0,"",VLOOKUP($A22,TableHandbook[],3,FALSE)),"")</f>
        <v/>
      </c>
      <c r="D22" s="275" t="str">
        <f>IFERROR(IF(VLOOKUP($A22,TableHandbook[],4,FALSE)=0,"",VLOOKUP($A22,TableHandbook[],4,FALSE)),"")</f>
        <v/>
      </c>
      <c r="E22" s="274" t="str">
        <f>IF(A22="","",VLOOKUP($D$6,TableStudyPeriod[],2,FALSE))</f>
        <v/>
      </c>
      <c r="F22" s="276" t="str">
        <f>IFERROR(IF(VLOOKUP($A22,TableHandbook[],6,FALSE)=0,"",VLOOKUP($A22,TableHandbook[],6,FALSE)),"")</f>
        <v/>
      </c>
      <c r="G22" s="274" t="str">
        <f>IFERROR(IF(VLOOKUP($A22,TableHandbook[],5,FALSE)=0,"",VLOOKUP($A22,TableHandbook[],5,FALSE)),"")</f>
        <v/>
      </c>
      <c r="H22" s="277" t="str">
        <f>IFERROR(VLOOKUP($A22,TableHandbook[],H$2,FALSE),"")</f>
        <v/>
      </c>
      <c r="I22" s="278" t="str">
        <f>IFERROR(VLOOKUP($A22,TableHandbook[],I$2,FALSE),"")</f>
        <v/>
      </c>
      <c r="J22" s="278" t="str">
        <f>IFERROR(VLOOKUP($A22,TableHandbook[],J$2,FALSE),"")</f>
        <v/>
      </c>
      <c r="K22" s="279" t="str">
        <f>IFERROR(VLOOKUP($A22,TableHandbook[],K$2,FALSE),"")</f>
        <v/>
      </c>
      <c r="L22" s="280" t="str">
        <f>IFERROR(VLOOKUP($A22,TableHandbook[],L$2,FALSE),"")</f>
        <v/>
      </c>
      <c r="M22" s="281" t="str">
        <f>IFERROR(VLOOKUP($A22,TableHandbook[],M$2,FALSE),"")</f>
        <v/>
      </c>
      <c r="N22" s="168"/>
      <c r="O22" s="282">
        <v>10</v>
      </c>
      <c r="P22" s="283"/>
      <c r="Q22" s="283"/>
    </row>
    <row r="23" spans="1:18" s="284" customFormat="1" ht="20.100000000000001" customHeight="1" x14ac:dyDescent="0.15">
      <c r="A23" s="273" t="str">
        <f>IFERROR(IF(HLOOKUP($N$5,RangeUnitSets,O23,FALSE)=0,"",HLOOKUP($N$5,RangeUnitSets,O23,FALSE)),"")</f>
        <v/>
      </c>
      <c r="B23" s="274" t="str">
        <f>IFERROR(IF(VLOOKUP($A23,TableHandbook[],2,FALSE)=0,"",VLOOKUP($A23,TableHandbook[],2,FALSE)),"")</f>
        <v/>
      </c>
      <c r="C23" s="274" t="str">
        <f>IFERROR(IF(VLOOKUP($A23,TableHandbook[],3,FALSE)=0,"",VLOOKUP($A23,TableHandbook[],3,FALSE)),"")</f>
        <v/>
      </c>
      <c r="D23" s="296" t="str">
        <f>IFERROR(IF(VLOOKUP($A23,TableHandbook[],4,FALSE)=0,"",VLOOKUP($A23,TableHandbook[],4,FALSE)),"")</f>
        <v/>
      </c>
      <c r="E23" s="274" t="str">
        <f>IF(OR(A23="",A23="-"),"",E22)</f>
        <v/>
      </c>
      <c r="F23" s="276" t="str">
        <f>IFERROR(IF(VLOOKUP($A23,TableHandbook[],6,FALSE)=0,"",VLOOKUP($A23,TableHandbook[],6,FALSE)),"")</f>
        <v/>
      </c>
      <c r="G23" s="274" t="str">
        <f>IFERROR(IF(VLOOKUP($A23,TableHandbook[],5,FALSE)=0,"",VLOOKUP($A23,TableHandbook[],5,FALSE)),"")</f>
        <v/>
      </c>
      <c r="H23" s="277" t="str">
        <f>IFERROR(VLOOKUP($A23,TableHandbook[],H$2,FALSE),"")</f>
        <v/>
      </c>
      <c r="I23" s="278" t="str">
        <f>IFERROR(VLOOKUP($A23,TableHandbook[],I$2,FALSE),"")</f>
        <v/>
      </c>
      <c r="J23" s="278" t="str">
        <f>IFERROR(VLOOKUP($A23,TableHandbook[],J$2,FALSE),"")</f>
        <v/>
      </c>
      <c r="K23" s="279" t="str">
        <f>IFERROR(VLOOKUP($A23,TableHandbook[],K$2,FALSE),"")</f>
        <v/>
      </c>
      <c r="L23" s="280" t="str">
        <f>IFERROR(VLOOKUP($A23,TableHandbook[],L$2,FALSE),"")</f>
        <v/>
      </c>
      <c r="M23" s="281" t="str">
        <f>IFERROR(VLOOKUP($A23,TableHandbook[],M$2,FALSE),"")</f>
        <v/>
      </c>
      <c r="N23" s="168"/>
      <c r="O23" s="282">
        <v>11</v>
      </c>
      <c r="P23" s="283"/>
      <c r="Q23" s="283"/>
    </row>
    <row r="24" spans="1:18" s="284" customFormat="1" ht="5.0999999999999996" customHeight="1" x14ac:dyDescent="0.15">
      <c r="A24" s="285"/>
      <c r="B24" s="286"/>
      <c r="C24" s="286"/>
      <c r="D24" s="287"/>
      <c r="E24" s="286"/>
      <c r="F24" s="288"/>
      <c r="G24" s="286"/>
      <c r="H24" s="289"/>
      <c r="I24" s="290"/>
      <c r="J24" s="290"/>
      <c r="K24" s="291"/>
      <c r="L24" s="292"/>
      <c r="M24" s="293"/>
      <c r="N24" s="169"/>
      <c r="O24" s="282"/>
      <c r="P24" s="283"/>
      <c r="Q24" s="283"/>
      <c r="R24" s="283"/>
    </row>
    <row r="25" spans="1:18" s="284" customFormat="1" ht="20.100000000000001" customHeight="1" x14ac:dyDescent="0.15">
      <c r="A25" s="273" t="str">
        <f>IFERROR(IF(HLOOKUP($N$5,RangeUnitSets,O25,FALSE)=0,"",HLOOKUP($N$5,RangeUnitSets,O25,FALSE)),"")</f>
        <v/>
      </c>
      <c r="B25" s="274" t="str">
        <f>IFERROR(IF(VLOOKUP($A25,TableHandbook[],2,FALSE)=0,"",VLOOKUP($A25,TableHandbook[],2,FALSE)),"")</f>
        <v/>
      </c>
      <c r="C25" s="274" t="str">
        <f>IFERROR(IF(VLOOKUP($A25,TableHandbook[],3,FALSE)=0,"",VLOOKUP($A25,TableHandbook[],3,FALSE)),"")</f>
        <v/>
      </c>
      <c r="D25" s="296" t="str">
        <f>IFERROR(IF(VLOOKUP($A25,TableHandbook[],4,FALSE)=0,"",VLOOKUP($A25,TableHandbook[],4,FALSE)),"")</f>
        <v/>
      </c>
      <c r="E25" s="274" t="str">
        <f>IF(A25="","",VLOOKUP($D$6,TableStudyPeriod[],3,FALSE))</f>
        <v/>
      </c>
      <c r="F25" s="276" t="str">
        <f>IFERROR(IF(VLOOKUP($A25,TableHandbook[],6,FALSE)=0,"",VLOOKUP($A25,TableHandbook[],6,FALSE)),"")</f>
        <v/>
      </c>
      <c r="G25" s="274" t="str">
        <f>IFERROR(IF(VLOOKUP($A25,TableHandbook[],5,FALSE)=0,"",VLOOKUP($A25,TableHandbook[],5,FALSE)),"")</f>
        <v/>
      </c>
      <c r="H25" s="277" t="str">
        <f>IFERROR(VLOOKUP($A25,TableHandbook[],H$2,FALSE),"")</f>
        <v/>
      </c>
      <c r="I25" s="278" t="str">
        <f>IFERROR(VLOOKUP($A25,TableHandbook[],I$2,FALSE),"")</f>
        <v/>
      </c>
      <c r="J25" s="278" t="str">
        <f>IFERROR(VLOOKUP($A25,TableHandbook[],J$2,FALSE),"")</f>
        <v/>
      </c>
      <c r="K25" s="279" t="str">
        <f>IFERROR(VLOOKUP($A25,TableHandbook[],K$2,FALSE),"")</f>
        <v/>
      </c>
      <c r="L25" s="280" t="str">
        <f>IFERROR(VLOOKUP($A25,TableHandbook[],L$2,FALSE),"")</f>
        <v/>
      </c>
      <c r="M25" s="281" t="str">
        <f>IFERROR(VLOOKUP($A25,TableHandbook[],M$2,FALSE),"")</f>
        <v/>
      </c>
      <c r="N25" s="168"/>
      <c r="O25" s="282">
        <v>12</v>
      </c>
      <c r="P25" s="283"/>
      <c r="Q25" s="283"/>
    </row>
    <row r="26" spans="1:18" s="284" customFormat="1" ht="20.100000000000001" customHeight="1" x14ac:dyDescent="0.15">
      <c r="A26" s="273" t="str">
        <f>IFERROR(IF(HLOOKUP($N$5,RangeUnitSets,O26,FALSE)=0,"",HLOOKUP($N$5,RangeUnitSets,O26,FALSE)),"")</f>
        <v/>
      </c>
      <c r="B26" s="274" t="str">
        <f>IFERROR(IF(VLOOKUP($A26,TableHandbook[],2,FALSE)=0,"",VLOOKUP($A26,TableHandbook[],2,FALSE)),"")</f>
        <v/>
      </c>
      <c r="C26" s="274" t="str">
        <f>IFERROR(IF(VLOOKUP($A26,TableHandbook[],3,FALSE)=0,"",VLOOKUP($A26,TableHandbook[],3,FALSE)),"")</f>
        <v/>
      </c>
      <c r="D26" s="296" t="str">
        <f>IFERROR(IF(VLOOKUP($A26,TableHandbook[],4,FALSE)=0,"",VLOOKUP($A26,TableHandbook[],4,FALSE)),"")</f>
        <v/>
      </c>
      <c r="E26" s="274" t="str">
        <f>IF(OR(A26="",A26="-"),"",E25)</f>
        <v/>
      </c>
      <c r="F26" s="276" t="str">
        <f>IFERROR(IF(VLOOKUP($A26,TableHandbook[],6,FALSE)=0,"",VLOOKUP($A26,TableHandbook[],6,FALSE)),"")</f>
        <v/>
      </c>
      <c r="G26" s="274" t="str">
        <f>IFERROR(IF(VLOOKUP($A26,TableHandbook[],5,FALSE)=0,"",VLOOKUP($A26,TableHandbook[],5,FALSE)),"")</f>
        <v/>
      </c>
      <c r="H26" s="277" t="str">
        <f>IFERROR(VLOOKUP($A26,TableHandbook[],H$2,FALSE),"")</f>
        <v/>
      </c>
      <c r="I26" s="278" t="str">
        <f>IFERROR(VLOOKUP($A26,TableHandbook[],I$2,FALSE),"")</f>
        <v/>
      </c>
      <c r="J26" s="278" t="str">
        <f>IFERROR(VLOOKUP($A26,TableHandbook[],J$2,FALSE),"")</f>
        <v/>
      </c>
      <c r="K26" s="279" t="str">
        <f>IFERROR(VLOOKUP($A26,TableHandbook[],K$2,FALSE),"")</f>
        <v/>
      </c>
      <c r="L26" s="280" t="str">
        <f>IFERROR(VLOOKUP($A26,TableHandbook[],L$2,FALSE),"")</f>
        <v/>
      </c>
      <c r="M26" s="281" t="str">
        <f>IFERROR(VLOOKUP($A26,TableHandbook[],M$2,FALSE),"")</f>
        <v/>
      </c>
      <c r="N26" s="168"/>
      <c r="O26" s="282">
        <v>13</v>
      </c>
      <c r="P26" s="283"/>
      <c r="Q26" s="283"/>
    </row>
    <row r="27" spans="1:18" s="309" customFormat="1" ht="13.9" customHeight="1" x14ac:dyDescent="0.2">
      <c r="A27" s="303"/>
      <c r="B27" s="303"/>
      <c r="C27" s="303"/>
      <c r="D27" s="304"/>
      <c r="E27" s="305"/>
      <c r="F27" s="306"/>
      <c r="G27" s="306"/>
      <c r="H27" s="306"/>
      <c r="I27" s="306"/>
      <c r="J27" s="306"/>
      <c r="K27" s="306"/>
      <c r="L27" s="306"/>
      <c r="M27" s="306"/>
      <c r="N27" s="306"/>
      <c r="O27" s="307"/>
      <c r="P27" s="308"/>
      <c r="Q27" s="308"/>
    </row>
    <row r="28" spans="1:18" ht="16.5" customHeight="1" x14ac:dyDescent="0.25">
      <c r="A28" s="310" t="s">
        <v>30</v>
      </c>
      <c r="B28" s="311"/>
      <c r="C28" s="311"/>
      <c r="D28" s="311"/>
      <c r="E28" s="312"/>
      <c r="F28" s="313"/>
      <c r="G28" s="313"/>
      <c r="H28" s="314" t="str">
        <f>H8</f>
        <v>2026 Availabilities</v>
      </c>
      <c r="I28" s="315"/>
      <c r="J28" s="315"/>
      <c r="K28" s="315"/>
      <c r="L28" s="316"/>
      <c r="M28" s="317"/>
      <c r="N28" s="318" t="str">
        <f>VLOOKUP(D5,TableCourses[],2,FALSE)</f>
        <v>OM-INFSCI</v>
      </c>
      <c r="O28" s="319"/>
    </row>
    <row r="29" spans="1:18" s="323" customFormat="1" ht="21" x14ac:dyDescent="0.25">
      <c r="A29" s="320"/>
      <c r="B29" s="321"/>
      <c r="C29" s="261" t="s">
        <v>19</v>
      </c>
      <c r="D29" s="262" t="s">
        <v>3</v>
      </c>
      <c r="E29" s="271"/>
      <c r="F29" s="322" t="s">
        <v>21</v>
      </c>
      <c r="G29" s="261" t="s">
        <v>22</v>
      </c>
      <c r="H29" s="270" t="str">
        <f>H$9</f>
        <v>SP1</v>
      </c>
      <c r="I29" s="271" t="str">
        <f t="shared" ref="I29:N29" si="1">I$9</f>
        <v>SP2</v>
      </c>
      <c r="J29" s="271" t="str">
        <f t="shared" si="1"/>
        <v>SP3</v>
      </c>
      <c r="K29" s="272" t="str">
        <f t="shared" si="1"/>
        <v>SP4</v>
      </c>
      <c r="L29" s="270" t="str">
        <f t="shared" si="1"/>
        <v>OUA
Sess1</v>
      </c>
      <c r="M29" s="272" t="str">
        <f t="shared" si="1"/>
        <v>OUA
Sess2</v>
      </c>
      <c r="N29" s="261" t="str">
        <f t="shared" si="1"/>
        <v>Notes / Progress</v>
      </c>
      <c r="O29" s="319"/>
    </row>
    <row r="30" spans="1:18" x14ac:dyDescent="0.25">
      <c r="A30" s="324" t="str">
        <f t="shared" ref="A30:A36" si="2">IFERROR(IF(HLOOKUP($N$28,RangeOptions,O30,FALSE)=0,"",HLOOKUP($N$28,RangeOptions,O30,FALSE)),"")</f>
        <v>Opt-INFSCI</v>
      </c>
      <c r="B30" s="325" t="str">
        <f>IFERROR(IF(VLOOKUP($A30,TableHandbook[],2,FALSE)=0,"",VLOOKUP($A30,TableHandbook[],2,FALSE)),"")</f>
        <v/>
      </c>
      <c r="C30" s="325" t="str">
        <f>IFERROR(IF(VLOOKUP($A30,TableHandbook[],3,FALSE)=0,"",VLOOKUP($A30,TableHandbook[],3,FALSE)),"")</f>
        <v/>
      </c>
      <c r="D30" s="326" t="str">
        <f>IFERROR(IF(VLOOKUP($A30,TableHandbook[],4,FALSE)=0,"",VLOOKUP($A30,TableHandbook[],4,FALSE)),"")</f>
        <v>Study 2 subjects from this Options list</v>
      </c>
      <c r="E30" s="327"/>
      <c r="F30" s="328" t="str">
        <f>IFERROR(IF(VLOOKUP($A30,TableHandbook[],6,FALSE)=0,"",VLOOKUP($A30,TableHandbook[],6,FALSE)),"")</f>
        <v/>
      </c>
      <c r="G30" s="327">
        <f>IFERROR(IF(VLOOKUP($A30,TableHandbook[],5,FALSE)=0,"",VLOOKUP($A30,TableHandbook[],5,FALSE)),"")</f>
        <v>50</v>
      </c>
      <c r="H30" s="329" t="str">
        <f>IFERROR(VLOOKUP($A30,TableHandbook[],H$2,FALSE),"")</f>
        <v/>
      </c>
      <c r="I30" s="330" t="str">
        <f>IFERROR(VLOOKUP($A30,TableHandbook[],I$2,FALSE),"")</f>
        <v/>
      </c>
      <c r="J30" s="330" t="str">
        <f>IFERROR(VLOOKUP($A30,TableHandbook[],J$2,FALSE),"")</f>
        <v/>
      </c>
      <c r="K30" s="331" t="str">
        <f>IFERROR(VLOOKUP($A30,TableHandbook[],K$2,FALSE),"")</f>
        <v/>
      </c>
      <c r="L30" s="332" t="str">
        <f>IFERROR(VLOOKUP($A30,TableHandbook[],L$2,FALSE),"")</f>
        <v/>
      </c>
      <c r="M30" s="333" t="str">
        <f>IFERROR(VLOOKUP($A30,TableHandbook[],M$2,FALSE),"")</f>
        <v/>
      </c>
      <c r="N30" s="168"/>
      <c r="O30" s="282">
        <v>2</v>
      </c>
    </row>
    <row r="31" spans="1:18" x14ac:dyDescent="0.25">
      <c r="A31" s="324" t="str">
        <f t="shared" si="2"/>
        <v>HRIG5006</v>
      </c>
      <c r="B31" s="325">
        <f>IFERROR(IF(VLOOKUP($A31,TableHandbook[],2,FALSE)=0,"",VLOOKUP($A31,TableHandbook[],2,FALSE)),"")</f>
        <v>2</v>
      </c>
      <c r="C31" s="325" t="str">
        <f>IFERROR(IF(VLOOKUP($A31,TableHandbook[],3,FALSE)=0,"",VLOOKUP($A31,TableHandbook[],3,FALSE)),"")</f>
        <v>CHRE501</v>
      </c>
      <c r="D31" s="326" t="str">
        <f>IFERROR(IF(VLOOKUP($A31,TableHandbook[],4,FALSE)=0,"",VLOOKUP($A31,TableHandbook[],4,FALSE)),"")</f>
        <v>Introduction to Human Rights and Social Justice</v>
      </c>
      <c r="E31" s="327"/>
      <c r="F31" s="328" t="str">
        <f>IFERROR(IF(VLOOKUP($A31,TableHandbook[],6,FALSE)=0,"",VLOOKUP($A31,TableHandbook[],6,FALSE)),"")</f>
        <v>Nil</v>
      </c>
      <c r="G31" s="327">
        <f>IFERROR(IF(VLOOKUP($A31,TableHandbook[],5,FALSE)=0,"",VLOOKUP($A31,TableHandbook[],5,FALSE)),"")</f>
        <v>25</v>
      </c>
      <c r="H31" s="329" t="str">
        <f>IFERROR(VLOOKUP($A31,TableHandbook[],H$2,FALSE),"")</f>
        <v/>
      </c>
      <c r="I31" s="330" t="str">
        <f>IFERROR(VLOOKUP($A31,TableHandbook[],I$2,FALSE),"")</f>
        <v/>
      </c>
      <c r="J31" s="330" t="str">
        <f>IFERROR(VLOOKUP($A31,TableHandbook[],J$2,FALSE),"")</f>
        <v/>
      </c>
      <c r="K31" s="331" t="str">
        <f>IFERROR(VLOOKUP($A31,TableHandbook[],K$2,FALSE),"")</f>
        <v/>
      </c>
      <c r="L31" s="332" t="str">
        <f>IFERROR(VLOOKUP($A31,TableHandbook[],L$2,FALSE),"")</f>
        <v>Y</v>
      </c>
      <c r="M31" s="333" t="str">
        <f>IFERROR(VLOOKUP($A31,TableHandbook[],M$2,FALSE),"")</f>
        <v/>
      </c>
      <c r="N31" s="168"/>
      <c r="O31" s="282">
        <v>3</v>
      </c>
    </row>
    <row r="32" spans="1:18" x14ac:dyDescent="0.25">
      <c r="A32" s="324" t="str">
        <f t="shared" si="2"/>
        <v>HRIG5007</v>
      </c>
      <c r="B32" s="325">
        <f>IFERROR(IF(VLOOKUP($A32,TableHandbook[],2,FALSE)=0,"",VLOOKUP($A32,TableHandbook[],2,FALSE)),"")</f>
        <v>2</v>
      </c>
      <c r="C32" s="325" t="str">
        <f>IFERROR(IF(VLOOKUP($A32,TableHandbook[],3,FALSE)=0,"",VLOOKUP($A32,TableHandbook[],3,FALSE)),"")</f>
        <v>CHRE502</v>
      </c>
      <c r="D32" s="326" t="str">
        <f>IFERROR(IF(VLOOKUP($A32,TableHandbook[],4,FALSE)=0,"",VLOOKUP($A32,TableHandbook[],4,FALSE)),"")</f>
        <v>Dialogue across Cultures and Religions</v>
      </c>
      <c r="E32" s="327"/>
      <c r="F32" s="328" t="str">
        <f>IFERROR(IF(VLOOKUP($A32,TableHandbook[],6,FALSE)=0,"",VLOOKUP($A32,TableHandbook[],6,FALSE)),"")</f>
        <v>Nil</v>
      </c>
      <c r="G32" s="327">
        <f>IFERROR(IF(VLOOKUP($A32,TableHandbook[],5,FALSE)=0,"",VLOOKUP($A32,TableHandbook[],5,FALSE)),"")</f>
        <v>25</v>
      </c>
      <c r="H32" s="329" t="str">
        <f>IFERROR(VLOOKUP($A32,TableHandbook[],H$2,FALSE),"")</f>
        <v/>
      </c>
      <c r="I32" s="330" t="str">
        <f>IFERROR(VLOOKUP($A32,TableHandbook[],I$2,FALSE),"")</f>
        <v/>
      </c>
      <c r="J32" s="330" t="str">
        <f>IFERROR(VLOOKUP($A32,TableHandbook[],J$2,FALSE),"")</f>
        <v/>
      </c>
      <c r="K32" s="331" t="str">
        <f>IFERROR(VLOOKUP($A32,TableHandbook[],K$2,FALSE),"")</f>
        <v/>
      </c>
      <c r="L32" s="332" t="str">
        <f>IFERROR(VLOOKUP($A32,TableHandbook[],L$2,FALSE),"")</f>
        <v/>
      </c>
      <c r="M32" s="333" t="str">
        <f>IFERROR(VLOOKUP($A32,TableHandbook[],M$2,FALSE),"")</f>
        <v>Y</v>
      </c>
      <c r="N32" s="168"/>
      <c r="O32" s="282">
        <v>4</v>
      </c>
    </row>
    <row r="33" spans="1:17" x14ac:dyDescent="0.25">
      <c r="A33" s="324" t="str">
        <f t="shared" si="2"/>
        <v>PRJM6013</v>
      </c>
      <c r="B33" s="325">
        <f>IFERROR(IF(VLOOKUP($A33,TableHandbook[],2,FALSE)=0,"",VLOOKUP($A33,TableHandbook[],2,FALSE)),"")</f>
        <v>2</v>
      </c>
      <c r="C33" s="325" t="str">
        <f>IFERROR(IF(VLOOKUP($A33,TableHandbook[],3,FALSE)=0,"",VLOOKUP($A33,TableHandbook[],3,FALSE)),"")</f>
        <v>PRM500</v>
      </c>
      <c r="D33" s="326" t="str">
        <f>IFERROR(IF(VLOOKUP($A33,TableHandbook[],4,FALSE)=0,"",VLOOKUP($A33,TableHandbook[],4,FALSE)),"")</f>
        <v>Project Management Overview</v>
      </c>
      <c r="E33" s="327"/>
      <c r="F33" s="328" t="str">
        <f>IFERROR(IF(VLOOKUP($A33,TableHandbook[],6,FALSE)=0,"",VLOOKUP($A33,TableHandbook[],6,FALSE)),"")</f>
        <v>Nil</v>
      </c>
      <c r="G33" s="327">
        <f>IFERROR(IF(VLOOKUP($A33,TableHandbook[],5,FALSE)=0,"",VLOOKUP($A33,TableHandbook[],5,FALSE)),"")</f>
        <v>25</v>
      </c>
      <c r="H33" s="329" t="str">
        <f>IFERROR(VLOOKUP($A33,TableHandbook[],H$2,FALSE),"")</f>
        <v>Y</v>
      </c>
      <c r="I33" s="330" t="str">
        <f>IFERROR(VLOOKUP($A33,TableHandbook[],I$2,FALSE),"")</f>
        <v/>
      </c>
      <c r="J33" s="330" t="str">
        <f>IFERROR(VLOOKUP($A33,TableHandbook[],J$2,FALSE),"")</f>
        <v>Y</v>
      </c>
      <c r="K33" s="331" t="str">
        <f>IFERROR(VLOOKUP($A33,TableHandbook[],K$2,FALSE),"")</f>
        <v/>
      </c>
      <c r="L33" s="332" t="str">
        <f>IFERROR(VLOOKUP($A33,TableHandbook[],L$2,FALSE),"")</f>
        <v/>
      </c>
      <c r="M33" s="333" t="str">
        <f>IFERROR(VLOOKUP($A33,TableHandbook[],M$2,FALSE),"")</f>
        <v/>
      </c>
      <c r="N33" s="168"/>
      <c r="O33" s="282">
        <v>5</v>
      </c>
    </row>
    <row r="34" spans="1:17" x14ac:dyDescent="0.25">
      <c r="A34" s="324" t="str">
        <f t="shared" si="2"/>
        <v>PRJM6015</v>
      </c>
      <c r="B34" s="325">
        <f>IFERROR(IF(VLOOKUP($A34,TableHandbook[],2,FALSE)=0,"",VLOOKUP($A34,TableHandbook[],2,FALSE)),"")</f>
        <v>1</v>
      </c>
      <c r="C34" s="325" t="str">
        <f>IFERROR(IF(VLOOKUP($A34,TableHandbook[],3,FALSE)=0,"",VLOOKUP($A34,TableHandbook[],3,FALSE)),"")</f>
        <v>PRM510</v>
      </c>
      <c r="D34" s="326" t="str">
        <f>IFERROR(IF(VLOOKUP($A34,TableHandbook[],4,FALSE)=0,"",VLOOKUP($A34,TableHandbook[],4,FALSE)),"")</f>
        <v>Project and People</v>
      </c>
      <c r="E34" s="327"/>
      <c r="F34" s="328" t="str">
        <f>IFERROR(IF(VLOOKUP($A34,TableHandbook[],6,FALSE)=0,"",VLOOKUP($A34,TableHandbook[],6,FALSE)),"")</f>
        <v>Nil</v>
      </c>
      <c r="G34" s="327">
        <f>IFERROR(IF(VLOOKUP($A34,TableHandbook[],5,FALSE)=0,"",VLOOKUP($A34,TableHandbook[],5,FALSE)),"")</f>
        <v>25</v>
      </c>
      <c r="H34" s="329" t="str">
        <f>IFERROR(VLOOKUP($A34,TableHandbook[],H$2,FALSE),"")</f>
        <v/>
      </c>
      <c r="I34" s="330" t="str">
        <f>IFERROR(VLOOKUP($A34,TableHandbook[],I$2,FALSE),"")</f>
        <v>Y</v>
      </c>
      <c r="J34" s="330" t="str">
        <f>IFERROR(VLOOKUP($A34,TableHandbook[],J$2,FALSE),"")</f>
        <v/>
      </c>
      <c r="K34" s="331" t="str">
        <f>IFERROR(VLOOKUP($A34,TableHandbook[],K$2,FALSE),"")</f>
        <v>Y</v>
      </c>
      <c r="L34" s="332" t="str">
        <f>IFERROR(VLOOKUP($A34,TableHandbook[],L$2,FALSE),"")</f>
        <v/>
      </c>
      <c r="M34" s="333" t="str">
        <f>IFERROR(VLOOKUP($A34,TableHandbook[],M$2,FALSE),"")</f>
        <v/>
      </c>
      <c r="N34" s="168"/>
      <c r="O34" s="282">
        <v>6</v>
      </c>
    </row>
    <row r="35" spans="1:17" x14ac:dyDescent="0.25">
      <c r="A35" s="324" t="str">
        <f t="shared" si="2"/>
        <v>PRJM6020</v>
      </c>
      <c r="B35" s="325">
        <f>IFERROR(IF(VLOOKUP($A35,TableHandbook[],2,FALSE)=0,"",VLOOKUP($A35,TableHandbook[],2,FALSE)),"")</f>
        <v>1</v>
      </c>
      <c r="C35" s="325" t="str">
        <f>IFERROR(IF(VLOOKUP($A35,TableHandbook[],3,FALSE)=0,"",VLOOKUP($A35,TableHandbook[],3,FALSE)),"")</f>
        <v>PRM550</v>
      </c>
      <c r="D35" s="326" t="str">
        <f>IFERROR(IF(VLOOKUP($A35,TableHandbook[],4,FALSE)=0,"",VLOOKUP($A35,TableHandbook[],4,FALSE)),"")</f>
        <v>Project Risk Management</v>
      </c>
      <c r="E35" s="327"/>
      <c r="F35" s="328" t="str">
        <f>IFERROR(IF(VLOOKUP($A35,TableHandbook[],6,FALSE)=0,"",VLOOKUP($A35,TableHandbook[],6,FALSE)),"")</f>
        <v>50CP</v>
      </c>
      <c r="G35" s="327">
        <f>IFERROR(IF(VLOOKUP($A35,TableHandbook[],5,FALSE)=0,"",VLOOKUP($A35,TableHandbook[],5,FALSE)),"")</f>
        <v>25</v>
      </c>
      <c r="H35" s="329" t="str">
        <f>IFERROR(VLOOKUP($A35,TableHandbook[],H$2,FALSE),"")</f>
        <v/>
      </c>
      <c r="I35" s="330" t="str">
        <f>IFERROR(VLOOKUP($A35,TableHandbook[],I$2,FALSE),"")</f>
        <v>Y</v>
      </c>
      <c r="J35" s="330" t="str">
        <f>IFERROR(VLOOKUP($A35,TableHandbook[],J$2,FALSE),"")</f>
        <v/>
      </c>
      <c r="K35" s="331" t="str">
        <f>IFERROR(VLOOKUP($A35,TableHandbook[],K$2,FALSE),"")</f>
        <v/>
      </c>
      <c r="L35" s="332" t="str">
        <f>IFERROR(VLOOKUP($A35,TableHandbook[],L$2,FALSE),"")</f>
        <v/>
      </c>
      <c r="M35" s="333" t="str">
        <f>IFERROR(VLOOKUP($A35,TableHandbook[],M$2,FALSE),"")</f>
        <v/>
      </c>
      <c r="N35" s="168"/>
      <c r="O35" s="282">
        <v>7</v>
      </c>
    </row>
    <row r="36" spans="1:17" x14ac:dyDescent="0.25">
      <c r="A36" s="324" t="str">
        <f t="shared" si="2"/>
        <v>PRJM6021</v>
      </c>
      <c r="B36" s="325">
        <f>IFERROR(IF(VLOOKUP($A36,TableHandbook[],2,FALSE)=0,"",VLOOKUP($A36,TableHandbook[],2,FALSE)),"")</f>
        <v>2</v>
      </c>
      <c r="C36" s="325" t="str">
        <f>IFERROR(IF(VLOOKUP($A36,TableHandbook[],3,FALSE)=0,"",VLOOKUP($A36,TableHandbook[],3,FALSE)),"")</f>
        <v>PRM530</v>
      </c>
      <c r="D36" s="326" t="str">
        <f>IFERROR(IF(VLOOKUP($A36,TableHandbook[],4,FALSE)=0,"",VLOOKUP($A36,TableHandbook[],4,FALSE)),"")</f>
        <v>Project Planning and Schedule Management</v>
      </c>
      <c r="E36" s="327"/>
      <c r="F36" s="328" t="str">
        <f>IFERROR(IF(VLOOKUP($A36,TableHandbook[],6,FALSE)=0,"",VLOOKUP($A36,TableHandbook[],6,FALSE)),"")</f>
        <v>Nil</v>
      </c>
      <c r="G36" s="327">
        <f>IFERROR(IF(VLOOKUP($A36,TableHandbook[],5,FALSE)=0,"",VLOOKUP($A36,TableHandbook[],5,FALSE)),"")</f>
        <v>25</v>
      </c>
      <c r="H36" s="329" t="str">
        <f>IFERROR(VLOOKUP($A36,TableHandbook[],H$2,FALSE),"")</f>
        <v/>
      </c>
      <c r="I36" s="330" t="str">
        <f>IFERROR(VLOOKUP($A36,TableHandbook[],I$2,FALSE),"")</f>
        <v>Y</v>
      </c>
      <c r="J36" s="330" t="str">
        <f>IFERROR(VLOOKUP($A36,TableHandbook[],J$2,FALSE),"")</f>
        <v/>
      </c>
      <c r="K36" s="331" t="str">
        <f>IFERROR(VLOOKUP($A36,TableHandbook[],K$2,FALSE),"")</f>
        <v>Y</v>
      </c>
      <c r="L36" s="332" t="str">
        <f>IFERROR(VLOOKUP($A36,TableHandbook[],L$2,FALSE),"")</f>
        <v/>
      </c>
      <c r="M36" s="333" t="str">
        <f>IFERROR(VLOOKUP($A36,TableHandbook[],M$2,FALSE),"")</f>
        <v/>
      </c>
      <c r="N36" s="168"/>
      <c r="O36" s="282">
        <v>8</v>
      </c>
    </row>
    <row r="37" spans="1:17" s="309" customFormat="1" ht="13.9" customHeight="1" x14ac:dyDescent="0.2">
      <c r="A37" s="303"/>
      <c r="B37" s="303"/>
      <c r="C37" s="303"/>
      <c r="D37" s="304"/>
      <c r="E37" s="305"/>
      <c r="F37" s="306"/>
      <c r="G37" s="306"/>
      <c r="H37" s="306"/>
      <c r="I37" s="306"/>
      <c r="J37" s="306"/>
      <c r="K37" s="306"/>
      <c r="L37" s="306"/>
      <c r="M37" s="306"/>
      <c r="N37" s="306"/>
      <c r="O37" s="307"/>
      <c r="P37" s="308"/>
      <c r="Q37" s="308"/>
    </row>
    <row r="38" spans="1:17" ht="32.25" customHeight="1" x14ac:dyDescent="0.25">
      <c r="A38" s="334" t="s">
        <v>31</v>
      </c>
      <c r="B38" s="334"/>
      <c r="C38" s="334"/>
      <c r="D38" s="334"/>
      <c r="E38" s="334"/>
      <c r="F38" s="334"/>
      <c r="G38" s="334"/>
      <c r="H38" s="334"/>
      <c r="I38" s="334"/>
      <c r="J38" s="334"/>
      <c r="K38" s="334"/>
      <c r="L38" s="334"/>
      <c r="M38" s="334"/>
      <c r="N38" s="334"/>
    </row>
    <row r="39" spans="1:17" x14ac:dyDescent="0.25">
      <c r="A39" s="335"/>
      <c r="B39" s="336"/>
      <c r="C39" s="336"/>
      <c r="D39" s="336"/>
      <c r="E39" s="337"/>
      <c r="F39" s="336"/>
      <c r="G39" s="336"/>
      <c r="H39" s="336"/>
      <c r="I39" s="336"/>
      <c r="J39" s="336"/>
      <c r="K39" s="336"/>
      <c r="L39" s="336"/>
      <c r="M39" s="336"/>
      <c r="N39" s="338"/>
    </row>
    <row r="40" spans="1:17" ht="15" customHeight="1" x14ac:dyDescent="0.25">
      <c r="A40" s="339" t="s">
        <v>32</v>
      </c>
      <c r="B40" s="339"/>
      <c r="C40" s="339"/>
      <c r="D40" s="339"/>
      <c r="E40" s="340"/>
      <c r="F40" s="306"/>
      <c r="G40" s="341"/>
      <c r="H40" s="341"/>
      <c r="I40" s="341"/>
      <c r="J40" s="341"/>
      <c r="K40" s="341"/>
      <c r="L40" s="341"/>
      <c r="M40" s="341"/>
      <c r="N40" s="341" t="s">
        <v>33</v>
      </c>
    </row>
  </sheetData>
  <sheetProtection algorithmName="SHA-512" hashValue="UUQ3Z4vgU5AahNTyNn93OgR20H5nun19OEUS7IL5rVzxeSfly+IXstz8S2PptUMNnwfZKc8F6k1uHJ1ZEZsKdA==" saltValue="Qe930/ATjBSzNuJe6XOhaQ==" spinCount="100000" sheet="1" objects="1" scenarios="1" formatCells="0"/>
  <mergeCells count="2">
    <mergeCell ref="A3:D3"/>
    <mergeCell ref="A38:N38"/>
  </mergeCells>
  <conditionalFormatting sqref="A30:N36">
    <cfRule type="expression" dxfId="33" priority="3">
      <formula>LEFT($D30,5)="Study"</formula>
    </cfRule>
  </conditionalFormatting>
  <conditionalFormatting sqref="D5:D7">
    <cfRule type="containsText" dxfId="32" priority="4" operator="containsText" text="Choose">
      <formula>NOT(ISERROR(SEARCH("Choose",D5)))</formula>
    </cfRule>
  </conditionalFormatting>
  <conditionalFormatting sqref="H10:K20 H22:K26">
    <cfRule type="expression" dxfId="31" priority="1">
      <formula>$E10=H$9</formula>
    </cfRule>
  </conditionalFormatting>
  <conditionalFormatting sqref="H10:M20 A10:G26 N10:N26 H22:M26 A30:N36">
    <cfRule type="expression" dxfId="30" priority="5">
      <formula>$A10=""</formula>
    </cfRule>
  </conditionalFormatting>
  <dataValidations count="1">
    <dataValidation type="list" allowBlank="1" showInputMessage="1" showErrorMessage="1" sqref="N15 N12 N18 N24" xr:uid="{5B278EEB-D56A-4CF6-ACC6-E02AE5380C1B}"/>
  </dataValidations>
  <printOptions horizontalCentered="1"/>
  <pageMargins left="0.31496062992125984" right="0.31496062992125984" top="0.39370078740157483" bottom="0.39370078740157483" header="0.19685039370078741" footer="0.19685039370078741"/>
  <pageSetup paperSize="9" scale="76" orientation="landscape" r:id="rId1"/>
  <rowBreaks count="1" manualBreakCount="1">
    <brk id="26"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0DD1B5-4D32-4262-9F69-B14A1BBB298F}">
          <x14:formula1>
            <xm:f>CourseDetails!$A$10:$A$14</xm:f>
          </x14:formula1>
          <xm:sqref>D6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4"/>
  <sheetViews>
    <sheetView showGridLines="0" topLeftCell="A3" zoomScaleNormal="100" workbookViewId="0">
      <selection activeCell="D6" sqref="D6"/>
    </sheetView>
  </sheetViews>
  <sheetFormatPr defaultColWidth="9" defaultRowHeight="15" x14ac:dyDescent="0.25"/>
  <cols>
    <col min="1" max="1" width="10.625" style="22" customWidth="1"/>
    <col min="2" max="2" width="3.25" style="22" customWidth="1"/>
    <col min="3" max="3" width="8.875" style="22" customWidth="1"/>
    <col min="4" max="4" width="47" style="21" customWidth="1"/>
    <col min="5" max="5" width="7.375" style="22" customWidth="1"/>
    <col min="6" max="6" width="18" style="21" customWidth="1"/>
    <col min="7" max="7" width="5.625" style="21" customWidth="1"/>
    <col min="8" max="11" width="3.625" style="21" customWidth="1"/>
    <col min="12" max="13" width="4.375" style="21" bestFit="1" customWidth="1"/>
    <col min="14" max="14" width="18.625" style="21" customWidth="1"/>
    <col min="15" max="15" width="2.5" style="21" hidden="1" customWidth="1"/>
    <col min="16" max="16384" width="9" style="21"/>
  </cols>
  <sheetData>
    <row r="1" spans="1:25" hidden="1" x14ac:dyDescent="0.25">
      <c r="A1" s="17" t="s">
        <v>0</v>
      </c>
      <c r="B1" s="18" t="s">
        <v>1</v>
      </c>
      <c r="C1" s="18" t="s">
        <v>2</v>
      </c>
      <c r="D1" s="19" t="s">
        <v>3</v>
      </c>
      <c r="E1" s="18"/>
      <c r="F1" s="19" t="s">
        <v>4</v>
      </c>
      <c r="G1" s="19" t="s">
        <v>5</v>
      </c>
      <c r="H1" s="20" t="s">
        <v>6</v>
      </c>
      <c r="I1" s="20"/>
      <c r="J1" s="20"/>
      <c r="K1" s="19"/>
      <c r="L1" s="19"/>
      <c r="M1" s="19"/>
      <c r="N1" s="19" t="s">
        <v>7</v>
      </c>
    </row>
    <row r="2" spans="1:25" hidden="1" x14ac:dyDescent="0.25">
      <c r="A2" s="95"/>
      <c r="B2" s="95">
        <v>2</v>
      </c>
      <c r="C2" s="95">
        <v>3</v>
      </c>
      <c r="D2" s="95">
        <v>4</v>
      </c>
      <c r="E2" s="95"/>
      <c r="F2" s="95">
        <v>6</v>
      </c>
      <c r="G2" s="95">
        <v>5</v>
      </c>
      <c r="H2" s="95">
        <v>9</v>
      </c>
      <c r="I2" s="95">
        <v>10</v>
      </c>
      <c r="J2" s="95">
        <v>11</v>
      </c>
      <c r="K2" s="95">
        <v>12</v>
      </c>
      <c r="L2" s="95">
        <v>7</v>
      </c>
      <c r="M2" s="95">
        <v>8</v>
      </c>
      <c r="N2" s="95"/>
    </row>
    <row r="3" spans="1:25" ht="39.950000000000003" customHeight="1" x14ac:dyDescent="0.25">
      <c r="A3" s="227" t="s">
        <v>8</v>
      </c>
      <c r="B3" s="228"/>
      <c r="C3" s="228"/>
      <c r="D3" s="228"/>
      <c r="E3" s="115"/>
      <c r="F3" s="116"/>
      <c r="G3" s="116"/>
      <c r="H3" s="116"/>
      <c r="I3" s="116"/>
      <c r="J3" s="116"/>
      <c r="K3" s="116"/>
      <c r="L3" s="116"/>
      <c r="M3" s="116"/>
      <c r="N3" s="116"/>
    </row>
    <row r="4" spans="1:25" ht="26.25" x14ac:dyDescent="0.25">
      <c r="A4" s="110"/>
      <c r="B4" s="111"/>
      <c r="C4" s="111"/>
      <c r="D4" s="112"/>
      <c r="E4" s="113" t="s">
        <v>9</v>
      </c>
      <c r="F4" s="111"/>
      <c r="G4" s="114"/>
      <c r="H4" s="114"/>
      <c r="I4" s="114"/>
      <c r="J4" s="114"/>
      <c r="K4" s="114"/>
      <c r="L4" s="114"/>
      <c r="M4" s="114"/>
      <c r="N4" s="114"/>
    </row>
    <row r="5" spans="1:25" ht="20.100000000000001" customHeight="1" x14ac:dyDescent="0.25">
      <c r="B5" s="23"/>
      <c r="C5" s="68" t="s">
        <v>10</v>
      </c>
      <c r="D5" s="131" t="s">
        <v>38</v>
      </c>
      <c r="E5" s="63"/>
      <c r="F5" s="68" t="s">
        <v>12</v>
      </c>
      <c r="G5" s="24" t="str">
        <f>IFERROR(CONCATENATE(VLOOKUP(D5,TableCourses[],2,FALSE)," ",VLOOKUP(D5,TableCourses[],3,FALSE)),"")</f>
        <v>OM-INFSCX v.2</v>
      </c>
      <c r="H5" s="24"/>
      <c r="I5" s="24"/>
      <c r="J5" s="24"/>
      <c r="K5" s="24"/>
      <c r="L5" s="24"/>
      <c r="M5" s="24"/>
      <c r="N5" s="204" t="e">
        <f>CONCATENATE(VLOOKUP(D5,TableCourses[],2,FALSE),VLOOKUP(D6,TableStudyPeriod[],2,FALSE))</f>
        <v>#N/A</v>
      </c>
    </row>
    <row r="6" spans="1:25" ht="20.100000000000001" customHeight="1" x14ac:dyDescent="0.25">
      <c r="A6" s="25"/>
      <c r="B6" s="26"/>
      <c r="C6" s="68" t="s">
        <v>13</v>
      </c>
      <c r="D6" s="24" t="s">
        <v>60</v>
      </c>
      <c r="E6" s="64"/>
      <c r="F6" s="68" t="s">
        <v>15</v>
      </c>
      <c r="G6" s="24" t="str">
        <f>IFERROR(VLOOKUP($D$5,TableCourses[],7,FALSE),"")</f>
        <v>400 credit points required</v>
      </c>
      <c r="H6" s="55"/>
      <c r="I6" s="55"/>
      <c r="J6" s="55"/>
      <c r="K6" s="55"/>
      <c r="L6" s="55"/>
      <c r="M6" s="55"/>
      <c r="N6" s="84"/>
      <c r="O6" s="27"/>
      <c r="P6" s="27"/>
      <c r="Q6" s="27"/>
      <c r="R6" s="27"/>
      <c r="S6" s="27"/>
      <c r="T6" s="27"/>
      <c r="U6" s="27"/>
      <c r="V6" s="27"/>
      <c r="W6" s="27"/>
      <c r="X6" s="27"/>
      <c r="Y6" s="27"/>
    </row>
    <row r="7" spans="1:25" ht="78.75" customHeight="1" x14ac:dyDescent="0.25">
      <c r="A7" s="175" t="s">
        <v>16</v>
      </c>
      <c r="B7" s="176" t="str">
        <f>IFERROR(VLOOKUP(D5,TableCourses[],9,FALSE),"")</f>
        <v>This degree is two years full-time or equivalent part-time study. Full-time study may not be available for all students, depending on their study period of commencement, resulting in an extended course duration. The degree consists of ten core subjects, including two fieldwork-focused subjects and a number of elective subjects that must be selected from a specified list. Fieldwork placements are arranged for both internal and external students. In Year 2 of the course, you choose to do a small project COM610 AND professional experience (Internship) COM600 OR the 100 credit project (HUMN600 + HUMN610), along with the listed core and option units. N.B. HUMN600 must be studied in an earlier study period to HUMN610, as it is the pre-requisite.     Students may request approval from the Course Coordinator for an alternative unit from those listed in the Options List.</v>
      </c>
      <c r="C7" s="176"/>
      <c r="D7" s="176"/>
      <c r="E7" s="176"/>
      <c r="F7" s="176"/>
      <c r="G7" s="176"/>
      <c r="H7" s="177"/>
      <c r="I7" s="177"/>
      <c r="J7" s="177"/>
      <c r="K7" s="177"/>
      <c r="L7" s="177"/>
      <c r="M7" s="177"/>
      <c r="N7" s="178"/>
      <c r="O7" s="27"/>
      <c r="P7" s="27"/>
      <c r="Q7" s="27"/>
      <c r="R7" s="27"/>
      <c r="S7" s="27"/>
      <c r="T7" s="27"/>
      <c r="U7" s="27"/>
      <c r="V7" s="27"/>
      <c r="W7" s="27"/>
      <c r="X7" s="27"/>
      <c r="Y7" s="27"/>
    </row>
    <row r="8" spans="1:25" s="30" customFormat="1" ht="14.1" customHeight="1" x14ac:dyDescent="0.25">
      <c r="A8" s="72"/>
      <c r="B8" s="72"/>
      <c r="C8" s="72"/>
      <c r="D8" s="73"/>
      <c r="E8" s="72"/>
      <c r="F8" s="72"/>
      <c r="G8" s="72"/>
      <c r="H8" s="74" t="s">
        <v>17</v>
      </c>
      <c r="I8" s="109"/>
      <c r="J8" s="109"/>
      <c r="K8" s="109"/>
      <c r="L8" s="109"/>
      <c r="M8" s="75"/>
      <c r="N8" s="76"/>
      <c r="O8" s="28"/>
      <c r="P8" s="28"/>
      <c r="Q8" s="28"/>
      <c r="R8" s="29"/>
      <c r="S8" s="29"/>
      <c r="T8" s="29"/>
      <c r="U8" s="29"/>
      <c r="V8" s="29"/>
      <c r="W8" s="29"/>
      <c r="X8" s="29"/>
      <c r="Y8" s="29"/>
    </row>
    <row r="9" spans="1:25" s="30" customFormat="1" ht="21" x14ac:dyDescent="0.25">
      <c r="A9" s="72" t="s">
        <v>18</v>
      </c>
      <c r="B9" s="72"/>
      <c r="C9" s="72" t="s">
        <v>19</v>
      </c>
      <c r="D9" s="73" t="s">
        <v>3</v>
      </c>
      <c r="E9" s="77" t="s">
        <v>20</v>
      </c>
      <c r="F9" s="72" t="s">
        <v>21</v>
      </c>
      <c r="G9" s="72" t="s">
        <v>22</v>
      </c>
      <c r="H9" s="78" t="s">
        <v>23</v>
      </c>
      <c r="I9" s="79" t="s">
        <v>24</v>
      </c>
      <c r="J9" s="79" t="s">
        <v>25</v>
      </c>
      <c r="K9" s="80" t="s">
        <v>26</v>
      </c>
      <c r="L9" s="78" t="s">
        <v>27</v>
      </c>
      <c r="M9" s="80" t="s">
        <v>28</v>
      </c>
      <c r="N9" s="81" t="s">
        <v>29</v>
      </c>
      <c r="O9" s="28"/>
      <c r="P9" s="28"/>
      <c r="Q9" s="28"/>
      <c r="R9" s="29"/>
      <c r="S9" s="29"/>
      <c r="T9" s="29"/>
      <c r="U9" s="29"/>
      <c r="V9" s="29"/>
      <c r="W9" s="29"/>
      <c r="X9" s="29"/>
      <c r="Y9" s="29"/>
    </row>
    <row r="10" spans="1:25" s="33" customFormat="1" ht="20.100000000000001" customHeight="1" x14ac:dyDescent="0.15">
      <c r="A10" s="69" t="str">
        <f>IFERROR(IF(HLOOKUP($N$5,RangeUnitSets,O10,FALSE)=0,"",HLOOKUP($N$5,RangeUnitSets,O10,FALSE)),"")</f>
        <v/>
      </c>
      <c r="B10" s="54" t="str">
        <f>IFERROR(IF(VLOOKUP($A10,TableHandbook[],2,FALSE)=0,"",VLOOKUP($A10,TableHandbook[],2,FALSE)),"")</f>
        <v/>
      </c>
      <c r="C10" s="54" t="str">
        <f>IFERROR(IF(VLOOKUP($A10,TableHandbook[],3,FALSE)=0,"",VLOOKUP($A10,TableHandbook[],3,FALSE)),"")</f>
        <v/>
      </c>
      <c r="D10" s="83" t="str">
        <f>IFERROR(IF(VLOOKUP($A10,TableHandbook[],4,FALSE)=0,"",VLOOKUP($A10,TableHandbook[],4,FALSE)),"")</f>
        <v/>
      </c>
      <c r="E10" s="54" t="str">
        <f>IF(A10="","",VLOOKUP($D$6,TableStudyPeriod[],2,FALSE))</f>
        <v/>
      </c>
      <c r="F10" s="71" t="str">
        <f>IFERROR(IF(VLOOKUP($A10,TableHandbook[],6,FALSE)=0,"",VLOOKUP($A10,TableHandbook[],6,FALSE)),"")</f>
        <v/>
      </c>
      <c r="G10" s="54" t="str">
        <f>IFERROR(IF(VLOOKUP($A10,TableHandbook[],5,FALSE)=0,"",VLOOKUP($A10,TableHandbook[],5,FALSE)),"")</f>
        <v/>
      </c>
      <c r="H10" s="184" t="str">
        <f>IFERROR(VLOOKUP($A10,TableHandbook[],H$2,FALSE),"")</f>
        <v/>
      </c>
      <c r="I10" s="185" t="str">
        <f>IFERROR(VLOOKUP($A10,TableHandbook[],I$2,FALSE),"")</f>
        <v/>
      </c>
      <c r="J10" s="185" t="str">
        <f>IFERROR(VLOOKUP($A10,TableHandbook[],J$2,FALSE),"")</f>
        <v/>
      </c>
      <c r="K10" s="189" t="str">
        <f>IFERROR(VLOOKUP($A10,TableHandbook[],K$2,FALSE),"")</f>
        <v/>
      </c>
      <c r="L10" s="191" t="str">
        <f>IFERROR(VLOOKUP($A10,TableHandbook[],L$2,FALSE),"")</f>
        <v/>
      </c>
      <c r="M10" s="192" t="str">
        <f>IFERROR(VLOOKUP($A10,TableHandbook[],M$2,FALSE),"")</f>
        <v/>
      </c>
      <c r="N10" s="168"/>
      <c r="O10" s="88">
        <v>2</v>
      </c>
      <c r="P10" s="31"/>
      <c r="Q10" s="31"/>
      <c r="R10" s="32"/>
      <c r="S10" s="32"/>
      <c r="T10" s="32"/>
      <c r="U10" s="32"/>
      <c r="V10" s="32"/>
      <c r="W10" s="32"/>
      <c r="X10" s="32"/>
      <c r="Y10" s="32"/>
    </row>
    <row r="11" spans="1:25" s="33" customFormat="1" ht="20.100000000000001" customHeight="1" x14ac:dyDescent="0.15">
      <c r="A11" s="69" t="str">
        <f>IFERROR(IF(HLOOKUP($N$5,RangeUnitSets,O11,FALSE)=0,"",HLOOKUP($N$5,RangeUnitSets,O11,FALSE)),"")</f>
        <v/>
      </c>
      <c r="B11" s="54" t="str">
        <f>IFERROR(IF(VLOOKUP($A11,TableHandbook[],2,FALSE)=0,"",VLOOKUP($A11,TableHandbook[],2,FALSE)),"")</f>
        <v/>
      </c>
      <c r="C11" s="54" t="str">
        <f>IFERROR(IF(VLOOKUP($A11,TableHandbook[],3,FALSE)=0,"",VLOOKUP($A11,TableHandbook[],3,FALSE)),"")</f>
        <v/>
      </c>
      <c r="D11" s="83" t="str">
        <f>IFERROR(IF(VLOOKUP($A11,TableHandbook[],4,FALSE)=0,"",VLOOKUP($A11,TableHandbook[],4,FALSE)),"")</f>
        <v/>
      </c>
      <c r="E11" s="54" t="str">
        <f>IF(OR(A11="",A11="-"),"",E10)</f>
        <v/>
      </c>
      <c r="F11" s="71" t="str">
        <f>IFERROR(IF(VLOOKUP($A11,TableHandbook[],6,FALSE)=0,"",VLOOKUP($A11,TableHandbook[],6,FALSE)),"")</f>
        <v/>
      </c>
      <c r="G11" s="54" t="str">
        <f>IFERROR(IF(VLOOKUP($A11,TableHandbook[],5,FALSE)=0,"",VLOOKUP($A11,TableHandbook[],5,FALSE)),"")</f>
        <v/>
      </c>
      <c r="H11" s="184" t="str">
        <f>IFERROR(VLOOKUP($A11,TableHandbook[],H$2,FALSE),"")</f>
        <v/>
      </c>
      <c r="I11" s="185" t="str">
        <f>IFERROR(VLOOKUP($A11,TableHandbook[],I$2,FALSE),"")</f>
        <v/>
      </c>
      <c r="J11" s="185" t="str">
        <f>IFERROR(VLOOKUP($A11,TableHandbook[],J$2,FALSE),"")</f>
        <v/>
      </c>
      <c r="K11" s="189" t="str">
        <f>IFERROR(VLOOKUP($A11,TableHandbook[],K$2,FALSE),"")</f>
        <v/>
      </c>
      <c r="L11" s="191" t="str">
        <f>IFERROR(VLOOKUP($A11,TableHandbook[],L$2,FALSE),"")</f>
        <v/>
      </c>
      <c r="M11" s="192" t="str">
        <f>IFERROR(VLOOKUP($A11,TableHandbook[],M$2,FALSE),"")</f>
        <v/>
      </c>
      <c r="N11" s="168"/>
      <c r="O11" s="88">
        <v>3</v>
      </c>
      <c r="P11" s="31"/>
      <c r="Q11" s="31"/>
      <c r="R11" s="32"/>
      <c r="S11" s="32"/>
      <c r="T11" s="32"/>
      <c r="U11" s="32"/>
      <c r="V11" s="32"/>
      <c r="W11" s="32"/>
      <c r="X11" s="32"/>
      <c r="Y11" s="32"/>
    </row>
    <row r="12" spans="1:25" s="33" customFormat="1" ht="5.0999999999999996" customHeight="1" x14ac:dyDescent="0.15">
      <c r="A12" s="105"/>
      <c r="B12" s="106"/>
      <c r="C12" s="106"/>
      <c r="D12" s="107"/>
      <c r="E12" s="106"/>
      <c r="F12" s="108"/>
      <c r="G12" s="106"/>
      <c r="H12" s="186"/>
      <c r="I12" s="187"/>
      <c r="J12" s="187"/>
      <c r="K12" s="190"/>
      <c r="L12" s="193"/>
      <c r="M12" s="194"/>
      <c r="N12" s="169"/>
      <c r="O12" s="88"/>
      <c r="P12" s="31"/>
      <c r="Q12" s="31"/>
      <c r="R12" s="31"/>
      <c r="S12" s="32"/>
      <c r="T12" s="32"/>
      <c r="U12" s="32"/>
      <c r="V12" s="32"/>
      <c r="W12" s="32"/>
      <c r="X12" s="32"/>
      <c r="Y12" s="32"/>
    </row>
    <row r="13" spans="1:25" s="33" customFormat="1" ht="20.100000000000001" customHeight="1" x14ac:dyDescent="0.15">
      <c r="A13" s="69" t="str">
        <f>IFERROR(IF(HLOOKUP($N$5,RangeUnitSets,O13,FALSE)=0,"",HLOOKUP($N$5,RangeUnitSets,O13,FALSE)),"")</f>
        <v/>
      </c>
      <c r="B13" s="54" t="str">
        <f>IFERROR(IF(VLOOKUP($A13,TableHandbook[],2,FALSE)=0,"",VLOOKUP($A13,TableHandbook[],2,FALSE)),"")</f>
        <v/>
      </c>
      <c r="C13" s="54" t="str">
        <f>IFERROR(IF(VLOOKUP($A13,TableHandbook[],3,FALSE)=0,"",VLOOKUP($A13,TableHandbook[],3,FALSE)),"")</f>
        <v/>
      </c>
      <c r="D13" s="83" t="str">
        <f>IFERROR(IF(VLOOKUP($A13,TableHandbook[],4,FALSE)=0,"",VLOOKUP($A13,TableHandbook[],4,FALSE)),"")</f>
        <v/>
      </c>
      <c r="E13" s="54" t="str">
        <f>IF(A13="","",VLOOKUP($D$6,TableStudyPeriod[],3,FALSE))</f>
        <v/>
      </c>
      <c r="F13" s="71" t="str">
        <f>IFERROR(IF(VLOOKUP($A13,TableHandbook[],6,FALSE)=0,"",VLOOKUP($A13,TableHandbook[],6,FALSE)),"")</f>
        <v/>
      </c>
      <c r="G13" s="54" t="str">
        <f>IFERROR(IF(VLOOKUP($A13,TableHandbook[],5,FALSE)=0,"",VLOOKUP($A13,TableHandbook[],5,FALSE)),"")</f>
        <v/>
      </c>
      <c r="H13" s="184" t="str">
        <f>IFERROR(VLOOKUP($A13,TableHandbook[],H$2,FALSE),"")</f>
        <v/>
      </c>
      <c r="I13" s="185" t="str">
        <f>IFERROR(VLOOKUP($A13,TableHandbook[],I$2,FALSE),"")</f>
        <v/>
      </c>
      <c r="J13" s="185" t="str">
        <f>IFERROR(VLOOKUP($A13,TableHandbook[],J$2,FALSE),"")</f>
        <v/>
      </c>
      <c r="K13" s="189" t="str">
        <f>IFERROR(VLOOKUP($A13,TableHandbook[],K$2,FALSE),"")</f>
        <v/>
      </c>
      <c r="L13" s="191" t="str">
        <f>IFERROR(VLOOKUP($A13,TableHandbook[],L$2,FALSE),"")</f>
        <v/>
      </c>
      <c r="M13" s="192" t="str">
        <f>IFERROR(VLOOKUP($A13,TableHandbook[],M$2,FALSE),"")</f>
        <v/>
      </c>
      <c r="N13" s="168"/>
      <c r="O13" s="88">
        <v>4</v>
      </c>
      <c r="P13" s="31"/>
      <c r="Q13" s="31"/>
      <c r="R13" s="32"/>
      <c r="S13" s="32"/>
      <c r="T13" s="32"/>
      <c r="U13" s="32"/>
      <c r="V13" s="32"/>
      <c r="W13" s="32"/>
      <c r="X13" s="32"/>
      <c r="Y13" s="32"/>
    </row>
    <row r="14" spans="1:25" s="36" customFormat="1" ht="20.100000000000001" customHeight="1" x14ac:dyDescent="0.15">
      <c r="A14" s="69" t="str">
        <f>IFERROR(IF(HLOOKUP($N$5,RangeUnitSets,O14,FALSE)=0,"",HLOOKUP($N$5,RangeUnitSets,O14,FALSE)),"")</f>
        <v/>
      </c>
      <c r="B14" s="54" t="str">
        <f>IFERROR(IF(VLOOKUP($A14,TableHandbook[],2,FALSE)=0,"",VLOOKUP($A14,TableHandbook[],2,FALSE)),"")</f>
        <v/>
      </c>
      <c r="C14" s="54" t="str">
        <f>IFERROR(IF(VLOOKUP($A14,TableHandbook[],3,FALSE)=0,"",VLOOKUP($A14,TableHandbook[],3,FALSE)),"")</f>
        <v/>
      </c>
      <c r="D14" s="83" t="str">
        <f>IFERROR(IF(VLOOKUP($A14,TableHandbook[],4,FALSE)=0,"",VLOOKUP($A14,TableHandbook[],4,FALSE)),"")</f>
        <v/>
      </c>
      <c r="E14" s="54" t="str">
        <f>IF(OR(A14="",A14="-"),"",E13)</f>
        <v/>
      </c>
      <c r="F14" s="71" t="str">
        <f>IFERROR(IF(VLOOKUP($A14,TableHandbook[],6,FALSE)=0,"",VLOOKUP($A14,TableHandbook[],6,FALSE)),"")</f>
        <v/>
      </c>
      <c r="G14" s="54" t="str">
        <f>IFERROR(IF(VLOOKUP($A14,TableHandbook[],5,FALSE)=0,"",VLOOKUP($A14,TableHandbook[],5,FALSE)),"")</f>
        <v/>
      </c>
      <c r="H14" s="184" t="str">
        <f>IFERROR(VLOOKUP($A14,TableHandbook[],H$2,FALSE),"")</f>
        <v/>
      </c>
      <c r="I14" s="185" t="str">
        <f>IFERROR(VLOOKUP($A14,TableHandbook[],I$2,FALSE),"")</f>
        <v/>
      </c>
      <c r="J14" s="185" t="str">
        <f>IFERROR(VLOOKUP($A14,TableHandbook[],J$2,FALSE),"")</f>
        <v/>
      </c>
      <c r="K14" s="189" t="str">
        <f>IFERROR(VLOOKUP($A14,TableHandbook[],K$2,FALSE),"")</f>
        <v/>
      </c>
      <c r="L14" s="191" t="str">
        <f>IFERROR(VLOOKUP($A14,TableHandbook[],L$2,FALSE),"")</f>
        <v/>
      </c>
      <c r="M14" s="192" t="str">
        <f>IFERROR(VLOOKUP($A14,TableHandbook[],M$2,FALSE),"")</f>
        <v/>
      </c>
      <c r="N14" s="168"/>
      <c r="O14" s="88">
        <v>5</v>
      </c>
      <c r="P14" s="34"/>
      <c r="Q14" s="34"/>
      <c r="R14" s="35"/>
      <c r="S14" s="35"/>
      <c r="T14" s="35"/>
      <c r="U14" s="35"/>
      <c r="V14" s="35"/>
      <c r="W14" s="35"/>
      <c r="X14" s="35"/>
      <c r="Y14" s="35"/>
    </row>
    <row r="15" spans="1:25" s="33" customFormat="1" ht="5.0999999999999996" customHeight="1" x14ac:dyDescent="0.15">
      <c r="A15" s="105"/>
      <c r="B15" s="106"/>
      <c r="C15" s="106"/>
      <c r="D15" s="107"/>
      <c r="E15" s="106"/>
      <c r="F15" s="108"/>
      <c r="G15" s="106"/>
      <c r="H15" s="186"/>
      <c r="I15" s="187"/>
      <c r="J15" s="187"/>
      <c r="K15" s="190"/>
      <c r="L15" s="193"/>
      <c r="M15" s="194"/>
      <c r="N15" s="169"/>
      <c r="O15" s="88"/>
      <c r="P15" s="31"/>
      <c r="Q15" s="31"/>
      <c r="R15" s="31"/>
      <c r="S15" s="32"/>
      <c r="T15" s="32"/>
      <c r="U15" s="32"/>
      <c r="V15" s="32"/>
      <c r="W15" s="32"/>
      <c r="X15" s="32"/>
      <c r="Y15" s="32"/>
    </row>
    <row r="16" spans="1:25" s="33" customFormat="1" ht="20.100000000000001" customHeight="1" x14ac:dyDescent="0.15">
      <c r="A16" s="69" t="str">
        <f>IFERROR(IF(HLOOKUP($N$5,RangeUnitSets,O16,FALSE)=0,"",HLOOKUP($N$5,RangeUnitSets,O16,FALSE)),"")</f>
        <v/>
      </c>
      <c r="B16" s="54" t="str">
        <f>IFERROR(IF(VLOOKUP($A16,TableHandbook[],2,FALSE)=0,"",VLOOKUP($A16,TableHandbook[],2,FALSE)),"")</f>
        <v/>
      </c>
      <c r="C16" s="54" t="str">
        <f>IFERROR(IF(VLOOKUP($A16,TableHandbook[],3,FALSE)=0,"",VLOOKUP($A16,TableHandbook[],3,FALSE)),"")</f>
        <v/>
      </c>
      <c r="D16" s="83" t="str">
        <f>IFERROR(IF(VLOOKUP($A16,TableHandbook[],4,FALSE)=0,"",VLOOKUP($A16,TableHandbook[],4,FALSE)),"")</f>
        <v/>
      </c>
      <c r="E16" s="54" t="str">
        <f>IF(A16="","",VLOOKUP($D$6,TableStudyPeriod[],4,FALSE))</f>
        <v/>
      </c>
      <c r="F16" s="71" t="str">
        <f>IFERROR(IF(VLOOKUP($A16,TableHandbook[],6,FALSE)=0,"",VLOOKUP($A16,TableHandbook[],6,FALSE)),"")</f>
        <v/>
      </c>
      <c r="G16" s="54" t="str">
        <f>IFERROR(IF(VLOOKUP($A16,TableHandbook[],5,FALSE)=0,"",VLOOKUP($A16,TableHandbook[],5,FALSE)),"")</f>
        <v/>
      </c>
      <c r="H16" s="184" t="str">
        <f>IFERROR(VLOOKUP($A16,TableHandbook[],H$2,FALSE),"")</f>
        <v/>
      </c>
      <c r="I16" s="185" t="str">
        <f>IFERROR(VLOOKUP($A16,TableHandbook[],I$2,FALSE),"")</f>
        <v/>
      </c>
      <c r="J16" s="185" t="str">
        <f>IFERROR(VLOOKUP($A16,TableHandbook[],J$2,FALSE),"")</f>
        <v/>
      </c>
      <c r="K16" s="189" t="str">
        <f>IFERROR(VLOOKUP($A16,TableHandbook[],K$2,FALSE),"")</f>
        <v/>
      </c>
      <c r="L16" s="191" t="str">
        <f>IFERROR(VLOOKUP($A16,TableHandbook[],L$2,FALSE),"")</f>
        <v/>
      </c>
      <c r="M16" s="192" t="str">
        <f>IFERROR(VLOOKUP($A16,TableHandbook[],M$2,FALSE),"")</f>
        <v/>
      </c>
      <c r="N16" s="168"/>
      <c r="O16" s="88">
        <v>6</v>
      </c>
      <c r="P16" s="31"/>
      <c r="Q16" s="31"/>
      <c r="R16" s="32"/>
      <c r="S16" s="32"/>
      <c r="T16" s="32"/>
      <c r="U16" s="32"/>
      <c r="V16" s="32"/>
      <c r="W16" s="32"/>
      <c r="X16" s="32"/>
      <c r="Y16" s="32"/>
    </row>
    <row r="17" spans="1:25" s="36" customFormat="1" ht="20.100000000000001" customHeight="1" x14ac:dyDescent="0.15">
      <c r="A17" s="69" t="str">
        <f>IFERROR(IF(HLOOKUP($N$5,RangeUnitSets,O17,FALSE)=0,"",HLOOKUP($N$5,RangeUnitSets,O17,FALSE)),"")</f>
        <v/>
      </c>
      <c r="B17" s="54" t="str">
        <f>IFERROR(IF(VLOOKUP($A17,TableHandbook[],2,FALSE)=0,"",VLOOKUP($A17,TableHandbook[],2,FALSE)),"")</f>
        <v/>
      </c>
      <c r="C17" s="54" t="str">
        <f>IFERROR(IF(VLOOKUP($A17,TableHandbook[],3,FALSE)=0,"",VLOOKUP($A17,TableHandbook[],3,FALSE)),"")</f>
        <v/>
      </c>
      <c r="D17" s="83" t="str">
        <f>IFERROR(IF(VLOOKUP($A17,TableHandbook[],4,FALSE)=0,"",VLOOKUP($A17,TableHandbook[],4,FALSE)),"")</f>
        <v/>
      </c>
      <c r="E17" s="54" t="str">
        <f>IF(OR(A17="",A17="-"),"",E16)</f>
        <v/>
      </c>
      <c r="F17" s="71" t="str">
        <f>IFERROR(IF(VLOOKUP($A17,TableHandbook[],6,FALSE)=0,"",VLOOKUP($A17,TableHandbook[],6,FALSE)),"")</f>
        <v/>
      </c>
      <c r="G17" s="54" t="str">
        <f>IFERROR(IF(VLOOKUP($A17,TableHandbook[],5,FALSE)=0,"",VLOOKUP($A17,TableHandbook[],5,FALSE)),"")</f>
        <v/>
      </c>
      <c r="H17" s="184" t="str">
        <f>IFERROR(VLOOKUP($A17,TableHandbook[],H$2,FALSE),"")</f>
        <v/>
      </c>
      <c r="I17" s="185" t="str">
        <f>IFERROR(VLOOKUP($A17,TableHandbook[],I$2,FALSE),"")</f>
        <v/>
      </c>
      <c r="J17" s="185" t="str">
        <f>IFERROR(VLOOKUP($A17,TableHandbook[],J$2,FALSE),"")</f>
        <v/>
      </c>
      <c r="K17" s="189" t="str">
        <f>IFERROR(VLOOKUP($A17,TableHandbook[],K$2,FALSE),"")</f>
        <v/>
      </c>
      <c r="L17" s="191" t="str">
        <f>IFERROR(VLOOKUP($A17,TableHandbook[],L$2,FALSE),"")</f>
        <v/>
      </c>
      <c r="M17" s="192" t="str">
        <f>IFERROR(VLOOKUP($A17,TableHandbook[],M$2,FALSE),"")</f>
        <v/>
      </c>
      <c r="N17" s="168"/>
      <c r="O17" s="88">
        <v>7</v>
      </c>
      <c r="P17" s="34"/>
      <c r="Q17" s="34"/>
      <c r="R17" s="35"/>
      <c r="S17" s="35"/>
      <c r="T17" s="35"/>
      <c r="U17" s="35"/>
      <c r="V17" s="35"/>
      <c r="W17" s="35"/>
      <c r="X17" s="35"/>
      <c r="Y17" s="35"/>
    </row>
    <row r="18" spans="1:25" s="33" customFormat="1" ht="5.0999999999999996" customHeight="1" x14ac:dyDescent="0.15">
      <c r="A18" s="105"/>
      <c r="B18" s="106"/>
      <c r="C18" s="106"/>
      <c r="D18" s="107"/>
      <c r="E18" s="106"/>
      <c r="F18" s="108"/>
      <c r="G18" s="106"/>
      <c r="H18" s="186"/>
      <c r="I18" s="187"/>
      <c r="J18" s="187"/>
      <c r="K18" s="190"/>
      <c r="L18" s="193"/>
      <c r="M18" s="194"/>
      <c r="N18" s="169"/>
      <c r="O18" s="88"/>
      <c r="P18" s="31"/>
      <c r="Q18" s="31"/>
      <c r="R18" s="31"/>
      <c r="S18" s="32"/>
      <c r="T18" s="32"/>
      <c r="U18" s="32"/>
      <c r="V18" s="32"/>
      <c r="W18" s="32"/>
      <c r="X18" s="32"/>
      <c r="Y18" s="32"/>
    </row>
    <row r="19" spans="1:25" s="33" customFormat="1" ht="20.100000000000001" customHeight="1" x14ac:dyDescent="0.15">
      <c r="A19" s="69" t="str">
        <f>IFERROR(IF(HLOOKUP($N$5,RangeUnitSets,O19,FALSE)=0,"",HLOOKUP($N$5,RangeUnitSets,O19,FALSE)),"")</f>
        <v/>
      </c>
      <c r="B19" s="54" t="str">
        <f>IFERROR(IF(VLOOKUP($A19,TableHandbook[],2,FALSE)=0,"",VLOOKUP($A19,TableHandbook[],2,FALSE)),"")</f>
        <v/>
      </c>
      <c r="C19" s="54" t="str">
        <f>IFERROR(IF(VLOOKUP($A19,TableHandbook[],3,FALSE)=0,"",VLOOKUP($A19,TableHandbook[],3,FALSE)),"")</f>
        <v/>
      </c>
      <c r="D19" s="83" t="str">
        <f>IFERROR(IF(VLOOKUP($A19,TableHandbook[],4,FALSE)=0,"",VLOOKUP($A19,TableHandbook[],4,FALSE)),"")</f>
        <v/>
      </c>
      <c r="E19" s="54" t="str">
        <f>IF(A19="","",VLOOKUP($D$6,TableStudyPeriod[],5,FALSE))</f>
        <v/>
      </c>
      <c r="F19" s="71" t="str">
        <f>IFERROR(IF(VLOOKUP($A19,TableHandbook[],6,FALSE)=0,"",VLOOKUP($A19,TableHandbook[],6,FALSE)),"")</f>
        <v/>
      </c>
      <c r="G19" s="54" t="str">
        <f>IFERROR(IF(VLOOKUP($A19,TableHandbook[],5,FALSE)=0,"",VLOOKUP($A19,TableHandbook[],5,FALSE)),"")</f>
        <v/>
      </c>
      <c r="H19" s="184" t="str">
        <f>IFERROR(VLOOKUP($A19,TableHandbook[],H$2,FALSE),"")</f>
        <v/>
      </c>
      <c r="I19" s="185" t="str">
        <f>IFERROR(VLOOKUP($A19,TableHandbook[],I$2,FALSE),"")</f>
        <v/>
      </c>
      <c r="J19" s="185" t="str">
        <f>IFERROR(VLOOKUP($A19,TableHandbook[],J$2,FALSE),"")</f>
        <v/>
      </c>
      <c r="K19" s="189" t="str">
        <f>IFERROR(VLOOKUP($A19,TableHandbook[],K$2,FALSE),"")</f>
        <v/>
      </c>
      <c r="L19" s="191" t="str">
        <f>IFERROR(VLOOKUP($A19,TableHandbook[],L$2,FALSE),"")</f>
        <v/>
      </c>
      <c r="M19" s="192" t="str">
        <f>IFERROR(VLOOKUP($A19,TableHandbook[],M$2,FALSE),"")</f>
        <v/>
      </c>
      <c r="N19" s="168"/>
      <c r="O19" s="88">
        <v>8</v>
      </c>
      <c r="P19" s="31"/>
      <c r="Q19" s="31"/>
      <c r="R19" s="32"/>
      <c r="S19" s="32"/>
      <c r="T19" s="32"/>
      <c r="U19" s="32"/>
      <c r="V19" s="32"/>
      <c r="W19" s="32"/>
      <c r="X19" s="32"/>
      <c r="Y19" s="32"/>
    </row>
    <row r="20" spans="1:25" s="36" customFormat="1" ht="20.100000000000001" customHeight="1" x14ac:dyDescent="0.15">
      <c r="A20" s="69" t="str">
        <f>IFERROR(IF(HLOOKUP($N$5,RangeUnitSets,O20,FALSE)=0,"",HLOOKUP($N$5,RangeUnitSets,O20,FALSE)),"")</f>
        <v/>
      </c>
      <c r="B20" s="54" t="str">
        <f>IFERROR(IF(VLOOKUP($A20,TableHandbook[],2,FALSE)=0,"",VLOOKUP($A20,TableHandbook[],2,FALSE)),"")</f>
        <v/>
      </c>
      <c r="C20" s="54" t="str">
        <f>IFERROR(IF(VLOOKUP($A20,TableHandbook[],3,FALSE)=0,"",VLOOKUP($A20,TableHandbook[],3,FALSE)),"")</f>
        <v/>
      </c>
      <c r="D20" s="70" t="str">
        <f>IFERROR(IF(VLOOKUP($A20,TableHandbook[],4,FALSE)=0,"",VLOOKUP($A20,TableHandbook[],4,FALSE)),"")</f>
        <v/>
      </c>
      <c r="E20" s="54" t="str">
        <f>IF(OR(A20="",A20="-"),"",E19)</f>
        <v/>
      </c>
      <c r="F20" s="71" t="str">
        <f>IFERROR(IF(VLOOKUP($A20,TableHandbook[],6,FALSE)=0,"",VLOOKUP($A20,TableHandbook[],6,FALSE)),"")</f>
        <v/>
      </c>
      <c r="G20" s="54" t="str">
        <f>IFERROR(IF(VLOOKUP($A20,TableHandbook[],5,FALSE)=0,"",VLOOKUP($A20,TableHandbook[],5,FALSE)),"")</f>
        <v/>
      </c>
      <c r="H20" s="184" t="str">
        <f>IFERROR(VLOOKUP($A20,TableHandbook[],H$2,FALSE),"")</f>
        <v/>
      </c>
      <c r="I20" s="185" t="str">
        <f>IFERROR(VLOOKUP($A20,TableHandbook[],I$2,FALSE),"")</f>
        <v/>
      </c>
      <c r="J20" s="185" t="str">
        <f>IFERROR(VLOOKUP($A20,TableHandbook[],J$2,FALSE),"")</f>
        <v/>
      </c>
      <c r="K20" s="189" t="str">
        <f>IFERROR(VLOOKUP($A20,TableHandbook[],K$2,FALSE),"")</f>
        <v/>
      </c>
      <c r="L20" s="191" t="str">
        <f>IFERROR(VLOOKUP($A20,TableHandbook[],L$2,FALSE),"")</f>
        <v/>
      </c>
      <c r="M20" s="192" t="str">
        <f>IFERROR(VLOOKUP($A20,TableHandbook[],M$2,FALSE),"")</f>
        <v/>
      </c>
      <c r="N20" s="168"/>
      <c r="O20" s="88">
        <v>9</v>
      </c>
      <c r="P20" s="34"/>
      <c r="Q20" s="34"/>
      <c r="R20" s="35"/>
      <c r="S20" s="35"/>
      <c r="T20" s="35"/>
      <c r="U20" s="35"/>
      <c r="V20" s="35"/>
      <c r="W20" s="35"/>
      <c r="X20" s="35"/>
      <c r="Y20" s="35"/>
    </row>
    <row r="21" spans="1:25" s="30" customFormat="1" ht="21" x14ac:dyDescent="0.25">
      <c r="A21" s="72" t="s">
        <v>37</v>
      </c>
      <c r="B21" s="72"/>
      <c r="C21" s="72" t="s">
        <v>19</v>
      </c>
      <c r="D21" s="73" t="s">
        <v>3</v>
      </c>
      <c r="E21" s="77" t="s">
        <v>20</v>
      </c>
      <c r="F21" s="72" t="s">
        <v>21</v>
      </c>
      <c r="G21" s="72" t="s">
        <v>22</v>
      </c>
      <c r="H21" s="78" t="str">
        <f t="shared" ref="H21:N21" si="0">H$9</f>
        <v>SP1</v>
      </c>
      <c r="I21" s="79" t="str">
        <f t="shared" si="0"/>
        <v>SP2</v>
      </c>
      <c r="J21" s="79" t="str">
        <f t="shared" si="0"/>
        <v>SP3</v>
      </c>
      <c r="K21" s="80" t="str">
        <f t="shared" si="0"/>
        <v>SP4</v>
      </c>
      <c r="L21" s="78" t="str">
        <f t="shared" si="0"/>
        <v>OUA
Sess1</v>
      </c>
      <c r="M21" s="80" t="str">
        <f t="shared" si="0"/>
        <v>OUA
Sess2</v>
      </c>
      <c r="N21" s="81" t="str">
        <f t="shared" si="0"/>
        <v>Notes / Progress</v>
      </c>
      <c r="O21" s="87"/>
      <c r="P21" s="28"/>
      <c r="Q21" s="28"/>
      <c r="R21" s="29"/>
      <c r="S21" s="29"/>
      <c r="T21" s="29"/>
      <c r="U21" s="29"/>
      <c r="V21" s="29"/>
      <c r="W21" s="29"/>
      <c r="X21" s="29"/>
      <c r="Y21" s="29"/>
    </row>
    <row r="22" spans="1:25" s="33" customFormat="1" ht="20.100000000000001" customHeight="1" x14ac:dyDescent="0.15">
      <c r="A22" s="69" t="str">
        <f>IFERROR(IF(HLOOKUP($N$5,RangeUnitSets,O22,FALSE)=0,"",HLOOKUP($N$5,RangeUnitSets,O22,FALSE)),"")</f>
        <v/>
      </c>
      <c r="B22" s="54" t="str">
        <f>IFERROR(IF(VLOOKUP($A22,TableHandbook[],2,FALSE)=0,"",VLOOKUP($A22,TableHandbook[],2,FALSE)),"")</f>
        <v/>
      </c>
      <c r="C22" s="54" t="str">
        <f>IFERROR(IF(VLOOKUP($A22,TableHandbook[],3,FALSE)=0,"",VLOOKUP($A22,TableHandbook[],3,FALSE)),"")</f>
        <v/>
      </c>
      <c r="D22" s="83" t="str">
        <f>IFERROR(IF(VLOOKUP($A22,TableHandbook[],4,FALSE)=0,"",VLOOKUP($A22,TableHandbook[],4,FALSE)),"")</f>
        <v/>
      </c>
      <c r="E22" s="54" t="str">
        <f>IF(A22="","",VLOOKUP($D$6,TableStudyPeriod[],2,FALSE))</f>
        <v/>
      </c>
      <c r="F22" s="71" t="str">
        <f>IFERROR(IF(VLOOKUP($A22,TableHandbook[],6,FALSE)=0,"",VLOOKUP($A22,TableHandbook[],6,FALSE)),"")</f>
        <v/>
      </c>
      <c r="G22" s="54" t="str">
        <f>IFERROR(IF(VLOOKUP($A22,TableHandbook[],5,FALSE)=0,"",VLOOKUP($A22,TableHandbook[],5,FALSE)),"")</f>
        <v/>
      </c>
      <c r="H22" s="184" t="str">
        <f>IFERROR(VLOOKUP($A22,TableHandbook[],H$2,FALSE),"")</f>
        <v/>
      </c>
      <c r="I22" s="185" t="str">
        <f>IFERROR(VLOOKUP($A22,TableHandbook[],I$2,FALSE),"")</f>
        <v/>
      </c>
      <c r="J22" s="185" t="str">
        <f>IFERROR(VLOOKUP($A22,TableHandbook[],J$2,FALSE),"")</f>
        <v/>
      </c>
      <c r="K22" s="189" t="str">
        <f>IFERROR(VLOOKUP($A22,TableHandbook[],K$2,FALSE),"")</f>
        <v/>
      </c>
      <c r="L22" s="191" t="str">
        <f>IFERROR(VLOOKUP($A22,TableHandbook[],L$2,FALSE),"")</f>
        <v/>
      </c>
      <c r="M22" s="192" t="str">
        <f>IFERROR(VLOOKUP($A22,TableHandbook[],M$2,FALSE),"")</f>
        <v/>
      </c>
      <c r="N22" s="168"/>
      <c r="O22" s="88">
        <v>10</v>
      </c>
      <c r="P22" s="31"/>
      <c r="Q22" s="31"/>
      <c r="R22" s="32"/>
      <c r="S22" s="32"/>
      <c r="T22" s="32"/>
      <c r="U22" s="32"/>
      <c r="V22" s="32"/>
      <c r="W22" s="32"/>
      <c r="X22" s="32"/>
      <c r="Y22" s="32"/>
    </row>
    <row r="23" spans="1:25" s="33" customFormat="1" ht="20.100000000000001" customHeight="1" x14ac:dyDescent="0.15">
      <c r="A23" s="69" t="str">
        <f>IFERROR(IF(HLOOKUP($N$5,RangeUnitSets,O23,FALSE)=0,"",HLOOKUP($N$5,RangeUnitSets,O23,FALSE)),"")</f>
        <v/>
      </c>
      <c r="B23" s="54" t="str">
        <f>IFERROR(IF(VLOOKUP($A23,TableHandbook[],2,FALSE)=0,"",VLOOKUP($A23,TableHandbook[],2,FALSE)),"")</f>
        <v/>
      </c>
      <c r="C23" s="54" t="str">
        <f>IFERROR(IF(VLOOKUP($A23,TableHandbook[],3,FALSE)=0,"",VLOOKUP($A23,TableHandbook[],3,FALSE)),"")</f>
        <v/>
      </c>
      <c r="D23" s="70" t="str">
        <f>IFERROR(IF(VLOOKUP($A23,TableHandbook[],4,FALSE)=0,"",VLOOKUP($A23,TableHandbook[],4,FALSE)),"")</f>
        <v/>
      </c>
      <c r="E23" s="54" t="str">
        <f>IF(OR(A23="",A23="-"),"",E22)</f>
        <v/>
      </c>
      <c r="F23" s="71" t="str">
        <f>IFERROR(IF(VLOOKUP($A23,TableHandbook[],6,FALSE)=0,"",VLOOKUP($A23,TableHandbook[],6,FALSE)),"")</f>
        <v/>
      </c>
      <c r="G23" s="54" t="str">
        <f>IFERROR(IF(VLOOKUP($A23,TableHandbook[],5,FALSE)=0,"",VLOOKUP($A23,TableHandbook[],5,FALSE)),"")</f>
        <v/>
      </c>
      <c r="H23" s="184" t="str">
        <f>IFERROR(VLOOKUP($A23,TableHandbook[],H$2,FALSE),"")</f>
        <v/>
      </c>
      <c r="I23" s="185" t="str">
        <f>IFERROR(VLOOKUP($A23,TableHandbook[],I$2,FALSE),"")</f>
        <v/>
      </c>
      <c r="J23" s="185" t="str">
        <f>IFERROR(VLOOKUP($A23,TableHandbook[],J$2,FALSE),"")</f>
        <v/>
      </c>
      <c r="K23" s="189" t="str">
        <f>IFERROR(VLOOKUP($A23,TableHandbook[],K$2,FALSE),"")</f>
        <v/>
      </c>
      <c r="L23" s="191" t="str">
        <f>IFERROR(VLOOKUP($A23,TableHandbook[],L$2,FALSE),"")</f>
        <v/>
      </c>
      <c r="M23" s="192" t="str">
        <f>IFERROR(VLOOKUP($A23,TableHandbook[],M$2,FALSE),"")</f>
        <v/>
      </c>
      <c r="N23" s="168"/>
      <c r="O23" s="88">
        <v>11</v>
      </c>
      <c r="P23" s="31"/>
      <c r="Q23" s="31"/>
      <c r="R23" s="32"/>
      <c r="S23" s="32"/>
      <c r="T23" s="32"/>
      <c r="U23" s="32"/>
      <c r="V23" s="32"/>
      <c r="W23" s="32"/>
      <c r="X23" s="32"/>
      <c r="Y23" s="32"/>
    </row>
    <row r="24" spans="1:25" s="33" customFormat="1" ht="5.0999999999999996" customHeight="1" x14ac:dyDescent="0.15">
      <c r="A24" s="105"/>
      <c r="B24" s="106"/>
      <c r="C24" s="106"/>
      <c r="D24" s="107"/>
      <c r="E24" s="106"/>
      <c r="F24" s="108"/>
      <c r="G24" s="106"/>
      <c r="H24" s="186"/>
      <c r="I24" s="187"/>
      <c r="J24" s="187"/>
      <c r="K24" s="190"/>
      <c r="L24" s="193"/>
      <c r="M24" s="194"/>
      <c r="N24" s="169"/>
      <c r="O24" s="88"/>
      <c r="P24" s="31"/>
      <c r="Q24" s="31"/>
      <c r="R24" s="31"/>
      <c r="S24" s="32"/>
      <c r="T24" s="32"/>
      <c r="U24" s="32"/>
      <c r="V24" s="32"/>
      <c r="W24" s="32"/>
      <c r="X24" s="32"/>
      <c r="Y24" s="32"/>
    </row>
    <row r="25" spans="1:25" s="33" customFormat="1" ht="20.100000000000001" customHeight="1" x14ac:dyDescent="0.15">
      <c r="A25" s="69" t="str">
        <f>IFERROR(IF(HLOOKUP($N$5,RangeUnitSets,O25,FALSE)=0,"",HLOOKUP($N$5,RangeUnitSets,O25,FALSE)),"")</f>
        <v/>
      </c>
      <c r="B25" s="54" t="str">
        <f>IFERROR(IF(VLOOKUP($A25,TableHandbook[],2,FALSE)=0,"",VLOOKUP($A25,TableHandbook[],2,FALSE)),"")</f>
        <v/>
      </c>
      <c r="C25" s="54" t="str">
        <f>IFERROR(IF(VLOOKUP($A25,TableHandbook[],3,FALSE)=0,"",VLOOKUP($A25,TableHandbook[],3,FALSE)),"")</f>
        <v/>
      </c>
      <c r="D25" s="70" t="str">
        <f>IFERROR(IF(VLOOKUP($A25,TableHandbook[],4,FALSE)=0,"",VLOOKUP($A25,TableHandbook[],4,FALSE)),"")</f>
        <v/>
      </c>
      <c r="E25" s="54" t="str">
        <f>IF(A25="","",VLOOKUP($D$6,TableStudyPeriod[],3,FALSE))</f>
        <v/>
      </c>
      <c r="F25" s="71" t="str">
        <f>IFERROR(IF(VLOOKUP($A25,TableHandbook[],6,FALSE)=0,"",VLOOKUP($A25,TableHandbook[],6,FALSE)),"")</f>
        <v/>
      </c>
      <c r="G25" s="54" t="str">
        <f>IFERROR(IF(VLOOKUP($A25,TableHandbook[],5,FALSE)=0,"",VLOOKUP($A25,TableHandbook[],5,FALSE)),"")</f>
        <v/>
      </c>
      <c r="H25" s="184" t="str">
        <f>IFERROR(VLOOKUP($A25,TableHandbook[],H$2,FALSE),"")</f>
        <v/>
      </c>
      <c r="I25" s="185" t="str">
        <f>IFERROR(VLOOKUP($A25,TableHandbook[],I$2,FALSE),"")</f>
        <v/>
      </c>
      <c r="J25" s="185" t="str">
        <f>IFERROR(VLOOKUP($A25,TableHandbook[],J$2,FALSE),"")</f>
        <v/>
      </c>
      <c r="K25" s="189" t="str">
        <f>IFERROR(VLOOKUP($A25,TableHandbook[],K$2,FALSE),"")</f>
        <v/>
      </c>
      <c r="L25" s="191" t="str">
        <f>IFERROR(VLOOKUP($A25,TableHandbook[],L$2,FALSE),"")</f>
        <v/>
      </c>
      <c r="M25" s="192" t="str">
        <f>IFERROR(VLOOKUP($A25,TableHandbook[],M$2,FALSE),"")</f>
        <v/>
      </c>
      <c r="N25" s="168"/>
      <c r="O25" s="88">
        <v>12</v>
      </c>
      <c r="P25" s="31"/>
      <c r="Q25" s="31"/>
      <c r="R25" s="32"/>
      <c r="S25" s="32"/>
      <c r="T25" s="32"/>
      <c r="U25" s="32"/>
      <c r="V25" s="32"/>
      <c r="W25" s="32"/>
      <c r="X25" s="32"/>
      <c r="Y25" s="32"/>
    </row>
    <row r="26" spans="1:25" s="33" customFormat="1" ht="20.100000000000001" customHeight="1" x14ac:dyDescent="0.15">
      <c r="A26" s="69" t="str">
        <f>IFERROR(IF(HLOOKUP($N$5,RangeUnitSets,O26,FALSE)=0,"",HLOOKUP($N$5,RangeUnitSets,O26,FALSE)),"")</f>
        <v/>
      </c>
      <c r="B26" s="54" t="str">
        <f>IFERROR(IF(VLOOKUP($A26,TableHandbook[],2,FALSE)=0,"",VLOOKUP($A26,TableHandbook[],2,FALSE)),"")</f>
        <v/>
      </c>
      <c r="C26" s="54" t="str">
        <f>IFERROR(IF(VLOOKUP($A26,TableHandbook[],3,FALSE)=0,"",VLOOKUP($A26,TableHandbook[],3,FALSE)),"")</f>
        <v/>
      </c>
      <c r="D26" s="70" t="str">
        <f>IFERROR(IF(VLOOKUP($A26,TableHandbook[],4,FALSE)=0,"",VLOOKUP($A26,TableHandbook[],4,FALSE)),"")</f>
        <v/>
      </c>
      <c r="E26" s="54" t="str">
        <f>IF(OR(A26="",A26="-"),"",E25)</f>
        <v/>
      </c>
      <c r="F26" s="71" t="str">
        <f>IFERROR(IF(VLOOKUP($A26,TableHandbook[],6,FALSE)=0,"",VLOOKUP($A26,TableHandbook[],6,FALSE)),"")</f>
        <v/>
      </c>
      <c r="G26" s="54" t="str">
        <f>IFERROR(IF(VLOOKUP($A26,TableHandbook[],5,FALSE)=0,"",VLOOKUP($A26,TableHandbook[],5,FALSE)),"")</f>
        <v/>
      </c>
      <c r="H26" s="184" t="str">
        <f>IFERROR(VLOOKUP($A26,TableHandbook[],H$2,FALSE),"")</f>
        <v/>
      </c>
      <c r="I26" s="185" t="str">
        <f>IFERROR(VLOOKUP($A26,TableHandbook[],I$2,FALSE),"")</f>
        <v/>
      </c>
      <c r="J26" s="185" t="str">
        <f>IFERROR(VLOOKUP($A26,TableHandbook[],J$2,FALSE),"")</f>
        <v/>
      </c>
      <c r="K26" s="189" t="str">
        <f>IFERROR(VLOOKUP($A26,TableHandbook[],K$2,FALSE),"")</f>
        <v/>
      </c>
      <c r="L26" s="191" t="str">
        <f>IFERROR(VLOOKUP($A26,TableHandbook[],L$2,FALSE),"")</f>
        <v/>
      </c>
      <c r="M26" s="192" t="str">
        <f>IFERROR(VLOOKUP($A26,TableHandbook[],M$2,FALSE),"")</f>
        <v/>
      </c>
      <c r="N26" s="168"/>
      <c r="O26" s="88">
        <v>13</v>
      </c>
      <c r="P26" s="31"/>
      <c r="Q26" s="31"/>
      <c r="R26" s="32"/>
      <c r="S26" s="32"/>
      <c r="T26" s="32"/>
      <c r="U26" s="32"/>
      <c r="V26" s="32"/>
      <c r="W26" s="32"/>
      <c r="X26" s="32"/>
      <c r="Y26" s="32"/>
    </row>
    <row r="27" spans="1:25" s="33" customFormat="1" ht="5.0999999999999996" customHeight="1" x14ac:dyDescent="0.15">
      <c r="A27" s="105"/>
      <c r="B27" s="106"/>
      <c r="C27" s="106"/>
      <c r="D27" s="107"/>
      <c r="E27" s="106"/>
      <c r="F27" s="108"/>
      <c r="G27" s="106"/>
      <c r="H27" s="186"/>
      <c r="I27" s="187"/>
      <c r="J27" s="187"/>
      <c r="K27" s="190"/>
      <c r="L27" s="193"/>
      <c r="M27" s="194"/>
      <c r="N27" s="169"/>
      <c r="O27" s="88"/>
      <c r="P27" s="31"/>
      <c r="Q27" s="31"/>
      <c r="R27" s="31"/>
      <c r="S27" s="32"/>
      <c r="T27" s="32"/>
      <c r="U27" s="32"/>
      <c r="V27" s="32"/>
      <c r="W27" s="32"/>
      <c r="X27" s="32"/>
      <c r="Y27" s="32"/>
    </row>
    <row r="28" spans="1:25" s="33" customFormat="1" ht="20.100000000000001" customHeight="1" x14ac:dyDescent="0.15">
      <c r="A28" s="69" t="str">
        <f>IFERROR(IF(HLOOKUP($N$5,RangeUnitSets,O28,FALSE)=0,"",HLOOKUP($N$5,RangeUnitSets,O28,FALSE)),"")</f>
        <v/>
      </c>
      <c r="B28" s="54" t="str">
        <f>IFERROR(IF(VLOOKUP($A28,TableHandbook[],2,FALSE)=0,"",VLOOKUP($A28,TableHandbook[],2,FALSE)),"")</f>
        <v/>
      </c>
      <c r="C28" s="54" t="str">
        <f>IFERROR(IF(VLOOKUP($A28,TableHandbook[],3,FALSE)=0,"",VLOOKUP($A28,TableHandbook[],3,FALSE)),"")</f>
        <v/>
      </c>
      <c r="D28" s="70" t="str">
        <f>IFERROR(IF(VLOOKUP($A28,TableHandbook[],4,FALSE)=0,"",VLOOKUP($A28,TableHandbook[],4,FALSE)),"")</f>
        <v/>
      </c>
      <c r="E28" s="54" t="str">
        <f>IF(A28="","",VLOOKUP($D$6,TableStudyPeriod[],4,FALSE))</f>
        <v/>
      </c>
      <c r="F28" s="71" t="str">
        <f>IFERROR(IF(VLOOKUP($A28,TableHandbook[],6,FALSE)=0,"",VLOOKUP($A28,TableHandbook[],6,FALSE)),"")</f>
        <v/>
      </c>
      <c r="G28" s="54" t="str">
        <f>IFERROR(IF(VLOOKUP($A28,TableHandbook[],5,FALSE)=0,"",VLOOKUP($A28,TableHandbook[],5,FALSE)),"")</f>
        <v/>
      </c>
      <c r="H28" s="184" t="str">
        <f>IFERROR(VLOOKUP($A28,TableHandbook[],H$2,FALSE),"")</f>
        <v/>
      </c>
      <c r="I28" s="185" t="str">
        <f>IFERROR(VLOOKUP($A28,TableHandbook[],I$2,FALSE),"")</f>
        <v/>
      </c>
      <c r="J28" s="185" t="str">
        <f>IFERROR(VLOOKUP($A28,TableHandbook[],J$2,FALSE),"")</f>
        <v/>
      </c>
      <c r="K28" s="189" t="str">
        <f>IFERROR(VLOOKUP($A28,TableHandbook[],K$2,FALSE),"")</f>
        <v/>
      </c>
      <c r="L28" s="191" t="str">
        <f>IFERROR(VLOOKUP($A28,TableHandbook[],L$2,FALSE),"")</f>
        <v/>
      </c>
      <c r="M28" s="192" t="str">
        <f>IFERROR(VLOOKUP($A28,TableHandbook[],M$2,FALSE),"")</f>
        <v/>
      </c>
      <c r="N28" s="168"/>
      <c r="O28" s="88">
        <v>14</v>
      </c>
      <c r="P28" s="31"/>
      <c r="Q28" s="31"/>
      <c r="R28" s="32"/>
      <c r="S28" s="32"/>
      <c r="T28" s="32"/>
      <c r="U28" s="32"/>
      <c r="V28" s="32"/>
      <c r="W28" s="32"/>
      <c r="X28" s="32"/>
      <c r="Y28" s="32"/>
    </row>
    <row r="29" spans="1:25" s="33" customFormat="1" ht="20.100000000000001" customHeight="1" x14ac:dyDescent="0.15">
      <c r="A29" s="69" t="str">
        <f>IFERROR(IF(HLOOKUP($N$5,RangeUnitSets,O29,FALSE)=0,"",HLOOKUP($N$5,RangeUnitSets,O29,FALSE)),"")</f>
        <v/>
      </c>
      <c r="B29" s="54" t="str">
        <f>IFERROR(IF(VLOOKUP($A29,TableHandbook[],2,FALSE)=0,"",VLOOKUP($A29,TableHandbook[],2,FALSE)),"")</f>
        <v/>
      </c>
      <c r="C29" s="54" t="str">
        <f>IFERROR(IF(VLOOKUP($A29,TableHandbook[],3,FALSE)=0,"",VLOOKUP($A29,TableHandbook[],3,FALSE)),"")</f>
        <v/>
      </c>
      <c r="D29" s="70" t="str">
        <f>IFERROR(IF(VLOOKUP($A29,TableHandbook[],4,FALSE)=0,"",VLOOKUP($A29,TableHandbook[],4,FALSE)),"")</f>
        <v/>
      </c>
      <c r="E29" s="54" t="str">
        <f>IF(OR(A29="",A29="-"),"",E28)</f>
        <v/>
      </c>
      <c r="F29" s="71" t="str">
        <f>IFERROR(IF(VLOOKUP($A29,TableHandbook[],6,FALSE)=0,"",VLOOKUP($A29,TableHandbook[],6,FALSE)),"")</f>
        <v/>
      </c>
      <c r="G29" s="54" t="str">
        <f>IFERROR(IF(VLOOKUP($A29,TableHandbook[],5,FALSE)=0,"",VLOOKUP($A29,TableHandbook[],5,FALSE)),"")</f>
        <v/>
      </c>
      <c r="H29" s="184" t="str">
        <f>IFERROR(VLOOKUP($A29,TableHandbook[],H$2,FALSE),"")</f>
        <v/>
      </c>
      <c r="I29" s="185" t="str">
        <f>IFERROR(VLOOKUP($A29,TableHandbook[],I$2,FALSE),"")</f>
        <v/>
      </c>
      <c r="J29" s="185" t="str">
        <f>IFERROR(VLOOKUP($A29,TableHandbook[],J$2,FALSE),"")</f>
        <v/>
      </c>
      <c r="K29" s="189" t="str">
        <f>IFERROR(VLOOKUP($A29,TableHandbook[],K$2,FALSE),"")</f>
        <v/>
      </c>
      <c r="L29" s="191" t="str">
        <f>IFERROR(VLOOKUP($A29,TableHandbook[],L$2,FALSE),"")</f>
        <v/>
      </c>
      <c r="M29" s="192" t="str">
        <f>IFERROR(VLOOKUP($A29,TableHandbook[],M$2,FALSE),"")</f>
        <v/>
      </c>
      <c r="N29" s="168"/>
      <c r="O29" s="88">
        <v>15</v>
      </c>
      <c r="P29" s="31"/>
      <c r="Q29" s="31"/>
      <c r="R29" s="32"/>
      <c r="S29" s="32"/>
      <c r="T29" s="32"/>
      <c r="U29" s="32"/>
      <c r="V29" s="32"/>
      <c r="W29" s="32"/>
      <c r="X29" s="32"/>
      <c r="Y29" s="32"/>
    </row>
    <row r="30" spans="1:25" s="33" customFormat="1" ht="5.0999999999999996" customHeight="1" x14ac:dyDescent="0.15">
      <c r="A30" s="105"/>
      <c r="B30" s="106"/>
      <c r="C30" s="106"/>
      <c r="D30" s="107"/>
      <c r="E30" s="106"/>
      <c r="F30" s="108"/>
      <c r="G30" s="106"/>
      <c r="H30" s="186"/>
      <c r="I30" s="187"/>
      <c r="J30" s="187"/>
      <c r="K30" s="190"/>
      <c r="L30" s="193"/>
      <c r="M30" s="194"/>
      <c r="N30" s="169"/>
      <c r="O30" s="88"/>
      <c r="P30" s="31"/>
      <c r="Q30" s="31"/>
      <c r="R30" s="31"/>
      <c r="S30" s="32"/>
      <c r="T30" s="32"/>
      <c r="U30" s="32"/>
      <c r="V30" s="32"/>
      <c r="W30" s="32"/>
      <c r="X30" s="32"/>
      <c r="Y30" s="32"/>
    </row>
    <row r="31" spans="1:25" s="33" customFormat="1" ht="20.100000000000001" customHeight="1" x14ac:dyDescent="0.15">
      <c r="A31" s="69" t="str">
        <f>IFERROR(IF(HLOOKUP($N$5,RangeUnitSets,O31,FALSE)=0,"",HLOOKUP($N$5,RangeUnitSets,O31,FALSE)),"")</f>
        <v/>
      </c>
      <c r="B31" s="54" t="str">
        <f>IFERROR(IF(VLOOKUP($A31,TableHandbook[],2,FALSE)=0,"",VLOOKUP($A31,TableHandbook[],2,FALSE)),"")</f>
        <v/>
      </c>
      <c r="C31" s="54" t="str">
        <f>IFERROR(IF(VLOOKUP($A31,TableHandbook[],3,FALSE)=0,"",VLOOKUP($A31,TableHandbook[],3,FALSE)),"")</f>
        <v/>
      </c>
      <c r="D31" s="70" t="str">
        <f>IFERROR(IF(VLOOKUP($A31,TableHandbook[],4,FALSE)=0,"",VLOOKUP($A31,TableHandbook[],4,FALSE)),"")</f>
        <v/>
      </c>
      <c r="E31" s="54" t="str">
        <f>IF(A31="","",VLOOKUP($D$6,TableStudyPeriod[],5,FALSE))</f>
        <v/>
      </c>
      <c r="F31" s="71" t="str">
        <f>IFERROR(IF(VLOOKUP($A31,TableHandbook[],6,FALSE)=0,"",VLOOKUP($A31,TableHandbook[],6,FALSE)),"")</f>
        <v/>
      </c>
      <c r="G31" s="54" t="str">
        <f>IFERROR(IF(VLOOKUP($A31,TableHandbook[],5,FALSE)=0,"",VLOOKUP($A31,TableHandbook[],5,FALSE)),"")</f>
        <v/>
      </c>
      <c r="H31" s="184" t="str">
        <f>IFERROR(VLOOKUP($A31,TableHandbook[],H$2,FALSE),"")</f>
        <v/>
      </c>
      <c r="I31" s="185" t="str">
        <f>IFERROR(VLOOKUP($A31,TableHandbook[],I$2,FALSE),"")</f>
        <v/>
      </c>
      <c r="J31" s="185" t="str">
        <f>IFERROR(VLOOKUP($A31,TableHandbook[],J$2,FALSE),"")</f>
        <v/>
      </c>
      <c r="K31" s="189" t="str">
        <f>IFERROR(VLOOKUP($A31,TableHandbook[],K$2,FALSE),"")</f>
        <v/>
      </c>
      <c r="L31" s="191" t="str">
        <f>IFERROR(VLOOKUP($A31,TableHandbook[],L$2,FALSE),"")</f>
        <v/>
      </c>
      <c r="M31" s="192" t="str">
        <f>IFERROR(VLOOKUP($A31,TableHandbook[],M$2,FALSE),"")</f>
        <v/>
      </c>
      <c r="N31" s="168"/>
      <c r="O31" s="88">
        <v>16</v>
      </c>
      <c r="P31" s="31"/>
      <c r="Q31" s="31"/>
      <c r="R31" s="32"/>
      <c r="S31" s="32"/>
      <c r="T31" s="32"/>
      <c r="U31" s="32"/>
      <c r="V31" s="32"/>
      <c r="W31" s="32"/>
      <c r="X31" s="32"/>
      <c r="Y31" s="32"/>
    </row>
    <row r="32" spans="1:25" s="33" customFormat="1" ht="20.100000000000001" customHeight="1" x14ac:dyDescent="0.15">
      <c r="A32" s="69" t="str">
        <f>IFERROR(IF(HLOOKUP($N$5,RangeUnitSets,O32,FALSE)=0,"",HLOOKUP($N$5,RangeUnitSets,O32,FALSE)),"")</f>
        <v/>
      </c>
      <c r="B32" s="54" t="str">
        <f>IFERROR(IF(VLOOKUP($A32,TableHandbook[],2,FALSE)=0,"",VLOOKUP($A32,TableHandbook[],2,FALSE)),"")</f>
        <v/>
      </c>
      <c r="C32" s="54" t="str">
        <f>IFERROR(IF(VLOOKUP($A32,TableHandbook[],3,FALSE)=0,"",VLOOKUP($A32,TableHandbook[],3,FALSE)),"")</f>
        <v/>
      </c>
      <c r="D32" s="70" t="str">
        <f>IFERROR(IF(VLOOKUP($A32,TableHandbook[],4,FALSE)=0,"",VLOOKUP($A32,TableHandbook[],4,FALSE)),"")</f>
        <v/>
      </c>
      <c r="E32" s="54" t="str">
        <f>IF(OR(A32="",A32="-"),"",E31)</f>
        <v/>
      </c>
      <c r="F32" s="71" t="str">
        <f>IFERROR(IF(VLOOKUP($A32,TableHandbook[],6,FALSE)=0,"",VLOOKUP($A32,TableHandbook[],6,FALSE)),"")</f>
        <v/>
      </c>
      <c r="G32" s="54" t="str">
        <f>IFERROR(IF(VLOOKUP($A32,TableHandbook[],5,FALSE)=0,"",VLOOKUP($A32,TableHandbook[],5,FALSE)),"")</f>
        <v/>
      </c>
      <c r="H32" s="184" t="str">
        <f>IFERROR(VLOOKUP($A32,TableHandbook[],H$2,FALSE),"")</f>
        <v/>
      </c>
      <c r="I32" s="185" t="str">
        <f>IFERROR(VLOOKUP($A32,TableHandbook[],I$2,FALSE),"")</f>
        <v/>
      </c>
      <c r="J32" s="185" t="str">
        <f>IFERROR(VLOOKUP($A32,TableHandbook[],J$2,FALSE),"")</f>
        <v/>
      </c>
      <c r="K32" s="189" t="str">
        <f>IFERROR(VLOOKUP($A32,TableHandbook[],K$2,FALSE),"")</f>
        <v/>
      </c>
      <c r="L32" s="191" t="str">
        <f>IFERROR(VLOOKUP($A32,TableHandbook[],L$2,FALSE),"")</f>
        <v/>
      </c>
      <c r="M32" s="192" t="str">
        <f>IFERROR(VLOOKUP($A32,TableHandbook[],M$2,FALSE),"")</f>
        <v/>
      </c>
      <c r="N32" s="168"/>
      <c r="O32" s="88">
        <v>17</v>
      </c>
      <c r="P32" s="31"/>
      <c r="Q32" s="31"/>
      <c r="R32" s="32"/>
      <c r="S32" s="32"/>
      <c r="T32" s="32"/>
      <c r="U32" s="32"/>
      <c r="V32" s="32"/>
      <c r="W32" s="32"/>
      <c r="X32" s="32"/>
      <c r="Y32" s="32"/>
    </row>
    <row r="33" spans="1:25" s="41" customFormat="1" ht="13.9" customHeight="1" x14ac:dyDescent="0.2">
      <c r="A33" s="42"/>
      <c r="B33" s="42"/>
      <c r="C33" s="42"/>
      <c r="D33" s="43"/>
      <c r="E33" s="65"/>
      <c r="F33" s="38"/>
      <c r="G33" s="38"/>
      <c r="H33" s="38"/>
      <c r="I33" s="38"/>
      <c r="J33" s="38"/>
      <c r="K33" s="38"/>
      <c r="L33" s="38"/>
      <c r="M33" s="38"/>
      <c r="N33" s="38"/>
      <c r="O33" s="89"/>
      <c r="P33" s="39"/>
      <c r="Q33" s="39"/>
      <c r="R33" s="40"/>
      <c r="S33" s="40"/>
      <c r="T33" s="40"/>
      <c r="U33" s="40"/>
      <c r="V33" s="40"/>
      <c r="W33" s="40"/>
      <c r="X33" s="40"/>
      <c r="Y33" s="40"/>
    </row>
    <row r="34" spans="1:25" ht="16.5" customHeight="1" x14ac:dyDescent="0.25">
      <c r="A34" s="117" t="s">
        <v>39</v>
      </c>
      <c r="B34" s="118"/>
      <c r="C34" s="118"/>
      <c r="D34" s="118"/>
      <c r="E34" s="119"/>
      <c r="F34" s="120"/>
      <c r="G34" s="120"/>
      <c r="H34" s="121" t="str">
        <f>H8</f>
        <v>2026 Availabilities</v>
      </c>
      <c r="I34" s="127"/>
      <c r="J34" s="127"/>
      <c r="K34" s="127"/>
      <c r="L34" s="128"/>
      <c r="M34" s="122"/>
      <c r="N34" s="205" t="str">
        <f>VLOOKUP(D5,TableCourses[],2,FALSE)</f>
        <v>OM-INFSCX</v>
      </c>
      <c r="O34" s="90"/>
      <c r="P34" s="27"/>
      <c r="Q34" s="27"/>
      <c r="R34" s="27"/>
      <c r="S34" s="27"/>
      <c r="T34" s="27"/>
      <c r="U34" s="27"/>
      <c r="V34" s="27"/>
      <c r="W34" s="27"/>
      <c r="X34" s="27"/>
      <c r="Y34" s="27"/>
    </row>
    <row r="35" spans="1:25" s="45" customFormat="1" ht="21" x14ac:dyDescent="0.25">
      <c r="A35" s="91"/>
      <c r="B35" s="82"/>
      <c r="C35" s="72" t="s">
        <v>19</v>
      </c>
      <c r="D35" s="73" t="s">
        <v>3</v>
      </c>
      <c r="E35" s="79"/>
      <c r="F35" s="129" t="s">
        <v>21</v>
      </c>
      <c r="G35" s="72" t="s">
        <v>22</v>
      </c>
      <c r="H35" s="78" t="str">
        <f>H$9</f>
        <v>SP1</v>
      </c>
      <c r="I35" s="79" t="str">
        <f t="shared" ref="I35:N35" si="1">I$9</f>
        <v>SP2</v>
      </c>
      <c r="J35" s="79" t="str">
        <f t="shared" si="1"/>
        <v>SP3</v>
      </c>
      <c r="K35" s="80" t="str">
        <f t="shared" si="1"/>
        <v>SP4</v>
      </c>
      <c r="L35" s="78" t="str">
        <f t="shared" si="1"/>
        <v>OUA
Sess1</v>
      </c>
      <c r="M35" s="80" t="str">
        <f t="shared" si="1"/>
        <v>OUA
Sess2</v>
      </c>
      <c r="N35" s="81" t="str">
        <f t="shared" si="1"/>
        <v>Notes / Progress</v>
      </c>
      <c r="O35" s="90"/>
      <c r="P35" s="44"/>
      <c r="Q35" s="44"/>
      <c r="R35" s="44"/>
      <c r="S35" s="44"/>
      <c r="T35" s="44"/>
      <c r="U35" s="44"/>
      <c r="V35" s="44"/>
      <c r="W35" s="44"/>
      <c r="X35" s="44"/>
      <c r="Y35" s="44"/>
    </row>
    <row r="36" spans="1:25" x14ac:dyDescent="0.25">
      <c r="A36" s="92" t="str">
        <f t="shared" ref="A36:A50" si="2">IFERROR(IF(HLOOKUP($N$34,RangeOptions,O36,FALSE)=0,"",HLOOKUP($N$34,RangeOptions,O36,FALSE)),"")</f>
        <v>AC-INFSCX1</v>
      </c>
      <c r="B36" s="97" t="str">
        <f>IFERROR(IF(VLOOKUP($A36,TableHandbook[],2,FALSE)=0,"",VLOOKUP($A36,TableHandbook[],2,FALSE)),"")</f>
        <v/>
      </c>
      <c r="C36" s="97" t="str">
        <f>IFERROR(IF(VLOOKUP($A36,TableHandbook[],3,FALSE)=0,"",VLOOKUP($A36,TableHandbook[],3,FALSE)),"")</f>
        <v/>
      </c>
      <c r="D36" s="46" t="str">
        <f>IFERROR(IF(VLOOKUP($A36,TableHandbook[],4,FALSE)=0,"",VLOOKUP($A36,TableHandbook[],4,FALSE)),"")</f>
        <v>Study either COM610 or HUMN600 (see below)</v>
      </c>
      <c r="E36" s="47"/>
      <c r="F36" s="130" t="str">
        <f>IFERROR(IF(VLOOKUP($A36,TableHandbook[],6,FALSE)=0,"",VLOOKUP($A36,TableHandbook[],6,FALSE)),"")</f>
        <v>See below</v>
      </c>
      <c r="G36" s="47">
        <f>IFERROR(IF(VLOOKUP($A36,TableHandbook[],5,FALSE)=0,"",VLOOKUP($A36,TableHandbook[],5,FALSE)),"")</f>
        <v>50</v>
      </c>
      <c r="H36" s="195" t="str">
        <f>IFERROR(VLOOKUP($A36,TableHandbook[],H$2,FALSE),"")</f>
        <v>Y</v>
      </c>
      <c r="I36" s="196" t="str">
        <f>IFERROR(VLOOKUP($A36,TableHandbook[],I$2,FALSE),"")</f>
        <v/>
      </c>
      <c r="J36" s="196" t="str">
        <f>IFERROR(VLOOKUP($A36,TableHandbook[],J$2,FALSE),"")</f>
        <v>Y</v>
      </c>
      <c r="K36" s="197" t="str">
        <f>IFERROR(VLOOKUP($A36,TableHandbook[],K$2,FALSE),"")</f>
        <v/>
      </c>
      <c r="L36" s="200" t="str">
        <f>IFERROR(VLOOKUP($A36,TableHandbook[],L$2,FALSE),"")</f>
        <v/>
      </c>
      <c r="M36" s="201" t="str">
        <f>IFERROR(VLOOKUP($A36,TableHandbook[],M$2,FALSE),"")</f>
        <v/>
      </c>
      <c r="N36" s="170"/>
      <c r="O36" s="88">
        <v>2</v>
      </c>
      <c r="P36" s="27"/>
      <c r="Q36" s="27"/>
      <c r="R36" s="27"/>
      <c r="S36" s="27"/>
      <c r="T36" s="27"/>
      <c r="U36" s="27"/>
      <c r="V36" s="27"/>
      <c r="W36" s="27"/>
      <c r="X36" s="27"/>
      <c r="Y36" s="27"/>
    </row>
    <row r="37" spans="1:25" x14ac:dyDescent="0.25">
      <c r="A37" s="92" t="str">
        <f t="shared" si="2"/>
        <v>COMS6007</v>
      </c>
      <c r="B37" s="97">
        <f>IFERROR(IF(VLOOKUP($A37,TableHandbook[],2,FALSE)=0,"",VLOOKUP($A37,TableHandbook[],2,FALSE)),"")</f>
        <v>1</v>
      </c>
      <c r="C37" s="97" t="str">
        <f>IFERROR(IF(VLOOKUP($A37,TableHandbook[],3,FALSE)=0,"",VLOOKUP($A37,TableHandbook[],3,FALSE)),"")</f>
        <v>COM610</v>
      </c>
      <c r="D37" s="46" t="str">
        <f>IFERROR(IF(VLOOKUP($A37,TableHandbook[],4,FALSE)=0,"",VLOOKUP($A37,TableHandbook[],4,FALSE)),"")</f>
        <v>Masters Professional or Creative Project</v>
      </c>
      <c r="E37" s="47"/>
      <c r="F37" s="130" t="str">
        <f>IFERROR(IF(VLOOKUP($A37,TableHandbook[],6,FALSE)=0,"",VLOOKUP($A37,TableHandbook[],6,FALSE)),"")</f>
        <v>100CP + INF520*</v>
      </c>
      <c r="G37" s="47">
        <f>IFERROR(IF(VLOOKUP($A37,TableHandbook[],5,FALSE)=0,"",VLOOKUP($A37,TableHandbook[],5,FALSE)),"")</f>
        <v>50</v>
      </c>
      <c r="H37" s="195" t="str">
        <f>IFERROR(VLOOKUP($A37,TableHandbook[],H$2,FALSE),"")</f>
        <v>Y</v>
      </c>
      <c r="I37" s="196" t="str">
        <f>IFERROR(VLOOKUP($A37,TableHandbook[],I$2,FALSE),"")</f>
        <v/>
      </c>
      <c r="J37" s="196" t="str">
        <f>IFERROR(VLOOKUP($A37,TableHandbook[],J$2,FALSE),"")</f>
        <v>Y</v>
      </c>
      <c r="K37" s="197" t="str">
        <f>IFERROR(VLOOKUP($A37,TableHandbook[],K$2,FALSE),"")</f>
        <v/>
      </c>
      <c r="L37" s="200" t="str">
        <f>IFERROR(VLOOKUP($A37,TableHandbook[],L$2,FALSE),"")</f>
        <v/>
      </c>
      <c r="M37" s="201" t="str">
        <f>IFERROR(VLOOKUP($A37,TableHandbook[],M$2,FALSE),"")</f>
        <v/>
      </c>
      <c r="N37" s="170"/>
      <c r="O37" s="88">
        <v>3</v>
      </c>
      <c r="P37" s="27"/>
      <c r="Q37" s="27"/>
      <c r="R37" s="27"/>
      <c r="S37" s="27"/>
      <c r="T37" s="27"/>
      <c r="U37" s="27"/>
      <c r="V37" s="27"/>
      <c r="W37" s="27"/>
      <c r="X37" s="27"/>
      <c r="Y37" s="27"/>
    </row>
    <row r="38" spans="1:25" x14ac:dyDescent="0.25">
      <c r="A38" s="92" t="str">
        <f t="shared" si="2"/>
        <v>HUMN6002</v>
      </c>
      <c r="B38" s="97">
        <f>IFERROR(IF(VLOOKUP($A38,TableHandbook[],2,FALSE)=0,"",VLOOKUP($A38,TableHandbook[],2,FALSE)),"")</f>
        <v>1</v>
      </c>
      <c r="C38" s="97" t="str">
        <f>IFERROR(IF(VLOOKUP($A38,TableHandbook[],3,FALSE)=0,"",VLOOKUP($A38,TableHandbook[],3,FALSE)),"")</f>
        <v>HUMN600</v>
      </c>
      <c r="D38" s="46" t="str">
        <f>IFERROR(IF(VLOOKUP($A38,TableHandbook[],4,FALSE)=0,"",VLOOKUP($A38,TableHandbook[],4,FALSE)),"")</f>
        <v>Masters Research Project 1</v>
      </c>
      <c r="E38" s="47"/>
      <c r="F38" s="130" t="str">
        <f>IFERROR(IF(VLOOKUP($A38,TableHandbook[],6,FALSE)=0,"",VLOOKUP($A38,TableHandbook[],6,FALSE)),"")</f>
        <v>100CP + INF520*</v>
      </c>
      <c r="G38" s="47">
        <f>IFERROR(IF(VLOOKUP($A38,TableHandbook[],5,FALSE)=0,"",VLOOKUP($A38,TableHandbook[],5,FALSE)),"")</f>
        <v>50</v>
      </c>
      <c r="H38" s="195" t="str">
        <f>IFERROR(VLOOKUP($A38,TableHandbook[],H$2,FALSE),"")</f>
        <v>Y</v>
      </c>
      <c r="I38" s="196" t="str">
        <f>IFERROR(VLOOKUP($A38,TableHandbook[],I$2,FALSE),"")</f>
        <v/>
      </c>
      <c r="J38" s="196" t="str">
        <f>IFERROR(VLOOKUP($A38,TableHandbook[],J$2,FALSE),"")</f>
        <v>Y</v>
      </c>
      <c r="K38" s="197" t="str">
        <f>IFERROR(VLOOKUP($A38,TableHandbook[],K$2,FALSE),"")</f>
        <v/>
      </c>
      <c r="L38" s="200" t="str">
        <f>IFERROR(VLOOKUP($A38,TableHandbook[],L$2,FALSE),"")</f>
        <v/>
      </c>
      <c r="M38" s="201" t="str">
        <f>IFERROR(VLOOKUP($A38,TableHandbook[],M$2,FALSE),"")</f>
        <v/>
      </c>
      <c r="N38" s="170"/>
      <c r="O38" s="88">
        <v>4</v>
      </c>
      <c r="P38" s="27"/>
      <c r="Q38" s="27"/>
      <c r="R38" s="27"/>
      <c r="S38" s="27"/>
      <c r="T38" s="27"/>
      <c r="U38" s="27"/>
      <c r="V38" s="27"/>
      <c r="W38" s="27"/>
      <c r="X38" s="27"/>
      <c r="Y38" s="27"/>
    </row>
    <row r="39" spans="1:25" x14ac:dyDescent="0.25">
      <c r="A39" s="92" t="str">
        <f t="shared" si="2"/>
        <v xml:space="preserve"> </v>
      </c>
      <c r="B39" s="97" t="str">
        <f>IFERROR(IF(VLOOKUP($A39,TableHandbook[],2,FALSE)=0,"",VLOOKUP($A39,TableHandbook[],2,FALSE)),"")</f>
        <v/>
      </c>
      <c r="C39" s="97" t="str">
        <f>IFERROR(IF(VLOOKUP($A39,TableHandbook[],3,FALSE)=0,"",VLOOKUP($A39,TableHandbook[],3,FALSE)),"")</f>
        <v/>
      </c>
      <c r="D39" s="46" t="str">
        <f>IFERROR(IF(VLOOKUP($A39,TableHandbook[],4,FALSE)=0,"",VLOOKUP($A39,TableHandbook[],4,FALSE)),"")</f>
        <v/>
      </c>
      <c r="E39" s="47"/>
      <c r="F39" s="130" t="str">
        <f>IFERROR(IF(VLOOKUP($A39,TableHandbook[],6,FALSE)=0,"",VLOOKUP($A39,TableHandbook[],6,FALSE)),"")</f>
        <v/>
      </c>
      <c r="G39" s="47" t="str">
        <f>IFERROR(IF(VLOOKUP($A39,TableHandbook[],5,FALSE)=0,"",VLOOKUP($A39,TableHandbook[],5,FALSE)),"")</f>
        <v/>
      </c>
      <c r="H39" s="195" t="str">
        <f>IFERROR(VLOOKUP($A39,TableHandbook[],H$2,FALSE),"")</f>
        <v/>
      </c>
      <c r="I39" s="196" t="str">
        <f>IFERROR(VLOOKUP($A39,TableHandbook[],I$2,FALSE),"")</f>
        <v/>
      </c>
      <c r="J39" s="196" t="str">
        <f>IFERROR(VLOOKUP($A39,TableHandbook[],J$2,FALSE),"")</f>
        <v/>
      </c>
      <c r="K39" s="197" t="str">
        <f>IFERROR(VLOOKUP($A39,TableHandbook[],K$2,FALSE),"")</f>
        <v/>
      </c>
      <c r="L39" s="200" t="str">
        <f>IFERROR(VLOOKUP($A39,TableHandbook[],L$2,FALSE),"")</f>
        <v/>
      </c>
      <c r="M39" s="201" t="str">
        <f>IFERROR(VLOOKUP($A39,TableHandbook[],M$2,FALSE),"")</f>
        <v/>
      </c>
      <c r="N39" s="170"/>
      <c r="O39" s="88">
        <v>5</v>
      </c>
      <c r="P39" s="27"/>
      <c r="Q39" s="27"/>
      <c r="R39" s="27"/>
      <c r="S39" s="27"/>
      <c r="T39" s="27"/>
      <c r="U39" s="27"/>
      <c r="V39" s="27"/>
      <c r="W39" s="27"/>
      <c r="X39" s="27"/>
      <c r="Y39" s="27"/>
    </row>
    <row r="40" spans="1:25" x14ac:dyDescent="0.25">
      <c r="A40" s="92" t="str">
        <f t="shared" si="2"/>
        <v>AC-INFSCX2</v>
      </c>
      <c r="B40" s="97" t="str">
        <f>IFERROR(IF(VLOOKUP($A40,TableHandbook[],2,FALSE)=0,"",VLOOKUP($A40,TableHandbook[],2,FALSE)),"")</f>
        <v/>
      </c>
      <c r="C40" s="97" t="str">
        <f>IFERROR(IF(VLOOKUP($A40,TableHandbook[],3,FALSE)=0,"",VLOOKUP($A40,TableHandbook[],3,FALSE)),"")</f>
        <v/>
      </c>
      <c r="D40" s="46" t="str">
        <f>IFERROR(IF(VLOOKUP($A40,TableHandbook[],4,FALSE)=0,"",VLOOKUP($A40,TableHandbook[],4,FALSE)),"")</f>
        <v>Study either COM600 or HUMN610 (see below)</v>
      </c>
      <c r="E40" s="47"/>
      <c r="F40" s="130" t="str">
        <f>IFERROR(IF(VLOOKUP($A40,TableHandbook[],6,FALSE)=0,"",VLOOKUP($A40,TableHandbook[],6,FALSE)),"")</f>
        <v>See below</v>
      </c>
      <c r="G40" s="47">
        <f>IFERROR(IF(VLOOKUP($A40,TableHandbook[],5,FALSE)=0,"",VLOOKUP($A40,TableHandbook[],5,FALSE)),"")</f>
        <v>50</v>
      </c>
      <c r="H40" s="195" t="str">
        <f>IFERROR(VLOOKUP($A40,TableHandbook[],H$2,FALSE),"")</f>
        <v>Y</v>
      </c>
      <c r="I40" s="196" t="str">
        <f>IFERROR(VLOOKUP($A40,TableHandbook[],I$2,FALSE),"")</f>
        <v/>
      </c>
      <c r="J40" s="196" t="str">
        <f>IFERROR(VLOOKUP($A40,TableHandbook[],J$2,FALSE),"")</f>
        <v>Y</v>
      </c>
      <c r="K40" s="197" t="str">
        <f>IFERROR(VLOOKUP($A40,TableHandbook[],K$2,FALSE),"")</f>
        <v/>
      </c>
      <c r="L40" s="200" t="str">
        <f>IFERROR(VLOOKUP($A40,TableHandbook[],L$2,FALSE),"")</f>
        <v/>
      </c>
      <c r="M40" s="201" t="str">
        <f>IFERROR(VLOOKUP($A40,TableHandbook[],M$2,FALSE),"")</f>
        <v/>
      </c>
      <c r="N40" s="170"/>
      <c r="O40" s="88">
        <v>6</v>
      </c>
      <c r="P40" s="27"/>
      <c r="Q40" s="27"/>
      <c r="R40" s="27"/>
      <c r="S40" s="27"/>
      <c r="T40" s="27"/>
      <c r="U40" s="27"/>
      <c r="V40" s="27"/>
      <c r="W40" s="27"/>
      <c r="X40" s="27"/>
      <c r="Y40" s="27"/>
    </row>
    <row r="41" spans="1:25" x14ac:dyDescent="0.25">
      <c r="A41" s="92" t="str">
        <f t="shared" si="2"/>
        <v>COMS6006</v>
      </c>
      <c r="B41" s="97">
        <f>IFERROR(IF(VLOOKUP($A41,TableHandbook[],2,FALSE)=0,"",VLOOKUP($A41,TableHandbook[],2,FALSE)),"")</f>
        <v>2</v>
      </c>
      <c r="C41" s="97" t="str">
        <f>IFERROR(IF(VLOOKUP($A41,TableHandbook[],3,FALSE)=0,"",VLOOKUP($A41,TableHandbook[],3,FALSE)),"")</f>
        <v>COM600</v>
      </c>
      <c r="D41" s="46" t="str">
        <f>IFERROR(IF(VLOOKUP($A41,TableHandbook[],4,FALSE)=0,"",VLOOKUP($A41,TableHandbook[],4,FALSE)),"")</f>
        <v>Masters Professional Experience</v>
      </c>
      <c r="E41" s="47"/>
      <c r="F41" s="130" t="str">
        <f>IFERROR(IF(VLOOKUP($A41,TableHandbook[],6,FALSE)=0,"",VLOOKUP($A41,TableHandbook[],6,FALSE)),"")</f>
        <v>100CP</v>
      </c>
      <c r="G41" s="47">
        <f>IFERROR(IF(VLOOKUP($A41,TableHandbook[],5,FALSE)=0,"",VLOOKUP($A41,TableHandbook[],5,FALSE)),"")</f>
        <v>50</v>
      </c>
      <c r="H41" s="195" t="str">
        <f>IFERROR(VLOOKUP($A41,TableHandbook[],H$2,FALSE),"")</f>
        <v>Y</v>
      </c>
      <c r="I41" s="196" t="str">
        <f>IFERROR(VLOOKUP($A41,TableHandbook[],I$2,FALSE),"")</f>
        <v/>
      </c>
      <c r="J41" s="196" t="str">
        <f>IFERROR(VLOOKUP($A41,TableHandbook[],J$2,FALSE),"")</f>
        <v>Y</v>
      </c>
      <c r="K41" s="197" t="str">
        <f>IFERROR(VLOOKUP($A41,TableHandbook[],K$2,FALSE),"")</f>
        <v/>
      </c>
      <c r="L41" s="200" t="str">
        <f>IFERROR(VLOOKUP($A41,TableHandbook[],L$2,FALSE),"")</f>
        <v/>
      </c>
      <c r="M41" s="201" t="str">
        <f>IFERROR(VLOOKUP($A41,TableHandbook[],M$2,FALSE),"")</f>
        <v/>
      </c>
      <c r="N41" s="170"/>
      <c r="O41" s="88">
        <v>7</v>
      </c>
      <c r="P41" s="27"/>
      <c r="Q41" s="27"/>
      <c r="R41" s="27"/>
      <c r="S41" s="27"/>
      <c r="T41" s="27"/>
      <c r="U41" s="27"/>
      <c r="V41" s="27"/>
      <c r="W41" s="27"/>
      <c r="X41" s="27"/>
      <c r="Y41" s="27"/>
    </row>
    <row r="42" spans="1:25" x14ac:dyDescent="0.25">
      <c r="A42" s="92" t="str">
        <f t="shared" si="2"/>
        <v>HUMN6004</v>
      </c>
      <c r="B42" s="97">
        <f>IFERROR(IF(VLOOKUP($A42,TableHandbook[],2,FALSE)=0,"",VLOOKUP($A42,TableHandbook[],2,FALSE)),"")</f>
        <v>1</v>
      </c>
      <c r="C42" s="97" t="str">
        <f>IFERROR(IF(VLOOKUP($A42,TableHandbook[],3,FALSE)=0,"",VLOOKUP($A42,TableHandbook[],3,FALSE)),"")</f>
        <v>HUMN610</v>
      </c>
      <c r="D42" s="46" t="str">
        <f>IFERROR(IF(VLOOKUP($A42,TableHandbook[],4,FALSE)=0,"",VLOOKUP($A42,TableHandbook[],4,FALSE)),"")</f>
        <v>Masters Research Project 2</v>
      </c>
      <c r="E42" s="47"/>
      <c r="F42" s="130" t="str">
        <f>IFERROR(IF(VLOOKUP($A42,TableHandbook[],6,FALSE)=0,"",VLOOKUP($A42,TableHandbook[],6,FALSE)),"")</f>
        <v>HUMN600</v>
      </c>
      <c r="G42" s="47">
        <f>IFERROR(IF(VLOOKUP($A42,TableHandbook[],5,FALSE)=0,"",VLOOKUP($A42,TableHandbook[],5,FALSE)),"")</f>
        <v>50</v>
      </c>
      <c r="H42" s="195" t="str">
        <f>IFERROR(VLOOKUP($A42,TableHandbook[],H$2,FALSE),"")</f>
        <v>Y</v>
      </c>
      <c r="I42" s="196" t="str">
        <f>IFERROR(VLOOKUP($A42,TableHandbook[],I$2,FALSE),"")</f>
        <v/>
      </c>
      <c r="J42" s="196" t="str">
        <f>IFERROR(VLOOKUP($A42,TableHandbook[],J$2,FALSE),"")</f>
        <v>Y</v>
      </c>
      <c r="K42" s="197" t="str">
        <f>IFERROR(VLOOKUP($A42,TableHandbook[],K$2,FALSE),"")</f>
        <v/>
      </c>
      <c r="L42" s="200" t="str">
        <f>IFERROR(VLOOKUP($A42,TableHandbook[],L$2,FALSE),"")</f>
        <v/>
      </c>
      <c r="M42" s="201" t="str">
        <f>IFERROR(VLOOKUP($A42,TableHandbook[],M$2,FALSE),"")</f>
        <v/>
      </c>
      <c r="N42" s="170"/>
      <c r="O42" s="88">
        <v>8</v>
      </c>
      <c r="P42" s="27"/>
      <c r="Q42" s="27"/>
      <c r="R42" s="27"/>
      <c r="S42" s="27"/>
      <c r="T42" s="27"/>
      <c r="U42" s="27"/>
      <c r="V42" s="27"/>
      <c r="W42" s="27"/>
      <c r="X42" s="27"/>
      <c r="Y42" s="27"/>
    </row>
    <row r="43" spans="1:25" x14ac:dyDescent="0.25">
      <c r="A43" s="92" t="str">
        <f t="shared" si="2"/>
        <v xml:space="preserve"> </v>
      </c>
      <c r="B43" s="97" t="str">
        <f>IFERROR(IF(VLOOKUP($A43,TableHandbook[],2,FALSE)=0,"",VLOOKUP($A43,TableHandbook[],2,FALSE)),"")</f>
        <v/>
      </c>
      <c r="C43" s="97" t="str">
        <f>IFERROR(IF(VLOOKUP($A43,TableHandbook[],3,FALSE)=0,"",VLOOKUP($A43,TableHandbook[],3,FALSE)),"")</f>
        <v/>
      </c>
      <c r="D43" s="46" t="str">
        <f>IFERROR(IF(VLOOKUP($A43,TableHandbook[],4,FALSE)=0,"",VLOOKUP($A43,TableHandbook[],4,FALSE)),"")</f>
        <v/>
      </c>
      <c r="E43" s="47"/>
      <c r="F43" s="130" t="str">
        <f>IFERROR(IF(VLOOKUP($A43,TableHandbook[],6,FALSE)=0,"",VLOOKUP($A43,TableHandbook[],6,FALSE)),"")</f>
        <v/>
      </c>
      <c r="G43" s="47" t="str">
        <f>IFERROR(IF(VLOOKUP($A43,TableHandbook[],5,FALSE)=0,"",VLOOKUP($A43,TableHandbook[],5,FALSE)),"")</f>
        <v/>
      </c>
      <c r="H43" s="195" t="str">
        <f>IFERROR(VLOOKUP($A43,TableHandbook[],H$2,FALSE),"")</f>
        <v/>
      </c>
      <c r="I43" s="196" t="str">
        <f>IFERROR(VLOOKUP($A43,TableHandbook[],I$2,FALSE),"")</f>
        <v/>
      </c>
      <c r="J43" s="196" t="str">
        <f>IFERROR(VLOOKUP($A43,TableHandbook[],J$2,FALSE),"")</f>
        <v/>
      </c>
      <c r="K43" s="197" t="str">
        <f>IFERROR(VLOOKUP($A43,TableHandbook[],K$2,FALSE),"")</f>
        <v/>
      </c>
      <c r="L43" s="200" t="str">
        <f>IFERROR(VLOOKUP($A43,TableHandbook[],L$2,FALSE),"")</f>
        <v/>
      </c>
      <c r="M43" s="201" t="str">
        <f>IFERROR(VLOOKUP($A43,TableHandbook[],M$2,FALSE),"")</f>
        <v/>
      </c>
      <c r="N43" s="170"/>
      <c r="O43" s="88">
        <v>9</v>
      </c>
      <c r="P43" s="27"/>
      <c r="Q43" s="27"/>
      <c r="R43" s="27"/>
      <c r="S43" s="27"/>
      <c r="T43" s="27"/>
      <c r="U43" s="27"/>
      <c r="V43" s="27"/>
      <c r="W43" s="27"/>
      <c r="X43" s="27"/>
      <c r="Y43" s="27"/>
    </row>
    <row r="44" spans="1:25" x14ac:dyDescent="0.25">
      <c r="A44" s="92" t="str">
        <f t="shared" si="2"/>
        <v>Opt-INFSCX</v>
      </c>
      <c r="B44" s="97" t="str">
        <f>IFERROR(IF(VLOOKUP($A44,TableHandbook[],2,FALSE)=0,"",VLOOKUP($A44,TableHandbook[],2,FALSE)),"")</f>
        <v/>
      </c>
      <c r="C44" s="97" t="str">
        <f>IFERROR(IF(VLOOKUP($A44,TableHandbook[],3,FALSE)=0,"",VLOOKUP($A44,TableHandbook[],3,FALSE)),"")</f>
        <v/>
      </c>
      <c r="D44" s="46" t="str">
        <f>IFERROR(IF(VLOOKUP($A44,TableHandbook[],4,FALSE)=0,"",VLOOKUP($A44,TableHandbook[],4,FALSE)),"")</f>
        <v>Study 2 subjects from this Options list</v>
      </c>
      <c r="E44" s="47"/>
      <c r="F44" s="130" t="str">
        <f>IFERROR(IF(VLOOKUP($A44,TableHandbook[],6,FALSE)=0,"",VLOOKUP($A44,TableHandbook[],6,FALSE)),"")</f>
        <v/>
      </c>
      <c r="G44" s="47">
        <f>IFERROR(IF(VLOOKUP($A44,TableHandbook[],5,FALSE)=0,"",VLOOKUP($A44,TableHandbook[],5,FALSE)),"")</f>
        <v>50</v>
      </c>
      <c r="H44" s="195" t="str">
        <f>IFERROR(VLOOKUP($A44,TableHandbook[],H$2,FALSE),"")</f>
        <v/>
      </c>
      <c r="I44" s="196" t="str">
        <f>IFERROR(VLOOKUP($A44,TableHandbook[],I$2,FALSE),"")</f>
        <v/>
      </c>
      <c r="J44" s="196" t="str">
        <f>IFERROR(VLOOKUP($A44,TableHandbook[],J$2,FALSE),"")</f>
        <v/>
      </c>
      <c r="K44" s="197" t="str">
        <f>IFERROR(VLOOKUP($A44,TableHandbook[],K$2,FALSE),"")</f>
        <v/>
      </c>
      <c r="L44" s="200" t="str">
        <f>IFERROR(VLOOKUP($A44,TableHandbook[],L$2,FALSE),"")</f>
        <v/>
      </c>
      <c r="M44" s="201" t="str">
        <f>IFERROR(VLOOKUP($A44,TableHandbook[],M$2,FALSE),"")</f>
        <v/>
      </c>
      <c r="N44" s="170"/>
      <c r="O44" s="88">
        <v>10</v>
      </c>
      <c r="P44" s="27"/>
      <c r="Q44" s="27"/>
      <c r="R44" s="27"/>
      <c r="S44" s="27"/>
      <c r="T44" s="27"/>
      <c r="U44" s="27"/>
      <c r="V44" s="27"/>
      <c r="W44" s="27"/>
      <c r="X44" s="27"/>
      <c r="Y44" s="27"/>
    </row>
    <row r="45" spans="1:25" x14ac:dyDescent="0.25">
      <c r="A45" s="92" t="str">
        <f t="shared" si="2"/>
        <v>HRIG5006</v>
      </c>
      <c r="B45" s="97">
        <f>IFERROR(IF(VLOOKUP($A45,TableHandbook[],2,FALSE)=0,"",VLOOKUP($A45,TableHandbook[],2,FALSE)),"")</f>
        <v>2</v>
      </c>
      <c r="C45" s="97" t="str">
        <f>IFERROR(IF(VLOOKUP($A45,TableHandbook[],3,FALSE)=0,"",VLOOKUP($A45,TableHandbook[],3,FALSE)),"")</f>
        <v>CHRE501</v>
      </c>
      <c r="D45" s="46" t="str">
        <f>IFERROR(IF(VLOOKUP($A45,TableHandbook[],4,FALSE)=0,"",VLOOKUP($A45,TableHandbook[],4,FALSE)),"")</f>
        <v>Introduction to Human Rights and Social Justice</v>
      </c>
      <c r="E45" s="47"/>
      <c r="F45" s="130" t="str">
        <f>IFERROR(IF(VLOOKUP($A45,TableHandbook[],6,FALSE)=0,"",VLOOKUP($A45,TableHandbook[],6,FALSE)),"")</f>
        <v>Nil</v>
      </c>
      <c r="G45" s="47">
        <f>IFERROR(IF(VLOOKUP($A45,TableHandbook[],5,FALSE)=0,"",VLOOKUP($A45,TableHandbook[],5,FALSE)),"")</f>
        <v>25</v>
      </c>
      <c r="H45" s="195" t="str">
        <f>IFERROR(VLOOKUP($A45,TableHandbook[],H$2,FALSE),"")</f>
        <v/>
      </c>
      <c r="I45" s="196" t="str">
        <f>IFERROR(VLOOKUP($A45,TableHandbook[],I$2,FALSE),"")</f>
        <v/>
      </c>
      <c r="J45" s="196" t="str">
        <f>IFERROR(VLOOKUP($A45,TableHandbook[],J$2,FALSE),"")</f>
        <v/>
      </c>
      <c r="K45" s="197" t="str">
        <f>IFERROR(VLOOKUP($A45,TableHandbook[],K$2,FALSE),"")</f>
        <v/>
      </c>
      <c r="L45" s="200" t="str">
        <f>IFERROR(VLOOKUP($A45,TableHandbook[],L$2,FALSE),"")</f>
        <v>Y</v>
      </c>
      <c r="M45" s="201" t="str">
        <f>IFERROR(VLOOKUP($A45,TableHandbook[],M$2,FALSE),"")</f>
        <v/>
      </c>
      <c r="N45" s="170"/>
      <c r="O45" s="88">
        <v>11</v>
      </c>
      <c r="P45" s="27"/>
      <c r="Q45" s="27"/>
      <c r="R45" s="27"/>
      <c r="S45" s="27"/>
      <c r="T45" s="27"/>
      <c r="U45" s="27"/>
      <c r="V45" s="27"/>
      <c r="W45" s="27"/>
      <c r="X45" s="27"/>
      <c r="Y45" s="27"/>
    </row>
    <row r="46" spans="1:25" x14ac:dyDescent="0.25">
      <c r="A46" s="92" t="str">
        <f t="shared" si="2"/>
        <v>HRIG5007</v>
      </c>
      <c r="B46" s="97">
        <f>IFERROR(IF(VLOOKUP($A46,TableHandbook[],2,FALSE)=0,"",VLOOKUP($A46,TableHandbook[],2,FALSE)),"")</f>
        <v>2</v>
      </c>
      <c r="C46" s="97" t="str">
        <f>IFERROR(IF(VLOOKUP($A46,TableHandbook[],3,FALSE)=0,"",VLOOKUP($A46,TableHandbook[],3,FALSE)),"")</f>
        <v>CHRE502</v>
      </c>
      <c r="D46" s="46" t="str">
        <f>IFERROR(IF(VLOOKUP($A46,TableHandbook[],4,FALSE)=0,"",VLOOKUP($A46,TableHandbook[],4,FALSE)),"")</f>
        <v>Dialogue across Cultures and Religions</v>
      </c>
      <c r="E46" s="47"/>
      <c r="F46" s="130" t="str">
        <f>IFERROR(IF(VLOOKUP($A46,TableHandbook[],6,FALSE)=0,"",VLOOKUP($A46,TableHandbook[],6,FALSE)),"")</f>
        <v>Nil</v>
      </c>
      <c r="G46" s="47">
        <f>IFERROR(IF(VLOOKUP($A46,TableHandbook[],5,FALSE)=0,"",VLOOKUP($A46,TableHandbook[],5,FALSE)),"")</f>
        <v>25</v>
      </c>
      <c r="H46" s="195" t="str">
        <f>IFERROR(VLOOKUP($A46,TableHandbook[],H$2,FALSE),"")</f>
        <v/>
      </c>
      <c r="I46" s="196" t="str">
        <f>IFERROR(VLOOKUP($A46,TableHandbook[],I$2,FALSE),"")</f>
        <v/>
      </c>
      <c r="J46" s="196" t="str">
        <f>IFERROR(VLOOKUP($A46,TableHandbook[],J$2,FALSE),"")</f>
        <v/>
      </c>
      <c r="K46" s="197" t="str">
        <f>IFERROR(VLOOKUP($A46,TableHandbook[],K$2,FALSE),"")</f>
        <v/>
      </c>
      <c r="L46" s="200" t="str">
        <f>IFERROR(VLOOKUP($A46,TableHandbook[],L$2,FALSE),"")</f>
        <v/>
      </c>
      <c r="M46" s="201" t="str">
        <f>IFERROR(VLOOKUP($A46,TableHandbook[],M$2,FALSE),"")</f>
        <v>Y</v>
      </c>
      <c r="N46" s="170"/>
      <c r="O46" s="88">
        <v>12</v>
      </c>
      <c r="P46" s="27"/>
      <c r="Q46" s="27"/>
      <c r="R46" s="27"/>
      <c r="S46" s="27"/>
      <c r="T46" s="27"/>
      <c r="U46" s="27"/>
      <c r="V46" s="27"/>
      <c r="W46" s="27"/>
      <c r="X46" s="27"/>
      <c r="Y46" s="27"/>
    </row>
    <row r="47" spans="1:25" x14ac:dyDescent="0.25">
      <c r="A47" s="92" t="str">
        <f t="shared" si="2"/>
        <v>PRJM6013</v>
      </c>
      <c r="B47" s="97">
        <f>IFERROR(IF(VLOOKUP($A47,TableHandbook[],2,FALSE)=0,"",VLOOKUP($A47,TableHandbook[],2,FALSE)),"")</f>
        <v>2</v>
      </c>
      <c r="C47" s="97" t="str">
        <f>IFERROR(IF(VLOOKUP($A47,TableHandbook[],3,FALSE)=0,"",VLOOKUP($A47,TableHandbook[],3,FALSE)),"")</f>
        <v>PRM500</v>
      </c>
      <c r="D47" s="46" t="str">
        <f>IFERROR(IF(VLOOKUP($A47,TableHandbook[],4,FALSE)=0,"",VLOOKUP($A47,TableHandbook[],4,FALSE)),"")</f>
        <v>Project Management Overview</v>
      </c>
      <c r="E47" s="47"/>
      <c r="F47" s="130" t="str">
        <f>IFERROR(IF(VLOOKUP($A47,TableHandbook[],6,FALSE)=0,"",VLOOKUP($A47,TableHandbook[],6,FALSE)),"")</f>
        <v>Nil</v>
      </c>
      <c r="G47" s="47">
        <f>IFERROR(IF(VLOOKUP($A47,TableHandbook[],5,FALSE)=0,"",VLOOKUP($A47,TableHandbook[],5,FALSE)),"")</f>
        <v>25</v>
      </c>
      <c r="H47" s="195" t="str">
        <f>IFERROR(VLOOKUP($A47,TableHandbook[],H$2,FALSE),"")</f>
        <v>Y</v>
      </c>
      <c r="I47" s="196" t="str">
        <f>IFERROR(VLOOKUP($A47,TableHandbook[],I$2,FALSE),"")</f>
        <v/>
      </c>
      <c r="J47" s="196" t="str">
        <f>IFERROR(VLOOKUP($A47,TableHandbook[],J$2,FALSE),"")</f>
        <v>Y</v>
      </c>
      <c r="K47" s="197" t="str">
        <f>IFERROR(VLOOKUP($A47,TableHandbook[],K$2,FALSE),"")</f>
        <v/>
      </c>
      <c r="L47" s="200" t="str">
        <f>IFERROR(VLOOKUP($A47,TableHandbook[],L$2,FALSE),"")</f>
        <v/>
      </c>
      <c r="M47" s="201" t="str">
        <f>IFERROR(VLOOKUP($A47,TableHandbook[],M$2,FALSE),"")</f>
        <v/>
      </c>
      <c r="N47" s="170"/>
      <c r="O47" s="88">
        <v>13</v>
      </c>
      <c r="P47" s="27"/>
      <c r="Q47" s="27"/>
      <c r="R47" s="27"/>
      <c r="S47" s="27"/>
      <c r="T47" s="27"/>
      <c r="U47" s="27"/>
      <c r="V47" s="27"/>
      <c r="W47" s="27"/>
      <c r="X47" s="27"/>
      <c r="Y47" s="27"/>
    </row>
    <row r="48" spans="1:25" x14ac:dyDescent="0.25">
      <c r="A48" s="92" t="str">
        <f t="shared" si="2"/>
        <v>PRJM6015</v>
      </c>
      <c r="B48" s="97">
        <f>IFERROR(IF(VLOOKUP($A48,TableHandbook[],2,FALSE)=0,"",VLOOKUP($A48,TableHandbook[],2,FALSE)),"")</f>
        <v>1</v>
      </c>
      <c r="C48" s="97" t="str">
        <f>IFERROR(IF(VLOOKUP($A48,TableHandbook[],3,FALSE)=0,"",VLOOKUP($A48,TableHandbook[],3,FALSE)),"")</f>
        <v>PRM510</v>
      </c>
      <c r="D48" s="46" t="str">
        <f>IFERROR(IF(VLOOKUP($A48,TableHandbook[],4,FALSE)=0,"",VLOOKUP($A48,TableHandbook[],4,FALSE)),"")</f>
        <v>Project and People</v>
      </c>
      <c r="E48" s="47"/>
      <c r="F48" s="130" t="str">
        <f>IFERROR(IF(VLOOKUP($A48,TableHandbook[],6,FALSE)=0,"",VLOOKUP($A48,TableHandbook[],6,FALSE)),"")</f>
        <v>Nil</v>
      </c>
      <c r="G48" s="47">
        <f>IFERROR(IF(VLOOKUP($A48,TableHandbook[],5,FALSE)=0,"",VLOOKUP($A48,TableHandbook[],5,FALSE)),"")</f>
        <v>25</v>
      </c>
      <c r="H48" s="195" t="str">
        <f>IFERROR(VLOOKUP($A48,TableHandbook[],H$2,FALSE),"")</f>
        <v/>
      </c>
      <c r="I48" s="196" t="str">
        <f>IFERROR(VLOOKUP($A48,TableHandbook[],I$2,FALSE),"")</f>
        <v>Y</v>
      </c>
      <c r="J48" s="196" t="str">
        <f>IFERROR(VLOOKUP($A48,TableHandbook[],J$2,FALSE),"")</f>
        <v/>
      </c>
      <c r="K48" s="197" t="str">
        <f>IFERROR(VLOOKUP($A48,TableHandbook[],K$2,FALSE),"")</f>
        <v>Y</v>
      </c>
      <c r="L48" s="200" t="str">
        <f>IFERROR(VLOOKUP($A48,TableHandbook[],L$2,FALSE),"")</f>
        <v/>
      </c>
      <c r="M48" s="201" t="str">
        <f>IFERROR(VLOOKUP($A48,TableHandbook[],M$2,FALSE),"")</f>
        <v/>
      </c>
      <c r="N48" s="170"/>
      <c r="O48" s="88">
        <v>14</v>
      </c>
      <c r="P48" s="27"/>
      <c r="Q48" s="27"/>
      <c r="R48" s="27"/>
      <c r="S48" s="27"/>
      <c r="T48" s="27"/>
      <c r="U48" s="27"/>
      <c r="V48" s="27"/>
      <c r="W48" s="27"/>
      <c r="X48" s="27"/>
      <c r="Y48" s="27"/>
    </row>
    <row r="49" spans="1:25" x14ac:dyDescent="0.25">
      <c r="A49" s="92" t="str">
        <f t="shared" si="2"/>
        <v>PRJM6020</v>
      </c>
      <c r="B49" s="97">
        <f>IFERROR(IF(VLOOKUP($A49,TableHandbook[],2,FALSE)=0,"",VLOOKUP($A49,TableHandbook[],2,FALSE)),"")</f>
        <v>1</v>
      </c>
      <c r="C49" s="97" t="str">
        <f>IFERROR(IF(VLOOKUP($A49,TableHandbook[],3,FALSE)=0,"",VLOOKUP($A49,TableHandbook[],3,FALSE)),"")</f>
        <v>PRM550</v>
      </c>
      <c r="D49" s="46" t="str">
        <f>IFERROR(IF(VLOOKUP($A49,TableHandbook[],4,FALSE)=0,"",VLOOKUP($A49,TableHandbook[],4,FALSE)),"")</f>
        <v>Project Risk Management</v>
      </c>
      <c r="E49" s="47"/>
      <c r="F49" s="130" t="str">
        <f>IFERROR(IF(VLOOKUP($A49,TableHandbook[],6,FALSE)=0,"",VLOOKUP($A49,TableHandbook[],6,FALSE)),"")</f>
        <v>50CP</v>
      </c>
      <c r="G49" s="47">
        <f>IFERROR(IF(VLOOKUP($A49,TableHandbook[],5,FALSE)=0,"",VLOOKUP($A49,TableHandbook[],5,FALSE)),"")</f>
        <v>25</v>
      </c>
      <c r="H49" s="195" t="str">
        <f>IFERROR(VLOOKUP($A49,TableHandbook[],H$2,FALSE),"")</f>
        <v/>
      </c>
      <c r="I49" s="196" t="str">
        <f>IFERROR(VLOOKUP($A49,TableHandbook[],I$2,FALSE),"")</f>
        <v>Y</v>
      </c>
      <c r="J49" s="196" t="str">
        <f>IFERROR(VLOOKUP($A49,TableHandbook[],J$2,FALSE),"")</f>
        <v/>
      </c>
      <c r="K49" s="197" t="str">
        <f>IFERROR(VLOOKUP($A49,TableHandbook[],K$2,FALSE),"")</f>
        <v/>
      </c>
      <c r="L49" s="200" t="str">
        <f>IFERROR(VLOOKUP($A49,TableHandbook[],L$2,FALSE),"")</f>
        <v/>
      </c>
      <c r="M49" s="201" t="str">
        <f>IFERROR(VLOOKUP($A49,TableHandbook[],M$2,FALSE),"")</f>
        <v/>
      </c>
      <c r="N49" s="170"/>
      <c r="O49" s="88">
        <v>15</v>
      </c>
      <c r="P49" s="27"/>
      <c r="Q49" s="27"/>
      <c r="R49" s="27"/>
      <c r="S49" s="27"/>
      <c r="T49" s="27"/>
      <c r="U49" s="27"/>
      <c r="V49" s="27"/>
      <c r="W49" s="27"/>
      <c r="X49" s="27"/>
      <c r="Y49" s="27"/>
    </row>
    <row r="50" spans="1:25" x14ac:dyDescent="0.25">
      <c r="A50" s="92" t="str">
        <f t="shared" si="2"/>
        <v>PRJM6021</v>
      </c>
      <c r="B50" s="97">
        <f>IFERROR(IF(VLOOKUP($A50,TableHandbook[],2,FALSE)=0,"",VLOOKUP($A50,TableHandbook[],2,FALSE)),"")</f>
        <v>2</v>
      </c>
      <c r="C50" s="97" t="str">
        <f>IFERROR(IF(VLOOKUP($A50,TableHandbook[],3,FALSE)=0,"",VLOOKUP($A50,TableHandbook[],3,FALSE)),"")</f>
        <v>PRM530</v>
      </c>
      <c r="D50" s="46" t="str">
        <f>IFERROR(IF(VLOOKUP($A50,TableHandbook[],4,FALSE)=0,"",VLOOKUP($A50,TableHandbook[],4,FALSE)),"")</f>
        <v>Project Planning and Schedule Management</v>
      </c>
      <c r="E50" s="47"/>
      <c r="F50" s="130" t="str">
        <f>IFERROR(IF(VLOOKUP($A50,TableHandbook[],6,FALSE)=0,"",VLOOKUP($A50,TableHandbook[],6,FALSE)),"")</f>
        <v>Nil</v>
      </c>
      <c r="G50" s="47">
        <f>IFERROR(IF(VLOOKUP($A50,TableHandbook[],5,FALSE)=0,"",VLOOKUP($A50,TableHandbook[],5,FALSE)),"")</f>
        <v>25</v>
      </c>
      <c r="H50" s="195" t="str">
        <f>IFERROR(VLOOKUP($A50,TableHandbook[],H$2,FALSE),"")</f>
        <v/>
      </c>
      <c r="I50" s="196" t="str">
        <f>IFERROR(VLOOKUP($A50,TableHandbook[],I$2,FALSE),"")</f>
        <v>Y</v>
      </c>
      <c r="J50" s="196" t="str">
        <f>IFERROR(VLOOKUP($A50,TableHandbook[],J$2,FALSE),"")</f>
        <v/>
      </c>
      <c r="K50" s="197" t="str">
        <f>IFERROR(VLOOKUP($A50,TableHandbook[],K$2,FALSE),"")</f>
        <v>Y</v>
      </c>
      <c r="L50" s="200" t="str">
        <f>IFERROR(VLOOKUP($A50,TableHandbook[],L$2,FALSE),"")</f>
        <v/>
      </c>
      <c r="M50" s="201" t="str">
        <f>IFERROR(VLOOKUP($A50,TableHandbook[],M$2,FALSE),"")</f>
        <v/>
      </c>
      <c r="N50" s="170"/>
      <c r="O50" s="88">
        <v>16</v>
      </c>
      <c r="P50" s="27"/>
      <c r="Q50" s="27"/>
      <c r="R50" s="27"/>
      <c r="S50" s="27"/>
      <c r="T50" s="27"/>
      <c r="U50" s="27"/>
      <c r="V50" s="27"/>
      <c r="W50" s="27"/>
      <c r="X50" s="27"/>
      <c r="Y50" s="27"/>
    </row>
    <row r="51" spans="1:25" s="41" customFormat="1" ht="13.9" customHeight="1" x14ac:dyDescent="0.2">
      <c r="A51" s="42"/>
      <c r="B51" s="42"/>
      <c r="C51" s="42"/>
      <c r="D51" s="43"/>
      <c r="E51" s="65"/>
      <c r="F51" s="38"/>
      <c r="G51" s="38"/>
      <c r="H51" s="38"/>
      <c r="I51" s="38"/>
      <c r="J51" s="38"/>
      <c r="K51" s="38"/>
      <c r="L51" s="38"/>
      <c r="M51" s="38"/>
      <c r="N51" s="38"/>
      <c r="O51" s="89"/>
      <c r="P51" s="39"/>
      <c r="Q51" s="39"/>
      <c r="R51" s="40"/>
      <c r="S51" s="40"/>
      <c r="T51" s="40"/>
      <c r="U51" s="40"/>
      <c r="V51" s="40"/>
      <c r="W51" s="40"/>
      <c r="X51" s="40"/>
      <c r="Y51" s="40"/>
    </row>
    <row r="52" spans="1:25" s="27" customFormat="1" ht="32.25" customHeight="1" x14ac:dyDescent="0.25">
      <c r="A52" s="229" t="s">
        <v>31</v>
      </c>
      <c r="B52" s="229"/>
      <c r="C52" s="229"/>
      <c r="D52" s="229"/>
      <c r="E52" s="229"/>
      <c r="F52" s="229"/>
      <c r="G52" s="229"/>
      <c r="H52" s="229"/>
      <c r="I52" s="229"/>
      <c r="J52" s="229"/>
      <c r="K52" s="229"/>
      <c r="L52" s="229"/>
      <c r="M52" s="229"/>
      <c r="N52" s="229"/>
    </row>
    <row r="53" spans="1:25" s="27" customFormat="1" x14ac:dyDescent="0.25">
      <c r="A53" s="48"/>
      <c r="B53" s="49"/>
      <c r="C53" s="49"/>
      <c r="D53" s="49"/>
      <c r="E53" s="66"/>
      <c r="F53" s="49"/>
      <c r="G53" s="49"/>
      <c r="H53" s="49"/>
      <c r="I53" s="49"/>
      <c r="J53" s="49"/>
      <c r="K53" s="49"/>
      <c r="L53" s="49"/>
      <c r="M53" s="49"/>
      <c r="N53" s="50"/>
    </row>
    <row r="54" spans="1:25" s="27" customFormat="1" ht="15" customHeight="1" x14ac:dyDescent="0.25">
      <c r="A54" s="37" t="s">
        <v>32</v>
      </c>
      <c r="B54" s="37"/>
      <c r="C54" s="37"/>
      <c r="D54" s="37"/>
      <c r="E54" s="67"/>
      <c r="F54" s="38"/>
      <c r="G54" s="51"/>
      <c r="H54" s="51"/>
      <c r="I54" s="51"/>
      <c r="J54" s="51"/>
      <c r="K54" s="51"/>
      <c r="L54" s="51"/>
      <c r="M54" s="51"/>
      <c r="N54" s="51" t="s">
        <v>33</v>
      </c>
    </row>
  </sheetData>
  <sheetProtection formatCells="0"/>
  <mergeCells count="2">
    <mergeCell ref="A3:D3"/>
    <mergeCell ref="A52:N52"/>
  </mergeCells>
  <conditionalFormatting sqref="A27:N32">
    <cfRule type="expression" dxfId="29" priority="2">
      <formula>$A27=""</formula>
    </cfRule>
  </conditionalFormatting>
  <conditionalFormatting sqref="A36:N50">
    <cfRule type="expression" dxfId="28" priority="5">
      <formula>LEFT($D36,5)="Study"</formula>
    </cfRule>
  </conditionalFormatting>
  <conditionalFormatting sqref="D5:D7">
    <cfRule type="containsText" dxfId="27" priority="6" operator="containsText" text="Choose">
      <formula>NOT(ISERROR(SEARCH("Choose",D5)))</formula>
    </cfRule>
  </conditionalFormatting>
  <conditionalFormatting sqref="H10:K20 H22:K32">
    <cfRule type="expression" dxfId="26" priority="1">
      <formula>$E10=H$9</formula>
    </cfRule>
  </conditionalFormatting>
  <conditionalFormatting sqref="H10:M20 A10:G26 N10:N26 H22:M26 A36:N50">
    <cfRule type="expression" dxfId="25" priority="7">
      <formula>$A10=""</formula>
    </cfRule>
  </conditionalFormatting>
  <dataValidations count="1">
    <dataValidation type="list" allowBlank="1" showInputMessage="1" showErrorMessage="1" sqref="N15 N12 N18 N24 N27 N30" xr:uid="{00000000-0002-0000-0000-000000000000}"/>
  </dataValidations>
  <printOptions horizontalCentered="1"/>
  <pageMargins left="0.31496062992125984" right="0.31496062992125984" top="0.39370078740157483" bottom="0.39370078740157483" header="0.19685039370078741" footer="0.19685039370078741"/>
  <pageSetup paperSize="9" scale="62" orientation="portrait" r:id="rId1"/>
  <rowBreaks count="1" manualBreakCount="1">
    <brk id="32" max="10"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CourseDetails!$A$10:$A$14</xm:f>
          </x14:formula1>
          <xm:sqref>D6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3D2D3-29FE-49BA-B325-89832FDD1450}">
  <dimension ref="A1:I31"/>
  <sheetViews>
    <sheetView zoomScale="85" zoomScaleNormal="85" workbookViewId="0">
      <selection activeCell="D6" sqref="D6"/>
    </sheetView>
  </sheetViews>
  <sheetFormatPr defaultRowHeight="15.75" x14ac:dyDescent="0.25"/>
  <cols>
    <col min="1" max="1" width="73.625" bestFit="1" customWidth="1"/>
    <col min="2" max="2" width="11.125" bestFit="1" customWidth="1"/>
    <col min="3" max="3" width="12.25" bestFit="1" customWidth="1"/>
    <col min="4" max="4" width="17.125" bestFit="1" customWidth="1"/>
    <col min="5" max="5" width="14.25" bestFit="1" customWidth="1"/>
    <col min="6" max="6" width="18.75" bestFit="1" customWidth="1"/>
    <col min="7" max="7" width="20.875" bestFit="1" customWidth="1"/>
    <col min="8" max="8" width="16.5" bestFit="1" customWidth="1"/>
    <col min="9" max="9" width="73.875" customWidth="1"/>
  </cols>
  <sheetData>
    <row r="1" spans="1:9" x14ac:dyDescent="0.25">
      <c r="A1" s="11"/>
      <c r="B1" s="12"/>
      <c r="C1" s="12"/>
      <c r="D1" s="12"/>
      <c r="E1" s="5"/>
      <c r="F1" s="5"/>
      <c r="G1" s="5"/>
    </row>
    <row r="2" spans="1:9" x14ac:dyDescent="0.25">
      <c r="A2" s="100" t="s">
        <v>40</v>
      </c>
    </row>
    <row r="3" spans="1:9" x14ac:dyDescent="0.25">
      <c r="A3" s="5" t="s">
        <v>41</v>
      </c>
      <c r="B3" s="9" t="s">
        <v>0</v>
      </c>
      <c r="C3" s="5" t="s">
        <v>42</v>
      </c>
      <c r="D3" s="5" t="s">
        <v>43</v>
      </c>
      <c r="E3" s="5" t="s">
        <v>44</v>
      </c>
      <c r="F3" s="5" t="s">
        <v>45</v>
      </c>
      <c r="G3" s="5" t="s">
        <v>46</v>
      </c>
      <c r="H3" s="5" t="s">
        <v>47</v>
      </c>
      <c r="I3" s="5" t="s">
        <v>48</v>
      </c>
    </row>
    <row r="4" spans="1:9" x14ac:dyDescent="0.25">
      <c r="A4" s="9" t="s">
        <v>11</v>
      </c>
      <c r="B4" s="216" t="s">
        <v>49</v>
      </c>
      <c r="C4" s="214" t="s">
        <v>50</v>
      </c>
      <c r="D4" s="215">
        <v>44927</v>
      </c>
      <c r="E4" s="212">
        <v>3</v>
      </c>
      <c r="F4" s="213">
        <v>45839</v>
      </c>
      <c r="G4" s="174" t="s">
        <v>51</v>
      </c>
      <c r="H4" s="174" t="s">
        <v>52</v>
      </c>
      <c r="I4" s="9" t="s">
        <v>245</v>
      </c>
    </row>
    <row r="5" spans="1:9" x14ac:dyDescent="0.25">
      <c r="A5" s="9" t="s">
        <v>34</v>
      </c>
      <c r="B5" s="216" t="s">
        <v>53</v>
      </c>
      <c r="C5" s="214" t="s">
        <v>50</v>
      </c>
      <c r="D5" s="215">
        <v>44927</v>
      </c>
      <c r="E5" s="214">
        <v>1</v>
      </c>
      <c r="F5" s="215">
        <v>44927</v>
      </c>
      <c r="G5" s="174" t="s">
        <v>51</v>
      </c>
      <c r="H5" s="174" t="s">
        <v>52</v>
      </c>
      <c r="I5" s="9" t="s">
        <v>246</v>
      </c>
    </row>
    <row r="6" spans="1:9" x14ac:dyDescent="0.25">
      <c r="A6" s="9" t="s">
        <v>36</v>
      </c>
      <c r="B6" s="216" t="s">
        <v>54</v>
      </c>
      <c r="C6" s="214" t="s">
        <v>50</v>
      </c>
      <c r="D6" s="215">
        <v>44927</v>
      </c>
      <c r="E6" s="212">
        <v>4</v>
      </c>
      <c r="F6" s="213">
        <v>45839</v>
      </c>
      <c r="G6" s="174" t="s">
        <v>55</v>
      </c>
      <c r="H6" s="174" t="s">
        <v>52</v>
      </c>
      <c r="I6" s="9" t="s">
        <v>247</v>
      </c>
    </row>
    <row r="7" spans="1:9" x14ac:dyDescent="0.25">
      <c r="A7" s="9" t="s">
        <v>38</v>
      </c>
      <c r="B7" s="216" t="s">
        <v>56</v>
      </c>
      <c r="C7" s="214" t="s">
        <v>57</v>
      </c>
      <c r="D7" s="215">
        <v>45292</v>
      </c>
      <c r="E7" s="212">
        <v>6</v>
      </c>
      <c r="F7" s="213">
        <v>45839</v>
      </c>
      <c r="G7" s="174" t="s">
        <v>58</v>
      </c>
      <c r="H7" s="174" t="s">
        <v>52</v>
      </c>
      <c r="I7" s="9" t="s">
        <v>248</v>
      </c>
    </row>
    <row r="8" spans="1:9" x14ac:dyDescent="0.25">
      <c r="A8" s="9"/>
      <c r="B8" s="5"/>
      <c r="C8" s="5"/>
      <c r="D8" s="5"/>
      <c r="E8" s="5"/>
      <c r="F8" s="5"/>
      <c r="G8" s="5"/>
    </row>
    <row r="9" spans="1:9" x14ac:dyDescent="0.25">
      <c r="A9" s="100" t="s">
        <v>59</v>
      </c>
      <c r="B9" s="5"/>
      <c r="C9" s="5"/>
      <c r="D9" s="5"/>
      <c r="E9" s="5"/>
      <c r="F9" s="5"/>
      <c r="G9" s="5"/>
    </row>
    <row r="10" spans="1:9" x14ac:dyDescent="0.25">
      <c r="A10" s="10" t="s">
        <v>60</v>
      </c>
      <c r="B10" s="13" t="s">
        <v>61</v>
      </c>
      <c r="C10" s="5" t="s">
        <v>62</v>
      </c>
      <c r="D10" s="5" t="s">
        <v>63</v>
      </c>
      <c r="E10" s="5" t="s">
        <v>64</v>
      </c>
      <c r="F10" s="5"/>
      <c r="G10" s="5"/>
    </row>
    <row r="11" spans="1:9" x14ac:dyDescent="0.25">
      <c r="A11" s="5" t="s">
        <v>35</v>
      </c>
      <c r="B11" s="6" t="s">
        <v>23</v>
      </c>
      <c r="C11" s="6" t="s">
        <v>24</v>
      </c>
      <c r="D11" s="6" t="s">
        <v>25</v>
      </c>
      <c r="E11" s="6" t="s">
        <v>26</v>
      </c>
      <c r="F11" s="5"/>
      <c r="G11" s="5"/>
    </row>
    <row r="12" spans="1:9" x14ac:dyDescent="0.25">
      <c r="A12" s="5" t="s">
        <v>65</v>
      </c>
      <c r="B12" s="6" t="s">
        <v>24</v>
      </c>
      <c r="C12" s="6" t="s">
        <v>25</v>
      </c>
      <c r="D12" s="6" t="s">
        <v>26</v>
      </c>
      <c r="E12" s="6" t="s">
        <v>23</v>
      </c>
      <c r="F12" s="5"/>
      <c r="G12" s="5"/>
    </row>
    <row r="13" spans="1:9" x14ac:dyDescent="0.25">
      <c r="A13" s="9" t="s">
        <v>66</v>
      </c>
      <c r="B13" s="6" t="s">
        <v>25</v>
      </c>
      <c r="C13" s="6" t="s">
        <v>26</v>
      </c>
      <c r="D13" s="6" t="s">
        <v>23</v>
      </c>
      <c r="E13" s="6" t="s">
        <v>24</v>
      </c>
      <c r="F13" s="5"/>
      <c r="G13" s="5"/>
    </row>
    <row r="14" spans="1:9" x14ac:dyDescent="0.25">
      <c r="A14" s="9" t="s">
        <v>14</v>
      </c>
      <c r="B14" s="6" t="s">
        <v>26</v>
      </c>
      <c r="C14" s="6" t="s">
        <v>23</v>
      </c>
      <c r="D14" s="6" t="s">
        <v>24</v>
      </c>
      <c r="E14" s="6" t="s">
        <v>25</v>
      </c>
      <c r="F14" s="5"/>
      <c r="G14" s="5"/>
    </row>
    <row r="15" spans="1:9" x14ac:dyDescent="0.25">
      <c r="A15" s="9"/>
      <c r="B15" s="6"/>
      <c r="C15" s="6"/>
      <c r="D15" s="6"/>
      <c r="E15" s="6"/>
      <c r="F15" s="5"/>
      <c r="G15" s="5"/>
    </row>
    <row r="16" spans="1:9" x14ac:dyDescent="0.25">
      <c r="G16" s="5"/>
    </row>
    <row r="17" spans="1:7" x14ac:dyDescent="0.25">
      <c r="A17" s="209"/>
      <c r="B17" s="86"/>
      <c r="E17" s="5"/>
      <c r="F17" s="5"/>
      <c r="G17" s="5"/>
    </row>
    <row r="18" spans="1:7" x14ac:dyDescent="0.25">
      <c r="B18" s="86"/>
      <c r="E18" s="5"/>
      <c r="F18" s="5"/>
      <c r="G18" s="5"/>
    </row>
    <row r="19" spans="1:7" x14ac:dyDescent="0.25">
      <c r="A19" t="s">
        <v>67</v>
      </c>
      <c r="B19" s="217">
        <v>45993</v>
      </c>
      <c r="E19" s="5"/>
      <c r="F19" s="5"/>
      <c r="G19" s="5"/>
    </row>
    <row r="20" spans="1:7" x14ac:dyDescent="0.25">
      <c r="A20" t="s">
        <v>68</v>
      </c>
      <c r="B20" s="217">
        <v>45993</v>
      </c>
      <c r="E20" s="5"/>
      <c r="F20" s="5"/>
      <c r="G20" s="5"/>
    </row>
    <row r="21" spans="1:7" x14ac:dyDescent="0.25">
      <c r="A21" t="s">
        <v>69</v>
      </c>
      <c r="B21" s="217">
        <v>45993</v>
      </c>
      <c r="E21" s="5"/>
      <c r="F21" s="5"/>
      <c r="G21" s="5"/>
    </row>
    <row r="22" spans="1:7" x14ac:dyDescent="0.25">
      <c r="A22" t="s">
        <v>70</v>
      </c>
      <c r="B22" s="217">
        <v>45993</v>
      </c>
      <c r="E22" s="5"/>
      <c r="F22" s="5"/>
      <c r="G22" s="5"/>
    </row>
    <row r="23" spans="1:7" x14ac:dyDescent="0.25">
      <c r="A23" t="s">
        <v>71</v>
      </c>
      <c r="B23" s="217">
        <v>45993</v>
      </c>
      <c r="E23" s="5"/>
      <c r="F23" s="5"/>
      <c r="G23" s="5"/>
    </row>
    <row r="24" spans="1:7" x14ac:dyDescent="0.25">
      <c r="A24" t="s">
        <v>72</v>
      </c>
      <c r="B24" s="217">
        <v>45993</v>
      </c>
      <c r="E24" s="5"/>
      <c r="F24" s="5"/>
      <c r="G24" s="5"/>
    </row>
    <row r="25" spans="1:7" x14ac:dyDescent="0.25">
      <c r="A25" t="s">
        <v>73</v>
      </c>
      <c r="B25" s="217">
        <v>45993</v>
      </c>
      <c r="E25" s="5"/>
      <c r="F25" s="5"/>
    </row>
    <row r="26" spans="1:7" x14ac:dyDescent="0.25">
      <c r="A26" t="s">
        <v>74</v>
      </c>
      <c r="B26" s="217">
        <v>45993</v>
      </c>
      <c r="E26" s="5"/>
      <c r="F26" s="5"/>
    </row>
    <row r="27" spans="1:7" x14ac:dyDescent="0.25">
      <c r="A27" t="s">
        <v>75</v>
      </c>
      <c r="B27" s="217">
        <v>45993</v>
      </c>
      <c r="E27" s="5"/>
      <c r="F27" s="5"/>
    </row>
    <row r="28" spans="1:7" x14ac:dyDescent="0.25">
      <c r="B28" s="217"/>
      <c r="E28" s="5"/>
      <c r="F28" s="5"/>
    </row>
    <row r="29" spans="1:7" x14ac:dyDescent="0.25">
      <c r="A29" s="226" t="s">
        <v>249</v>
      </c>
      <c r="B29" s="217">
        <v>45993</v>
      </c>
      <c r="E29" s="5"/>
      <c r="F29" s="5"/>
    </row>
    <row r="30" spans="1:7" x14ac:dyDescent="0.25">
      <c r="B30" s="217"/>
    </row>
    <row r="31" spans="1:7" x14ac:dyDescent="0.25">
      <c r="B31" s="86"/>
    </row>
  </sheetData>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5"/>
  <sheetViews>
    <sheetView zoomScale="85" zoomScaleNormal="85" workbookViewId="0">
      <selection activeCell="D6" sqref="D6"/>
    </sheetView>
  </sheetViews>
  <sheetFormatPr defaultRowHeight="15.75" x14ac:dyDescent="0.25"/>
  <cols>
    <col min="1" max="1" width="14.25" style="5" bestFit="1" customWidth="1"/>
    <col min="2" max="2" width="3.625" customWidth="1"/>
    <col min="3" max="3" width="9.625" bestFit="1" customWidth="1"/>
    <col min="4" max="4" width="10.625" customWidth="1"/>
    <col min="5" max="5" width="10.875" bestFit="1" customWidth="1"/>
    <col min="6" max="6" width="10.625" customWidth="1"/>
    <col min="7" max="7" width="9.875" bestFit="1" customWidth="1"/>
    <col min="8" max="8" width="10.625" customWidth="1"/>
    <col min="9" max="9" width="10.375" bestFit="1" customWidth="1"/>
    <col min="10" max="10" width="10.625" customWidth="1"/>
    <col min="11" max="11" width="10" bestFit="1" customWidth="1"/>
    <col min="12" max="12" width="10.625" customWidth="1"/>
    <col min="14" max="14" width="10.625" customWidth="1"/>
    <col min="16" max="16" width="10.625" customWidth="1"/>
    <col min="18" max="18" width="10.625" customWidth="1"/>
    <col min="20" max="20" width="10.625" customWidth="1"/>
    <col min="22" max="22" width="10.625" customWidth="1"/>
    <col min="24" max="24" width="10.625" customWidth="1"/>
    <col min="26" max="26" width="10.625" customWidth="1"/>
    <col min="58" max="58" width="13.75" bestFit="1" customWidth="1"/>
    <col min="60" max="60" width="13.75" bestFit="1" customWidth="1"/>
  </cols>
  <sheetData>
    <row r="1" spans="1:43" ht="16.5" thickBot="1" x14ac:dyDescent="0.3">
      <c r="A1"/>
      <c r="C1" s="53"/>
      <c r="D1" s="7"/>
      <c r="E1" s="7"/>
      <c r="F1" s="7"/>
      <c r="G1" s="7"/>
      <c r="H1" s="7"/>
      <c r="I1" s="8"/>
      <c r="J1" s="7"/>
      <c r="K1" s="7"/>
      <c r="L1" s="7"/>
      <c r="M1" s="7"/>
      <c r="N1" s="7"/>
      <c r="O1" s="7"/>
      <c r="P1" s="7"/>
    </row>
    <row r="2" spans="1:43" x14ac:dyDescent="0.25">
      <c r="A2" s="85" t="s">
        <v>76</v>
      </c>
      <c r="B2" s="1">
        <v>1</v>
      </c>
      <c r="C2" s="140"/>
      <c r="D2" s="141" t="s">
        <v>77</v>
      </c>
      <c r="E2" s="142"/>
      <c r="F2" s="141" t="s">
        <v>78</v>
      </c>
      <c r="G2" s="143"/>
      <c r="H2" s="143" t="s">
        <v>79</v>
      </c>
      <c r="I2" s="142"/>
      <c r="J2" s="144" t="s">
        <v>80</v>
      </c>
      <c r="K2" s="140"/>
      <c r="L2" s="141" t="s">
        <v>81</v>
      </c>
      <c r="M2" s="142"/>
      <c r="N2" s="141" t="s">
        <v>82</v>
      </c>
      <c r="O2" s="143"/>
      <c r="P2" s="143" t="s">
        <v>83</v>
      </c>
      <c r="Q2" s="142"/>
      <c r="R2" s="144" t="s">
        <v>84</v>
      </c>
      <c r="S2" s="140"/>
      <c r="T2" s="141" t="s">
        <v>85</v>
      </c>
      <c r="U2" s="142"/>
      <c r="V2" s="141" t="s">
        <v>86</v>
      </c>
      <c r="W2" s="143"/>
      <c r="X2" s="143" t="s">
        <v>87</v>
      </c>
      <c r="Y2" s="142"/>
      <c r="Z2" s="144" t="s">
        <v>88</v>
      </c>
      <c r="AA2" s="140"/>
      <c r="AB2" s="141" t="s">
        <v>89</v>
      </c>
      <c r="AC2" s="142"/>
      <c r="AD2" s="141" t="s">
        <v>90</v>
      </c>
      <c r="AE2" s="143"/>
      <c r="AF2" s="143" t="s">
        <v>91</v>
      </c>
      <c r="AG2" s="142"/>
      <c r="AH2" s="144" t="s">
        <v>92</v>
      </c>
      <c r="AO2" s="16"/>
      <c r="AP2" s="16"/>
      <c r="AQ2" s="16"/>
    </row>
    <row r="3" spans="1:43" x14ac:dyDescent="0.25">
      <c r="B3" s="14">
        <v>2</v>
      </c>
      <c r="C3" s="145" t="s">
        <v>93</v>
      </c>
      <c r="D3" s="182" t="s">
        <v>94</v>
      </c>
      <c r="E3" s="58" t="s">
        <v>95</v>
      </c>
      <c r="F3" s="183" t="s">
        <v>96</v>
      </c>
      <c r="G3" s="96" t="s">
        <v>97</v>
      </c>
      <c r="H3" s="133" t="s">
        <v>94</v>
      </c>
      <c r="I3" s="58" t="s">
        <v>98</v>
      </c>
      <c r="J3" s="146" t="s">
        <v>99</v>
      </c>
      <c r="K3" s="145" t="s">
        <v>93</v>
      </c>
      <c r="L3" s="103" t="s">
        <v>94</v>
      </c>
      <c r="M3" s="58" t="s">
        <v>95</v>
      </c>
      <c r="N3" s="103" t="s">
        <v>100</v>
      </c>
      <c r="O3" s="96" t="s">
        <v>97</v>
      </c>
      <c r="P3" s="133" t="s">
        <v>94</v>
      </c>
      <c r="Q3" s="58" t="s">
        <v>98</v>
      </c>
      <c r="R3" s="183" t="s">
        <v>101</v>
      </c>
      <c r="S3" s="145" t="s">
        <v>93</v>
      </c>
      <c r="T3" s="133" t="s">
        <v>94</v>
      </c>
      <c r="U3" s="58" t="s">
        <v>95</v>
      </c>
      <c r="V3" s="133" t="s">
        <v>102</v>
      </c>
      <c r="W3" s="137" t="s">
        <v>97</v>
      </c>
      <c r="X3" s="133" t="s">
        <v>94</v>
      </c>
      <c r="Y3" s="58" t="s">
        <v>98</v>
      </c>
      <c r="Z3" s="158" t="s">
        <v>101</v>
      </c>
      <c r="AA3" s="145" t="s">
        <v>93</v>
      </c>
      <c r="AB3" s="133" t="s">
        <v>94</v>
      </c>
      <c r="AC3" s="58" t="s">
        <v>95</v>
      </c>
      <c r="AD3" s="133" t="s">
        <v>102</v>
      </c>
      <c r="AE3" s="61" t="s">
        <v>97</v>
      </c>
      <c r="AF3" s="133" t="s">
        <v>94</v>
      </c>
      <c r="AG3" s="137" t="s">
        <v>98</v>
      </c>
      <c r="AH3" s="158" t="s">
        <v>101</v>
      </c>
      <c r="AO3" s="16"/>
      <c r="AP3" s="16"/>
      <c r="AQ3" s="16"/>
    </row>
    <row r="4" spans="1:43" x14ac:dyDescent="0.25">
      <c r="B4" s="14">
        <v>3</v>
      </c>
      <c r="C4" s="147" t="s">
        <v>93</v>
      </c>
      <c r="D4" s="132" t="s">
        <v>103</v>
      </c>
      <c r="E4" s="59" t="s">
        <v>95</v>
      </c>
      <c r="F4" s="132" t="s">
        <v>104</v>
      </c>
      <c r="G4" s="98" t="s">
        <v>97</v>
      </c>
      <c r="H4" s="138" t="s">
        <v>105</v>
      </c>
      <c r="I4" s="59" t="s">
        <v>98</v>
      </c>
      <c r="J4" s="146" t="s">
        <v>99</v>
      </c>
      <c r="K4" s="147" t="s">
        <v>93</v>
      </c>
      <c r="L4" s="104" t="s">
        <v>102</v>
      </c>
      <c r="M4" s="59" t="s">
        <v>95</v>
      </c>
      <c r="N4" s="104" t="s">
        <v>103</v>
      </c>
      <c r="O4" s="98" t="s">
        <v>97</v>
      </c>
      <c r="P4" s="138" t="s">
        <v>105</v>
      </c>
      <c r="Q4" s="59" t="s">
        <v>98</v>
      </c>
      <c r="R4" s="138" t="s">
        <v>106</v>
      </c>
      <c r="S4" s="147" t="s">
        <v>93</v>
      </c>
      <c r="T4" s="132" t="s">
        <v>102</v>
      </c>
      <c r="U4" s="59" t="s">
        <v>95</v>
      </c>
      <c r="V4" s="138" t="s">
        <v>96</v>
      </c>
      <c r="W4" s="1" t="s">
        <v>97</v>
      </c>
      <c r="X4" s="138" t="s">
        <v>105</v>
      </c>
      <c r="Y4" s="59" t="s">
        <v>98</v>
      </c>
      <c r="Z4" s="149" t="s">
        <v>99</v>
      </c>
      <c r="AA4" s="147" t="s">
        <v>93</v>
      </c>
      <c r="AB4" s="132" t="s">
        <v>102</v>
      </c>
      <c r="AC4" s="59" t="s">
        <v>95</v>
      </c>
      <c r="AD4" s="138" t="s">
        <v>96</v>
      </c>
      <c r="AE4" s="62" t="s">
        <v>97</v>
      </c>
      <c r="AF4" s="138" t="s">
        <v>105</v>
      </c>
      <c r="AG4" s="1" t="s">
        <v>98</v>
      </c>
      <c r="AH4" s="149" t="s">
        <v>99</v>
      </c>
      <c r="AO4" s="16"/>
      <c r="AP4" s="16"/>
      <c r="AQ4" s="16"/>
    </row>
    <row r="5" spans="1:43" x14ac:dyDescent="0.25">
      <c r="B5" s="14">
        <v>4</v>
      </c>
      <c r="C5" s="147" t="s">
        <v>95</v>
      </c>
      <c r="D5" s="138" t="s">
        <v>96</v>
      </c>
      <c r="E5" s="59" t="s">
        <v>97</v>
      </c>
      <c r="F5" s="132" t="s">
        <v>94</v>
      </c>
      <c r="G5" s="98" t="s">
        <v>98</v>
      </c>
      <c r="H5" s="104" t="s">
        <v>99</v>
      </c>
      <c r="I5" s="59" t="s">
        <v>93</v>
      </c>
      <c r="J5" s="146" t="s">
        <v>94</v>
      </c>
      <c r="K5" s="147" t="s">
        <v>95</v>
      </c>
      <c r="L5" s="104" t="s">
        <v>103</v>
      </c>
      <c r="M5" s="59" t="s">
        <v>97</v>
      </c>
      <c r="N5" s="132" t="s">
        <v>94</v>
      </c>
      <c r="O5" s="98" t="s">
        <v>98</v>
      </c>
      <c r="P5" s="138" t="s">
        <v>101</v>
      </c>
      <c r="Q5" s="59" t="s">
        <v>93</v>
      </c>
      <c r="R5" s="132" t="s">
        <v>94</v>
      </c>
      <c r="S5" s="147" t="s">
        <v>95</v>
      </c>
      <c r="T5" s="132" t="s">
        <v>100</v>
      </c>
      <c r="U5" s="59" t="s">
        <v>97</v>
      </c>
      <c r="V5" s="132" t="s">
        <v>94</v>
      </c>
      <c r="W5" s="1" t="s">
        <v>98</v>
      </c>
      <c r="X5" s="132" t="s">
        <v>101</v>
      </c>
      <c r="Y5" s="59" t="s">
        <v>93</v>
      </c>
      <c r="Z5" s="149" t="s">
        <v>94</v>
      </c>
      <c r="AA5" s="147" t="s">
        <v>95</v>
      </c>
      <c r="AB5" s="132" t="s">
        <v>103</v>
      </c>
      <c r="AC5" s="59" t="s">
        <v>97</v>
      </c>
      <c r="AD5" s="132" t="s">
        <v>94</v>
      </c>
      <c r="AE5" s="62" t="s">
        <v>98</v>
      </c>
      <c r="AF5" s="132" t="s">
        <v>106</v>
      </c>
      <c r="AG5" s="1" t="s">
        <v>93</v>
      </c>
      <c r="AH5" s="149" t="s">
        <v>94</v>
      </c>
      <c r="AO5" s="16"/>
      <c r="AP5" s="16"/>
      <c r="AQ5" s="16"/>
    </row>
    <row r="6" spans="1:43" x14ac:dyDescent="0.25">
      <c r="B6" s="14">
        <v>5</v>
      </c>
      <c r="C6" s="147" t="s">
        <v>95</v>
      </c>
      <c r="D6" s="104" t="s">
        <v>104</v>
      </c>
      <c r="E6" s="59" t="s">
        <v>97</v>
      </c>
      <c r="F6" s="132" t="s">
        <v>105</v>
      </c>
      <c r="G6" s="98" t="s">
        <v>98</v>
      </c>
      <c r="H6" s="104" t="s">
        <v>99</v>
      </c>
      <c r="I6" s="59" t="s">
        <v>93</v>
      </c>
      <c r="J6" s="146" t="s">
        <v>103</v>
      </c>
      <c r="K6" s="147" t="s">
        <v>95</v>
      </c>
      <c r="L6" s="104" t="s">
        <v>100</v>
      </c>
      <c r="M6" s="59" t="s">
        <v>97</v>
      </c>
      <c r="N6" s="138" t="s">
        <v>105</v>
      </c>
      <c r="O6" s="98" t="s">
        <v>98</v>
      </c>
      <c r="P6" s="138" t="s">
        <v>106</v>
      </c>
      <c r="Q6" s="59" t="s">
        <v>93</v>
      </c>
      <c r="R6" s="132" t="s">
        <v>102</v>
      </c>
      <c r="S6" s="147" t="s">
        <v>95</v>
      </c>
      <c r="T6" s="138" t="s">
        <v>96</v>
      </c>
      <c r="U6" s="59" t="s">
        <v>97</v>
      </c>
      <c r="V6" s="138" t="s">
        <v>105</v>
      </c>
      <c r="W6" s="1" t="s">
        <v>98</v>
      </c>
      <c r="X6" s="132" t="s">
        <v>99</v>
      </c>
      <c r="Y6" s="59" t="s">
        <v>93</v>
      </c>
      <c r="Z6" s="149" t="s">
        <v>102</v>
      </c>
      <c r="AA6" s="147" t="s">
        <v>95</v>
      </c>
      <c r="AB6" s="138" t="s">
        <v>96</v>
      </c>
      <c r="AC6" s="59" t="s">
        <v>97</v>
      </c>
      <c r="AD6" s="138" t="s">
        <v>105</v>
      </c>
      <c r="AE6" s="62" t="s">
        <v>98</v>
      </c>
      <c r="AF6" s="132" t="s">
        <v>99</v>
      </c>
      <c r="AG6" s="1" t="s">
        <v>93</v>
      </c>
      <c r="AH6" s="149" t="s">
        <v>102</v>
      </c>
      <c r="AO6" s="4"/>
      <c r="AP6" s="4"/>
    </row>
    <row r="7" spans="1:43" x14ac:dyDescent="0.25">
      <c r="B7" s="14">
        <v>6</v>
      </c>
      <c r="C7" s="147" t="s">
        <v>97</v>
      </c>
      <c r="D7" s="138" t="s">
        <v>105</v>
      </c>
      <c r="E7" s="59" t="s">
        <v>98</v>
      </c>
      <c r="F7" s="132" t="s">
        <v>99</v>
      </c>
      <c r="G7" s="98" t="s">
        <v>93</v>
      </c>
      <c r="H7" s="104" t="s">
        <v>107</v>
      </c>
      <c r="I7" s="59" t="s">
        <v>95</v>
      </c>
      <c r="J7" s="148" t="s">
        <v>96</v>
      </c>
      <c r="K7" s="147" t="s">
        <v>97</v>
      </c>
      <c r="L7" s="138" t="s">
        <v>105</v>
      </c>
      <c r="M7" s="59" t="s">
        <v>98</v>
      </c>
      <c r="N7" s="138" t="s">
        <v>101</v>
      </c>
      <c r="O7" s="98" t="s">
        <v>93</v>
      </c>
      <c r="P7" s="132" t="s">
        <v>102</v>
      </c>
      <c r="Q7" s="59" t="s">
        <v>95</v>
      </c>
      <c r="R7" s="132" t="s">
        <v>100</v>
      </c>
      <c r="S7" s="147" t="s">
        <v>97</v>
      </c>
      <c r="T7" s="138" t="s">
        <v>105</v>
      </c>
      <c r="U7" s="59" t="s">
        <v>98</v>
      </c>
      <c r="V7" s="132" t="s">
        <v>101</v>
      </c>
      <c r="W7" s="1" t="s">
        <v>93</v>
      </c>
      <c r="X7" s="132" t="s">
        <v>103</v>
      </c>
      <c r="Y7" s="59" t="s">
        <v>95</v>
      </c>
      <c r="Z7" s="148" t="s">
        <v>96</v>
      </c>
      <c r="AA7" s="147" t="s">
        <v>97</v>
      </c>
      <c r="AB7" s="138" t="s">
        <v>105</v>
      </c>
      <c r="AC7" s="59" t="s">
        <v>98</v>
      </c>
      <c r="AD7" s="132" t="s">
        <v>108</v>
      </c>
      <c r="AE7" s="62" t="s">
        <v>93</v>
      </c>
      <c r="AF7" s="132" t="s">
        <v>103</v>
      </c>
      <c r="AG7" s="1" t="s">
        <v>95</v>
      </c>
      <c r="AH7" s="148" t="s">
        <v>96</v>
      </c>
      <c r="AO7" s="15"/>
      <c r="AP7" s="4"/>
    </row>
    <row r="8" spans="1:43" x14ac:dyDescent="0.25">
      <c r="B8" s="14">
        <v>7</v>
      </c>
      <c r="C8" s="147" t="s">
        <v>97</v>
      </c>
      <c r="D8" s="132" t="s">
        <v>107</v>
      </c>
      <c r="E8" s="59" t="s">
        <v>98</v>
      </c>
      <c r="F8" s="132" t="s">
        <v>99</v>
      </c>
      <c r="G8" s="98" t="s">
        <v>93</v>
      </c>
      <c r="H8" s="104" t="s">
        <v>103</v>
      </c>
      <c r="I8" s="59" t="s">
        <v>95</v>
      </c>
      <c r="J8" s="149" t="s">
        <v>109</v>
      </c>
      <c r="K8" s="147" t="s">
        <v>97</v>
      </c>
      <c r="L8" s="104" t="s">
        <v>107</v>
      </c>
      <c r="M8" s="59" t="s">
        <v>98</v>
      </c>
      <c r="N8" s="138" t="s">
        <v>108</v>
      </c>
      <c r="O8" s="98" t="s">
        <v>93</v>
      </c>
      <c r="P8" s="132" t="s">
        <v>107</v>
      </c>
      <c r="Q8" s="59" t="s">
        <v>95</v>
      </c>
      <c r="R8" s="132" t="s">
        <v>103</v>
      </c>
      <c r="S8" s="147" t="s">
        <v>97</v>
      </c>
      <c r="T8" s="132" t="s">
        <v>107</v>
      </c>
      <c r="U8" s="59" t="s">
        <v>98</v>
      </c>
      <c r="V8" s="132" t="s">
        <v>99</v>
      </c>
      <c r="W8" s="1" t="s">
        <v>93</v>
      </c>
      <c r="X8" s="132" t="s">
        <v>107</v>
      </c>
      <c r="Y8" s="59" t="s">
        <v>95</v>
      </c>
      <c r="Z8" s="149" t="s">
        <v>100</v>
      </c>
      <c r="AA8" s="147" t="s">
        <v>97</v>
      </c>
      <c r="AB8" s="132" t="s">
        <v>107</v>
      </c>
      <c r="AC8" s="59" t="s">
        <v>98</v>
      </c>
      <c r="AD8" s="132" t="s">
        <v>99</v>
      </c>
      <c r="AE8" s="62" t="s">
        <v>93</v>
      </c>
      <c r="AF8" s="132" t="s">
        <v>107</v>
      </c>
      <c r="AG8" s="1" t="s">
        <v>95</v>
      </c>
      <c r="AH8" s="149" t="s">
        <v>103</v>
      </c>
      <c r="AO8" s="4"/>
      <c r="AP8" s="4"/>
    </row>
    <row r="9" spans="1:43" x14ac:dyDescent="0.25">
      <c r="B9" s="14">
        <v>8</v>
      </c>
      <c r="C9" s="147" t="s">
        <v>98</v>
      </c>
      <c r="D9" s="132" t="s">
        <v>99</v>
      </c>
      <c r="E9" s="59" t="s">
        <v>93</v>
      </c>
      <c r="F9" s="132" t="s">
        <v>103</v>
      </c>
      <c r="G9" s="98" t="s">
        <v>95</v>
      </c>
      <c r="H9" s="138" t="s">
        <v>96</v>
      </c>
      <c r="I9" s="59" t="s">
        <v>97</v>
      </c>
      <c r="J9" s="148" t="s">
        <v>105</v>
      </c>
      <c r="K9" s="147" t="s">
        <v>98</v>
      </c>
      <c r="L9" s="138" t="s">
        <v>101</v>
      </c>
      <c r="M9" s="59" t="s">
        <v>93</v>
      </c>
      <c r="N9" s="104" t="s">
        <v>102</v>
      </c>
      <c r="O9" s="98" t="s">
        <v>95</v>
      </c>
      <c r="P9" s="132" t="s">
        <v>100</v>
      </c>
      <c r="Q9" s="59" t="s">
        <v>97</v>
      </c>
      <c r="R9" s="138" t="s">
        <v>105</v>
      </c>
      <c r="S9" s="147" t="s">
        <v>98</v>
      </c>
      <c r="T9" s="132" t="s">
        <v>101</v>
      </c>
      <c r="U9" s="59" t="s">
        <v>93</v>
      </c>
      <c r="V9" s="132" t="s">
        <v>103</v>
      </c>
      <c r="W9" s="1" t="s">
        <v>95</v>
      </c>
      <c r="X9" s="132" t="s">
        <v>102</v>
      </c>
      <c r="Y9" s="59" t="s">
        <v>97</v>
      </c>
      <c r="Z9" s="148" t="s">
        <v>105</v>
      </c>
      <c r="AA9" s="147" t="s">
        <v>98</v>
      </c>
      <c r="AB9" s="132" t="s">
        <v>108</v>
      </c>
      <c r="AC9" s="59" t="s">
        <v>93</v>
      </c>
      <c r="AD9" s="132" t="s">
        <v>103</v>
      </c>
      <c r="AE9" s="62" t="s">
        <v>95</v>
      </c>
      <c r="AF9" s="132" t="s">
        <v>102</v>
      </c>
      <c r="AG9" s="1" t="s">
        <v>97</v>
      </c>
      <c r="AH9" s="148" t="s">
        <v>105</v>
      </c>
      <c r="AO9" s="4"/>
      <c r="AP9" s="4"/>
    </row>
    <row r="10" spans="1:43" x14ac:dyDescent="0.25">
      <c r="B10" s="14">
        <v>9</v>
      </c>
      <c r="C10" s="147" t="s">
        <v>98</v>
      </c>
      <c r="D10" s="132" t="s">
        <v>99</v>
      </c>
      <c r="E10" s="59" t="s">
        <v>93</v>
      </c>
      <c r="F10" s="132" t="s">
        <v>107</v>
      </c>
      <c r="G10" s="98" t="s">
        <v>95</v>
      </c>
      <c r="H10" s="104" t="s">
        <v>109</v>
      </c>
      <c r="I10" s="60" t="s">
        <v>97</v>
      </c>
      <c r="J10" s="146" t="s">
        <v>107</v>
      </c>
      <c r="K10" s="147" t="s">
        <v>98</v>
      </c>
      <c r="L10" s="138" t="s">
        <v>108</v>
      </c>
      <c r="M10" s="59" t="s">
        <v>93</v>
      </c>
      <c r="N10" s="104" t="s">
        <v>107</v>
      </c>
      <c r="O10" s="98" t="s">
        <v>95</v>
      </c>
      <c r="P10" s="132" t="s">
        <v>103</v>
      </c>
      <c r="Q10" s="60" t="s">
        <v>97</v>
      </c>
      <c r="R10" s="132" t="s">
        <v>107</v>
      </c>
      <c r="S10" s="147" t="s">
        <v>98</v>
      </c>
      <c r="T10" s="132" t="s">
        <v>108</v>
      </c>
      <c r="U10" s="59" t="s">
        <v>93</v>
      </c>
      <c r="V10" s="132" t="s">
        <v>107</v>
      </c>
      <c r="W10" s="1" t="s">
        <v>95</v>
      </c>
      <c r="X10" s="138" t="s">
        <v>96</v>
      </c>
      <c r="Y10" s="60" t="s">
        <v>97</v>
      </c>
      <c r="Z10" s="159" t="s">
        <v>109</v>
      </c>
      <c r="AA10" s="147" t="s">
        <v>98</v>
      </c>
      <c r="AB10" s="132" t="s">
        <v>99</v>
      </c>
      <c r="AC10" s="59" t="s">
        <v>93</v>
      </c>
      <c r="AD10" s="132" t="s">
        <v>107</v>
      </c>
      <c r="AE10" s="207" t="s">
        <v>95</v>
      </c>
      <c r="AF10" s="208" t="s">
        <v>96</v>
      </c>
      <c r="AG10" s="206" t="s">
        <v>97</v>
      </c>
      <c r="AH10" s="159" t="s">
        <v>107</v>
      </c>
      <c r="AO10" s="4"/>
      <c r="AP10" s="4"/>
    </row>
    <row r="11" spans="1:43" x14ac:dyDescent="0.25">
      <c r="B11" s="14">
        <v>10</v>
      </c>
      <c r="C11" s="150" t="s">
        <v>110</v>
      </c>
      <c r="D11" s="103"/>
      <c r="E11" s="61" t="s">
        <v>111</v>
      </c>
      <c r="F11" s="103"/>
      <c r="G11" s="96" t="s">
        <v>112</v>
      </c>
      <c r="H11" s="103"/>
      <c r="I11" s="62" t="s">
        <v>113</v>
      </c>
      <c r="J11" s="151"/>
      <c r="K11" s="150" t="s">
        <v>110</v>
      </c>
      <c r="L11" s="103"/>
      <c r="M11" s="61" t="s">
        <v>111</v>
      </c>
      <c r="N11" s="103"/>
      <c r="O11" s="96" t="s">
        <v>112</v>
      </c>
      <c r="P11" s="103"/>
      <c r="Q11" s="62" t="s">
        <v>113</v>
      </c>
      <c r="R11" s="151"/>
      <c r="S11" s="145" t="s">
        <v>110</v>
      </c>
      <c r="T11" s="133" t="s">
        <v>103</v>
      </c>
      <c r="U11" s="58" t="s">
        <v>111</v>
      </c>
      <c r="V11" s="133" t="s">
        <v>100</v>
      </c>
      <c r="W11" s="137" t="s">
        <v>112</v>
      </c>
      <c r="X11" s="133" t="s">
        <v>100</v>
      </c>
      <c r="Y11" s="59" t="s">
        <v>113</v>
      </c>
      <c r="Z11" s="149" t="s">
        <v>108</v>
      </c>
      <c r="AA11" s="150" t="s">
        <v>110</v>
      </c>
      <c r="AB11" s="134" t="s">
        <v>114</v>
      </c>
      <c r="AC11" s="61" t="s">
        <v>111</v>
      </c>
      <c r="AD11" s="133" t="s">
        <v>100</v>
      </c>
      <c r="AE11" s="96" t="s">
        <v>112</v>
      </c>
      <c r="AF11" s="133" t="s">
        <v>114</v>
      </c>
      <c r="AG11" s="62" t="s">
        <v>113</v>
      </c>
      <c r="AH11" s="149" t="s">
        <v>108</v>
      </c>
      <c r="AO11" s="4"/>
      <c r="AP11" s="4"/>
    </row>
    <row r="12" spans="1:43" x14ac:dyDescent="0.25">
      <c r="B12" s="14">
        <v>11</v>
      </c>
      <c r="C12" s="152" t="s">
        <v>110</v>
      </c>
      <c r="D12" s="104"/>
      <c r="E12" s="62" t="s">
        <v>111</v>
      </c>
      <c r="F12" s="104"/>
      <c r="G12" s="98" t="s">
        <v>112</v>
      </c>
      <c r="H12" s="104"/>
      <c r="I12" s="62" t="s">
        <v>113</v>
      </c>
      <c r="J12" s="146"/>
      <c r="K12" s="152" t="s">
        <v>110</v>
      </c>
      <c r="L12" s="104"/>
      <c r="M12" s="62" t="s">
        <v>111</v>
      </c>
      <c r="N12" s="104"/>
      <c r="O12" s="98" t="s">
        <v>112</v>
      </c>
      <c r="P12" s="104"/>
      <c r="Q12" s="62" t="s">
        <v>113</v>
      </c>
      <c r="R12" s="146"/>
      <c r="S12" s="147" t="s">
        <v>110</v>
      </c>
      <c r="T12" s="132" t="s">
        <v>99</v>
      </c>
      <c r="U12" s="59" t="s">
        <v>111</v>
      </c>
      <c r="V12" s="132" t="s">
        <v>108</v>
      </c>
      <c r="W12" s="1" t="s">
        <v>112</v>
      </c>
      <c r="X12" s="132" t="s">
        <v>109</v>
      </c>
      <c r="Y12" s="59" t="s">
        <v>113</v>
      </c>
      <c r="Z12" s="149" t="s">
        <v>99</v>
      </c>
      <c r="AA12" s="152" t="s">
        <v>110</v>
      </c>
      <c r="AB12" s="135" t="s">
        <v>115</v>
      </c>
      <c r="AC12" s="62" t="s">
        <v>111</v>
      </c>
      <c r="AD12" s="132" t="s">
        <v>109</v>
      </c>
      <c r="AE12" s="98" t="s">
        <v>112</v>
      </c>
      <c r="AF12" s="132" t="s">
        <v>115</v>
      </c>
      <c r="AG12" s="62" t="s">
        <v>113</v>
      </c>
      <c r="AH12" s="149" t="s">
        <v>99</v>
      </c>
      <c r="AO12" s="4"/>
      <c r="AP12" s="4"/>
    </row>
    <row r="13" spans="1:43" x14ac:dyDescent="0.25">
      <c r="B13" s="14">
        <v>12</v>
      </c>
      <c r="C13" s="152" t="s">
        <v>111</v>
      </c>
      <c r="D13" s="104"/>
      <c r="E13" s="62" t="s">
        <v>112</v>
      </c>
      <c r="F13" s="104"/>
      <c r="G13" s="98" t="s">
        <v>113</v>
      </c>
      <c r="H13" s="104"/>
      <c r="I13" s="62" t="s">
        <v>110</v>
      </c>
      <c r="J13" s="146"/>
      <c r="K13" s="152" t="s">
        <v>111</v>
      </c>
      <c r="L13" s="104"/>
      <c r="M13" s="62" t="s">
        <v>112</v>
      </c>
      <c r="N13" s="104"/>
      <c r="O13" s="98" t="s">
        <v>113</v>
      </c>
      <c r="P13" s="104"/>
      <c r="Q13" s="62" t="s">
        <v>110</v>
      </c>
      <c r="R13" s="146"/>
      <c r="S13" s="147" t="s">
        <v>111</v>
      </c>
      <c r="T13" s="132" t="s">
        <v>109</v>
      </c>
      <c r="U13" s="59" t="s">
        <v>112</v>
      </c>
      <c r="V13" s="132" t="s">
        <v>109</v>
      </c>
      <c r="W13" s="1" t="s">
        <v>113</v>
      </c>
      <c r="X13" s="132" t="s">
        <v>108</v>
      </c>
      <c r="Y13" s="59" t="s">
        <v>110</v>
      </c>
      <c r="Z13" s="149" t="s">
        <v>107</v>
      </c>
      <c r="AA13" s="152" t="s">
        <v>111</v>
      </c>
      <c r="AB13" s="132" t="s">
        <v>109</v>
      </c>
      <c r="AC13" s="62" t="s">
        <v>112</v>
      </c>
      <c r="AD13" s="135" t="s">
        <v>114</v>
      </c>
      <c r="AE13" s="98" t="s">
        <v>113</v>
      </c>
      <c r="AF13" s="132" t="s">
        <v>101</v>
      </c>
      <c r="AG13" s="62" t="s">
        <v>110</v>
      </c>
      <c r="AH13" s="165" t="s">
        <v>114</v>
      </c>
      <c r="AO13" s="4"/>
      <c r="AP13" s="4"/>
    </row>
    <row r="14" spans="1:43" x14ac:dyDescent="0.25">
      <c r="B14" s="14">
        <v>13</v>
      </c>
      <c r="C14" s="152" t="s">
        <v>111</v>
      </c>
      <c r="D14" s="104"/>
      <c r="E14" s="62" t="s">
        <v>112</v>
      </c>
      <c r="F14" s="104"/>
      <c r="G14" s="98" t="s">
        <v>113</v>
      </c>
      <c r="H14" s="104"/>
      <c r="I14" s="62" t="s">
        <v>110</v>
      </c>
      <c r="J14" s="146"/>
      <c r="K14" s="152" t="s">
        <v>111</v>
      </c>
      <c r="L14" s="104"/>
      <c r="M14" s="62" t="s">
        <v>112</v>
      </c>
      <c r="N14" s="104"/>
      <c r="O14" s="98" t="s">
        <v>113</v>
      </c>
      <c r="P14" s="104"/>
      <c r="Q14" s="62" t="s">
        <v>110</v>
      </c>
      <c r="R14" s="146"/>
      <c r="S14" s="147" t="s">
        <v>111</v>
      </c>
      <c r="T14" s="132" t="s">
        <v>99</v>
      </c>
      <c r="U14" s="59" t="s">
        <v>112</v>
      </c>
      <c r="V14" s="132" t="s">
        <v>99</v>
      </c>
      <c r="W14" s="1" t="s">
        <v>113</v>
      </c>
      <c r="X14" s="132" t="s">
        <v>99</v>
      </c>
      <c r="Y14" s="59" t="s">
        <v>110</v>
      </c>
      <c r="Z14" s="149" t="s">
        <v>103</v>
      </c>
      <c r="AA14" s="152" t="s">
        <v>111</v>
      </c>
      <c r="AB14" s="132" t="s">
        <v>100</v>
      </c>
      <c r="AC14" s="62" t="s">
        <v>112</v>
      </c>
      <c r="AD14" s="135" t="s">
        <v>115</v>
      </c>
      <c r="AE14" s="98" t="s">
        <v>113</v>
      </c>
      <c r="AF14" s="132" t="s">
        <v>99</v>
      </c>
      <c r="AG14" s="62" t="s">
        <v>110</v>
      </c>
      <c r="AH14" s="165" t="s">
        <v>115</v>
      </c>
      <c r="AO14" s="4"/>
      <c r="AP14" s="4"/>
    </row>
    <row r="15" spans="1:43" x14ac:dyDescent="0.25">
      <c r="B15" s="14">
        <v>14</v>
      </c>
      <c r="C15" s="152" t="s">
        <v>112</v>
      </c>
      <c r="D15" s="104"/>
      <c r="E15" s="62" t="s">
        <v>113</v>
      </c>
      <c r="F15" s="104"/>
      <c r="G15" s="98" t="s">
        <v>110</v>
      </c>
      <c r="H15" s="104"/>
      <c r="I15" s="62" t="s">
        <v>111</v>
      </c>
      <c r="J15" s="146"/>
      <c r="K15" s="152" t="s">
        <v>112</v>
      </c>
      <c r="L15" s="104"/>
      <c r="M15" s="62" t="s">
        <v>113</v>
      </c>
      <c r="N15" s="104"/>
      <c r="O15" s="98" t="s">
        <v>110</v>
      </c>
      <c r="P15" s="104"/>
      <c r="Q15" s="62" t="s">
        <v>111</v>
      </c>
      <c r="R15" s="146"/>
      <c r="S15" s="147" t="s">
        <v>112</v>
      </c>
      <c r="T15" s="132"/>
      <c r="U15" s="59" t="s">
        <v>113</v>
      </c>
      <c r="V15" s="132"/>
      <c r="W15" s="1" t="s">
        <v>110</v>
      </c>
      <c r="X15" s="132"/>
      <c r="Y15" s="59" t="s">
        <v>111</v>
      </c>
      <c r="Z15" s="149"/>
      <c r="AA15" s="152" t="s">
        <v>112</v>
      </c>
      <c r="AB15" s="135" t="s">
        <v>116</v>
      </c>
      <c r="AC15" s="62" t="s">
        <v>113</v>
      </c>
      <c r="AD15" s="132" t="s">
        <v>101</v>
      </c>
      <c r="AE15" s="98" t="s">
        <v>110</v>
      </c>
      <c r="AF15" s="135" t="s">
        <v>116</v>
      </c>
      <c r="AG15" s="62" t="s">
        <v>111</v>
      </c>
      <c r="AH15" s="149" t="s">
        <v>100</v>
      </c>
      <c r="AO15" s="4"/>
      <c r="AP15" s="4"/>
    </row>
    <row r="16" spans="1:43" x14ac:dyDescent="0.25">
      <c r="B16" s="14">
        <v>15</v>
      </c>
      <c r="C16" s="152" t="s">
        <v>112</v>
      </c>
      <c r="D16" s="104"/>
      <c r="E16" s="62" t="s">
        <v>113</v>
      </c>
      <c r="F16" s="104"/>
      <c r="G16" s="98" t="s">
        <v>110</v>
      </c>
      <c r="H16" s="104"/>
      <c r="I16" s="62" t="s">
        <v>111</v>
      </c>
      <c r="J16" s="146"/>
      <c r="K16" s="152" t="s">
        <v>112</v>
      </c>
      <c r="L16" s="104"/>
      <c r="M16" s="62" t="s">
        <v>113</v>
      </c>
      <c r="N16" s="104"/>
      <c r="O16" s="98" t="s">
        <v>110</v>
      </c>
      <c r="P16" s="104"/>
      <c r="Q16" s="62" t="s">
        <v>111</v>
      </c>
      <c r="R16" s="146"/>
      <c r="S16" s="147" t="s">
        <v>112</v>
      </c>
      <c r="T16" s="132"/>
      <c r="U16" s="59" t="s">
        <v>113</v>
      </c>
      <c r="V16" s="132"/>
      <c r="W16" s="1" t="s">
        <v>110</v>
      </c>
      <c r="X16" s="132"/>
      <c r="Y16" s="59" t="s">
        <v>111</v>
      </c>
      <c r="Z16" s="149"/>
      <c r="AA16" s="152" t="s">
        <v>112</v>
      </c>
      <c r="AB16" s="135" t="s">
        <v>115</v>
      </c>
      <c r="AC16" s="62" t="s">
        <v>113</v>
      </c>
      <c r="AD16" s="132" t="s">
        <v>99</v>
      </c>
      <c r="AE16" s="98" t="s">
        <v>110</v>
      </c>
      <c r="AF16" s="135" t="s">
        <v>115</v>
      </c>
      <c r="AG16" s="62" t="s">
        <v>111</v>
      </c>
      <c r="AH16" s="149" t="s">
        <v>109</v>
      </c>
      <c r="AO16" s="4"/>
      <c r="AP16" s="4"/>
    </row>
    <row r="17" spans="1:34" x14ac:dyDescent="0.25">
      <c r="B17" s="14">
        <v>16</v>
      </c>
      <c r="C17" s="152" t="s">
        <v>113</v>
      </c>
      <c r="D17" s="104"/>
      <c r="E17" s="62" t="s">
        <v>110</v>
      </c>
      <c r="F17" s="104"/>
      <c r="G17" s="98" t="s">
        <v>111</v>
      </c>
      <c r="H17" s="104"/>
      <c r="I17" s="62" t="s">
        <v>112</v>
      </c>
      <c r="J17" s="146"/>
      <c r="K17" s="152" t="s">
        <v>113</v>
      </c>
      <c r="L17" s="104"/>
      <c r="M17" s="62" t="s">
        <v>110</v>
      </c>
      <c r="N17" s="104"/>
      <c r="O17" s="98" t="s">
        <v>111</v>
      </c>
      <c r="P17" s="104"/>
      <c r="Q17" s="62" t="s">
        <v>112</v>
      </c>
      <c r="R17" s="146"/>
      <c r="S17" s="147" t="s">
        <v>113</v>
      </c>
      <c r="T17" s="132"/>
      <c r="U17" s="59" t="s">
        <v>110</v>
      </c>
      <c r="V17" s="132"/>
      <c r="W17" s="1" t="s">
        <v>111</v>
      </c>
      <c r="X17" s="132"/>
      <c r="Y17" s="59" t="s">
        <v>112</v>
      </c>
      <c r="Z17" s="149"/>
      <c r="AA17" s="152" t="s">
        <v>113</v>
      </c>
      <c r="AB17" s="132" t="s">
        <v>101</v>
      </c>
      <c r="AC17" s="62" t="s">
        <v>110</v>
      </c>
      <c r="AD17" s="135" t="s">
        <v>116</v>
      </c>
      <c r="AE17" s="98" t="s">
        <v>111</v>
      </c>
      <c r="AF17" s="132" t="s">
        <v>109</v>
      </c>
      <c r="AG17" s="62" t="s">
        <v>112</v>
      </c>
      <c r="AH17" s="165" t="s">
        <v>116</v>
      </c>
    </row>
    <row r="18" spans="1:34" ht="16.5" thickBot="1" x14ac:dyDescent="0.3">
      <c r="B18" s="14">
        <v>19</v>
      </c>
      <c r="C18" s="153" t="s">
        <v>113</v>
      </c>
      <c r="D18" s="154"/>
      <c r="E18" s="155" t="s">
        <v>110</v>
      </c>
      <c r="F18" s="154"/>
      <c r="G18" s="156" t="s">
        <v>111</v>
      </c>
      <c r="H18" s="154"/>
      <c r="I18" s="155" t="s">
        <v>112</v>
      </c>
      <c r="J18" s="157"/>
      <c r="K18" s="153" t="s">
        <v>113</v>
      </c>
      <c r="L18" s="154"/>
      <c r="M18" s="155" t="s">
        <v>110</v>
      </c>
      <c r="N18" s="154"/>
      <c r="O18" s="156" t="s">
        <v>111</v>
      </c>
      <c r="P18" s="154"/>
      <c r="Q18" s="155" t="s">
        <v>112</v>
      </c>
      <c r="R18" s="157"/>
      <c r="S18" s="160" t="s">
        <v>113</v>
      </c>
      <c r="T18" s="161"/>
      <c r="U18" s="162" t="s">
        <v>110</v>
      </c>
      <c r="V18" s="161"/>
      <c r="W18" s="163" t="s">
        <v>111</v>
      </c>
      <c r="X18" s="161"/>
      <c r="Y18" s="162" t="s">
        <v>112</v>
      </c>
      <c r="Z18" s="164"/>
      <c r="AA18" s="153" t="s">
        <v>113</v>
      </c>
      <c r="AB18" s="161" t="s">
        <v>99</v>
      </c>
      <c r="AC18" s="155" t="s">
        <v>110</v>
      </c>
      <c r="AD18" s="166" t="s">
        <v>115</v>
      </c>
      <c r="AE18" s="156" t="s">
        <v>111</v>
      </c>
      <c r="AF18" s="161" t="s">
        <v>100</v>
      </c>
      <c r="AG18" s="155" t="s">
        <v>112</v>
      </c>
      <c r="AH18" s="167" t="s">
        <v>115</v>
      </c>
    </row>
    <row r="19" spans="1:34" x14ac:dyDescent="0.25">
      <c r="D19" s="202" t="s">
        <v>117</v>
      </c>
      <c r="F19" s="202" t="s">
        <v>117</v>
      </c>
      <c r="H19" s="202" t="s">
        <v>117</v>
      </c>
      <c r="J19" s="203" t="s">
        <v>118</v>
      </c>
      <c r="L19" s="202" t="s">
        <v>117</v>
      </c>
      <c r="N19" s="202" t="s">
        <v>117</v>
      </c>
      <c r="P19" s="202" t="s">
        <v>117</v>
      </c>
      <c r="R19" s="202" t="s">
        <v>117</v>
      </c>
      <c r="T19" s="1" t="s">
        <v>119</v>
      </c>
      <c r="V19" s="1" t="s">
        <v>119</v>
      </c>
      <c r="X19" s="1" t="s">
        <v>119</v>
      </c>
      <c r="Z19" s="1" t="s">
        <v>119</v>
      </c>
      <c r="AB19" s="57" t="s">
        <v>120</v>
      </c>
      <c r="AD19" s="57" t="s">
        <v>120</v>
      </c>
      <c r="AF19" s="57" t="s">
        <v>120</v>
      </c>
      <c r="AH19" s="57" t="s">
        <v>120</v>
      </c>
    </row>
    <row r="20" spans="1:34" x14ac:dyDescent="0.25">
      <c r="D20" s="139" t="s">
        <v>121</v>
      </c>
      <c r="F20" s="139" t="s">
        <v>121</v>
      </c>
      <c r="H20" s="139" t="s">
        <v>121</v>
      </c>
      <c r="J20" s="139" t="s">
        <v>121</v>
      </c>
      <c r="L20" s="139" t="s">
        <v>121</v>
      </c>
      <c r="N20" s="139" t="s">
        <v>121</v>
      </c>
      <c r="P20" s="139" t="s">
        <v>121</v>
      </c>
      <c r="R20" s="139" t="s">
        <v>121</v>
      </c>
      <c r="T20" s="139" t="s">
        <v>121</v>
      </c>
      <c r="V20" s="139" t="s">
        <v>121</v>
      </c>
      <c r="X20" s="139" t="s">
        <v>121</v>
      </c>
      <c r="Z20" s="139" t="s">
        <v>121</v>
      </c>
      <c r="AB20" s="57"/>
      <c r="AD20" s="57"/>
      <c r="AF20" s="57"/>
      <c r="AH20" s="57"/>
    </row>
    <row r="21" spans="1:34" x14ac:dyDescent="0.25">
      <c r="A21"/>
      <c r="AB21" s="1" t="s">
        <v>119</v>
      </c>
      <c r="AD21" s="1" t="s">
        <v>119</v>
      </c>
      <c r="AF21" s="1" t="s">
        <v>119</v>
      </c>
      <c r="AH21" s="1" t="s">
        <v>119</v>
      </c>
    </row>
    <row r="22" spans="1:34" x14ac:dyDescent="0.25">
      <c r="A22" s="85" t="s">
        <v>122</v>
      </c>
      <c r="C22" s="99" t="s">
        <v>49</v>
      </c>
      <c r="D22" s="99" t="s">
        <v>53</v>
      </c>
      <c r="E22" s="99" t="s">
        <v>54</v>
      </c>
      <c r="F22" s="99" t="s">
        <v>56</v>
      </c>
      <c r="AB22" s="139" t="s">
        <v>121</v>
      </c>
      <c r="AD22" s="139" t="s">
        <v>121</v>
      </c>
      <c r="AF22" s="139" t="s">
        <v>121</v>
      </c>
      <c r="AH22" s="139" t="s">
        <v>121</v>
      </c>
    </row>
    <row r="23" spans="1:34" x14ac:dyDescent="0.25">
      <c r="A23" s="85"/>
      <c r="B23" s="14">
        <v>2</v>
      </c>
      <c r="C23" s="93" t="s">
        <v>123</v>
      </c>
      <c r="D23" s="136" t="s">
        <v>124</v>
      </c>
      <c r="E23" s="93" t="s">
        <v>125</v>
      </c>
      <c r="F23" s="93" t="s">
        <v>114</v>
      </c>
    </row>
    <row r="24" spans="1:34" x14ac:dyDescent="0.25">
      <c r="A24"/>
      <c r="B24" s="14">
        <v>3</v>
      </c>
      <c r="C24" s="93" t="s">
        <v>126</v>
      </c>
      <c r="D24" s="93"/>
      <c r="E24" s="93" t="s">
        <v>126</v>
      </c>
      <c r="F24" s="93" t="s">
        <v>127</v>
      </c>
    </row>
    <row r="25" spans="1:34" x14ac:dyDescent="0.25">
      <c r="A25"/>
      <c r="B25" s="14">
        <v>4</v>
      </c>
      <c r="C25" s="93" t="s">
        <v>128</v>
      </c>
      <c r="D25" s="93"/>
      <c r="E25" s="93" t="s">
        <v>128</v>
      </c>
      <c r="F25" s="93" t="s">
        <v>129</v>
      </c>
    </row>
    <row r="26" spans="1:34" x14ac:dyDescent="0.25">
      <c r="A26"/>
      <c r="B26" s="14">
        <v>5</v>
      </c>
      <c r="C26" s="93" t="s">
        <v>130</v>
      </c>
      <c r="D26" s="93"/>
      <c r="E26" s="93" t="s">
        <v>130</v>
      </c>
      <c r="F26" s="93" t="s">
        <v>131</v>
      </c>
    </row>
    <row r="27" spans="1:34" x14ac:dyDescent="0.25">
      <c r="A27"/>
      <c r="B27" s="14">
        <v>6</v>
      </c>
      <c r="C27" s="93" t="s">
        <v>132</v>
      </c>
      <c r="D27" s="93"/>
      <c r="E27" s="93" t="s">
        <v>132</v>
      </c>
      <c r="F27" s="93" t="s">
        <v>116</v>
      </c>
    </row>
    <row r="28" spans="1:34" x14ac:dyDescent="0.25">
      <c r="A28"/>
      <c r="B28" s="14">
        <v>7</v>
      </c>
      <c r="C28" s="93" t="s">
        <v>133</v>
      </c>
      <c r="D28" s="93"/>
      <c r="E28" s="93" t="s">
        <v>133</v>
      </c>
      <c r="F28" s="93" t="s">
        <v>134</v>
      </c>
    </row>
    <row r="29" spans="1:34" x14ac:dyDescent="0.25">
      <c r="A29"/>
      <c r="B29" s="14">
        <v>8</v>
      </c>
      <c r="C29" s="93" t="s">
        <v>135</v>
      </c>
      <c r="D29" s="93"/>
      <c r="E29" s="93" t="s">
        <v>135</v>
      </c>
      <c r="F29" s="93" t="s">
        <v>136</v>
      </c>
    </row>
    <row r="30" spans="1:34" x14ac:dyDescent="0.25">
      <c r="A30"/>
      <c r="B30" s="14">
        <v>9</v>
      </c>
      <c r="C30" s="93"/>
      <c r="D30" s="93"/>
      <c r="E30" s="93"/>
      <c r="F30" s="93" t="s">
        <v>131</v>
      </c>
    </row>
    <row r="31" spans="1:34" x14ac:dyDescent="0.25">
      <c r="B31" s="14">
        <v>10</v>
      </c>
      <c r="C31" s="93"/>
      <c r="D31" s="93"/>
      <c r="E31" s="93"/>
      <c r="F31" s="93" t="s">
        <v>137</v>
      </c>
    </row>
    <row r="32" spans="1:34" ht="15.75" customHeight="1" x14ac:dyDescent="0.25">
      <c r="B32" s="14">
        <v>11</v>
      </c>
      <c r="C32" s="93"/>
      <c r="D32" s="93"/>
      <c r="E32" s="93"/>
      <c r="F32" s="93" t="s">
        <v>126</v>
      </c>
    </row>
    <row r="33" spans="1:6" x14ac:dyDescent="0.25">
      <c r="B33" s="14">
        <v>12</v>
      </c>
      <c r="C33" s="93"/>
      <c r="D33" s="93"/>
      <c r="E33" s="93"/>
      <c r="F33" s="93" t="s">
        <v>128</v>
      </c>
    </row>
    <row r="34" spans="1:6" ht="15.75" customHeight="1" x14ac:dyDescent="0.25">
      <c r="B34" s="14">
        <v>13</v>
      </c>
      <c r="C34" s="93"/>
      <c r="D34" s="93"/>
      <c r="E34" s="93"/>
      <c r="F34" s="93" t="s">
        <v>130</v>
      </c>
    </row>
    <row r="35" spans="1:6" ht="15.75" customHeight="1" x14ac:dyDescent="0.25">
      <c r="A35" s="85"/>
      <c r="B35" s="14">
        <v>14</v>
      </c>
      <c r="C35" s="93"/>
      <c r="D35" s="93"/>
      <c r="E35" s="93"/>
      <c r="F35" s="93" t="s">
        <v>132</v>
      </c>
    </row>
    <row r="36" spans="1:6" x14ac:dyDescent="0.25">
      <c r="A36"/>
      <c r="B36" s="14">
        <v>15</v>
      </c>
      <c r="C36" s="93"/>
      <c r="D36" s="93"/>
      <c r="E36" s="93"/>
      <c r="F36" s="93" t="s">
        <v>133</v>
      </c>
    </row>
    <row r="37" spans="1:6" x14ac:dyDescent="0.25">
      <c r="A37"/>
      <c r="B37" s="14">
        <v>16</v>
      </c>
      <c r="C37" s="94"/>
      <c r="D37" s="94"/>
      <c r="E37" s="94"/>
      <c r="F37" s="94" t="s">
        <v>135</v>
      </c>
    </row>
    <row r="38" spans="1:6" x14ac:dyDescent="0.25">
      <c r="A38"/>
    </row>
    <row r="39" spans="1:6" x14ac:dyDescent="0.25">
      <c r="A39"/>
    </row>
    <row r="40" spans="1:6" x14ac:dyDescent="0.25">
      <c r="A40"/>
    </row>
    <row r="41" spans="1:6" x14ac:dyDescent="0.25">
      <c r="A41"/>
    </row>
    <row r="42" spans="1:6" x14ac:dyDescent="0.25">
      <c r="A42"/>
    </row>
    <row r="43" spans="1:6" x14ac:dyDescent="0.25">
      <c r="A43"/>
    </row>
    <row r="44" spans="1:6" x14ac:dyDescent="0.25">
      <c r="A44"/>
    </row>
    <row r="45" spans="1:6" x14ac:dyDescent="0.25">
      <c r="A45"/>
    </row>
    <row r="46" spans="1:6" x14ac:dyDescent="0.25">
      <c r="A46"/>
    </row>
    <row r="47" spans="1:6" x14ac:dyDescent="0.25">
      <c r="A47"/>
    </row>
    <row r="48" spans="1:6" x14ac:dyDescent="0.25">
      <c r="A48"/>
    </row>
    <row r="49" spans="1:1" x14ac:dyDescent="0.25">
      <c r="A49"/>
    </row>
    <row r="50" spans="1:1" x14ac:dyDescent="0.25">
      <c r="A50"/>
    </row>
    <row r="51" spans="1:1" x14ac:dyDescent="0.25">
      <c r="A51"/>
    </row>
    <row r="52" spans="1:1" x14ac:dyDescent="0.25">
      <c r="A52"/>
    </row>
    <row r="53" spans="1:1" x14ac:dyDescent="0.25">
      <c r="A53"/>
    </row>
    <row r="54" spans="1:1" x14ac:dyDescent="0.25">
      <c r="A54"/>
    </row>
    <row r="55" spans="1:1" x14ac:dyDescent="0.25">
      <c r="A55"/>
    </row>
  </sheetData>
  <conditionalFormatting sqref="T3:T18">
    <cfRule type="duplicateValues" dxfId="24" priority="11"/>
  </conditionalFormatting>
  <conditionalFormatting sqref="V3:V18">
    <cfRule type="duplicateValues" dxfId="23" priority="10"/>
  </conditionalFormatting>
  <conditionalFormatting sqref="X3:X18">
    <cfRule type="duplicateValues" dxfId="22" priority="9"/>
  </conditionalFormatting>
  <conditionalFormatting sqref="Z3:Z18">
    <cfRule type="duplicateValues" dxfId="21" priority="8"/>
  </conditionalFormatting>
  <conditionalFormatting sqref="AB3:AB18">
    <cfRule type="duplicateValues" dxfId="20" priority="7"/>
  </conditionalFormatting>
  <conditionalFormatting sqref="AD3:AD18">
    <cfRule type="duplicateValues" dxfId="19" priority="6"/>
  </conditionalFormatting>
  <conditionalFormatting sqref="AF3:AF18">
    <cfRule type="duplicateValues" dxfId="18" priority="5"/>
  </conditionalFormatting>
  <conditionalFormatting sqref="AH3:AH18">
    <cfRule type="duplicateValues" dxfId="17" priority="4"/>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3"/>
  <sheetViews>
    <sheetView zoomScale="85" zoomScaleNormal="85" workbookViewId="0">
      <pane xSplit="5" ySplit="2" topLeftCell="F3" activePane="bottomRight" state="frozen"/>
      <selection activeCell="D6" sqref="D6"/>
      <selection pane="topRight" activeCell="D6" sqref="D6"/>
      <selection pane="bottomLeft" activeCell="D6" sqref="D6"/>
      <selection pane="bottomRight" activeCell="D6" sqref="D6"/>
    </sheetView>
  </sheetViews>
  <sheetFormatPr defaultRowHeight="15.75" x14ac:dyDescent="0.25"/>
  <cols>
    <col min="1" max="1" width="11.25" customWidth="1"/>
    <col min="2" max="2" width="6.25" style="2" bestFit="1" customWidth="1"/>
    <col min="3" max="3" width="9.875" bestFit="1" customWidth="1"/>
    <col min="4" max="4" width="59.375" bestFit="1" customWidth="1"/>
    <col min="5" max="5" width="9.375" style="2" bestFit="1" customWidth="1"/>
    <col min="6" max="6" width="31.125" bestFit="1" customWidth="1"/>
    <col min="7" max="12" width="6.25" style="2" bestFit="1" customWidth="1"/>
    <col min="13" max="13" width="50.25" customWidth="1"/>
    <col min="14" max="14" width="6.625" bestFit="1" customWidth="1"/>
    <col min="15" max="15" width="6.25" bestFit="1" customWidth="1"/>
    <col min="16" max="16" width="6.625" bestFit="1" customWidth="1"/>
    <col min="17" max="17" width="7.125" bestFit="1" customWidth="1"/>
  </cols>
  <sheetData>
    <row r="1" spans="1:18" x14ac:dyDescent="0.25">
      <c r="A1" s="52">
        <f>COLUMN()</f>
        <v>1</v>
      </c>
      <c r="B1" s="52">
        <f>COLUMN()</f>
        <v>2</v>
      </c>
      <c r="C1" s="52">
        <f>COLUMN()</f>
        <v>3</v>
      </c>
      <c r="D1" s="52">
        <f>COLUMN()</f>
        <v>4</v>
      </c>
      <c r="E1" s="52">
        <f>COLUMN()</f>
        <v>5</v>
      </c>
      <c r="F1" s="52">
        <f>COLUMN()</f>
        <v>6</v>
      </c>
      <c r="G1" s="52">
        <f>COLUMN()</f>
        <v>7</v>
      </c>
      <c r="H1" s="52">
        <f>COLUMN()</f>
        <v>8</v>
      </c>
      <c r="I1" s="52">
        <f>COLUMN()</f>
        <v>9</v>
      </c>
      <c r="J1" s="52">
        <f>COLUMN()</f>
        <v>10</v>
      </c>
      <c r="K1" s="52">
        <f>COLUMN()</f>
        <v>11</v>
      </c>
      <c r="L1" s="52">
        <f>COLUMN()</f>
        <v>12</v>
      </c>
      <c r="M1" s="52">
        <f>COLUMN()</f>
        <v>13</v>
      </c>
      <c r="N1" s="52">
        <f>COLUMN()</f>
        <v>14</v>
      </c>
      <c r="O1" s="52">
        <f>COLUMN()</f>
        <v>15</v>
      </c>
      <c r="P1" s="52">
        <f>COLUMN()</f>
        <v>16</v>
      </c>
      <c r="Q1" s="52">
        <f>COLUMN()</f>
        <v>17</v>
      </c>
    </row>
    <row r="2" spans="1:18" ht="64.5" x14ac:dyDescent="0.25">
      <c r="A2" s="171" t="s">
        <v>0</v>
      </c>
      <c r="B2" s="171" t="s">
        <v>1</v>
      </c>
      <c r="C2" s="171" t="s">
        <v>2</v>
      </c>
      <c r="D2" s="171" t="s">
        <v>138</v>
      </c>
      <c r="E2" s="171" t="s">
        <v>5</v>
      </c>
      <c r="F2" s="171" t="s">
        <v>244</v>
      </c>
      <c r="G2" s="102" t="s">
        <v>139</v>
      </c>
      <c r="H2" s="102" t="s">
        <v>140</v>
      </c>
      <c r="I2" s="102" t="s">
        <v>23</v>
      </c>
      <c r="J2" s="102" t="s">
        <v>24</v>
      </c>
      <c r="K2" s="102" t="s">
        <v>25</v>
      </c>
      <c r="L2" s="102" t="s">
        <v>26</v>
      </c>
      <c r="M2" s="171" t="s">
        <v>141</v>
      </c>
      <c r="N2" s="102" t="s">
        <v>49</v>
      </c>
      <c r="O2" s="102" t="s">
        <v>53</v>
      </c>
      <c r="P2" s="102" t="s">
        <v>54</v>
      </c>
      <c r="Q2" s="102" t="s">
        <v>56</v>
      </c>
      <c r="R2" s="3"/>
    </row>
    <row r="3" spans="1:18" x14ac:dyDescent="0.25">
      <c r="A3" t="s">
        <v>115</v>
      </c>
      <c r="C3" s="2"/>
      <c r="D3" t="s">
        <v>142</v>
      </c>
      <c r="F3" s="225"/>
      <c r="G3" s="173" t="str">
        <f>IFERROR(IF(VLOOKUP(TableHandbook[[#This Row],[UDC]],TableAvailabilities[],2,FALSE)&gt;0,"Y",""),"")</f>
        <v/>
      </c>
      <c r="H3" s="173" t="str">
        <f>IFERROR(IF(VLOOKUP(TableHandbook[[#This Row],[UDC]],TableAvailabilities[],3,FALSE)&gt;0,"Y",""),"")</f>
        <v/>
      </c>
      <c r="I3" s="173" t="str">
        <f>IFERROR(IF(VLOOKUP(TableHandbook[[#This Row],[UDC]],TableAvailabilities[],4,FALSE)&gt;0,"Y",""),"")</f>
        <v/>
      </c>
      <c r="J3" s="173" t="str">
        <f>IFERROR(IF(VLOOKUP(TableHandbook[[#This Row],[UDC]],TableAvailabilities[],5,FALSE)&gt;0,"Y",""),"")</f>
        <v/>
      </c>
      <c r="K3" s="173" t="str">
        <f>IFERROR(IF(VLOOKUP(TableHandbook[[#This Row],[UDC]],TableAvailabilities[],6,FALSE)&gt;0,"Y",""),"")</f>
        <v/>
      </c>
      <c r="L3" s="173" t="str">
        <f>IFERROR(IF(VLOOKUP(TableHandbook[[#This Row],[UDC]],TableAvailabilities[],7,FALSE)&gt;0,"Y",""),"")</f>
        <v/>
      </c>
      <c r="M3" s="181"/>
      <c r="N3" s="172" t="str">
        <f>IFERROR(VLOOKUP(TableHandbook[[#This Row],[UDC]],TableOGARCREC[],7,FALSE),"")</f>
        <v/>
      </c>
      <c r="O3" s="172" t="str">
        <f>IFERROR(VLOOKUP(TableHandbook[[#This Row],[UDC]],TableOGINFLSC[],7,FALSE),"")</f>
        <v/>
      </c>
      <c r="P3" s="172" t="str">
        <f>IFERROR(VLOOKUP(TableHandbook[[#This Row],[UDC]],TableOMINFSCI[],7,FALSE),"")</f>
        <v/>
      </c>
      <c r="Q3" s="172" t="str">
        <f>IFERROR(VLOOKUP(TableHandbook[[#This Row],[UDC]],TableOMINFSCX[],7,FALSE),"")</f>
        <v/>
      </c>
      <c r="R3" s="3"/>
    </row>
    <row r="4" spans="1:18" x14ac:dyDescent="0.25">
      <c r="A4" t="s">
        <v>124</v>
      </c>
      <c r="C4" s="2"/>
      <c r="D4" t="s">
        <v>143</v>
      </c>
      <c r="F4" s="225"/>
      <c r="G4" s="173" t="str">
        <f>IFERROR(IF(VLOOKUP(TableHandbook[[#This Row],[UDC]],TableAvailabilities[],2,FALSE)&gt;0,"Y",""),"")</f>
        <v/>
      </c>
      <c r="H4" s="173" t="str">
        <f>IFERROR(IF(VLOOKUP(TableHandbook[[#This Row],[UDC]],TableAvailabilities[],3,FALSE)&gt;0,"Y",""),"")</f>
        <v/>
      </c>
      <c r="I4" s="173" t="str">
        <f>IFERROR(IF(VLOOKUP(TableHandbook[[#This Row],[UDC]],TableAvailabilities[],4,FALSE)&gt;0,"Y",""),"")</f>
        <v/>
      </c>
      <c r="J4" s="173" t="str">
        <f>IFERROR(IF(VLOOKUP(TableHandbook[[#This Row],[UDC]],TableAvailabilities[],5,FALSE)&gt;0,"Y",""),"")</f>
        <v/>
      </c>
      <c r="K4" s="173" t="str">
        <f>IFERROR(IF(VLOOKUP(TableHandbook[[#This Row],[UDC]],TableAvailabilities[],6,FALSE)&gt;0,"Y",""),"")</f>
        <v/>
      </c>
      <c r="L4" s="173" t="str">
        <f>IFERROR(IF(VLOOKUP(TableHandbook[[#This Row],[UDC]],TableAvailabilities[],7,FALSE)&gt;0,"Y",""),"")</f>
        <v/>
      </c>
      <c r="M4" s="181"/>
      <c r="N4" s="172" t="str">
        <f>IFERROR(VLOOKUP(TableHandbook[[#This Row],[UDC]],TableOGARCREC[],7,FALSE),"")</f>
        <v/>
      </c>
      <c r="O4" s="172" t="str">
        <f>IFERROR(VLOOKUP(TableHandbook[[#This Row],[UDC]],TableOGINFLSC[],7,FALSE),"")</f>
        <v/>
      </c>
      <c r="P4" s="172" t="str">
        <f>IFERROR(VLOOKUP(TableHandbook[[#This Row],[UDC]],TableOMINFSCI[],7,FALSE),"")</f>
        <v/>
      </c>
      <c r="Q4" s="172" t="str">
        <f>IFERROR(VLOOKUP(TableHandbook[[#This Row],[UDC]],TableOMINFSCX[],7,FALSE),"")</f>
        <v/>
      </c>
    </row>
    <row r="5" spans="1:18" x14ac:dyDescent="0.25">
      <c r="A5" t="s">
        <v>114</v>
      </c>
      <c r="C5" s="2"/>
      <c r="D5" t="s">
        <v>144</v>
      </c>
      <c r="E5" s="2">
        <v>50</v>
      </c>
      <c r="F5" s="225" t="s">
        <v>145</v>
      </c>
      <c r="G5" s="173" t="str">
        <f>IFERROR(IF(VLOOKUP(TableHandbook[[#This Row],[UDC]],TableAvailabilities[],2,FALSE)&gt;0,"Y",""),"")</f>
        <v/>
      </c>
      <c r="H5" s="173" t="str">
        <f>IFERROR(IF(VLOOKUP(TableHandbook[[#This Row],[UDC]],TableAvailabilities[],3,FALSE)&gt;0,"Y",""),"")</f>
        <v/>
      </c>
      <c r="I5" s="173" t="str">
        <f>IFERROR(IF(VLOOKUP(TableHandbook[[#This Row],[UDC]],TableAvailabilities[],4,FALSE)&gt;0,"Y",""),"")</f>
        <v>Y</v>
      </c>
      <c r="J5" s="173" t="str">
        <f>IFERROR(IF(VLOOKUP(TableHandbook[[#This Row],[UDC]],TableAvailabilities[],5,FALSE)&gt;0,"Y",""),"")</f>
        <v/>
      </c>
      <c r="K5" s="173" t="str">
        <f>IFERROR(IF(VLOOKUP(TableHandbook[[#This Row],[UDC]],TableAvailabilities[],6,FALSE)&gt;0,"Y",""),"")</f>
        <v>Y</v>
      </c>
      <c r="L5" s="173" t="str">
        <f>IFERROR(IF(VLOOKUP(TableHandbook[[#This Row],[UDC]],TableAvailabilities[],7,FALSE)&gt;0,"Y",""),"")</f>
        <v/>
      </c>
      <c r="M5" s="181"/>
      <c r="N5" s="172" t="str">
        <f>IFERROR(VLOOKUP(TableHandbook[[#This Row],[UDC]],TableOGARCREC[],7,FALSE),"")</f>
        <v/>
      </c>
      <c r="O5" s="172" t="str">
        <f>IFERROR(VLOOKUP(TableHandbook[[#This Row],[UDC]],TableOGINFLSC[],7,FALSE),"")</f>
        <v/>
      </c>
      <c r="P5" s="172" t="str">
        <f>IFERROR(VLOOKUP(TableHandbook[[#This Row],[UDC]],TableOMINFSCI[],7,FALSE),"")</f>
        <v/>
      </c>
      <c r="Q5" s="172" t="str">
        <f>IFERROR(VLOOKUP(TableHandbook[[#This Row],[UDC]],TableOMINFSCX[],7,FALSE),"")</f>
        <v>AltCore</v>
      </c>
    </row>
    <row r="6" spans="1:18" x14ac:dyDescent="0.25">
      <c r="A6" t="s">
        <v>116</v>
      </c>
      <c r="C6" s="2"/>
      <c r="D6" t="s">
        <v>146</v>
      </c>
      <c r="E6" s="2">
        <v>50</v>
      </c>
      <c r="F6" s="225" t="s">
        <v>145</v>
      </c>
      <c r="G6" s="173" t="str">
        <f>IFERROR(IF(VLOOKUP(TableHandbook[[#This Row],[UDC]],TableAvailabilities[],2,FALSE)&gt;0,"Y",""),"")</f>
        <v/>
      </c>
      <c r="H6" s="173" t="str">
        <f>IFERROR(IF(VLOOKUP(TableHandbook[[#This Row],[UDC]],TableAvailabilities[],3,FALSE)&gt;0,"Y",""),"")</f>
        <v/>
      </c>
      <c r="I6" s="173" t="str">
        <f>IFERROR(IF(VLOOKUP(TableHandbook[[#This Row],[UDC]],TableAvailabilities[],4,FALSE)&gt;0,"Y",""),"")</f>
        <v>Y</v>
      </c>
      <c r="J6" s="173" t="str">
        <f>IFERROR(IF(VLOOKUP(TableHandbook[[#This Row],[UDC]],TableAvailabilities[],5,FALSE)&gt;0,"Y",""),"")</f>
        <v/>
      </c>
      <c r="K6" s="173" t="str">
        <f>IFERROR(IF(VLOOKUP(TableHandbook[[#This Row],[UDC]],TableAvailabilities[],6,FALSE)&gt;0,"Y",""),"")</f>
        <v>Y</v>
      </c>
      <c r="L6" s="173" t="str">
        <f>IFERROR(IF(VLOOKUP(TableHandbook[[#This Row],[UDC]],TableAvailabilities[],7,FALSE)&gt;0,"Y",""),"")</f>
        <v/>
      </c>
      <c r="M6" s="181"/>
      <c r="N6" s="172" t="str">
        <f>IFERROR(VLOOKUP(TableHandbook[[#This Row],[UDC]],TableOGARCREC[],7,FALSE),"")</f>
        <v/>
      </c>
      <c r="O6" s="172" t="str">
        <f>IFERROR(VLOOKUP(TableHandbook[[#This Row],[UDC]],TableOGINFLSC[],7,FALSE),"")</f>
        <v/>
      </c>
      <c r="P6" s="172" t="str">
        <f>IFERROR(VLOOKUP(TableHandbook[[#This Row],[UDC]],TableOMINFSCI[],7,FALSE),"")</f>
        <v/>
      </c>
      <c r="Q6" s="172" t="str">
        <f>IFERROR(VLOOKUP(TableHandbook[[#This Row],[UDC]],TableOMINFSCX[],7,FALSE),"")</f>
        <v>AltCore</v>
      </c>
    </row>
    <row r="7" spans="1:18" x14ac:dyDescent="0.25">
      <c r="A7" t="s">
        <v>134</v>
      </c>
      <c r="B7" s="2">
        <v>2</v>
      </c>
      <c r="C7" s="2" t="s">
        <v>147</v>
      </c>
      <c r="D7" t="s">
        <v>148</v>
      </c>
      <c r="E7" s="2">
        <v>50</v>
      </c>
      <c r="F7" s="180" t="s">
        <v>149</v>
      </c>
      <c r="G7" s="173" t="str">
        <f>IFERROR(IF(VLOOKUP(TableHandbook[[#This Row],[UDC]],TableAvailabilities[],2,FALSE)&gt;0,"Y",""),"")</f>
        <v/>
      </c>
      <c r="H7" s="173" t="str">
        <f>IFERROR(IF(VLOOKUP(TableHandbook[[#This Row],[UDC]],TableAvailabilities[],3,FALSE)&gt;0,"Y",""),"")</f>
        <v/>
      </c>
      <c r="I7" s="173" t="str">
        <f>IFERROR(IF(VLOOKUP(TableHandbook[[#This Row],[UDC]],TableAvailabilities[],4,FALSE)&gt;0,"Y",""),"")</f>
        <v>Y</v>
      </c>
      <c r="J7" s="173" t="str">
        <f>IFERROR(IF(VLOOKUP(TableHandbook[[#This Row],[UDC]],TableAvailabilities[],5,FALSE)&gt;0,"Y",""),"")</f>
        <v/>
      </c>
      <c r="K7" s="173" t="str">
        <f>IFERROR(IF(VLOOKUP(TableHandbook[[#This Row],[UDC]],TableAvailabilities[],6,FALSE)&gt;0,"Y",""),"")</f>
        <v>Y</v>
      </c>
      <c r="L7" s="173" t="str">
        <f>IFERROR(IF(VLOOKUP(TableHandbook[[#This Row],[UDC]],TableAvailabilities[],7,FALSE)&gt;0,"Y",""),"")</f>
        <v/>
      </c>
      <c r="M7" s="181"/>
      <c r="N7" s="172" t="str">
        <f>IFERROR(VLOOKUP(TableHandbook[[#This Row],[UDC]],TableOGARCREC[],7,FALSE),"")</f>
        <v/>
      </c>
      <c r="O7" s="172" t="str">
        <f>IFERROR(VLOOKUP(TableHandbook[[#This Row],[UDC]],TableOGINFLSC[],7,FALSE),"")</f>
        <v/>
      </c>
      <c r="P7" s="172" t="str">
        <f>IFERROR(VLOOKUP(TableHandbook[[#This Row],[UDC]],TableOMINFSCI[],7,FALSE),"")</f>
        <v/>
      </c>
      <c r="Q7" s="172" t="str">
        <f>IFERROR(VLOOKUP(TableHandbook[[#This Row],[UDC]],TableOMINFSCX[],7,FALSE),"")</f>
        <v>AltCore</v>
      </c>
    </row>
    <row r="8" spans="1:18" x14ac:dyDescent="0.25">
      <c r="A8" t="s">
        <v>127</v>
      </c>
      <c r="B8" s="2">
        <v>1</v>
      </c>
      <c r="C8" s="2" t="s">
        <v>150</v>
      </c>
      <c r="D8" t="s">
        <v>151</v>
      </c>
      <c r="E8" s="2">
        <v>50</v>
      </c>
      <c r="F8" s="180" t="s">
        <v>152</v>
      </c>
      <c r="G8" s="173" t="str">
        <f>IFERROR(IF(VLOOKUP(TableHandbook[[#This Row],[UDC]],TableAvailabilities[],2,FALSE)&gt;0,"Y",""),"")</f>
        <v/>
      </c>
      <c r="H8" s="173" t="str">
        <f>IFERROR(IF(VLOOKUP(TableHandbook[[#This Row],[UDC]],TableAvailabilities[],3,FALSE)&gt;0,"Y",""),"")</f>
        <v/>
      </c>
      <c r="I8" s="173" t="str">
        <f>IFERROR(IF(VLOOKUP(TableHandbook[[#This Row],[UDC]],TableAvailabilities[],4,FALSE)&gt;0,"Y",""),"")</f>
        <v>Y</v>
      </c>
      <c r="J8" s="173" t="str">
        <f>IFERROR(IF(VLOOKUP(TableHandbook[[#This Row],[UDC]],TableAvailabilities[],5,FALSE)&gt;0,"Y",""),"")</f>
        <v/>
      </c>
      <c r="K8" s="173" t="str">
        <f>IFERROR(IF(VLOOKUP(TableHandbook[[#This Row],[UDC]],TableAvailabilities[],6,FALSE)&gt;0,"Y",""),"")</f>
        <v>Y</v>
      </c>
      <c r="L8" s="173" t="str">
        <f>IFERROR(IF(VLOOKUP(TableHandbook[[#This Row],[UDC]],TableAvailabilities[],7,FALSE)&gt;0,"Y",""),"")</f>
        <v/>
      </c>
      <c r="M8" s="181"/>
      <c r="N8" s="172" t="str">
        <f>IFERROR(VLOOKUP(TableHandbook[[#This Row],[UDC]],TableOGARCREC[],7,FALSE),"")</f>
        <v/>
      </c>
      <c r="O8" s="172" t="str">
        <f>IFERROR(VLOOKUP(TableHandbook[[#This Row],[UDC]],TableOGINFLSC[],7,FALSE),"")</f>
        <v/>
      </c>
      <c r="P8" s="172" t="str">
        <f>IFERROR(VLOOKUP(TableHandbook[[#This Row],[UDC]],TableOMINFSCI[],7,FALSE),"")</f>
        <v/>
      </c>
      <c r="Q8" s="172" t="str">
        <f>IFERROR(VLOOKUP(TableHandbook[[#This Row],[UDC]],TableOMINFSCX[],7,FALSE),"")</f>
        <v>AltCore</v>
      </c>
    </row>
    <row r="9" spans="1:18" x14ac:dyDescent="0.25">
      <c r="A9" t="s">
        <v>126</v>
      </c>
      <c r="B9" s="2">
        <v>2</v>
      </c>
      <c r="C9" s="2" t="s">
        <v>153</v>
      </c>
      <c r="D9" t="s">
        <v>154</v>
      </c>
      <c r="E9" s="2">
        <v>25</v>
      </c>
      <c r="F9" s="180" t="s">
        <v>155</v>
      </c>
      <c r="G9" s="173" t="str">
        <f>IFERROR(IF(VLOOKUP(TableHandbook[[#This Row],[UDC]],TableAvailabilities[],2,FALSE)&gt;0,"Y",""),"")</f>
        <v>Y</v>
      </c>
      <c r="H9" s="173" t="str">
        <f>IFERROR(IF(VLOOKUP(TableHandbook[[#This Row],[UDC]],TableAvailabilities[],3,FALSE)&gt;0,"Y",""),"")</f>
        <v/>
      </c>
      <c r="I9" s="173" t="str">
        <f>IFERROR(IF(VLOOKUP(TableHandbook[[#This Row],[UDC]],TableAvailabilities[],4,FALSE)&gt;0,"Y",""),"")</f>
        <v/>
      </c>
      <c r="J9" s="173" t="str">
        <f>IFERROR(IF(VLOOKUP(TableHandbook[[#This Row],[UDC]],TableAvailabilities[],5,FALSE)&gt;0,"Y",""),"")</f>
        <v/>
      </c>
      <c r="K9" s="173" t="str">
        <f>IFERROR(IF(VLOOKUP(TableHandbook[[#This Row],[UDC]],TableAvailabilities[],6,FALSE)&gt;0,"Y",""),"")</f>
        <v/>
      </c>
      <c r="L9" s="173" t="str">
        <f>IFERROR(IF(VLOOKUP(TableHandbook[[#This Row],[UDC]],TableAvailabilities[],7,FALSE)&gt;0,"Y",""),"")</f>
        <v/>
      </c>
      <c r="M9" s="181"/>
      <c r="N9" s="172" t="str">
        <f>IFERROR(VLOOKUP(TableHandbook[[#This Row],[UDC]],TableOGARCREC[],7,FALSE),"")</f>
        <v>Option</v>
      </c>
      <c r="O9" s="172" t="str">
        <f>IFERROR(VLOOKUP(TableHandbook[[#This Row],[UDC]],TableOGINFLSC[],7,FALSE),"")</f>
        <v/>
      </c>
      <c r="P9" s="172" t="str">
        <f>IFERROR(VLOOKUP(TableHandbook[[#This Row],[UDC]],TableOMINFSCI[],7,FALSE),"")</f>
        <v>Option</v>
      </c>
      <c r="Q9" s="172" t="str">
        <f>IFERROR(VLOOKUP(TableHandbook[[#This Row],[UDC]],TableOMINFSCX[],7,FALSE),"")</f>
        <v>Option</v>
      </c>
    </row>
    <row r="10" spans="1:18" x14ac:dyDescent="0.25">
      <c r="A10" t="s">
        <v>128</v>
      </c>
      <c r="B10" s="2">
        <v>2</v>
      </c>
      <c r="C10" s="2" t="s">
        <v>156</v>
      </c>
      <c r="D10" t="s">
        <v>157</v>
      </c>
      <c r="E10" s="2">
        <v>25</v>
      </c>
      <c r="F10" s="180" t="s">
        <v>155</v>
      </c>
      <c r="G10" s="173" t="str">
        <f>IFERROR(IF(VLOOKUP(TableHandbook[[#This Row],[UDC]],TableAvailabilities[],2,FALSE)&gt;0,"Y",""),"")</f>
        <v/>
      </c>
      <c r="H10" s="173" t="str">
        <f>IFERROR(IF(VLOOKUP(TableHandbook[[#This Row],[UDC]],TableAvailabilities[],3,FALSE)&gt;0,"Y",""),"")</f>
        <v>Y</v>
      </c>
      <c r="I10" s="173" t="str">
        <f>IFERROR(IF(VLOOKUP(TableHandbook[[#This Row],[UDC]],TableAvailabilities[],4,FALSE)&gt;0,"Y",""),"")</f>
        <v/>
      </c>
      <c r="J10" s="173" t="str">
        <f>IFERROR(IF(VLOOKUP(TableHandbook[[#This Row],[UDC]],TableAvailabilities[],5,FALSE)&gt;0,"Y",""),"")</f>
        <v/>
      </c>
      <c r="K10" s="173" t="str">
        <f>IFERROR(IF(VLOOKUP(TableHandbook[[#This Row],[UDC]],TableAvailabilities[],6,FALSE)&gt;0,"Y",""),"")</f>
        <v/>
      </c>
      <c r="L10" s="173" t="str">
        <f>IFERROR(IF(VLOOKUP(TableHandbook[[#This Row],[UDC]],TableAvailabilities[],7,FALSE)&gt;0,"Y",""),"")</f>
        <v/>
      </c>
      <c r="M10" s="181"/>
      <c r="N10" s="172" t="str">
        <f>IFERROR(VLOOKUP(TableHandbook[[#This Row],[UDC]],TableOGARCREC[],7,FALSE),"")</f>
        <v>Option</v>
      </c>
      <c r="O10" s="172" t="str">
        <f>IFERROR(VLOOKUP(TableHandbook[[#This Row],[UDC]],TableOGINFLSC[],7,FALSE),"")</f>
        <v/>
      </c>
      <c r="P10" s="172" t="str">
        <f>IFERROR(VLOOKUP(TableHandbook[[#This Row],[UDC]],TableOMINFSCI[],7,FALSE),"")</f>
        <v>Option</v>
      </c>
      <c r="Q10" s="172" t="str">
        <f>IFERROR(VLOOKUP(TableHandbook[[#This Row],[UDC]],TableOMINFSCX[],7,FALSE),"")</f>
        <v>Option</v>
      </c>
    </row>
    <row r="11" spans="1:18" x14ac:dyDescent="0.25">
      <c r="A11" t="s">
        <v>129</v>
      </c>
      <c r="B11" s="2">
        <v>1</v>
      </c>
      <c r="C11" s="2" t="s">
        <v>158</v>
      </c>
      <c r="D11" t="s">
        <v>159</v>
      </c>
      <c r="E11" s="2">
        <v>50</v>
      </c>
      <c r="F11" s="180" t="s">
        <v>152</v>
      </c>
      <c r="G11" s="173" t="str">
        <f>IFERROR(IF(VLOOKUP(TableHandbook[[#This Row],[UDC]],TableAvailabilities[],2,FALSE)&gt;0,"Y",""),"")</f>
        <v/>
      </c>
      <c r="H11" s="173" t="str">
        <f>IFERROR(IF(VLOOKUP(TableHandbook[[#This Row],[UDC]],TableAvailabilities[],3,FALSE)&gt;0,"Y",""),"")</f>
        <v/>
      </c>
      <c r="I11" s="173" t="str">
        <f>IFERROR(IF(VLOOKUP(TableHandbook[[#This Row],[UDC]],TableAvailabilities[],4,FALSE)&gt;0,"Y",""),"")</f>
        <v>Y</v>
      </c>
      <c r="J11" s="173" t="str">
        <f>IFERROR(IF(VLOOKUP(TableHandbook[[#This Row],[UDC]],TableAvailabilities[],5,FALSE)&gt;0,"Y",""),"")</f>
        <v/>
      </c>
      <c r="K11" s="173" t="str">
        <f>IFERROR(IF(VLOOKUP(TableHandbook[[#This Row],[UDC]],TableAvailabilities[],6,FALSE)&gt;0,"Y",""),"")</f>
        <v>Y</v>
      </c>
      <c r="L11" s="173" t="str">
        <f>IFERROR(IF(VLOOKUP(TableHandbook[[#This Row],[UDC]],TableAvailabilities[],7,FALSE)&gt;0,"Y",""),"")</f>
        <v/>
      </c>
      <c r="M11" s="181"/>
      <c r="N11" s="172" t="str">
        <f>IFERROR(VLOOKUP(TableHandbook[[#This Row],[UDC]],TableOGARCREC[],7,FALSE),"")</f>
        <v/>
      </c>
      <c r="O11" s="172" t="str">
        <f>IFERROR(VLOOKUP(TableHandbook[[#This Row],[UDC]],TableOGINFLSC[],7,FALSE),"")</f>
        <v/>
      </c>
      <c r="P11" s="172" t="str">
        <f>IFERROR(VLOOKUP(TableHandbook[[#This Row],[UDC]],TableOMINFSCI[],7,FALSE),"")</f>
        <v/>
      </c>
      <c r="Q11" s="172" t="str">
        <f>IFERROR(VLOOKUP(TableHandbook[[#This Row],[UDC]],TableOMINFSCX[],7,FALSE),"")</f>
        <v>AltCore</v>
      </c>
    </row>
    <row r="12" spans="1:18" x14ac:dyDescent="0.25">
      <c r="A12" t="s">
        <v>136</v>
      </c>
      <c r="B12" s="2">
        <v>1</v>
      </c>
      <c r="C12" s="2" t="s">
        <v>160</v>
      </c>
      <c r="D12" t="s">
        <v>161</v>
      </c>
      <c r="E12" s="2">
        <v>50</v>
      </c>
      <c r="F12" s="180" t="s">
        <v>158</v>
      </c>
      <c r="G12" s="173" t="str">
        <f>IFERROR(IF(VLOOKUP(TableHandbook[[#This Row],[UDC]],TableAvailabilities[],2,FALSE)&gt;0,"Y",""),"")</f>
        <v/>
      </c>
      <c r="H12" s="173" t="str">
        <f>IFERROR(IF(VLOOKUP(TableHandbook[[#This Row],[UDC]],TableAvailabilities[],3,FALSE)&gt;0,"Y",""),"")</f>
        <v/>
      </c>
      <c r="I12" s="173" t="str">
        <f>IFERROR(IF(VLOOKUP(TableHandbook[[#This Row],[UDC]],TableAvailabilities[],4,FALSE)&gt;0,"Y",""),"")</f>
        <v>Y</v>
      </c>
      <c r="J12" s="173" t="str">
        <f>IFERROR(IF(VLOOKUP(TableHandbook[[#This Row],[UDC]],TableAvailabilities[],5,FALSE)&gt;0,"Y",""),"")</f>
        <v/>
      </c>
      <c r="K12" s="173" t="str">
        <f>IFERROR(IF(VLOOKUP(TableHandbook[[#This Row],[UDC]],TableAvailabilities[],6,FALSE)&gt;0,"Y",""),"")</f>
        <v>Y</v>
      </c>
      <c r="L12" s="173" t="str">
        <f>IFERROR(IF(VLOOKUP(TableHandbook[[#This Row],[UDC]],TableAvailabilities[],7,FALSE)&gt;0,"Y",""),"")</f>
        <v/>
      </c>
      <c r="M12" s="181"/>
      <c r="N12" s="172" t="str">
        <f>IFERROR(VLOOKUP(TableHandbook[[#This Row],[UDC]],TableOGARCREC[],7,FALSE),"")</f>
        <v/>
      </c>
      <c r="O12" s="172" t="str">
        <f>IFERROR(VLOOKUP(TableHandbook[[#This Row],[UDC]],TableOGINFLSC[],7,FALSE),"")</f>
        <v/>
      </c>
      <c r="P12" s="172" t="str">
        <f>IFERROR(VLOOKUP(TableHandbook[[#This Row],[UDC]],TableOMINFSCI[],7,FALSE),"")</f>
        <v/>
      </c>
      <c r="Q12" s="172" t="str">
        <f>IFERROR(VLOOKUP(TableHandbook[[#This Row],[UDC]],TableOMINFSCX[],7,FALSE),"")</f>
        <v>AltCore</v>
      </c>
    </row>
    <row r="13" spans="1:18" x14ac:dyDescent="0.25">
      <c r="A13" t="s">
        <v>105</v>
      </c>
      <c r="B13" s="2">
        <v>2</v>
      </c>
      <c r="C13" s="2" t="s">
        <v>162</v>
      </c>
      <c r="D13" t="s">
        <v>163</v>
      </c>
      <c r="E13" s="2">
        <v>25</v>
      </c>
      <c r="F13" s="180" t="s">
        <v>155</v>
      </c>
      <c r="G13" s="173" t="str">
        <f>IFERROR(IF(VLOOKUP(TableHandbook[[#This Row],[UDC]],TableAvailabilities[],2,FALSE)&gt;0,"Y",""),"")</f>
        <v/>
      </c>
      <c r="H13" s="173" t="str">
        <f>IFERROR(IF(VLOOKUP(TableHandbook[[#This Row],[UDC]],TableAvailabilities[],3,FALSE)&gt;0,"Y",""),"")</f>
        <v/>
      </c>
      <c r="I13" s="173" t="str">
        <f>IFERROR(IF(VLOOKUP(TableHandbook[[#This Row],[UDC]],TableAvailabilities[],4,FALSE)&gt;0,"Y",""),"")</f>
        <v/>
      </c>
      <c r="J13" s="173" t="str">
        <f>IFERROR(IF(VLOOKUP(TableHandbook[[#This Row],[UDC]],TableAvailabilities[],5,FALSE)&gt;0,"Y",""),"")</f>
        <v/>
      </c>
      <c r="K13" s="173" t="str">
        <f>IFERROR(IF(VLOOKUP(TableHandbook[[#This Row],[UDC]],TableAvailabilities[],6,FALSE)&gt;0,"Y",""),"")</f>
        <v>Y</v>
      </c>
      <c r="L13" s="173" t="str">
        <f>IFERROR(IF(VLOOKUP(TableHandbook[[#This Row],[UDC]],TableAvailabilities[],7,FALSE)&gt;0,"Y",""),"")</f>
        <v/>
      </c>
      <c r="M13" s="181"/>
      <c r="N13" s="172" t="str">
        <f>IFERROR(VLOOKUP(TableHandbook[[#This Row],[UDC]],TableOGARCREC[],7,FALSE),"")</f>
        <v>Core</v>
      </c>
      <c r="O13" s="172" t="str">
        <f>IFERROR(VLOOKUP(TableHandbook[[#This Row],[UDC]],TableOGINFLSC[],7,FALSE),"")</f>
        <v>Core</v>
      </c>
      <c r="P13" s="172" t="str">
        <f>IFERROR(VLOOKUP(TableHandbook[[#This Row],[UDC]],TableOMINFSCI[],7,FALSE),"")</f>
        <v>Core</v>
      </c>
      <c r="Q13" s="172" t="str">
        <f>IFERROR(VLOOKUP(TableHandbook[[#This Row],[UDC]],TableOMINFSCX[],7,FALSE),"")</f>
        <v>Core</v>
      </c>
    </row>
    <row r="14" spans="1:18" x14ac:dyDescent="0.25">
      <c r="A14" t="s">
        <v>107</v>
      </c>
      <c r="B14" s="2">
        <v>2</v>
      </c>
      <c r="C14" s="2" t="s">
        <v>164</v>
      </c>
      <c r="D14" t="s">
        <v>165</v>
      </c>
      <c r="E14" s="2">
        <v>25</v>
      </c>
      <c r="F14" s="180" t="s">
        <v>166</v>
      </c>
      <c r="G14" s="173" t="str">
        <f>IFERROR(IF(VLOOKUP(TableHandbook[[#This Row],[UDC]],TableAvailabilities[],2,FALSE)&gt;0,"Y",""),"")</f>
        <v/>
      </c>
      <c r="H14" s="173" t="str">
        <f>IFERROR(IF(VLOOKUP(TableHandbook[[#This Row],[UDC]],TableAvailabilities[],3,FALSE)&gt;0,"Y",""),"")</f>
        <v/>
      </c>
      <c r="I14" s="173" t="str">
        <f>IFERROR(IF(VLOOKUP(TableHandbook[[#This Row],[UDC]],TableAvailabilities[],4,FALSE)&gt;0,"Y",""),"")</f>
        <v>Y</v>
      </c>
      <c r="J14" s="173" t="str">
        <f>IFERROR(IF(VLOOKUP(TableHandbook[[#This Row],[UDC]],TableAvailabilities[],5,FALSE)&gt;0,"Y",""),"")</f>
        <v/>
      </c>
      <c r="K14" s="173" t="str">
        <f>IFERROR(IF(VLOOKUP(TableHandbook[[#This Row],[UDC]],TableAvailabilities[],6,FALSE)&gt;0,"Y",""),"")</f>
        <v>Y</v>
      </c>
      <c r="L14" s="173" t="str">
        <f>IFERROR(IF(VLOOKUP(TableHandbook[[#This Row],[UDC]],TableAvailabilities[],7,FALSE)&gt;0,"Y",""),"")</f>
        <v/>
      </c>
      <c r="M14" s="181"/>
      <c r="N14" s="172" t="str">
        <f>IFERROR(VLOOKUP(TableHandbook[[#This Row],[UDC]],TableOGARCREC[],7,FALSE),"")</f>
        <v>Core</v>
      </c>
      <c r="O14" s="172" t="str">
        <f>IFERROR(VLOOKUP(TableHandbook[[#This Row],[UDC]],TableOGINFLSC[],7,FALSE),"")</f>
        <v>Core</v>
      </c>
      <c r="P14" s="172" t="str">
        <f>IFERROR(VLOOKUP(TableHandbook[[#This Row],[UDC]],TableOMINFSCI[],7,FALSE),"")</f>
        <v>Core</v>
      </c>
      <c r="Q14" s="172" t="str">
        <f>IFERROR(VLOOKUP(TableHandbook[[#This Row],[UDC]],TableOMINFSCX[],7,FALSE),"")</f>
        <v>Core</v>
      </c>
    </row>
    <row r="15" spans="1:18" x14ac:dyDescent="0.25">
      <c r="A15" t="s">
        <v>103</v>
      </c>
      <c r="B15" s="2">
        <v>1</v>
      </c>
      <c r="C15" s="2" t="s">
        <v>167</v>
      </c>
      <c r="D15" t="s">
        <v>168</v>
      </c>
      <c r="E15" s="2">
        <v>25</v>
      </c>
      <c r="F15" s="180" t="s">
        <v>155</v>
      </c>
      <c r="G15" s="173" t="str">
        <f>IFERROR(IF(VLOOKUP(TableHandbook[[#This Row],[UDC]],TableAvailabilities[],2,FALSE)&gt;0,"Y",""),"")</f>
        <v/>
      </c>
      <c r="H15" s="173" t="str">
        <f>IFERROR(IF(VLOOKUP(TableHandbook[[#This Row],[UDC]],TableAvailabilities[],3,FALSE)&gt;0,"Y",""),"")</f>
        <v/>
      </c>
      <c r="I15" s="173" t="str">
        <f>IFERROR(IF(VLOOKUP(TableHandbook[[#This Row],[UDC]],TableAvailabilities[],4,FALSE)&gt;0,"Y",""),"")</f>
        <v>Y</v>
      </c>
      <c r="J15" s="173" t="str">
        <f>IFERROR(IF(VLOOKUP(TableHandbook[[#This Row],[UDC]],TableAvailabilities[],5,FALSE)&gt;0,"Y",""),"")</f>
        <v>Y</v>
      </c>
      <c r="K15" s="173" t="str">
        <f>IFERROR(IF(VLOOKUP(TableHandbook[[#This Row],[UDC]],TableAvailabilities[],6,FALSE)&gt;0,"Y",""),"")</f>
        <v/>
      </c>
      <c r="L15" s="173" t="str">
        <f>IFERROR(IF(VLOOKUP(TableHandbook[[#This Row],[UDC]],TableAvailabilities[],7,FALSE)&gt;0,"Y",""),"")</f>
        <v/>
      </c>
      <c r="M15" s="181"/>
      <c r="N15" s="172" t="str">
        <f>IFERROR(VLOOKUP(TableHandbook[[#This Row],[UDC]],TableOGARCREC[],7,FALSE),"")</f>
        <v>Core</v>
      </c>
      <c r="O15" s="172" t="str">
        <f>IFERROR(VLOOKUP(TableHandbook[[#This Row],[UDC]],TableOGINFLSC[],7,FALSE),"")</f>
        <v>Core</v>
      </c>
      <c r="P15" s="172" t="str">
        <f>IFERROR(VLOOKUP(TableHandbook[[#This Row],[UDC]],TableOMINFSCI[],7,FALSE),"")</f>
        <v>Core</v>
      </c>
      <c r="Q15" s="172" t="str">
        <f>IFERROR(VLOOKUP(TableHandbook[[#This Row],[UDC]],TableOMINFSCX[],7,FALSE),"")</f>
        <v>Core</v>
      </c>
    </row>
    <row r="16" spans="1:18" x14ac:dyDescent="0.25">
      <c r="A16" t="s">
        <v>101</v>
      </c>
      <c r="B16" s="2">
        <v>1</v>
      </c>
      <c r="C16" s="2" t="s">
        <v>169</v>
      </c>
      <c r="D16" t="s">
        <v>170</v>
      </c>
      <c r="E16" s="2">
        <v>25</v>
      </c>
      <c r="F16" s="180" t="s">
        <v>155</v>
      </c>
      <c r="G16" s="173" t="str">
        <f>IFERROR(IF(VLOOKUP(TableHandbook[[#This Row],[UDC]],TableAvailabilities[],2,FALSE)&gt;0,"Y",""),"")</f>
        <v/>
      </c>
      <c r="H16" s="173" t="str">
        <f>IFERROR(IF(VLOOKUP(TableHandbook[[#This Row],[UDC]],TableAvailabilities[],3,FALSE)&gt;0,"Y",""),"")</f>
        <v/>
      </c>
      <c r="I16" s="173" t="str">
        <f>IFERROR(IF(VLOOKUP(TableHandbook[[#This Row],[UDC]],TableAvailabilities[],4,FALSE)&gt;0,"Y",""),"")</f>
        <v>Y</v>
      </c>
      <c r="J16" s="173" t="str">
        <f>IFERROR(IF(VLOOKUP(TableHandbook[[#This Row],[UDC]],TableAvailabilities[],5,FALSE)&gt;0,"Y",""),"")</f>
        <v/>
      </c>
      <c r="K16" s="173" t="str">
        <f>IFERROR(IF(VLOOKUP(TableHandbook[[#This Row],[UDC]],TableAvailabilities[],6,FALSE)&gt;0,"Y",""),"")</f>
        <v/>
      </c>
      <c r="L16" s="173" t="str">
        <f>IFERROR(IF(VLOOKUP(TableHandbook[[#This Row],[UDC]],TableAvailabilities[],7,FALSE)&gt;0,"Y",""),"")</f>
        <v>Y</v>
      </c>
      <c r="M16" s="181"/>
      <c r="N16" s="172" t="str">
        <f>IFERROR(VLOOKUP(TableHandbook[[#This Row],[UDC]],TableOGARCREC[],7,FALSE),"")</f>
        <v/>
      </c>
      <c r="O16" s="172" t="str">
        <f>IFERROR(VLOOKUP(TableHandbook[[#This Row],[UDC]],TableOGINFLSC[],7,FALSE),"")</f>
        <v>Core</v>
      </c>
      <c r="P16" s="172" t="str">
        <f>IFERROR(VLOOKUP(TableHandbook[[#This Row],[UDC]],TableOMINFSCI[],7,FALSE),"")</f>
        <v>Core</v>
      </c>
      <c r="Q16" s="172" t="str">
        <f>IFERROR(VLOOKUP(TableHandbook[[#This Row],[UDC]],TableOMINFSCX[],7,FALSE),"")</f>
        <v>Core</v>
      </c>
    </row>
    <row r="17" spans="1:17" x14ac:dyDescent="0.25">
      <c r="A17" t="s">
        <v>106</v>
      </c>
      <c r="B17" s="2">
        <v>1</v>
      </c>
      <c r="C17" s="2" t="s">
        <v>171</v>
      </c>
      <c r="D17" t="s">
        <v>172</v>
      </c>
      <c r="E17" s="2">
        <v>25</v>
      </c>
      <c r="F17" s="180" t="s">
        <v>173</v>
      </c>
      <c r="G17" s="173" t="str">
        <f>IFERROR(IF(VLOOKUP(TableHandbook[[#This Row],[UDC]],TableAvailabilities[],2,FALSE)&gt;0,"Y",""),"")</f>
        <v/>
      </c>
      <c r="H17" s="173" t="str">
        <f>IFERROR(IF(VLOOKUP(TableHandbook[[#This Row],[UDC]],TableAvailabilities[],3,FALSE)&gt;0,"Y",""),"")</f>
        <v/>
      </c>
      <c r="I17" s="173" t="str">
        <f>IFERROR(IF(VLOOKUP(TableHandbook[[#This Row],[UDC]],TableAvailabilities[],4,FALSE)&gt;0,"Y",""),"")</f>
        <v/>
      </c>
      <c r="J17" s="173" t="str">
        <f>IFERROR(IF(VLOOKUP(TableHandbook[[#This Row],[UDC]],TableAvailabilities[],5,FALSE)&gt;0,"Y",""),"")</f>
        <v>Y</v>
      </c>
      <c r="K17" s="173" t="str">
        <f>IFERROR(IF(VLOOKUP(TableHandbook[[#This Row],[UDC]],TableAvailabilities[],6,FALSE)&gt;0,"Y",""),"")</f>
        <v/>
      </c>
      <c r="L17" s="173" t="str">
        <f>IFERROR(IF(VLOOKUP(TableHandbook[[#This Row],[UDC]],TableAvailabilities[],7,FALSE)&gt;0,"Y",""),"")</f>
        <v>Y</v>
      </c>
      <c r="N17" s="172" t="str">
        <f>IFERROR(VLOOKUP(TableHandbook[[#This Row],[UDC]],TableOGARCREC[],7,FALSE),"")</f>
        <v/>
      </c>
      <c r="O17" s="172" t="str">
        <f>IFERROR(VLOOKUP(TableHandbook[[#This Row],[UDC]],TableOGINFLSC[],7,FALSE),"")</f>
        <v>Core</v>
      </c>
      <c r="P17" s="172" t="str">
        <f>IFERROR(VLOOKUP(TableHandbook[[#This Row],[UDC]],TableOMINFSCI[],7,FALSE),"")</f>
        <v>Core</v>
      </c>
      <c r="Q17" s="172" t="str">
        <f>IFERROR(VLOOKUP(TableHandbook[[#This Row],[UDC]],TableOMINFSCX[],7,FALSE),"")</f>
        <v>Core</v>
      </c>
    </row>
    <row r="18" spans="1:17" x14ac:dyDescent="0.25">
      <c r="A18" t="s">
        <v>108</v>
      </c>
      <c r="B18" s="2">
        <v>1</v>
      </c>
      <c r="C18" s="2" t="s">
        <v>171</v>
      </c>
      <c r="D18" t="s">
        <v>172</v>
      </c>
      <c r="E18" s="2">
        <v>25</v>
      </c>
      <c r="F18" s="180" t="s">
        <v>174</v>
      </c>
      <c r="G18" s="173" t="str">
        <f>IFERROR(IF(VLOOKUP(TableHandbook[[#This Row],[UDC]],TableAvailabilities[],2,FALSE)&gt;0,"Y",""),"")</f>
        <v/>
      </c>
      <c r="H18" s="173" t="str">
        <f>IFERROR(IF(VLOOKUP(TableHandbook[[#This Row],[UDC]],TableAvailabilities[],3,FALSE)&gt;0,"Y",""),"")</f>
        <v/>
      </c>
      <c r="I18" s="173" t="str">
        <f>IFERROR(IF(VLOOKUP(TableHandbook[[#This Row],[UDC]],TableAvailabilities[],4,FALSE)&gt;0,"Y",""),"")</f>
        <v/>
      </c>
      <c r="J18" s="173" t="str">
        <f>IFERROR(IF(VLOOKUP(TableHandbook[[#This Row],[UDC]],TableAvailabilities[],5,FALSE)&gt;0,"Y",""),"")</f>
        <v>Y</v>
      </c>
      <c r="K18" s="173" t="str">
        <f>IFERROR(IF(VLOOKUP(TableHandbook[[#This Row],[UDC]],TableAvailabilities[],6,FALSE)&gt;0,"Y",""),"")</f>
        <v/>
      </c>
      <c r="L18" s="173" t="str">
        <f>IFERROR(IF(VLOOKUP(TableHandbook[[#This Row],[UDC]],TableAvailabilities[],7,FALSE)&gt;0,"Y",""),"")</f>
        <v>Y</v>
      </c>
      <c r="M18" s="209" t="s">
        <v>175</v>
      </c>
      <c r="N18" s="172" t="str">
        <f>IFERROR(VLOOKUP(TableHandbook[[#This Row],[UDC]],TableOGARCREC[],7,FALSE),"")</f>
        <v/>
      </c>
      <c r="O18" s="172" t="str">
        <f>IFERROR(VLOOKUP(TableHandbook[[#This Row],[UDC]],TableOGINFLSC[],7,FALSE),"")</f>
        <v>Core</v>
      </c>
      <c r="P18" s="172" t="str">
        <f>IFERROR(VLOOKUP(TableHandbook[[#This Row],[UDC]],TableOMINFSCI[],7,FALSE),"")</f>
        <v>Core</v>
      </c>
      <c r="Q18" s="172" t="str">
        <f>IFERROR(VLOOKUP(TableHandbook[[#This Row],[UDC]],TableOMINFSCX[],7,FALSE),"")</f>
        <v>Core</v>
      </c>
    </row>
    <row r="19" spans="1:17" x14ac:dyDescent="0.25">
      <c r="A19" t="s">
        <v>96</v>
      </c>
      <c r="B19" s="2">
        <v>1</v>
      </c>
      <c r="C19" s="2" t="s">
        <v>176</v>
      </c>
      <c r="D19" t="s">
        <v>177</v>
      </c>
      <c r="E19" s="2">
        <v>25</v>
      </c>
      <c r="F19" s="180" t="s">
        <v>155</v>
      </c>
      <c r="G19" s="173" t="str">
        <f>IFERROR(IF(VLOOKUP(TableHandbook[[#This Row],[UDC]],TableAvailabilities[],2,FALSE)&gt;0,"Y",""),"")</f>
        <v/>
      </c>
      <c r="H19" s="173" t="str">
        <f>IFERROR(IF(VLOOKUP(TableHandbook[[#This Row],[UDC]],TableAvailabilities[],3,FALSE)&gt;0,"Y",""),"")</f>
        <v/>
      </c>
      <c r="I19" s="173" t="str">
        <f>IFERROR(IF(VLOOKUP(TableHandbook[[#This Row],[UDC]],TableAvailabilities[],4,FALSE)&gt;0,"Y",""),"")</f>
        <v/>
      </c>
      <c r="J19" s="173" t="str">
        <f>IFERROR(IF(VLOOKUP(TableHandbook[[#This Row],[UDC]],TableAvailabilities[],5,FALSE)&gt;0,"Y",""),"")</f>
        <v>Y</v>
      </c>
      <c r="K19" s="173" t="str">
        <f>IFERROR(IF(VLOOKUP(TableHandbook[[#This Row],[UDC]],TableAvailabilities[],6,FALSE)&gt;0,"Y",""),"")</f>
        <v/>
      </c>
      <c r="L19" s="173" t="str">
        <f>IFERROR(IF(VLOOKUP(TableHandbook[[#This Row],[UDC]],TableAvailabilities[],7,FALSE)&gt;0,"Y",""),"")</f>
        <v/>
      </c>
      <c r="M19" s="181"/>
      <c r="N19" s="172" t="str">
        <f>IFERROR(VLOOKUP(TableHandbook[[#This Row],[UDC]],TableOGARCREC[],7,FALSE),"")</f>
        <v>Core</v>
      </c>
      <c r="O19" s="172" t="str">
        <f>IFERROR(VLOOKUP(TableHandbook[[#This Row],[UDC]],TableOGINFLSC[],7,FALSE),"")</f>
        <v/>
      </c>
      <c r="P19" s="172" t="str">
        <f>IFERROR(VLOOKUP(TableHandbook[[#This Row],[UDC]],TableOMINFSCI[],7,FALSE),"")</f>
        <v>Core</v>
      </c>
      <c r="Q19" s="172" t="str">
        <f>IFERROR(VLOOKUP(TableHandbook[[#This Row],[UDC]],TableOMINFSCX[],7,FALSE),"")</f>
        <v>Core</v>
      </c>
    </row>
    <row r="20" spans="1:17" x14ac:dyDescent="0.25">
      <c r="A20" t="s">
        <v>104</v>
      </c>
      <c r="B20" s="2">
        <v>1</v>
      </c>
      <c r="C20" s="2" t="s">
        <v>178</v>
      </c>
      <c r="D20" t="s">
        <v>179</v>
      </c>
      <c r="E20" s="2">
        <v>25</v>
      </c>
      <c r="F20" s="180" t="s">
        <v>173</v>
      </c>
      <c r="G20" s="173" t="str">
        <f>IFERROR(IF(VLOOKUP(TableHandbook[[#This Row],[UDC]],TableAvailabilities[],2,FALSE)&gt;0,"Y",""),"")</f>
        <v/>
      </c>
      <c r="H20" s="173" t="str">
        <f>IFERROR(IF(VLOOKUP(TableHandbook[[#This Row],[UDC]],TableAvailabilities[],3,FALSE)&gt;0,"Y",""),"")</f>
        <v/>
      </c>
      <c r="I20" s="173" t="str">
        <f>IFERROR(IF(VLOOKUP(TableHandbook[[#This Row],[UDC]],TableAvailabilities[],4,FALSE)&gt;0,"Y",""),"")</f>
        <v/>
      </c>
      <c r="J20" s="173" t="str">
        <f>IFERROR(IF(VLOOKUP(TableHandbook[[#This Row],[UDC]],TableAvailabilities[],5,FALSE)&gt;0,"Y",""),"")</f>
        <v>Y</v>
      </c>
      <c r="K20" s="173" t="str">
        <f>IFERROR(IF(VLOOKUP(TableHandbook[[#This Row],[UDC]],TableAvailabilities[],6,FALSE)&gt;0,"Y",""),"")</f>
        <v>Y</v>
      </c>
      <c r="L20" s="173" t="str">
        <f>IFERROR(IF(VLOOKUP(TableHandbook[[#This Row],[UDC]],TableAvailabilities[],7,FALSE)&gt;0,"Y",""),"")</f>
        <v/>
      </c>
      <c r="M20" s="181"/>
      <c r="N20" s="172" t="str">
        <f>IFERROR(VLOOKUP(TableHandbook[[#This Row],[UDC]],TableOGARCREC[],7,FALSE),"")</f>
        <v>Core</v>
      </c>
      <c r="O20" s="172" t="str">
        <f>IFERROR(VLOOKUP(TableHandbook[[#This Row],[UDC]],TableOGINFLSC[],7,FALSE),"")</f>
        <v/>
      </c>
      <c r="P20" s="172" t="str">
        <f>IFERROR(VLOOKUP(TableHandbook[[#This Row],[UDC]],TableOMINFSCI[],7,FALSE),"")</f>
        <v>Core</v>
      </c>
      <c r="Q20" s="172" t="str">
        <f>IFERROR(VLOOKUP(TableHandbook[[#This Row],[UDC]],TableOMINFSCX[],7,FALSE),"")</f>
        <v>Core</v>
      </c>
    </row>
    <row r="21" spans="1:17" x14ac:dyDescent="0.25">
      <c r="A21" t="s">
        <v>109</v>
      </c>
      <c r="B21" s="2">
        <v>1</v>
      </c>
      <c r="C21" s="2" t="s">
        <v>178</v>
      </c>
      <c r="D21" t="s">
        <v>179</v>
      </c>
      <c r="E21" s="2">
        <v>25</v>
      </c>
      <c r="F21" s="180" t="s">
        <v>174</v>
      </c>
      <c r="G21" s="173" t="str">
        <f>IFERROR(IF(VLOOKUP(TableHandbook[[#This Row],[UDC]],TableAvailabilities[],2,FALSE)&gt;0,"Y",""),"")</f>
        <v/>
      </c>
      <c r="H21" s="173" t="str">
        <f>IFERROR(IF(VLOOKUP(TableHandbook[[#This Row],[UDC]],TableAvailabilities[],3,FALSE)&gt;0,"Y",""),"")</f>
        <v/>
      </c>
      <c r="I21" s="173" t="str">
        <f>IFERROR(IF(VLOOKUP(TableHandbook[[#This Row],[UDC]],TableAvailabilities[],4,FALSE)&gt;0,"Y",""),"")</f>
        <v/>
      </c>
      <c r="J21" s="173" t="str">
        <f>IFERROR(IF(VLOOKUP(TableHandbook[[#This Row],[UDC]],TableAvailabilities[],5,FALSE)&gt;0,"Y",""),"")</f>
        <v>Y</v>
      </c>
      <c r="K21" s="173" t="str">
        <f>IFERROR(IF(VLOOKUP(TableHandbook[[#This Row],[UDC]],TableAvailabilities[],6,FALSE)&gt;0,"Y",""),"")</f>
        <v>Y</v>
      </c>
      <c r="L21" s="173" t="str">
        <f>IFERROR(IF(VLOOKUP(TableHandbook[[#This Row],[UDC]],TableAvailabilities[],7,FALSE)&gt;0,"Y",""),"")</f>
        <v/>
      </c>
      <c r="M21" s="209" t="s">
        <v>175</v>
      </c>
      <c r="N21" s="172" t="str">
        <f>IFERROR(VLOOKUP(TableHandbook[[#This Row],[UDC]],TableOGARCREC[],7,FALSE),"")</f>
        <v>Core</v>
      </c>
      <c r="O21" s="172" t="str">
        <f>IFERROR(VLOOKUP(TableHandbook[[#This Row],[UDC]],TableOGINFLSC[],7,FALSE),"")</f>
        <v/>
      </c>
      <c r="P21" s="172" t="str">
        <f>IFERROR(VLOOKUP(TableHandbook[[#This Row],[UDC]],TableOMINFSCI[],7,FALSE),"")</f>
        <v>Core</v>
      </c>
      <c r="Q21" s="172" t="str">
        <f>IFERROR(VLOOKUP(TableHandbook[[#This Row],[UDC]],TableOMINFSCX[],7,FALSE),"")</f>
        <v>Core</v>
      </c>
    </row>
    <row r="22" spans="1:17" x14ac:dyDescent="0.25">
      <c r="A22" t="s">
        <v>102</v>
      </c>
      <c r="B22" s="2">
        <v>1</v>
      </c>
      <c r="C22" s="2" t="s">
        <v>180</v>
      </c>
      <c r="D22" t="s">
        <v>181</v>
      </c>
      <c r="E22" s="2">
        <v>25</v>
      </c>
      <c r="F22" s="180" t="s">
        <v>155</v>
      </c>
      <c r="G22" s="173" t="str">
        <f>IFERROR(IF(VLOOKUP(TableHandbook[[#This Row],[UDC]],TableAvailabilities[],2,FALSE)&gt;0,"Y",""),"")</f>
        <v/>
      </c>
      <c r="H22" s="173" t="str">
        <f>IFERROR(IF(VLOOKUP(TableHandbook[[#This Row],[UDC]],TableAvailabilities[],3,FALSE)&gt;0,"Y",""),"")</f>
        <v/>
      </c>
      <c r="I22" s="173" t="str">
        <f>IFERROR(IF(VLOOKUP(TableHandbook[[#This Row],[UDC]],TableAvailabilities[],4,FALSE)&gt;0,"Y",""),"")</f>
        <v>Y</v>
      </c>
      <c r="J22" s="173" t="str">
        <f>IFERROR(IF(VLOOKUP(TableHandbook[[#This Row],[UDC]],TableAvailabilities[],5,FALSE)&gt;0,"Y",""),"")</f>
        <v>Y</v>
      </c>
      <c r="K22" s="173" t="str">
        <f>IFERROR(IF(VLOOKUP(TableHandbook[[#This Row],[UDC]],TableAvailabilities[],6,FALSE)&gt;0,"Y",""),"")</f>
        <v/>
      </c>
      <c r="L22" s="173" t="str">
        <f>IFERROR(IF(VLOOKUP(TableHandbook[[#This Row],[UDC]],TableAvailabilities[],7,FALSE)&gt;0,"Y",""),"")</f>
        <v/>
      </c>
      <c r="M22" s="181"/>
      <c r="N22" s="172" t="str">
        <f>IFERROR(VLOOKUP(TableHandbook[[#This Row],[UDC]],TableOGARCREC[],7,FALSE),"")</f>
        <v/>
      </c>
      <c r="O22" s="172" t="str">
        <f>IFERROR(VLOOKUP(TableHandbook[[#This Row],[UDC]],TableOGINFLSC[],7,FALSE),"")</f>
        <v>Core</v>
      </c>
      <c r="P22" s="172" t="str">
        <f>IFERROR(VLOOKUP(TableHandbook[[#This Row],[UDC]],TableOMINFSCI[],7,FALSE),"")</f>
        <v>Core</v>
      </c>
      <c r="Q22" s="172" t="str">
        <f>IFERROR(VLOOKUP(TableHandbook[[#This Row],[UDC]],TableOMINFSCX[],7,FALSE),"")</f>
        <v>Core</v>
      </c>
    </row>
    <row r="23" spans="1:17" x14ac:dyDescent="0.25">
      <c r="A23" t="s">
        <v>94</v>
      </c>
      <c r="B23" s="2">
        <v>1</v>
      </c>
      <c r="C23" s="2" t="s">
        <v>182</v>
      </c>
      <c r="D23" t="s">
        <v>183</v>
      </c>
      <c r="E23" s="2">
        <v>25</v>
      </c>
      <c r="F23" s="180" t="s">
        <v>155</v>
      </c>
      <c r="G23" s="173" t="str">
        <f>IFERROR(IF(VLOOKUP(TableHandbook[[#This Row],[UDC]],TableAvailabilities[],2,FALSE)&gt;0,"Y",""),"")</f>
        <v/>
      </c>
      <c r="H23" s="173" t="str">
        <f>IFERROR(IF(VLOOKUP(TableHandbook[[#This Row],[UDC]],TableAvailabilities[],3,FALSE)&gt;0,"Y",""),"")</f>
        <v/>
      </c>
      <c r="I23" s="173" t="str">
        <f>IFERROR(IF(VLOOKUP(TableHandbook[[#This Row],[UDC]],TableAvailabilities[],4,FALSE)&gt;0,"Y",""),"")</f>
        <v>Y</v>
      </c>
      <c r="J23" s="173" t="str">
        <f>IFERROR(IF(VLOOKUP(TableHandbook[[#This Row],[UDC]],TableAvailabilities[],5,FALSE)&gt;0,"Y",""),"")</f>
        <v/>
      </c>
      <c r="K23" s="173" t="str">
        <f>IFERROR(IF(VLOOKUP(TableHandbook[[#This Row],[UDC]],TableAvailabilities[],6,FALSE)&gt;0,"Y",""),"")</f>
        <v>Y</v>
      </c>
      <c r="L23" s="173" t="str">
        <f>IFERROR(IF(VLOOKUP(TableHandbook[[#This Row],[UDC]],TableAvailabilities[],7,FALSE)&gt;0,"Y",""),"")</f>
        <v/>
      </c>
      <c r="M23" s="181"/>
      <c r="N23" s="172" t="str">
        <f>IFERROR(VLOOKUP(TableHandbook[[#This Row],[UDC]],TableOGARCREC[],7,FALSE),"")</f>
        <v>Core</v>
      </c>
      <c r="O23" s="172" t="str">
        <f>IFERROR(VLOOKUP(TableHandbook[[#This Row],[UDC]],TableOGINFLSC[],7,FALSE),"")</f>
        <v>Core</v>
      </c>
      <c r="P23" s="172" t="str">
        <f>IFERROR(VLOOKUP(TableHandbook[[#This Row],[UDC]],TableOMINFSCI[],7,FALSE),"")</f>
        <v>Core</v>
      </c>
      <c r="Q23" s="172" t="str">
        <f>IFERROR(VLOOKUP(TableHandbook[[#This Row],[UDC]],TableOMINFSCX[],7,FALSE),"")</f>
        <v>Core</v>
      </c>
    </row>
    <row r="24" spans="1:17" x14ac:dyDescent="0.25">
      <c r="A24" t="s">
        <v>100</v>
      </c>
      <c r="B24" s="2">
        <v>1</v>
      </c>
      <c r="C24" s="2" t="s">
        <v>184</v>
      </c>
      <c r="D24" t="s">
        <v>185</v>
      </c>
      <c r="E24" s="2">
        <v>25</v>
      </c>
      <c r="F24" s="180" t="s">
        <v>155</v>
      </c>
      <c r="G24" s="173" t="str">
        <f>IFERROR(IF(VLOOKUP(TableHandbook[[#This Row],[UDC]],TableAvailabilities[],2,FALSE)&gt;0,"Y",""),"")</f>
        <v/>
      </c>
      <c r="H24" s="173" t="str">
        <f>IFERROR(IF(VLOOKUP(TableHandbook[[#This Row],[UDC]],TableAvailabilities[],3,FALSE)&gt;0,"Y",""),"")</f>
        <v/>
      </c>
      <c r="I24" s="173" t="str">
        <f>IFERROR(IF(VLOOKUP(TableHandbook[[#This Row],[UDC]],TableAvailabilities[],4,FALSE)&gt;0,"Y",""),"")</f>
        <v/>
      </c>
      <c r="J24" s="173" t="str">
        <f>IFERROR(IF(VLOOKUP(TableHandbook[[#This Row],[UDC]],TableAvailabilities[],5,FALSE)&gt;0,"Y",""),"")</f>
        <v>Y</v>
      </c>
      <c r="K24" s="173" t="str">
        <f>IFERROR(IF(VLOOKUP(TableHandbook[[#This Row],[UDC]],TableAvailabilities[],6,FALSE)&gt;0,"Y",""),"")</f>
        <v>Y</v>
      </c>
      <c r="L24" s="173" t="str">
        <f>IFERROR(IF(VLOOKUP(TableHandbook[[#This Row],[UDC]],TableAvailabilities[],7,FALSE)&gt;0,"Y",""),"")</f>
        <v/>
      </c>
      <c r="M24" s="181"/>
      <c r="N24" s="172" t="str">
        <f>IFERROR(VLOOKUP(TableHandbook[[#This Row],[UDC]],TableOGARCREC[],7,FALSE),"")</f>
        <v/>
      </c>
      <c r="O24" s="172" t="str">
        <f>IFERROR(VLOOKUP(TableHandbook[[#This Row],[UDC]],TableOGINFLSC[],7,FALSE),"")</f>
        <v>Core</v>
      </c>
      <c r="P24" s="172" t="str">
        <f>IFERROR(VLOOKUP(TableHandbook[[#This Row],[UDC]],TableOMINFSCI[],7,FALSE),"")</f>
        <v>Core</v>
      </c>
      <c r="Q24" s="172" t="str">
        <f>IFERROR(VLOOKUP(TableHandbook[[#This Row],[UDC]],TableOMINFSCX[],7,FALSE),"")</f>
        <v>Core</v>
      </c>
    </row>
    <row r="25" spans="1:17" x14ac:dyDescent="0.25">
      <c r="A25" t="s">
        <v>186</v>
      </c>
      <c r="C25" s="2"/>
      <c r="D25" t="s">
        <v>187</v>
      </c>
      <c r="F25" s="225" t="s">
        <v>188</v>
      </c>
      <c r="G25" s="173" t="str">
        <f>IFERROR(IF(VLOOKUP(TableHandbook[[#This Row],[UDC]],TableAvailabilities[],2,FALSE)&gt;0,"Y",""),"")</f>
        <v/>
      </c>
      <c r="H25" s="173" t="str">
        <f>IFERROR(IF(VLOOKUP(TableHandbook[[#This Row],[UDC]],TableAvailabilities[],3,FALSE)&gt;0,"Y",""),"")</f>
        <v/>
      </c>
      <c r="I25" s="173" t="str">
        <f>IFERROR(IF(VLOOKUP(TableHandbook[[#This Row],[UDC]],TableAvailabilities[],4,FALSE)&gt;0,"Y",""),"")</f>
        <v/>
      </c>
      <c r="J25" s="173" t="str">
        <f>IFERROR(IF(VLOOKUP(TableHandbook[[#This Row],[UDC]],TableAvailabilities[],5,FALSE)&gt;0,"Y",""),"")</f>
        <v/>
      </c>
      <c r="K25" s="173" t="str">
        <f>IFERROR(IF(VLOOKUP(TableHandbook[[#This Row],[UDC]],TableAvailabilities[],6,FALSE)&gt;0,"Y",""),"")</f>
        <v/>
      </c>
      <c r="L25" s="173" t="str">
        <f>IFERROR(IF(VLOOKUP(TableHandbook[[#This Row],[UDC]],TableAvailabilities[],7,FALSE)&gt;0,"Y",""),"")</f>
        <v/>
      </c>
      <c r="M25" s="181"/>
      <c r="N25" s="172" t="str">
        <f>IFERROR(VLOOKUP(TableHandbook[[#This Row],[UDC]],TableOGARCREC[],7,FALSE),"")</f>
        <v/>
      </c>
      <c r="O25" s="172" t="str">
        <f>IFERROR(VLOOKUP(TableHandbook[[#This Row],[UDC]],TableOGINFLSC[],7,FALSE),"")</f>
        <v/>
      </c>
      <c r="P25" s="172" t="str">
        <f>IFERROR(VLOOKUP(TableHandbook[[#This Row],[UDC]],TableOMINFSCI[],7,FALSE),"")</f>
        <v/>
      </c>
      <c r="Q25" s="172" t="str">
        <f>IFERROR(VLOOKUP(TableHandbook[[#This Row],[UDC]],TableOMINFSCX[],7,FALSE),"")</f>
        <v/>
      </c>
    </row>
    <row r="26" spans="1:17" x14ac:dyDescent="0.25">
      <c r="A26" t="s">
        <v>123</v>
      </c>
      <c r="C26" s="2"/>
      <c r="D26" t="s">
        <v>189</v>
      </c>
      <c r="E26" s="2">
        <v>50</v>
      </c>
      <c r="F26" s="225"/>
      <c r="G26" s="173" t="str">
        <f>IFERROR(IF(VLOOKUP(TableHandbook[[#This Row],[UDC]],TableAvailabilities[],2,FALSE)&gt;0,"Y",""),"")</f>
        <v/>
      </c>
      <c r="H26" s="173" t="str">
        <f>IFERROR(IF(VLOOKUP(TableHandbook[[#This Row],[UDC]],TableAvailabilities[],3,FALSE)&gt;0,"Y",""),"")</f>
        <v/>
      </c>
      <c r="I26" s="173" t="str">
        <f>IFERROR(IF(VLOOKUP(TableHandbook[[#This Row],[UDC]],TableAvailabilities[],4,FALSE)&gt;0,"Y",""),"")</f>
        <v/>
      </c>
      <c r="J26" s="173" t="str">
        <f>IFERROR(IF(VLOOKUP(TableHandbook[[#This Row],[UDC]],TableAvailabilities[],5,FALSE)&gt;0,"Y",""),"")</f>
        <v/>
      </c>
      <c r="K26" s="173" t="str">
        <f>IFERROR(IF(VLOOKUP(TableHandbook[[#This Row],[UDC]],TableAvailabilities[],6,FALSE)&gt;0,"Y",""),"")</f>
        <v/>
      </c>
      <c r="L26" s="173" t="str">
        <f>IFERROR(IF(VLOOKUP(TableHandbook[[#This Row],[UDC]],TableAvailabilities[],7,FALSE)&gt;0,"Y",""),"")</f>
        <v/>
      </c>
      <c r="M26" s="181"/>
      <c r="N26" s="172" t="str">
        <f>IFERROR(VLOOKUP(TableHandbook[[#This Row],[UDC]],TableOGARCREC[],7,FALSE),"")</f>
        <v>Option</v>
      </c>
      <c r="O26" s="172" t="str">
        <f>IFERROR(VLOOKUP(TableHandbook[[#This Row],[UDC]],TableOGINFLSC[],7,FALSE),"")</f>
        <v/>
      </c>
      <c r="P26" s="172" t="str">
        <f>IFERROR(VLOOKUP(TableHandbook[[#This Row],[UDC]],TableOMINFSCI[],7,FALSE),"")</f>
        <v/>
      </c>
      <c r="Q26" s="172" t="str">
        <f>IFERROR(VLOOKUP(TableHandbook[[#This Row],[UDC]],TableOMINFSCX[],7,FALSE),"")</f>
        <v/>
      </c>
    </row>
    <row r="27" spans="1:17" x14ac:dyDescent="0.25">
      <c r="A27" t="s">
        <v>125</v>
      </c>
      <c r="C27" s="2"/>
      <c r="D27" t="s">
        <v>189</v>
      </c>
      <c r="E27" s="2">
        <v>50</v>
      </c>
      <c r="F27" s="225"/>
      <c r="G27" s="173" t="str">
        <f>IFERROR(IF(VLOOKUP(TableHandbook[[#This Row],[UDC]],TableAvailabilities[],2,FALSE)&gt;0,"Y",""),"")</f>
        <v/>
      </c>
      <c r="H27" s="173" t="str">
        <f>IFERROR(IF(VLOOKUP(TableHandbook[[#This Row],[UDC]],TableAvailabilities[],3,FALSE)&gt;0,"Y",""),"")</f>
        <v/>
      </c>
      <c r="I27" s="173" t="str">
        <f>IFERROR(IF(VLOOKUP(TableHandbook[[#This Row],[UDC]],TableAvailabilities[],4,FALSE)&gt;0,"Y",""),"")</f>
        <v/>
      </c>
      <c r="J27" s="173" t="str">
        <f>IFERROR(IF(VLOOKUP(TableHandbook[[#This Row],[UDC]],TableAvailabilities[],5,FALSE)&gt;0,"Y",""),"")</f>
        <v/>
      </c>
      <c r="K27" s="173" t="str">
        <f>IFERROR(IF(VLOOKUP(TableHandbook[[#This Row],[UDC]],TableAvailabilities[],6,FALSE)&gt;0,"Y",""),"")</f>
        <v/>
      </c>
      <c r="L27" s="173" t="str">
        <f>IFERROR(IF(VLOOKUP(TableHandbook[[#This Row],[UDC]],TableAvailabilities[],7,FALSE)&gt;0,"Y",""),"")</f>
        <v/>
      </c>
      <c r="M27" s="181"/>
      <c r="N27" s="172" t="str">
        <f>IFERROR(VLOOKUP(TableHandbook[[#This Row],[UDC]],TableOGARCREC[],7,FALSE),"")</f>
        <v/>
      </c>
      <c r="O27" s="172" t="str">
        <f>IFERROR(VLOOKUP(TableHandbook[[#This Row],[UDC]],TableOGINFLSC[],7,FALSE),"")</f>
        <v/>
      </c>
      <c r="P27" s="172" t="str">
        <f>IFERROR(VLOOKUP(TableHandbook[[#This Row],[UDC]],TableOMINFSCI[],7,FALSE),"")</f>
        <v>Option</v>
      </c>
      <c r="Q27" s="172" t="str">
        <f>IFERROR(VLOOKUP(TableHandbook[[#This Row],[UDC]],TableOMINFSCX[],7,FALSE),"")</f>
        <v/>
      </c>
    </row>
    <row r="28" spans="1:17" x14ac:dyDescent="0.25">
      <c r="A28" t="s">
        <v>137</v>
      </c>
      <c r="C28" s="2"/>
      <c r="D28" t="s">
        <v>189</v>
      </c>
      <c r="E28" s="2">
        <v>50</v>
      </c>
      <c r="F28" s="225"/>
      <c r="G28" s="173" t="str">
        <f>IFERROR(IF(VLOOKUP(TableHandbook[[#This Row],[UDC]],TableAvailabilities[],2,FALSE)&gt;0,"Y",""),"")</f>
        <v/>
      </c>
      <c r="H28" s="173" t="str">
        <f>IFERROR(IF(VLOOKUP(TableHandbook[[#This Row],[UDC]],TableAvailabilities[],3,FALSE)&gt;0,"Y",""),"")</f>
        <v/>
      </c>
      <c r="I28" s="173" t="str">
        <f>IFERROR(IF(VLOOKUP(TableHandbook[[#This Row],[UDC]],TableAvailabilities[],4,FALSE)&gt;0,"Y",""),"")</f>
        <v/>
      </c>
      <c r="J28" s="173" t="str">
        <f>IFERROR(IF(VLOOKUP(TableHandbook[[#This Row],[UDC]],TableAvailabilities[],5,FALSE)&gt;0,"Y",""),"")</f>
        <v/>
      </c>
      <c r="K28" s="173" t="str">
        <f>IFERROR(IF(VLOOKUP(TableHandbook[[#This Row],[UDC]],TableAvailabilities[],6,FALSE)&gt;0,"Y",""),"")</f>
        <v/>
      </c>
      <c r="L28" s="173" t="str">
        <f>IFERROR(IF(VLOOKUP(TableHandbook[[#This Row],[UDC]],TableAvailabilities[],7,FALSE)&gt;0,"Y",""),"")</f>
        <v/>
      </c>
      <c r="M28" s="181"/>
      <c r="N28" s="172" t="str">
        <f>IFERROR(VLOOKUP(TableHandbook[[#This Row],[UDC]],TableOGARCREC[],7,FALSE),"")</f>
        <v/>
      </c>
      <c r="O28" s="172" t="str">
        <f>IFERROR(VLOOKUP(TableHandbook[[#This Row],[UDC]],TableOGINFLSC[],7,FALSE),"")</f>
        <v/>
      </c>
      <c r="P28" s="172" t="str">
        <f>IFERROR(VLOOKUP(TableHandbook[[#This Row],[UDC]],TableOMINFSCI[],7,FALSE),"")</f>
        <v/>
      </c>
      <c r="Q28" s="172" t="str">
        <f>IFERROR(VLOOKUP(TableHandbook[[#This Row],[UDC]],TableOMINFSCX[],7,FALSE),"")</f>
        <v>Option</v>
      </c>
    </row>
    <row r="29" spans="1:17" x14ac:dyDescent="0.25">
      <c r="A29" t="s">
        <v>99</v>
      </c>
      <c r="C29" s="2"/>
      <c r="D29" t="s">
        <v>190</v>
      </c>
      <c r="E29" s="2">
        <v>25</v>
      </c>
      <c r="F29" s="225" t="s">
        <v>145</v>
      </c>
      <c r="G29" s="173" t="str">
        <f>IFERROR(IF(VLOOKUP(TableHandbook[[#This Row],[UDC]],TableAvailabilities[],2,FALSE)&gt;0,"Y",""),"")</f>
        <v/>
      </c>
      <c r="H29" s="173" t="str">
        <f>IFERROR(IF(VLOOKUP(TableHandbook[[#This Row],[UDC]],TableAvailabilities[],3,FALSE)&gt;0,"Y",""),"")</f>
        <v/>
      </c>
      <c r="I29" s="173" t="str">
        <f>IFERROR(IF(VLOOKUP(TableHandbook[[#This Row],[UDC]],TableAvailabilities[],4,FALSE)&gt;0,"Y",""),"")</f>
        <v/>
      </c>
      <c r="J29" s="173" t="str">
        <f>IFERROR(IF(VLOOKUP(TableHandbook[[#This Row],[UDC]],TableAvailabilities[],5,FALSE)&gt;0,"Y",""),"")</f>
        <v/>
      </c>
      <c r="K29" s="173" t="str">
        <f>IFERROR(IF(VLOOKUP(TableHandbook[[#This Row],[UDC]],TableAvailabilities[],6,FALSE)&gt;0,"Y",""),"")</f>
        <v/>
      </c>
      <c r="L29" s="173" t="str">
        <f>IFERROR(IF(VLOOKUP(TableHandbook[[#This Row],[UDC]],TableAvailabilities[],7,FALSE)&gt;0,"Y",""),"")</f>
        <v/>
      </c>
      <c r="M29" s="181"/>
      <c r="N29" s="172" t="str">
        <f>IFERROR(VLOOKUP(TableHandbook[[#This Row],[UDC]],TableOGARCREC[],7,FALSE),"")</f>
        <v/>
      </c>
      <c r="O29" s="172" t="str">
        <f>IFERROR(VLOOKUP(TableHandbook[[#This Row],[UDC]],TableOGINFLSC[],7,FALSE),"")</f>
        <v/>
      </c>
      <c r="P29" s="172" t="str">
        <f>IFERROR(VLOOKUP(TableHandbook[[#This Row],[UDC]],TableOMINFSCI[],7,FALSE),"")</f>
        <v/>
      </c>
      <c r="Q29" s="172" t="str">
        <f>IFERROR(VLOOKUP(TableHandbook[[#This Row],[UDC]],TableOMINFSCX[],7,FALSE),"")</f>
        <v/>
      </c>
    </row>
    <row r="30" spans="1:17" x14ac:dyDescent="0.25">
      <c r="A30" t="s">
        <v>130</v>
      </c>
      <c r="B30" s="2">
        <v>2</v>
      </c>
      <c r="C30" s="2" t="s">
        <v>191</v>
      </c>
      <c r="D30" t="s">
        <v>192</v>
      </c>
      <c r="E30" s="2">
        <v>25</v>
      </c>
      <c r="F30" s="180" t="s">
        <v>155</v>
      </c>
      <c r="G30" s="173" t="str">
        <f>IFERROR(IF(VLOOKUP(TableHandbook[[#This Row],[UDC]],TableAvailabilities[],2,FALSE)&gt;0,"Y",""),"")</f>
        <v/>
      </c>
      <c r="H30" s="173" t="str">
        <f>IFERROR(IF(VLOOKUP(TableHandbook[[#This Row],[UDC]],TableAvailabilities[],3,FALSE)&gt;0,"Y",""),"")</f>
        <v/>
      </c>
      <c r="I30" s="173" t="str">
        <f>IFERROR(IF(VLOOKUP(TableHandbook[[#This Row],[UDC]],TableAvailabilities[],4,FALSE)&gt;0,"Y",""),"")</f>
        <v>Y</v>
      </c>
      <c r="J30" s="173" t="str">
        <f>IFERROR(IF(VLOOKUP(TableHandbook[[#This Row],[UDC]],TableAvailabilities[],5,FALSE)&gt;0,"Y",""),"")</f>
        <v/>
      </c>
      <c r="K30" s="173" t="str">
        <f>IFERROR(IF(VLOOKUP(TableHandbook[[#This Row],[UDC]],TableAvailabilities[],6,FALSE)&gt;0,"Y",""),"")</f>
        <v>Y</v>
      </c>
      <c r="L30" s="173" t="str">
        <f>IFERROR(IF(VLOOKUP(TableHandbook[[#This Row],[UDC]],TableAvailabilities[],7,FALSE)&gt;0,"Y",""),"")</f>
        <v/>
      </c>
      <c r="M30" s="181"/>
      <c r="N30" s="172" t="str">
        <f>IFERROR(VLOOKUP(TableHandbook[[#This Row],[UDC]],TableOGARCREC[],7,FALSE),"")</f>
        <v>Option</v>
      </c>
      <c r="O30" s="172" t="str">
        <f>IFERROR(VLOOKUP(TableHandbook[[#This Row],[UDC]],TableOGINFLSC[],7,FALSE),"")</f>
        <v/>
      </c>
      <c r="P30" s="172" t="str">
        <f>IFERROR(VLOOKUP(TableHandbook[[#This Row],[UDC]],TableOMINFSCI[],7,FALSE),"")</f>
        <v>Option</v>
      </c>
      <c r="Q30" s="172" t="str">
        <f>IFERROR(VLOOKUP(TableHandbook[[#This Row],[UDC]],TableOMINFSCX[],7,FALSE),"")</f>
        <v>Option</v>
      </c>
    </row>
    <row r="31" spans="1:17" x14ac:dyDescent="0.25">
      <c r="A31" t="s">
        <v>132</v>
      </c>
      <c r="B31" s="2">
        <v>1</v>
      </c>
      <c r="C31" s="2" t="s">
        <v>193</v>
      </c>
      <c r="D31" t="s">
        <v>194</v>
      </c>
      <c r="E31" s="2">
        <v>25</v>
      </c>
      <c r="F31" s="180" t="s">
        <v>155</v>
      </c>
      <c r="G31" s="173" t="str">
        <f>IFERROR(IF(VLOOKUP(TableHandbook[[#This Row],[UDC]],TableAvailabilities[],2,FALSE)&gt;0,"Y",""),"")</f>
        <v/>
      </c>
      <c r="H31" s="173" t="str">
        <f>IFERROR(IF(VLOOKUP(TableHandbook[[#This Row],[UDC]],TableAvailabilities[],3,FALSE)&gt;0,"Y",""),"")</f>
        <v/>
      </c>
      <c r="I31" s="173" t="str">
        <f>IFERROR(IF(VLOOKUP(TableHandbook[[#This Row],[UDC]],TableAvailabilities[],4,FALSE)&gt;0,"Y",""),"")</f>
        <v/>
      </c>
      <c r="J31" s="173" t="str">
        <f>IFERROR(IF(VLOOKUP(TableHandbook[[#This Row],[UDC]],TableAvailabilities[],5,FALSE)&gt;0,"Y",""),"")</f>
        <v>Y</v>
      </c>
      <c r="K31" s="173" t="str">
        <f>IFERROR(IF(VLOOKUP(TableHandbook[[#This Row],[UDC]],TableAvailabilities[],6,FALSE)&gt;0,"Y",""),"")</f>
        <v/>
      </c>
      <c r="L31" s="173" t="str">
        <f>IFERROR(IF(VLOOKUP(TableHandbook[[#This Row],[UDC]],TableAvailabilities[],7,FALSE)&gt;0,"Y",""),"")</f>
        <v>Y</v>
      </c>
      <c r="M31" s="181"/>
      <c r="N31" s="172" t="str">
        <f>IFERROR(VLOOKUP(TableHandbook[[#This Row],[UDC]],TableOGARCREC[],7,FALSE),"")</f>
        <v>Option</v>
      </c>
      <c r="O31" s="172" t="str">
        <f>IFERROR(VLOOKUP(TableHandbook[[#This Row],[UDC]],TableOGINFLSC[],7,FALSE),"")</f>
        <v/>
      </c>
      <c r="P31" s="172" t="str">
        <f>IFERROR(VLOOKUP(TableHandbook[[#This Row],[UDC]],TableOMINFSCI[],7,FALSE),"")</f>
        <v>Option</v>
      </c>
      <c r="Q31" s="172" t="str">
        <f>IFERROR(VLOOKUP(TableHandbook[[#This Row],[UDC]],TableOMINFSCX[],7,FALSE),"")</f>
        <v>Option</v>
      </c>
    </row>
    <row r="32" spans="1:17" x14ac:dyDescent="0.25">
      <c r="A32" t="s">
        <v>133</v>
      </c>
      <c r="B32" s="2">
        <v>1</v>
      </c>
      <c r="C32" s="2" t="s">
        <v>195</v>
      </c>
      <c r="D32" t="s">
        <v>196</v>
      </c>
      <c r="E32" s="2">
        <v>25</v>
      </c>
      <c r="F32" s="180" t="s">
        <v>166</v>
      </c>
      <c r="G32" s="173" t="str">
        <f>IFERROR(IF(VLOOKUP(TableHandbook[[#This Row],[UDC]],TableAvailabilities[],2,FALSE)&gt;0,"Y",""),"")</f>
        <v/>
      </c>
      <c r="H32" s="173" t="str">
        <f>IFERROR(IF(VLOOKUP(TableHandbook[[#This Row],[UDC]],TableAvailabilities[],3,FALSE)&gt;0,"Y",""),"")</f>
        <v/>
      </c>
      <c r="I32" s="173" t="str">
        <f>IFERROR(IF(VLOOKUP(TableHandbook[[#This Row],[UDC]],TableAvailabilities[],4,FALSE)&gt;0,"Y",""),"")</f>
        <v/>
      </c>
      <c r="J32" s="173" t="str">
        <f>IFERROR(IF(VLOOKUP(TableHandbook[[#This Row],[UDC]],TableAvailabilities[],5,FALSE)&gt;0,"Y",""),"")</f>
        <v>Y</v>
      </c>
      <c r="K32" s="173" t="str">
        <f>IFERROR(IF(VLOOKUP(TableHandbook[[#This Row],[UDC]],TableAvailabilities[],6,FALSE)&gt;0,"Y",""),"")</f>
        <v/>
      </c>
      <c r="L32" s="173" t="str">
        <f>IFERROR(IF(VLOOKUP(TableHandbook[[#This Row],[UDC]],TableAvailabilities[],7,FALSE)&gt;0,"Y",""),"")</f>
        <v/>
      </c>
      <c r="M32" s="181"/>
      <c r="N32" s="172" t="str">
        <f>IFERROR(VLOOKUP(TableHandbook[[#This Row],[UDC]],TableOGARCREC[],7,FALSE),"")</f>
        <v>Option</v>
      </c>
      <c r="O32" s="172" t="str">
        <f>IFERROR(VLOOKUP(TableHandbook[[#This Row],[UDC]],TableOGINFLSC[],7,FALSE),"")</f>
        <v/>
      </c>
      <c r="P32" s="172" t="str">
        <f>IFERROR(VLOOKUP(TableHandbook[[#This Row],[UDC]],TableOMINFSCI[],7,FALSE),"")</f>
        <v>Option</v>
      </c>
      <c r="Q32" s="172" t="str">
        <f>IFERROR(VLOOKUP(TableHandbook[[#This Row],[UDC]],TableOMINFSCX[],7,FALSE),"")</f>
        <v>Option</v>
      </c>
    </row>
    <row r="33" spans="1:17" x14ac:dyDescent="0.25">
      <c r="A33" t="s">
        <v>135</v>
      </c>
      <c r="B33" s="2">
        <v>2</v>
      </c>
      <c r="C33" s="2" t="s">
        <v>197</v>
      </c>
      <c r="D33" t="s">
        <v>198</v>
      </c>
      <c r="E33" s="2">
        <v>25</v>
      </c>
      <c r="F33" s="180" t="s">
        <v>155</v>
      </c>
      <c r="G33" s="173" t="str">
        <f>IFERROR(IF(VLOOKUP(TableHandbook[[#This Row],[UDC]],TableAvailabilities[],2,FALSE)&gt;0,"Y",""),"")</f>
        <v/>
      </c>
      <c r="H33" s="173" t="str">
        <f>IFERROR(IF(VLOOKUP(TableHandbook[[#This Row],[UDC]],TableAvailabilities[],3,FALSE)&gt;0,"Y",""),"")</f>
        <v/>
      </c>
      <c r="I33" s="173" t="str">
        <f>IFERROR(IF(VLOOKUP(TableHandbook[[#This Row],[UDC]],TableAvailabilities[],4,FALSE)&gt;0,"Y",""),"")</f>
        <v/>
      </c>
      <c r="J33" s="173" t="str">
        <f>IFERROR(IF(VLOOKUP(TableHandbook[[#This Row],[UDC]],TableAvailabilities[],5,FALSE)&gt;0,"Y",""),"")</f>
        <v>Y</v>
      </c>
      <c r="K33" s="173" t="str">
        <f>IFERROR(IF(VLOOKUP(TableHandbook[[#This Row],[UDC]],TableAvailabilities[],6,FALSE)&gt;0,"Y",""),"")</f>
        <v/>
      </c>
      <c r="L33" s="173" t="str">
        <f>IFERROR(IF(VLOOKUP(TableHandbook[[#This Row],[UDC]],TableAvailabilities[],7,FALSE)&gt;0,"Y",""),"")</f>
        <v>Y</v>
      </c>
      <c r="M33" s="181"/>
      <c r="N33" s="172" t="str">
        <f>IFERROR(VLOOKUP(TableHandbook[[#This Row],[UDC]],TableOGARCREC[],7,FALSE),"")</f>
        <v>Option</v>
      </c>
      <c r="O33" s="172" t="str">
        <f>IFERROR(VLOOKUP(TableHandbook[[#This Row],[UDC]],TableOGINFLSC[],7,FALSE),"")</f>
        <v/>
      </c>
      <c r="P33" s="172" t="str">
        <f>IFERROR(VLOOKUP(TableHandbook[[#This Row],[UDC]],TableOMINFSCI[],7,FALSE),"")</f>
        <v>Option</v>
      </c>
      <c r="Q33" s="172" t="str">
        <f>IFERROR(VLOOKUP(TableHandbook[[#This Row],[UDC]],TableOMINFSCX[],7,FALSE),"")</f>
        <v>Option</v>
      </c>
    </row>
  </sheetData>
  <sortState xmlns:xlrd2="http://schemas.microsoft.com/office/spreadsheetml/2017/richdata2" ref="A12:D15">
    <sortCondition ref="A12"/>
  </sortState>
  <conditionalFormatting sqref="A3:A33">
    <cfRule type="duplicateValues" dxfId="16" priority="199"/>
  </conditionalFormatting>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69"/>
  <sheetViews>
    <sheetView zoomScale="70" zoomScaleNormal="70" workbookViewId="0">
      <selection activeCell="D6" sqref="D6"/>
    </sheetView>
  </sheetViews>
  <sheetFormatPr defaultRowHeight="15.75" x14ac:dyDescent="0.25"/>
  <cols>
    <col min="1" max="1" width="15" bestFit="1" customWidth="1"/>
    <col min="2" max="2" width="6.875" style="2" bestFit="1" customWidth="1"/>
    <col min="3" max="3" width="12" bestFit="1" customWidth="1"/>
    <col min="4" max="4" width="63.75" bestFit="1" customWidth="1"/>
    <col min="5" max="5" width="8.625" style="2" bestFit="1" customWidth="1"/>
    <col min="6" max="6" width="6.5" bestFit="1" customWidth="1"/>
    <col min="7" max="7" width="18.5" bestFit="1" customWidth="1"/>
    <col min="8" max="8" width="12" bestFit="1" customWidth="1"/>
    <col min="9" max="9" width="14.5" bestFit="1" customWidth="1"/>
    <col min="10" max="10" width="21.125" bestFit="1" customWidth="1"/>
    <col min="11" max="11" width="6.25" bestFit="1" customWidth="1"/>
    <col min="12" max="12" width="53.375" bestFit="1" customWidth="1"/>
    <col min="13" max="13" width="14.75" bestFit="1" customWidth="1"/>
    <col min="14" max="14" width="12.5" bestFit="1" customWidth="1"/>
    <col min="15" max="16" width="11.25" bestFit="1" customWidth="1"/>
    <col min="17" max="17" width="11.125" bestFit="1" customWidth="1"/>
  </cols>
  <sheetData>
    <row r="1" spans="1:18" x14ac:dyDescent="0.25">
      <c r="B1"/>
      <c r="E1"/>
      <c r="F1" s="218"/>
      <c r="G1" s="221" t="s">
        <v>199</v>
      </c>
      <c r="H1" s="223">
        <v>45993</v>
      </c>
      <c r="I1" s="219"/>
      <c r="J1" s="219" t="s">
        <v>49</v>
      </c>
      <c r="K1" s="220">
        <v>1</v>
      </c>
      <c r="L1" s="219" t="s">
        <v>11</v>
      </c>
      <c r="M1" s="219"/>
      <c r="N1" s="126">
        <v>44927</v>
      </c>
      <c r="O1" s="222"/>
      <c r="P1" s="179">
        <v>45658</v>
      </c>
    </row>
    <row r="2" spans="1:18" x14ac:dyDescent="0.25">
      <c r="A2" t="s">
        <v>0</v>
      </c>
      <c r="B2" s="2" t="s">
        <v>200</v>
      </c>
      <c r="C2" t="s">
        <v>19</v>
      </c>
      <c r="D2" t="s">
        <v>3</v>
      </c>
      <c r="E2" s="56" t="s">
        <v>201</v>
      </c>
      <c r="F2" t="s">
        <v>202</v>
      </c>
      <c r="G2" t="s">
        <v>203</v>
      </c>
      <c r="H2" s="2" t="s">
        <v>204</v>
      </c>
      <c r="I2" t="s">
        <v>20</v>
      </c>
      <c r="J2" t="s">
        <v>205</v>
      </c>
      <c r="K2" t="s">
        <v>1</v>
      </c>
      <c r="L2" t="s">
        <v>206</v>
      </c>
      <c r="M2" t="s">
        <v>46</v>
      </c>
      <c r="N2" t="s">
        <v>207</v>
      </c>
      <c r="O2" t="s">
        <v>208</v>
      </c>
      <c r="Q2" t="s">
        <v>209</v>
      </c>
      <c r="R2" t="s">
        <v>1</v>
      </c>
    </row>
    <row r="3" spans="1:18" x14ac:dyDescent="0.25">
      <c r="A3" t="str">
        <f>TableOGARCREC[[#This Row],[Study Package Code]]</f>
        <v>INFO5023</v>
      </c>
      <c r="B3" s="2">
        <f>TableOGARCREC[[#This Row],[Ver]]</f>
        <v>2</v>
      </c>
      <c r="C3" t="str">
        <f>IF(TableOGARCREC[[#This Row],[Ver]]&gt;0,_xlfn.TEXTBEFORE(TableOGARCREC[[#This Row],[Structure Line]]," "),"")</f>
        <v>INFM510</v>
      </c>
      <c r="D3" t="str">
        <f>IF(TableOGARCREC[[#This Row],[OUA Code]]&lt;&gt;"",_xlfn.TEXTAFTER(TableOGARCREC[[#This Row],[Structure Line]]," "),TableOGARCREC[[#This Row],[Structure Line]])</f>
        <v>Leading and Managing in Information Environments</v>
      </c>
      <c r="E3" s="56">
        <f>TableOGARCREC[[#This Row],[Credit Points]]</f>
        <v>25</v>
      </c>
      <c r="F3" s="124">
        <v>1</v>
      </c>
      <c r="G3" s="101" t="s">
        <v>210</v>
      </c>
      <c r="H3" s="124">
        <v>1</v>
      </c>
      <c r="I3" s="124" t="s">
        <v>211</v>
      </c>
      <c r="J3" s="101" t="s">
        <v>107</v>
      </c>
      <c r="K3" s="124">
        <v>2</v>
      </c>
      <c r="L3" s="101" t="s">
        <v>212</v>
      </c>
      <c r="M3" s="124">
        <v>25</v>
      </c>
      <c r="N3" s="125">
        <v>44927</v>
      </c>
      <c r="O3" s="125"/>
      <c r="Q3" t="s">
        <v>107</v>
      </c>
      <c r="R3">
        <v>2</v>
      </c>
    </row>
    <row r="4" spans="1:18" x14ac:dyDescent="0.25">
      <c r="A4" t="str">
        <f>TableOGARCREC[[#This Row],[Study Package Code]]</f>
        <v>INFO5045</v>
      </c>
      <c r="B4" s="2">
        <f>TableOGARCREC[[#This Row],[Ver]]</f>
        <v>1</v>
      </c>
      <c r="C4" t="str">
        <f>IF(TableOGARCREC[[#This Row],[Ver]]&gt;0,_xlfn.TEXTBEFORE(TableOGARCREC[[#This Row],[Structure Line]]," "),"")</f>
        <v>INF530</v>
      </c>
      <c r="D4" t="str">
        <f>IF(TableOGARCREC[[#This Row],[OUA Code]]&lt;&gt;"",_xlfn.TEXTAFTER(TableOGARCREC[[#This Row],[Structure Line]]," "),TableOGARCREC[[#This Row],[Structure Line]])</f>
        <v>Public and Private Records</v>
      </c>
      <c r="E4" s="56">
        <f>TableOGARCREC[[#This Row],[Credit Points]]</f>
        <v>25</v>
      </c>
      <c r="F4" s="124">
        <v>2</v>
      </c>
      <c r="G4" s="101" t="s">
        <v>210</v>
      </c>
      <c r="H4" s="124">
        <v>1</v>
      </c>
      <c r="I4" s="124" t="s">
        <v>211</v>
      </c>
      <c r="J4" s="101" t="s">
        <v>96</v>
      </c>
      <c r="K4" s="124">
        <v>1</v>
      </c>
      <c r="L4" s="101" t="s">
        <v>213</v>
      </c>
      <c r="M4" s="124">
        <v>25</v>
      </c>
      <c r="N4" s="125">
        <v>44927</v>
      </c>
      <c r="O4" s="125"/>
      <c r="Q4" t="s">
        <v>96</v>
      </c>
      <c r="R4">
        <v>1</v>
      </c>
    </row>
    <row r="5" spans="1:18" x14ac:dyDescent="0.25">
      <c r="A5" t="str">
        <f>TableOGARCREC[[#This Row],[Study Package Code]]</f>
        <v>INFO5016</v>
      </c>
      <c r="B5" s="2">
        <f>TableOGARCREC[[#This Row],[Ver]]</f>
        <v>2</v>
      </c>
      <c r="C5" t="str">
        <f>IF(TableOGARCREC[[#This Row],[Ver]]&gt;0,_xlfn.TEXTBEFORE(TableOGARCREC[[#This Row],[Structure Line]]," "),"")</f>
        <v>INFM570</v>
      </c>
      <c r="D5" t="str">
        <f>IF(TableOGARCREC[[#This Row],[OUA Code]]&lt;&gt;"",_xlfn.TEXTAFTER(TableOGARCREC[[#This Row],[Structure Line]]," "),TableOGARCREC[[#This Row],[Structure Line]])</f>
        <v>Archives and Heritage Collections</v>
      </c>
      <c r="E5" s="56">
        <f>TableOGARCREC[[#This Row],[Credit Points]]</f>
        <v>25</v>
      </c>
      <c r="F5" s="124">
        <v>3</v>
      </c>
      <c r="G5" s="101" t="s">
        <v>210</v>
      </c>
      <c r="H5" s="124">
        <v>1</v>
      </c>
      <c r="I5" s="124" t="s">
        <v>211</v>
      </c>
      <c r="J5" s="101" t="s">
        <v>105</v>
      </c>
      <c r="K5" s="124">
        <v>2</v>
      </c>
      <c r="L5" s="101" t="s">
        <v>214</v>
      </c>
      <c r="M5" s="124">
        <v>25</v>
      </c>
      <c r="N5" s="125">
        <v>44927</v>
      </c>
      <c r="O5" s="125"/>
      <c r="Q5" t="s">
        <v>105</v>
      </c>
      <c r="R5">
        <v>2</v>
      </c>
    </row>
    <row r="6" spans="1:18" x14ac:dyDescent="0.25">
      <c r="A6" t="str">
        <f>TableOGARCREC[[#This Row],[Study Package Code]]</f>
        <v>INFO5051</v>
      </c>
      <c r="B6" s="2">
        <f>TableOGARCREC[[#This Row],[Ver]]</f>
        <v>1</v>
      </c>
      <c r="C6" t="str">
        <f>IF(TableOGARCREC[[#This Row],[Ver]]&gt;0,_xlfn.TEXTBEFORE(TableOGARCREC[[#This Row],[Structure Line]]," "),"")</f>
        <v>INFM520</v>
      </c>
      <c r="D6" t="str">
        <f>IF(TableOGARCREC[[#This Row],[OUA Code]]&lt;&gt;"",_xlfn.TEXTAFTER(TableOGARCREC[[#This Row],[Structure Line]]," "),TableOGARCREC[[#This Row],[Structure Line]])</f>
        <v>Critical Information Values</v>
      </c>
      <c r="E6" s="56">
        <f>TableOGARCREC[[#This Row],[Credit Points]]</f>
        <v>25</v>
      </c>
      <c r="F6" s="124">
        <v>4</v>
      </c>
      <c r="G6" s="101" t="s">
        <v>210</v>
      </c>
      <c r="H6" s="124">
        <v>1</v>
      </c>
      <c r="I6" s="124" t="s">
        <v>211</v>
      </c>
      <c r="J6" s="101" t="s">
        <v>94</v>
      </c>
      <c r="K6" s="124">
        <v>1</v>
      </c>
      <c r="L6" s="101" t="s">
        <v>215</v>
      </c>
      <c r="M6" s="124">
        <v>25</v>
      </c>
      <c r="N6" s="125">
        <v>44927</v>
      </c>
      <c r="O6" s="125"/>
      <c r="Q6" t="s">
        <v>94</v>
      </c>
      <c r="R6">
        <v>1</v>
      </c>
    </row>
    <row r="7" spans="1:18" x14ac:dyDescent="0.25">
      <c r="A7" t="str">
        <f>TableOGARCREC[[#This Row],[Study Package Code]]</f>
        <v>INFO5046</v>
      </c>
      <c r="B7" s="2">
        <f>TableOGARCREC[[#This Row],[Ver]]</f>
        <v>1</v>
      </c>
      <c r="C7" t="str">
        <f>IF(TableOGARCREC[[#This Row],[Ver]]&gt;0,_xlfn.TEXTBEFORE(TableOGARCREC[[#This Row],[Structure Line]]," "),"")</f>
        <v>INF540</v>
      </c>
      <c r="D7" t="str">
        <f>IF(TableOGARCREC[[#This Row],[OUA Code]]&lt;&gt;"",_xlfn.TEXTAFTER(TableOGARCREC[[#This Row],[Structure Line]]," "),TableOGARCREC[[#This Row],[Structure Line]])</f>
        <v>Digital Preservation</v>
      </c>
      <c r="E7" s="56">
        <f>TableOGARCREC[[#This Row],[Credit Points]]</f>
        <v>25</v>
      </c>
      <c r="F7" s="124">
        <v>5</v>
      </c>
      <c r="G7" s="101" t="s">
        <v>210</v>
      </c>
      <c r="H7" s="124">
        <v>1</v>
      </c>
      <c r="I7" s="124" t="s">
        <v>211</v>
      </c>
      <c r="J7" s="101" t="s">
        <v>109</v>
      </c>
      <c r="K7" s="124">
        <v>1</v>
      </c>
      <c r="L7" s="101" t="s">
        <v>216</v>
      </c>
      <c r="M7" s="124">
        <v>25</v>
      </c>
      <c r="N7" s="125">
        <v>44927</v>
      </c>
      <c r="O7" s="125"/>
      <c r="Q7" t="s">
        <v>109</v>
      </c>
      <c r="R7">
        <v>1</v>
      </c>
    </row>
    <row r="8" spans="1:18" x14ac:dyDescent="0.25">
      <c r="A8" t="str">
        <f>TableOGARCREC[[#This Row],[Study Package Code]]</f>
        <v>INFO5041</v>
      </c>
      <c r="B8" s="2">
        <f>TableOGARCREC[[#This Row],[Ver]]</f>
        <v>1</v>
      </c>
      <c r="C8" t="str">
        <f>IF(TableOGARCREC[[#This Row],[Ver]]&gt;0,_xlfn.TEXTBEFORE(TableOGARCREC[[#This Row],[Structure Line]]," "),"")</f>
        <v>INF500</v>
      </c>
      <c r="D8" t="str">
        <f>IF(TableOGARCREC[[#This Row],[OUA Code]]&lt;&gt;"",_xlfn.TEXTAFTER(TableOGARCREC[[#This Row],[Structure Line]]," "),TableOGARCREC[[#This Row],[Structure Line]])</f>
        <v>Knowledge Organisation and Metadata</v>
      </c>
      <c r="E8" s="56">
        <f>TableOGARCREC[[#This Row],[Credit Points]]</f>
        <v>25</v>
      </c>
      <c r="F8" s="124">
        <v>6</v>
      </c>
      <c r="G8" s="101" t="s">
        <v>210</v>
      </c>
      <c r="H8" s="124">
        <v>1</v>
      </c>
      <c r="I8" s="124" t="s">
        <v>211</v>
      </c>
      <c r="J8" s="101" t="s">
        <v>103</v>
      </c>
      <c r="K8" s="124">
        <v>1</v>
      </c>
      <c r="L8" s="101" t="s">
        <v>217</v>
      </c>
      <c r="M8" s="124">
        <v>25</v>
      </c>
      <c r="N8" s="125">
        <v>44927</v>
      </c>
      <c r="O8" s="125"/>
      <c r="Q8" t="s">
        <v>103</v>
      </c>
      <c r="R8">
        <v>1</v>
      </c>
    </row>
    <row r="9" spans="1:18" x14ac:dyDescent="0.25">
      <c r="A9" t="str">
        <f>TableOGARCREC[[#This Row],[Study Package Code]]</f>
        <v>Opt-ARCREC</v>
      </c>
      <c r="B9" s="2">
        <f>TableOGARCREC[[#This Row],[Ver]]</f>
        <v>0</v>
      </c>
      <c r="C9" t="str">
        <f>IF(TableOGARCREC[[#This Row],[Ver]]&gt;0,_xlfn.TEXTBEFORE(TableOGARCREC[[#This Row],[Structure Line]]," "),"")</f>
        <v/>
      </c>
      <c r="D9" t="str">
        <f>IF(TableOGARCREC[[#This Row],[OUA Code]]&lt;&gt;"",_xlfn.TEXTAFTER(TableOGARCREC[[#This Row],[Structure Line]]," "),TableOGARCREC[[#This Row],[Structure Line]])</f>
        <v>Choose Options</v>
      </c>
      <c r="E9" s="56">
        <f>TableOGARCREC[[#This Row],[Credit Points]]</f>
        <v>50</v>
      </c>
      <c r="F9" s="124">
        <v>7</v>
      </c>
      <c r="G9" s="101" t="s">
        <v>99</v>
      </c>
      <c r="H9" s="124">
        <v>1</v>
      </c>
      <c r="I9" s="124" t="s">
        <v>211</v>
      </c>
      <c r="J9" s="101" t="s">
        <v>123</v>
      </c>
      <c r="K9" s="124">
        <v>0</v>
      </c>
      <c r="L9" s="101" t="s">
        <v>218</v>
      </c>
      <c r="M9" s="124">
        <v>50</v>
      </c>
      <c r="N9" s="125"/>
      <c r="O9" s="125"/>
      <c r="Q9" t="s">
        <v>123</v>
      </c>
      <c r="R9">
        <v>0</v>
      </c>
    </row>
    <row r="10" spans="1:18" x14ac:dyDescent="0.25">
      <c r="A10" t="str">
        <f>TableOGARCREC[[#This Row],[Study Package Code]]</f>
        <v>HRIG5006</v>
      </c>
      <c r="B10" s="2">
        <f>TableOGARCREC[[#This Row],[Ver]]</f>
        <v>2</v>
      </c>
      <c r="C10" t="str">
        <f>IF(TableOGARCREC[[#This Row],[Ver]]&gt;0,_xlfn.TEXTBEFORE(TableOGARCREC[[#This Row],[Structure Line]]," "),"")</f>
        <v>CHRE501</v>
      </c>
      <c r="D10" t="str">
        <f>IF(TableOGARCREC[[#This Row],[OUA Code]]&lt;&gt;"",_xlfn.TEXTAFTER(TableOGARCREC[[#This Row],[Structure Line]]," "),TableOGARCREC[[#This Row],[Structure Line]])</f>
        <v>Introduction to Human Rights and Social Justice</v>
      </c>
      <c r="E10" s="56">
        <f>TableOGARCREC[[#This Row],[Credit Points]]</f>
        <v>25</v>
      </c>
      <c r="F10" s="124">
        <v>7</v>
      </c>
      <c r="G10" s="101" t="s">
        <v>99</v>
      </c>
      <c r="H10" s="124">
        <v>1</v>
      </c>
      <c r="I10" s="124" t="s">
        <v>211</v>
      </c>
      <c r="J10" s="101" t="s">
        <v>126</v>
      </c>
      <c r="K10" s="124">
        <v>2</v>
      </c>
      <c r="L10" s="101" t="s">
        <v>219</v>
      </c>
      <c r="M10" s="124">
        <v>25</v>
      </c>
      <c r="N10" s="125">
        <v>45292</v>
      </c>
      <c r="O10" s="125"/>
      <c r="Q10" t="s">
        <v>126</v>
      </c>
      <c r="R10">
        <v>2</v>
      </c>
    </row>
    <row r="11" spans="1:18" x14ac:dyDescent="0.25">
      <c r="A11" t="str">
        <f>TableOGARCREC[[#This Row],[Study Package Code]]</f>
        <v>HRIG5007</v>
      </c>
      <c r="B11" s="2">
        <f>TableOGARCREC[[#This Row],[Ver]]</f>
        <v>2</v>
      </c>
      <c r="C11" t="str">
        <f>IF(TableOGARCREC[[#This Row],[Ver]]&gt;0,_xlfn.TEXTBEFORE(TableOGARCREC[[#This Row],[Structure Line]]," "),"")</f>
        <v>CHRE502</v>
      </c>
      <c r="D11" t="str">
        <f>IF(TableOGARCREC[[#This Row],[OUA Code]]&lt;&gt;"",_xlfn.TEXTAFTER(TableOGARCREC[[#This Row],[Structure Line]]," "),TableOGARCREC[[#This Row],[Structure Line]])</f>
        <v>Dialogue across Cultures and Religions</v>
      </c>
      <c r="E11" s="56">
        <f>TableOGARCREC[[#This Row],[Credit Points]]</f>
        <v>25</v>
      </c>
      <c r="F11" s="124">
        <v>7</v>
      </c>
      <c r="G11" s="101" t="s">
        <v>99</v>
      </c>
      <c r="H11" s="124">
        <v>1</v>
      </c>
      <c r="I11" s="124" t="s">
        <v>211</v>
      </c>
      <c r="J11" s="101" t="s">
        <v>128</v>
      </c>
      <c r="K11" s="124">
        <v>2</v>
      </c>
      <c r="L11" s="101" t="s">
        <v>220</v>
      </c>
      <c r="M11" s="124">
        <v>25</v>
      </c>
      <c r="N11" s="125">
        <v>45292</v>
      </c>
      <c r="O11" s="125"/>
      <c r="Q11" t="s">
        <v>128</v>
      </c>
      <c r="R11">
        <v>2</v>
      </c>
    </row>
    <row r="12" spans="1:18" x14ac:dyDescent="0.25">
      <c r="A12" t="str">
        <f>TableOGARCREC[[#This Row],[Study Package Code]]</f>
        <v>PRJM6013</v>
      </c>
      <c r="B12" s="2">
        <f>TableOGARCREC[[#This Row],[Ver]]</f>
        <v>2</v>
      </c>
      <c r="C12" t="str">
        <f>IF(TableOGARCREC[[#This Row],[Ver]]&gt;0,_xlfn.TEXTBEFORE(TableOGARCREC[[#This Row],[Structure Line]]," "),"")</f>
        <v>PRM500</v>
      </c>
      <c r="D12" t="str">
        <f>IF(TableOGARCREC[[#This Row],[OUA Code]]&lt;&gt;"",_xlfn.TEXTAFTER(TableOGARCREC[[#This Row],[Structure Line]]," "),TableOGARCREC[[#This Row],[Structure Line]])</f>
        <v>Project Management Overview</v>
      </c>
      <c r="E12" s="56">
        <f>TableOGARCREC[[#This Row],[Credit Points]]</f>
        <v>25</v>
      </c>
      <c r="F12" s="124">
        <v>7</v>
      </c>
      <c r="G12" s="101" t="s">
        <v>99</v>
      </c>
      <c r="H12" s="124">
        <v>1</v>
      </c>
      <c r="I12" s="124" t="s">
        <v>211</v>
      </c>
      <c r="J12" s="101" t="s">
        <v>130</v>
      </c>
      <c r="K12" s="124">
        <v>2</v>
      </c>
      <c r="L12" s="101" t="s">
        <v>221</v>
      </c>
      <c r="M12" s="124">
        <v>25</v>
      </c>
      <c r="N12" s="125">
        <v>42917</v>
      </c>
      <c r="O12" s="125"/>
      <c r="Q12" t="s">
        <v>130</v>
      </c>
      <c r="R12">
        <v>2</v>
      </c>
    </row>
    <row r="13" spans="1:18" x14ac:dyDescent="0.25">
      <c r="A13" t="str">
        <f>TableOGARCREC[[#This Row],[Study Package Code]]</f>
        <v>PRJM6015</v>
      </c>
      <c r="B13" s="2">
        <f>TableOGARCREC[[#This Row],[Ver]]</f>
        <v>1</v>
      </c>
      <c r="C13" t="str">
        <f>IF(TableOGARCREC[[#This Row],[Ver]]&gt;0,_xlfn.TEXTBEFORE(TableOGARCREC[[#This Row],[Structure Line]]," "),"")</f>
        <v>PRM510</v>
      </c>
      <c r="D13" t="str">
        <f>IF(TableOGARCREC[[#This Row],[OUA Code]]&lt;&gt;"",_xlfn.TEXTAFTER(TableOGARCREC[[#This Row],[Structure Line]]," "),TableOGARCREC[[#This Row],[Structure Line]])</f>
        <v>Project and People</v>
      </c>
      <c r="E13" s="56">
        <f>TableOGARCREC[[#This Row],[Credit Points]]</f>
        <v>25</v>
      </c>
      <c r="F13" s="124">
        <v>7</v>
      </c>
      <c r="G13" s="101" t="s">
        <v>99</v>
      </c>
      <c r="H13" s="124">
        <v>1</v>
      </c>
      <c r="I13" s="124" t="s">
        <v>211</v>
      </c>
      <c r="J13" s="101" t="s">
        <v>132</v>
      </c>
      <c r="K13" s="124">
        <v>1</v>
      </c>
      <c r="L13" s="101" t="s">
        <v>222</v>
      </c>
      <c r="M13" s="124">
        <v>25</v>
      </c>
      <c r="N13" s="125">
        <v>42917</v>
      </c>
      <c r="O13" s="125"/>
      <c r="Q13" t="s">
        <v>132</v>
      </c>
      <c r="R13">
        <v>1</v>
      </c>
    </row>
    <row r="14" spans="1:18" x14ac:dyDescent="0.25">
      <c r="A14" t="str">
        <f>TableOGARCREC[[#This Row],[Study Package Code]]</f>
        <v>PRJM6020</v>
      </c>
      <c r="B14" s="2">
        <f>TableOGARCREC[[#This Row],[Ver]]</f>
        <v>1</v>
      </c>
      <c r="C14" t="str">
        <f>IF(TableOGARCREC[[#This Row],[Ver]]&gt;0,_xlfn.TEXTBEFORE(TableOGARCREC[[#This Row],[Structure Line]]," "),"")</f>
        <v>PRM550</v>
      </c>
      <c r="D14" t="str">
        <f>IF(TableOGARCREC[[#This Row],[OUA Code]]&lt;&gt;"",_xlfn.TEXTAFTER(TableOGARCREC[[#This Row],[Structure Line]]," "),TableOGARCREC[[#This Row],[Structure Line]])</f>
        <v>Project Risk Management</v>
      </c>
      <c r="E14" s="56">
        <f>TableOGARCREC[[#This Row],[Credit Points]]</f>
        <v>25</v>
      </c>
      <c r="F14" s="124">
        <v>7</v>
      </c>
      <c r="G14" s="101" t="s">
        <v>99</v>
      </c>
      <c r="H14" s="124">
        <v>1</v>
      </c>
      <c r="I14" s="124" t="s">
        <v>211</v>
      </c>
      <c r="J14" s="101" t="s">
        <v>133</v>
      </c>
      <c r="K14" s="124">
        <v>1</v>
      </c>
      <c r="L14" s="101" t="s">
        <v>223</v>
      </c>
      <c r="M14" s="124">
        <v>25</v>
      </c>
      <c r="N14" s="125">
        <v>42917</v>
      </c>
      <c r="O14" s="125"/>
      <c r="Q14" t="s">
        <v>133</v>
      </c>
      <c r="R14">
        <v>1</v>
      </c>
    </row>
    <row r="15" spans="1:18" x14ac:dyDescent="0.25">
      <c r="A15" t="str">
        <f>TableOGARCREC[[#This Row],[Study Package Code]]</f>
        <v>PRJM6021</v>
      </c>
      <c r="B15" s="2">
        <f>TableOGARCREC[[#This Row],[Ver]]</f>
        <v>2</v>
      </c>
      <c r="C15" t="str">
        <f>IF(TableOGARCREC[[#This Row],[Ver]]&gt;0,_xlfn.TEXTBEFORE(TableOGARCREC[[#This Row],[Structure Line]]," "),"")</f>
        <v>PRM530</v>
      </c>
      <c r="D15" t="str">
        <f>IF(TableOGARCREC[[#This Row],[OUA Code]]&lt;&gt;"",_xlfn.TEXTAFTER(TableOGARCREC[[#This Row],[Structure Line]]," "),TableOGARCREC[[#This Row],[Structure Line]])</f>
        <v>Project Planning and Schedule Management</v>
      </c>
      <c r="E15" s="56">
        <f>TableOGARCREC[[#This Row],[Credit Points]]</f>
        <v>25</v>
      </c>
      <c r="F15" s="124">
        <v>7</v>
      </c>
      <c r="G15" s="101" t="s">
        <v>99</v>
      </c>
      <c r="H15" s="124">
        <v>1</v>
      </c>
      <c r="I15" s="124" t="s">
        <v>211</v>
      </c>
      <c r="J15" s="101" t="s">
        <v>135</v>
      </c>
      <c r="K15" s="124">
        <v>2</v>
      </c>
      <c r="L15" s="101" t="s">
        <v>224</v>
      </c>
      <c r="M15" s="124">
        <v>25</v>
      </c>
      <c r="N15" s="125">
        <v>45383</v>
      </c>
      <c r="O15" s="125"/>
      <c r="Q15" t="s">
        <v>135</v>
      </c>
      <c r="R15">
        <v>2</v>
      </c>
    </row>
    <row r="16" spans="1:18" x14ac:dyDescent="0.25">
      <c r="B16"/>
      <c r="E16"/>
      <c r="F16" s="218"/>
      <c r="G16" s="221" t="s">
        <v>199</v>
      </c>
      <c r="H16" s="223">
        <v>45993</v>
      </c>
      <c r="I16" s="219"/>
      <c r="J16" s="219" t="s">
        <v>53</v>
      </c>
      <c r="K16" s="220">
        <v>1</v>
      </c>
      <c r="L16" s="219" t="s">
        <v>34</v>
      </c>
      <c r="M16" s="219"/>
      <c r="N16" s="126">
        <v>44927</v>
      </c>
      <c r="O16" s="222"/>
    </row>
    <row r="17" spans="1:18" x14ac:dyDescent="0.25">
      <c r="A17" t="s">
        <v>0</v>
      </c>
      <c r="B17" s="2" t="s">
        <v>200</v>
      </c>
      <c r="C17" t="s">
        <v>19</v>
      </c>
      <c r="D17" t="s">
        <v>3</v>
      </c>
      <c r="E17" s="56" t="s">
        <v>201</v>
      </c>
      <c r="F17" t="s">
        <v>202</v>
      </c>
      <c r="G17" t="s">
        <v>203</v>
      </c>
      <c r="H17" s="2" t="s">
        <v>204</v>
      </c>
      <c r="I17" t="s">
        <v>20</v>
      </c>
      <c r="J17" t="s">
        <v>205</v>
      </c>
      <c r="K17" t="s">
        <v>1</v>
      </c>
      <c r="L17" t="s">
        <v>206</v>
      </c>
      <c r="M17" t="s">
        <v>46</v>
      </c>
      <c r="N17" t="s">
        <v>207</v>
      </c>
      <c r="O17" t="s">
        <v>208</v>
      </c>
      <c r="Q17" t="s">
        <v>209</v>
      </c>
      <c r="R17" t="s">
        <v>1</v>
      </c>
    </row>
    <row r="18" spans="1:18" x14ac:dyDescent="0.25">
      <c r="A18" t="str">
        <f>TableOGINFLSC[[#This Row],[Study Package Code]]</f>
        <v>INFO5044</v>
      </c>
      <c r="B18" s="2">
        <f>TableOGINFLSC[[#This Row],[Ver]]</f>
        <v>1</v>
      </c>
      <c r="C18" t="str">
        <f>IF(TableOGINFLSC[[#This Row],[Ver]]&gt;0,_xlfn.TEXTBEFORE(TableOGINFLSC[[#This Row],[Structure Line]]," "),"")</f>
        <v>INF520</v>
      </c>
      <c r="D18" t="str">
        <f>IF(TableOGINFLSC[[#This Row],[OUA Code]]&lt;&gt;"",_xlfn.TEXTAFTER(TableOGINFLSC[[#This Row],[Structure Line]]," "),TableOGINFLSC[[#This Row],[Structure Line]])</f>
        <v>Research and Evaluation</v>
      </c>
      <c r="E18" s="56">
        <f>TableOGINFLSC[[#This Row],[Credit Points]]</f>
        <v>25</v>
      </c>
      <c r="F18" s="124">
        <v>1</v>
      </c>
      <c r="G18" s="101" t="s">
        <v>210</v>
      </c>
      <c r="H18" s="124">
        <v>1</v>
      </c>
      <c r="I18" s="124" t="s">
        <v>211</v>
      </c>
      <c r="J18" s="101" t="s">
        <v>108</v>
      </c>
      <c r="K18" s="124">
        <v>1</v>
      </c>
      <c r="L18" s="101" t="s">
        <v>225</v>
      </c>
      <c r="M18" s="124">
        <v>25</v>
      </c>
      <c r="N18" s="125">
        <v>44927</v>
      </c>
      <c r="O18" s="125"/>
      <c r="Q18" t="s">
        <v>108</v>
      </c>
      <c r="R18">
        <v>1</v>
      </c>
    </row>
    <row r="19" spans="1:18" x14ac:dyDescent="0.25">
      <c r="A19" t="str">
        <f>TableOGINFLSC[[#This Row],[Study Package Code]]</f>
        <v>INFO5023</v>
      </c>
      <c r="B19" s="2">
        <f>TableOGINFLSC[[#This Row],[Ver]]</f>
        <v>2</v>
      </c>
      <c r="C19" t="str">
        <f>IF(TableOGINFLSC[[#This Row],[Ver]]&gt;0,_xlfn.TEXTBEFORE(TableOGINFLSC[[#This Row],[Structure Line]]," "),"")</f>
        <v>INFM510</v>
      </c>
      <c r="D19" t="str">
        <f>IF(TableOGINFLSC[[#This Row],[OUA Code]]&lt;&gt;"",_xlfn.TEXTAFTER(TableOGINFLSC[[#This Row],[Structure Line]]," "),TableOGINFLSC[[#This Row],[Structure Line]])</f>
        <v>Leading and Managing in Information Environments</v>
      </c>
      <c r="E19" s="56">
        <f>TableOGINFLSC[[#This Row],[Credit Points]]</f>
        <v>25</v>
      </c>
      <c r="F19" s="124">
        <v>2</v>
      </c>
      <c r="G19" s="101" t="s">
        <v>210</v>
      </c>
      <c r="H19" s="124">
        <v>1</v>
      </c>
      <c r="I19" s="124" t="s">
        <v>211</v>
      </c>
      <c r="J19" s="101" t="s">
        <v>107</v>
      </c>
      <c r="K19" s="124">
        <v>2</v>
      </c>
      <c r="L19" s="101" t="s">
        <v>212</v>
      </c>
      <c r="M19" s="124">
        <v>25</v>
      </c>
      <c r="N19" s="125">
        <v>44927</v>
      </c>
      <c r="O19" s="125"/>
      <c r="Q19" t="s">
        <v>107</v>
      </c>
      <c r="R19">
        <v>2</v>
      </c>
    </row>
    <row r="20" spans="1:18" x14ac:dyDescent="0.25">
      <c r="A20" t="str">
        <f>TableOGINFLSC[[#This Row],[Study Package Code]]</f>
        <v>INFO5042</v>
      </c>
      <c r="B20" s="2">
        <f>TableOGINFLSC[[#This Row],[Ver]]</f>
        <v>1</v>
      </c>
      <c r="C20" t="str">
        <f>IF(TableOGINFLSC[[#This Row],[Ver]]&gt;0,_xlfn.TEXTBEFORE(TableOGINFLSC[[#This Row],[Structure Line]]," "),"")</f>
        <v>INF510</v>
      </c>
      <c r="D20" t="str">
        <f>IF(TableOGINFLSC[[#This Row],[OUA Code]]&lt;&gt;"",_xlfn.TEXTAFTER(TableOGINFLSC[[#This Row],[Structure Line]]," "),TableOGINFLSC[[#This Row],[Structure Line]])</f>
        <v>Telling Stories with Data</v>
      </c>
      <c r="E20" s="56">
        <f>TableOGINFLSC[[#This Row],[Credit Points]]</f>
        <v>25</v>
      </c>
      <c r="F20" s="124">
        <v>3</v>
      </c>
      <c r="G20" s="101" t="s">
        <v>210</v>
      </c>
      <c r="H20" s="124">
        <v>1</v>
      </c>
      <c r="I20" s="124" t="s">
        <v>211</v>
      </c>
      <c r="J20" s="101" t="s">
        <v>101</v>
      </c>
      <c r="K20" s="124">
        <v>1</v>
      </c>
      <c r="L20" s="101" t="s">
        <v>226</v>
      </c>
      <c r="M20" s="124">
        <v>25</v>
      </c>
      <c r="N20" s="125">
        <v>44927</v>
      </c>
      <c r="O20" s="125"/>
      <c r="Q20" t="s">
        <v>101</v>
      </c>
      <c r="R20">
        <v>1</v>
      </c>
    </row>
    <row r="21" spans="1:18" x14ac:dyDescent="0.25">
      <c r="A21" t="str">
        <f>TableOGINFLSC[[#This Row],[Study Package Code]]</f>
        <v>INFO5041</v>
      </c>
      <c r="B21" s="2">
        <f>TableOGINFLSC[[#This Row],[Ver]]</f>
        <v>1</v>
      </c>
      <c r="C21" t="str">
        <f>IF(TableOGINFLSC[[#This Row],[Ver]]&gt;0,_xlfn.TEXTBEFORE(TableOGINFLSC[[#This Row],[Structure Line]]," "),"")</f>
        <v>INF500</v>
      </c>
      <c r="D21" t="str">
        <f>IF(TableOGINFLSC[[#This Row],[OUA Code]]&lt;&gt;"",_xlfn.TEXTAFTER(TableOGINFLSC[[#This Row],[Structure Line]]," "),TableOGINFLSC[[#This Row],[Structure Line]])</f>
        <v>Knowledge Organisation and Metadata</v>
      </c>
      <c r="E21" s="56">
        <f>TableOGINFLSC[[#This Row],[Credit Points]]</f>
        <v>25</v>
      </c>
      <c r="F21" s="124">
        <v>4</v>
      </c>
      <c r="G21" s="101" t="s">
        <v>210</v>
      </c>
      <c r="H21" s="124">
        <v>1</v>
      </c>
      <c r="I21" s="124" t="s">
        <v>211</v>
      </c>
      <c r="J21" s="101" t="s">
        <v>103</v>
      </c>
      <c r="K21" s="124">
        <v>1</v>
      </c>
      <c r="L21" s="101" t="s">
        <v>217</v>
      </c>
      <c r="M21" s="124">
        <v>25</v>
      </c>
      <c r="N21" s="125">
        <v>44927</v>
      </c>
      <c r="O21" s="125"/>
      <c r="Q21" t="s">
        <v>103</v>
      </c>
      <c r="R21">
        <v>1</v>
      </c>
    </row>
    <row r="22" spans="1:18" x14ac:dyDescent="0.25">
      <c r="A22" t="str">
        <f>TableOGINFLSC[[#This Row],[Study Package Code]]</f>
        <v>INFO5051</v>
      </c>
      <c r="B22" s="2">
        <f>TableOGINFLSC[[#This Row],[Ver]]</f>
        <v>1</v>
      </c>
      <c r="C22" t="str">
        <f>IF(TableOGINFLSC[[#This Row],[Ver]]&gt;0,_xlfn.TEXTBEFORE(TableOGINFLSC[[#This Row],[Structure Line]]," "),"")</f>
        <v>INFM520</v>
      </c>
      <c r="D22" t="str">
        <f>IF(TableOGINFLSC[[#This Row],[OUA Code]]&lt;&gt;"",_xlfn.TEXTAFTER(TableOGINFLSC[[#This Row],[Structure Line]]," "),TableOGINFLSC[[#This Row],[Structure Line]])</f>
        <v>Critical Information Values</v>
      </c>
      <c r="E22" s="56">
        <f>TableOGINFLSC[[#This Row],[Credit Points]]</f>
        <v>25</v>
      </c>
      <c r="F22" s="124">
        <v>5</v>
      </c>
      <c r="G22" s="101" t="s">
        <v>210</v>
      </c>
      <c r="H22" s="124">
        <v>1</v>
      </c>
      <c r="I22" s="124" t="s">
        <v>211</v>
      </c>
      <c r="J22" s="101" t="s">
        <v>94</v>
      </c>
      <c r="K22" s="124">
        <v>1</v>
      </c>
      <c r="L22" s="101" t="s">
        <v>215</v>
      </c>
      <c r="M22" s="124">
        <v>25</v>
      </c>
      <c r="N22" s="125">
        <v>44927</v>
      </c>
      <c r="O22" s="125"/>
      <c r="Q22" t="s">
        <v>94</v>
      </c>
      <c r="R22">
        <v>1</v>
      </c>
    </row>
    <row r="23" spans="1:18" x14ac:dyDescent="0.25">
      <c r="A23" t="str">
        <f>TableOGINFLSC[[#This Row],[Study Package Code]]</f>
        <v>INFO5048</v>
      </c>
      <c r="B23" s="2">
        <f>TableOGINFLSC[[#This Row],[Ver]]</f>
        <v>1</v>
      </c>
      <c r="C23" t="str">
        <f>IF(TableOGINFLSC[[#This Row],[Ver]]&gt;0,_xlfn.TEXTBEFORE(TableOGINFLSC[[#This Row],[Structure Line]]," "),"")</f>
        <v>INFM560</v>
      </c>
      <c r="D23" t="str">
        <f>IF(TableOGINFLSC[[#This Row],[OUA Code]]&lt;&gt;"",_xlfn.TEXTAFTER(TableOGINFLSC[[#This Row],[Structure Line]]," "),TableOGINFLSC[[#This Row],[Structure Line]])</f>
        <v>Libraries as Organisations</v>
      </c>
      <c r="E23" s="56">
        <f>TableOGINFLSC[[#This Row],[Credit Points]]</f>
        <v>25</v>
      </c>
      <c r="F23" s="124">
        <v>6</v>
      </c>
      <c r="G23" s="101" t="s">
        <v>210</v>
      </c>
      <c r="H23" s="124">
        <v>1</v>
      </c>
      <c r="I23" s="124" t="s">
        <v>211</v>
      </c>
      <c r="J23" s="101" t="s">
        <v>102</v>
      </c>
      <c r="K23" s="124">
        <v>1</v>
      </c>
      <c r="L23" s="101" t="s">
        <v>227</v>
      </c>
      <c r="M23" s="124">
        <v>25</v>
      </c>
      <c r="N23" s="125">
        <v>44927</v>
      </c>
      <c r="O23" s="125"/>
      <c r="Q23" t="s">
        <v>102</v>
      </c>
      <c r="R23">
        <v>1</v>
      </c>
    </row>
    <row r="24" spans="1:18" x14ac:dyDescent="0.25">
      <c r="A24" t="str">
        <f>TableOGINFLSC[[#This Row],[Study Package Code]]</f>
        <v>INFO5053</v>
      </c>
      <c r="B24" s="2">
        <f>TableOGINFLSC[[#This Row],[Ver]]</f>
        <v>1</v>
      </c>
      <c r="C24" t="str">
        <f>IF(TableOGINFLSC[[#This Row],[Ver]]&gt;0,_xlfn.TEXTBEFORE(TableOGINFLSC[[#This Row],[Structure Line]]," "),"")</f>
        <v>INFM540</v>
      </c>
      <c r="D24" t="str">
        <f>IF(TableOGINFLSC[[#This Row],[OUA Code]]&lt;&gt;"",_xlfn.TEXTAFTER(TableOGINFLSC[[#This Row],[Structure Line]]," "),TableOGINFLSC[[#This Row],[Structure Line]])</f>
        <v>Communities and Literacies</v>
      </c>
      <c r="E24" s="56">
        <f>TableOGINFLSC[[#This Row],[Credit Points]]</f>
        <v>25</v>
      </c>
      <c r="F24" s="124">
        <v>7</v>
      </c>
      <c r="G24" s="101" t="s">
        <v>210</v>
      </c>
      <c r="H24" s="124">
        <v>1</v>
      </c>
      <c r="I24" s="124" t="s">
        <v>211</v>
      </c>
      <c r="J24" s="101" t="s">
        <v>100</v>
      </c>
      <c r="K24" s="124">
        <v>1</v>
      </c>
      <c r="L24" s="101" t="s">
        <v>228</v>
      </c>
      <c r="M24" s="124">
        <v>25</v>
      </c>
      <c r="N24" s="125">
        <v>44927</v>
      </c>
      <c r="O24" s="125"/>
      <c r="Q24" t="s">
        <v>100</v>
      </c>
      <c r="R24">
        <v>1</v>
      </c>
    </row>
    <row r="25" spans="1:18" x14ac:dyDescent="0.25">
      <c r="A25" t="str">
        <f>TableOGINFLSC[[#This Row],[Study Package Code]]</f>
        <v>INFO5016</v>
      </c>
      <c r="B25" s="2">
        <f>TableOGINFLSC[[#This Row],[Ver]]</f>
        <v>2</v>
      </c>
      <c r="C25" t="str">
        <f>IF(TableOGINFLSC[[#This Row],[Ver]]&gt;0,_xlfn.TEXTBEFORE(TableOGINFLSC[[#This Row],[Structure Line]]," "),"")</f>
        <v>INFM570</v>
      </c>
      <c r="D25" t="str">
        <f>IF(TableOGINFLSC[[#This Row],[OUA Code]]&lt;&gt;"",_xlfn.TEXTAFTER(TableOGINFLSC[[#This Row],[Structure Line]]," "),TableOGINFLSC[[#This Row],[Structure Line]])</f>
        <v>Archives and Heritage Collections</v>
      </c>
      <c r="E25" s="56">
        <f>TableOGINFLSC[[#This Row],[Credit Points]]</f>
        <v>25</v>
      </c>
      <c r="F25" s="124">
        <v>8</v>
      </c>
      <c r="G25" s="101" t="s">
        <v>210</v>
      </c>
      <c r="H25" s="124">
        <v>1</v>
      </c>
      <c r="I25" s="124" t="s">
        <v>211</v>
      </c>
      <c r="J25" s="101" t="s">
        <v>105</v>
      </c>
      <c r="K25" s="124">
        <v>2</v>
      </c>
      <c r="L25" s="101" t="s">
        <v>214</v>
      </c>
      <c r="M25" s="124">
        <v>25</v>
      </c>
      <c r="N25" s="125">
        <v>44927</v>
      </c>
      <c r="O25" s="125"/>
      <c r="Q25" t="s">
        <v>105</v>
      </c>
      <c r="R25">
        <v>2</v>
      </c>
    </row>
    <row r="26" spans="1:18" x14ac:dyDescent="0.25">
      <c r="B26"/>
      <c r="E26"/>
      <c r="F26" s="218"/>
      <c r="G26" s="221" t="s">
        <v>199</v>
      </c>
      <c r="H26" s="223">
        <v>45993</v>
      </c>
      <c r="I26" s="219"/>
      <c r="J26" s="219" t="s">
        <v>54</v>
      </c>
      <c r="K26" s="220">
        <v>1</v>
      </c>
      <c r="L26" s="219" t="s">
        <v>36</v>
      </c>
      <c r="M26" s="219"/>
      <c r="N26" s="126">
        <v>44927</v>
      </c>
      <c r="O26" s="222"/>
    </row>
    <row r="27" spans="1:18" x14ac:dyDescent="0.25">
      <c r="A27" t="s">
        <v>0</v>
      </c>
      <c r="B27" s="2" t="s">
        <v>200</v>
      </c>
      <c r="C27" t="s">
        <v>19</v>
      </c>
      <c r="D27" t="s">
        <v>3</v>
      </c>
      <c r="E27" s="56" t="s">
        <v>201</v>
      </c>
      <c r="F27" t="s">
        <v>202</v>
      </c>
      <c r="G27" t="s">
        <v>203</v>
      </c>
      <c r="H27" s="2" t="s">
        <v>204</v>
      </c>
      <c r="I27" t="s">
        <v>20</v>
      </c>
      <c r="J27" t="s">
        <v>205</v>
      </c>
      <c r="K27" t="s">
        <v>1</v>
      </c>
      <c r="L27" t="s">
        <v>206</v>
      </c>
      <c r="M27" t="s">
        <v>46</v>
      </c>
      <c r="N27" t="s">
        <v>207</v>
      </c>
      <c r="O27" t="s">
        <v>208</v>
      </c>
      <c r="Q27" t="s">
        <v>209</v>
      </c>
      <c r="R27" t="s">
        <v>1</v>
      </c>
    </row>
    <row r="28" spans="1:18" x14ac:dyDescent="0.25">
      <c r="A28" t="str">
        <f>TableOMINFSCI[[#This Row],[Study Package Code]]</f>
        <v>Opt-INFSCI</v>
      </c>
      <c r="B28" s="2">
        <f>TableOMINFSCI[[#This Row],[Ver]]</f>
        <v>0</v>
      </c>
      <c r="C28" t="str">
        <f>IF(TableOMINFSCI[[#This Row],[Ver]]&gt;0,_xlfn.TEXTBEFORE(TableOMINFSCI[[#This Row],[Structure Line]]," "),"")</f>
        <v/>
      </c>
      <c r="D28" t="str">
        <f>IF(TableOMINFSCI[[#This Row],[OUA Code]]&lt;&gt;"",_xlfn.TEXTAFTER(TableOMINFSCI[[#This Row],[Structure Line]]," "),TableOMINFSCI[[#This Row],[Structure Line]])</f>
        <v>Choose Options</v>
      </c>
      <c r="E28" s="56">
        <f>TableOMINFSCI[[#This Row],[Credit Points]]</f>
        <v>50</v>
      </c>
      <c r="F28" s="124">
        <v>1</v>
      </c>
      <c r="G28" s="101" t="s">
        <v>99</v>
      </c>
      <c r="H28" s="124">
        <v>0</v>
      </c>
      <c r="I28" s="124" t="s">
        <v>211</v>
      </c>
      <c r="J28" s="101" t="s">
        <v>125</v>
      </c>
      <c r="K28" s="124">
        <v>0</v>
      </c>
      <c r="L28" s="101" t="s">
        <v>218</v>
      </c>
      <c r="M28" s="124">
        <v>50</v>
      </c>
      <c r="N28" s="125"/>
      <c r="O28" s="125"/>
      <c r="Q28" t="s">
        <v>125</v>
      </c>
      <c r="R28">
        <v>0</v>
      </c>
    </row>
    <row r="29" spans="1:18" x14ac:dyDescent="0.25">
      <c r="A29" t="str">
        <f>TableOMINFSCI[[#This Row],[Study Package Code]]</f>
        <v>INFO5041</v>
      </c>
      <c r="B29" s="2">
        <f>TableOMINFSCI[[#This Row],[Ver]]</f>
        <v>1</v>
      </c>
      <c r="C29" t="str">
        <f>IF(TableOMINFSCI[[#This Row],[Ver]]&gt;0,_xlfn.TEXTBEFORE(TableOMINFSCI[[#This Row],[Structure Line]]," "),"")</f>
        <v>INF500</v>
      </c>
      <c r="D29" t="str">
        <f>IF(TableOMINFSCI[[#This Row],[OUA Code]]&lt;&gt;"",_xlfn.TEXTAFTER(TableOMINFSCI[[#This Row],[Structure Line]]," "),TableOMINFSCI[[#This Row],[Structure Line]])</f>
        <v>Knowledge Organisation and Metadata</v>
      </c>
      <c r="E29" s="56">
        <f>TableOMINFSCI[[#This Row],[Credit Points]]</f>
        <v>25</v>
      </c>
      <c r="F29" s="124">
        <v>2</v>
      </c>
      <c r="G29" s="101" t="s">
        <v>210</v>
      </c>
      <c r="H29" s="124">
        <v>1</v>
      </c>
      <c r="I29" s="124" t="s">
        <v>211</v>
      </c>
      <c r="J29" s="101" t="s">
        <v>103</v>
      </c>
      <c r="K29" s="124">
        <v>1</v>
      </c>
      <c r="L29" s="101" t="s">
        <v>217</v>
      </c>
      <c r="M29" s="124">
        <v>25</v>
      </c>
      <c r="N29" s="125">
        <v>44927</v>
      </c>
      <c r="O29" s="125"/>
      <c r="Q29" t="s">
        <v>103</v>
      </c>
      <c r="R29">
        <v>1</v>
      </c>
    </row>
    <row r="30" spans="1:18" x14ac:dyDescent="0.25">
      <c r="A30" t="str">
        <f>TableOMINFSCI[[#This Row],[Study Package Code]]</f>
        <v>INFO5042</v>
      </c>
      <c r="B30" s="2">
        <f>TableOMINFSCI[[#This Row],[Ver]]</f>
        <v>1</v>
      </c>
      <c r="C30" t="str">
        <f>IF(TableOMINFSCI[[#This Row],[Ver]]&gt;0,_xlfn.TEXTBEFORE(TableOMINFSCI[[#This Row],[Structure Line]]," "),"")</f>
        <v>INF510</v>
      </c>
      <c r="D30" t="str">
        <f>IF(TableOMINFSCI[[#This Row],[OUA Code]]&lt;&gt;"",_xlfn.TEXTAFTER(TableOMINFSCI[[#This Row],[Structure Line]]," "),TableOMINFSCI[[#This Row],[Structure Line]])</f>
        <v>Telling Stories with Data</v>
      </c>
      <c r="E30" s="56">
        <f>TableOMINFSCI[[#This Row],[Credit Points]]</f>
        <v>25</v>
      </c>
      <c r="F30" s="124">
        <v>3</v>
      </c>
      <c r="G30" s="101" t="s">
        <v>210</v>
      </c>
      <c r="H30" s="124">
        <v>1</v>
      </c>
      <c r="I30" s="124" t="s">
        <v>211</v>
      </c>
      <c r="J30" s="101" t="s">
        <v>101</v>
      </c>
      <c r="K30" s="124">
        <v>1</v>
      </c>
      <c r="L30" s="101" t="s">
        <v>226</v>
      </c>
      <c r="M30" s="124">
        <v>25</v>
      </c>
      <c r="N30" s="125">
        <v>44927</v>
      </c>
      <c r="O30" s="125"/>
      <c r="Q30" t="s">
        <v>101</v>
      </c>
      <c r="R30">
        <v>1</v>
      </c>
    </row>
    <row r="31" spans="1:18" x14ac:dyDescent="0.25">
      <c r="A31" t="str">
        <f>TableOMINFSCI[[#This Row],[Study Package Code]]</f>
        <v>INFO5045</v>
      </c>
      <c r="B31" s="2">
        <f>TableOMINFSCI[[#This Row],[Ver]]</f>
        <v>1</v>
      </c>
      <c r="C31" t="str">
        <f>IF(TableOMINFSCI[[#This Row],[Ver]]&gt;0,_xlfn.TEXTBEFORE(TableOMINFSCI[[#This Row],[Structure Line]]," "),"")</f>
        <v>INF530</v>
      </c>
      <c r="D31" t="str">
        <f>IF(TableOMINFSCI[[#This Row],[OUA Code]]&lt;&gt;"",_xlfn.TEXTAFTER(TableOMINFSCI[[#This Row],[Structure Line]]," "),TableOMINFSCI[[#This Row],[Structure Line]])</f>
        <v>Public and Private Records</v>
      </c>
      <c r="E31" s="56">
        <f>TableOMINFSCI[[#This Row],[Credit Points]]</f>
        <v>25</v>
      </c>
      <c r="F31" s="124">
        <v>4</v>
      </c>
      <c r="G31" s="101" t="s">
        <v>210</v>
      </c>
      <c r="H31" s="124">
        <v>1</v>
      </c>
      <c r="I31" s="124" t="s">
        <v>211</v>
      </c>
      <c r="J31" s="101" t="s">
        <v>96</v>
      </c>
      <c r="K31" s="124">
        <v>1</v>
      </c>
      <c r="L31" s="101" t="s">
        <v>213</v>
      </c>
      <c r="M31" s="124">
        <v>25</v>
      </c>
      <c r="N31" s="125">
        <v>44927</v>
      </c>
      <c r="O31" s="125"/>
      <c r="Q31" t="s">
        <v>96</v>
      </c>
      <c r="R31">
        <v>1</v>
      </c>
    </row>
    <row r="32" spans="1:18" x14ac:dyDescent="0.25">
      <c r="A32" t="str">
        <f>TableOMINFSCI[[#This Row],[Study Package Code]]</f>
        <v>INFO5023</v>
      </c>
      <c r="B32" s="2">
        <f>TableOMINFSCI[[#This Row],[Ver]]</f>
        <v>2</v>
      </c>
      <c r="C32" t="str">
        <f>IF(TableOMINFSCI[[#This Row],[Ver]]&gt;0,_xlfn.TEXTBEFORE(TableOMINFSCI[[#This Row],[Structure Line]]," "),"")</f>
        <v>INFM510</v>
      </c>
      <c r="D32" t="str">
        <f>IF(TableOMINFSCI[[#This Row],[OUA Code]]&lt;&gt;"",_xlfn.TEXTAFTER(TableOMINFSCI[[#This Row],[Structure Line]]," "),TableOMINFSCI[[#This Row],[Structure Line]])</f>
        <v>Leading and Managing in Information Environments</v>
      </c>
      <c r="E32" s="56">
        <f>TableOMINFSCI[[#This Row],[Credit Points]]</f>
        <v>25</v>
      </c>
      <c r="F32" s="124">
        <v>5</v>
      </c>
      <c r="G32" s="101" t="s">
        <v>210</v>
      </c>
      <c r="H32" s="124">
        <v>1</v>
      </c>
      <c r="I32" s="124" t="s">
        <v>211</v>
      </c>
      <c r="J32" s="101" t="s">
        <v>107</v>
      </c>
      <c r="K32" s="124">
        <v>2</v>
      </c>
      <c r="L32" s="101" t="s">
        <v>212</v>
      </c>
      <c r="M32" s="124">
        <v>25</v>
      </c>
      <c r="N32" s="125">
        <v>44927</v>
      </c>
      <c r="O32" s="125"/>
      <c r="Q32" t="s">
        <v>107</v>
      </c>
      <c r="R32">
        <v>2</v>
      </c>
    </row>
    <row r="33" spans="1:18" x14ac:dyDescent="0.25">
      <c r="A33" t="str">
        <f>TableOMINFSCI[[#This Row],[Study Package Code]]</f>
        <v>INFO5051</v>
      </c>
      <c r="B33" s="2">
        <f>TableOMINFSCI[[#This Row],[Ver]]</f>
        <v>1</v>
      </c>
      <c r="C33" t="str">
        <f>IF(TableOMINFSCI[[#This Row],[Ver]]&gt;0,_xlfn.TEXTBEFORE(TableOMINFSCI[[#This Row],[Structure Line]]," "),"")</f>
        <v>INFM520</v>
      </c>
      <c r="D33" t="str">
        <f>IF(TableOMINFSCI[[#This Row],[OUA Code]]&lt;&gt;"",_xlfn.TEXTAFTER(TableOMINFSCI[[#This Row],[Structure Line]]," "),TableOMINFSCI[[#This Row],[Structure Line]])</f>
        <v>Critical Information Values</v>
      </c>
      <c r="E33" s="56">
        <f>TableOMINFSCI[[#This Row],[Credit Points]]</f>
        <v>25</v>
      </c>
      <c r="F33" s="124">
        <v>6</v>
      </c>
      <c r="G33" s="101" t="s">
        <v>210</v>
      </c>
      <c r="H33" s="124">
        <v>1</v>
      </c>
      <c r="I33" s="124" t="s">
        <v>211</v>
      </c>
      <c r="J33" s="101" t="s">
        <v>94</v>
      </c>
      <c r="K33" s="124">
        <v>1</v>
      </c>
      <c r="L33" s="101" t="s">
        <v>215</v>
      </c>
      <c r="M33" s="124">
        <v>25</v>
      </c>
      <c r="N33" s="125">
        <v>44927</v>
      </c>
      <c r="O33" s="125"/>
      <c r="Q33" t="s">
        <v>94</v>
      </c>
      <c r="R33">
        <v>1</v>
      </c>
    </row>
    <row r="34" spans="1:18" x14ac:dyDescent="0.25">
      <c r="A34" t="str">
        <f>TableOMINFSCI[[#This Row],[Study Package Code]]</f>
        <v>INFO5053</v>
      </c>
      <c r="B34" s="2">
        <f>TableOMINFSCI[[#This Row],[Ver]]</f>
        <v>1</v>
      </c>
      <c r="C34" t="str">
        <f>IF(TableOMINFSCI[[#This Row],[Ver]]&gt;0,_xlfn.TEXTBEFORE(TableOMINFSCI[[#This Row],[Structure Line]]," "),"")</f>
        <v>INFM540</v>
      </c>
      <c r="D34" t="str">
        <f>IF(TableOMINFSCI[[#This Row],[OUA Code]]&lt;&gt;"",_xlfn.TEXTAFTER(TableOMINFSCI[[#This Row],[Structure Line]]," "),TableOMINFSCI[[#This Row],[Structure Line]])</f>
        <v>Communities and Literacies</v>
      </c>
      <c r="E34" s="56">
        <f>TableOMINFSCI[[#This Row],[Credit Points]]</f>
        <v>25</v>
      </c>
      <c r="F34" s="124">
        <v>7</v>
      </c>
      <c r="G34" s="101" t="s">
        <v>210</v>
      </c>
      <c r="H34" s="124">
        <v>1</v>
      </c>
      <c r="I34" s="124" t="s">
        <v>211</v>
      </c>
      <c r="J34" s="101" t="s">
        <v>100</v>
      </c>
      <c r="K34" s="124">
        <v>1</v>
      </c>
      <c r="L34" s="101" t="s">
        <v>228</v>
      </c>
      <c r="M34" s="124">
        <v>25</v>
      </c>
      <c r="N34" s="125">
        <v>44927</v>
      </c>
      <c r="O34" s="125"/>
      <c r="Q34" t="s">
        <v>100</v>
      </c>
      <c r="R34">
        <v>1</v>
      </c>
    </row>
    <row r="35" spans="1:18" x14ac:dyDescent="0.25">
      <c r="A35" t="str">
        <f>TableOMINFSCI[[#This Row],[Study Package Code]]</f>
        <v>INFO5048</v>
      </c>
      <c r="B35" s="2">
        <f>TableOMINFSCI[[#This Row],[Ver]]</f>
        <v>1</v>
      </c>
      <c r="C35" t="str">
        <f>IF(TableOMINFSCI[[#This Row],[Ver]]&gt;0,_xlfn.TEXTBEFORE(TableOMINFSCI[[#This Row],[Structure Line]]," "),"")</f>
        <v>INFM560</v>
      </c>
      <c r="D35" t="str">
        <f>IF(TableOMINFSCI[[#This Row],[OUA Code]]&lt;&gt;"",_xlfn.TEXTAFTER(TableOMINFSCI[[#This Row],[Structure Line]]," "),TableOMINFSCI[[#This Row],[Structure Line]])</f>
        <v>Libraries as Organisations</v>
      </c>
      <c r="E35" s="56">
        <f>TableOMINFSCI[[#This Row],[Credit Points]]</f>
        <v>25</v>
      </c>
      <c r="F35" s="124">
        <v>8</v>
      </c>
      <c r="G35" s="101" t="s">
        <v>210</v>
      </c>
      <c r="H35" s="124">
        <v>1</v>
      </c>
      <c r="I35" s="124" t="s">
        <v>211</v>
      </c>
      <c r="J35" s="101" t="s">
        <v>102</v>
      </c>
      <c r="K35" s="124">
        <v>1</v>
      </c>
      <c r="L35" s="101" t="s">
        <v>227</v>
      </c>
      <c r="M35" s="124">
        <v>25</v>
      </c>
      <c r="N35" s="125">
        <v>44927</v>
      </c>
      <c r="O35" s="125"/>
      <c r="Q35" t="s">
        <v>102</v>
      </c>
      <c r="R35">
        <v>1</v>
      </c>
    </row>
    <row r="36" spans="1:18" x14ac:dyDescent="0.25">
      <c r="A36" t="str">
        <f>TableOMINFSCI[[#This Row],[Study Package Code]]</f>
        <v>INFO5016</v>
      </c>
      <c r="B36" s="2">
        <f>TableOMINFSCI[[#This Row],[Ver]]</f>
        <v>2</v>
      </c>
      <c r="C36" t="str">
        <f>IF(TableOMINFSCI[[#This Row],[Ver]]&gt;0,_xlfn.TEXTBEFORE(TableOMINFSCI[[#This Row],[Structure Line]]," "),"")</f>
        <v>INFM570</v>
      </c>
      <c r="D36" t="str">
        <f>IF(TableOMINFSCI[[#This Row],[OUA Code]]&lt;&gt;"",_xlfn.TEXTAFTER(TableOMINFSCI[[#This Row],[Structure Line]]," "),TableOMINFSCI[[#This Row],[Structure Line]])</f>
        <v>Archives and Heritage Collections</v>
      </c>
      <c r="E36" s="56">
        <f>TableOMINFSCI[[#This Row],[Credit Points]]</f>
        <v>25</v>
      </c>
      <c r="F36" s="124">
        <v>9</v>
      </c>
      <c r="G36" s="101" t="s">
        <v>210</v>
      </c>
      <c r="H36" s="124">
        <v>1</v>
      </c>
      <c r="I36" s="124" t="s">
        <v>211</v>
      </c>
      <c r="J36" s="101" t="s">
        <v>105</v>
      </c>
      <c r="K36" s="124">
        <v>2</v>
      </c>
      <c r="L36" s="101" t="s">
        <v>214</v>
      </c>
      <c r="M36" s="124">
        <v>25</v>
      </c>
      <c r="N36" s="125">
        <v>44927</v>
      </c>
      <c r="O36" s="125"/>
      <c r="Q36" t="s">
        <v>105</v>
      </c>
      <c r="R36">
        <v>2</v>
      </c>
    </row>
    <row r="37" spans="1:18" x14ac:dyDescent="0.25">
      <c r="A37" t="str">
        <f>TableOMINFSCI[[#This Row],[Study Package Code]]</f>
        <v>INFO5044</v>
      </c>
      <c r="B37" s="2">
        <f>TableOMINFSCI[[#This Row],[Ver]]</f>
        <v>1</v>
      </c>
      <c r="C37" t="str">
        <f>IF(TableOMINFSCI[[#This Row],[Ver]]&gt;0,_xlfn.TEXTBEFORE(TableOMINFSCI[[#This Row],[Structure Line]]," "),"")</f>
        <v>INF520</v>
      </c>
      <c r="D37" t="str">
        <f>IF(TableOMINFSCI[[#This Row],[OUA Code]]&lt;&gt;"",_xlfn.TEXTAFTER(TableOMINFSCI[[#This Row],[Structure Line]]," "),TableOMINFSCI[[#This Row],[Structure Line]])</f>
        <v>Research and Evaluation</v>
      </c>
      <c r="E37" s="56">
        <f>TableOMINFSCI[[#This Row],[Credit Points]]</f>
        <v>25</v>
      </c>
      <c r="F37" s="124">
        <v>10</v>
      </c>
      <c r="G37" s="101" t="s">
        <v>210</v>
      </c>
      <c r="H37" s="124">
        <v>2</v>
      </c>
      <c r="I37" s="124" t="s">
        <v>211</v>
      </c>
      <c r="J37" s="101" t="s">
        <v>108</v>
      </c>
      <c r="K37" s="124">
        <v>1</v>
      </c>
      <c r="L37" s="101" t="s">
        <v>225</v>
      </c>
      <c r="M37" s="124">
        <v>25</v>
      </c>
      <c r="N37" s="125">
        <v>44927</v>
      </c>
      <c r="O37" s="125"/>
      <c r="Q37" t="s">
        <v>108</v>
      </c>
      <c r="R37">
        <v>1</v>
      </c>
    </row>
    <row r="38" spans="1:18" x14ac:dyDescent="0.25">
      <c r="A38" t="str">
        <f>TableOMINFSCI[[#This Row],[Study Package Code]]</f>
        <v>INFO5046</v>
      </c>
      <c r="B38" s="2">
        <f>TableOMINFSCI[[#This Row],[Ver]]</f>
        <v>1</v>
      </c>
      <c r="C38" t="str">
        <f>IF(TableOMINFSCI[[#This Row],[Ver]]&gt;0,_xlfn.TEXTBEFORE(TableOMINFSCI[[#This Row],[Structure Line]]," "),"")</f>
        <v>INF540</v>
      </c>
      <c r="D38" t="str">
        <f>IF(TableOMINFSCI[[#This Row],[OUA Code]]&lt;&gt;"",_xlfn.TEXTAFTER(TableOMINFSCI[[#This Row],[Structure Line]]," "),TableOMINFSCI[[#This Row],[Structure Line]])</f>
        <v>Digital Preservation</v>
      </c>
      <c r="E38" s="56">
        <f>TableOMINFSCI[[#This Row],[Credit Points]]</f>
        <v>25</v>
      </c>
      <c r="F38" s="124">
        <v>11</v>
      </c>
      <c r="G38" s="101" t="s">
        <v>210</v>
      </c>
      <c r="H38" s="124">
        <v>2</v>
      </c>
      <c r="I38" s="124" t="s">
        <v>211</v>
      </c>
      <c r="J38" s="101" t="s">
        <v>109</v>
      </c>
      <c r="K38" s="124">
        <v>1</v>
      </c>
      <c r="L38" s="101" t="s">
        <v>216</v>
      </c>
      <c r="M38" s="124">
        <v>25</v>
      </c>
      <c r="N38" s="125">
        <v>44927</v>
      </c>
      <c r="O38" s="125"/>
      <c r="Q38" t="s">
        <v>109</v>
      </c>
      <c r="R38">
        <v>1</v>
      </c>
    </row>
    <row r="39" spans="1:18" x14ac:dyDescent="0.25">
      <c r="A39" t="str">
        <f>TableOMINFSCI[[#This Row],[Study Package Code]]</f>
        <v>HRIG5006</v>
      </c>
      <c r="B39" s="2">
        <f>TableOMINFSCI[[#This Row],[Ver]]</f>
        <v>2</v>
      </c>
      <c r="C39" t="str">
        <f>IF(TableOMINFSCI[[#This Row],[Ver]]&gt;0,_xlfn.TEXTBEFORE(TableOMINFSCI[[#This Row],[Structure Line]]," "),"")</f>
        <v>CHRE501</v>
      </c>
      <c r="D39" t="str">
        <f>IF(TableOMINFSCI[[#This Row],[OUA Code]]&lt;&gt;"",_xlfn.TEXTAFTER(TableOMINFSCI[[#This Row],[Structure Line]]," "),TableOMINFSCI[[#This Row],[Structure Line]])</f>
        <v>Introduction to Human Rights and Social Justice</v>
      </c>
      <c r="E39" s="56">
        <f>TableOMINFSCI[[#This Row],[Credit Points]]</f>
        <v>25</v>
      </c>
      <c r="F39" s="124">
        <v>1</v>
      </c>
      <c r="G39" s="101" t="s">
        <v>99</v>
      </c>
      <c r="H39" s="124">
        <v>0</v>
      </c>
      <c r="I39" s="124" t="s">
        <v>211</v>
      </c>
      <c r="J39" s="101" t="s">
        <v>126</v>
      </c>
      <c r="K39" s="124">
        <v>2</v>
      </c>
      <c r="L39" s="101" t="s">
        <v>219</v>
      </c>
      <c r="M39" s="124">
        <v>25</v>
      </c>
      <c r="N39" s="125">
        <v>45292</v>
      </c>
      <c r="O39" s="125"/>
      <c r="Q39" t="s">
        <v>126</v>
      </c>
      <c r="R39">
        <v>2</v>
      </c>
    </row>
    <row r="40" spans="1:18" x14ac:dyDescent="0.25">
      <c r="A40" t="str">
        <f>TableOMINFSCI[[#This Row],[Study Package Code]]</f>
        <v>HRIG5007</v>
      </c>
      <c r="B40" s="2">
        <f>TableOMINFSCI[[#This Row],[Ver]]</f>
        <v>2</v>
      </c>
      <c r="C40" t="str">
        <f>IF(TableOMINFSCI[[#This Row],[Ver]]&gt;0,_xlfn.TEXTBEFORE(TableOMINFSCI[[#This Row],[Structure Line]]," "),"")</f>
        <v>CHRE502</v>
      </c>
      <c r="D40" t="str">
        <f>IF(TableOMINFSCI[[#This Row],[OUA Code]]&lt;&gt;"",_xlfn.TEXTAFTER(TableOMINFSCI[[#This Row],[Structure Line]]," "),TableOMINFSCI[[#This Row],[Structure Line]])</f>
        <v>Dialogue across Cultures and Religions</v>
      </c>
      <c r="E40" s="56">
        <f>TableOMINFSCI[[#This Row],[Credit Points]]</f>
        <v>25</v>
      </c>
      <c r="F40" s="124">
        <v>1</v>
      </c>
      <c r="G40" s="101" t="s">
        <v>99</v>
      </c>
      <c r="H40" s="124">
        <v>0</v>
      </c>
      <c r="I40" s="124" t="s">
        <v>211</v>
      </c>
      <c r="J40" s="101" t="s">
        <v>128</v>
      </c>
      <c r="K40" s="124">
        <v>2</v>
      </c>
      <c r="L40" s="101" t="s">
        <v>220</v>
      </c>
      <c r="M40" s="124">
        <v>25</v>
      </c>
      <c r="N40" s="125">
        <v>45292</v>
      </c>
      <c r="O40" s="125"/>
      <c r="Q40" t="s">
        <v>128</v>
      </c>
      <c r="R40">
        <v>2</v>
      </c>
    </row>
    <row r="41" spans="1:18" x14ac:dyDescent="0.25">
      <c r="A41" t="str">
        <f>TableOMINFSCI[[#This Row],[Study Package Code]]</f>
        <v>PRJM6013</v>
      </c>
      <c r="B41" s="2">
        <f>TableOMINFSCI[[#This Row],[Ver]]</f>
        <v>2</v>
      </c>
      <c r="C41" t="str">
        <f>IF(TableOMINFSCI[[#This Row],[Ver]]&gt;0,_xlfn.TEXTBEFORE(TableOMINFSCI[[#This Row],[Structure Line]]," "),"")</f>
        <v>PRM500</v>
      </c>
      <c r="D41" t="str">
        <f>IF(TableOMINFSCI[[#This Row],[OUA Code]]&lt;&gt;"",_xlfn.TEXTAFTER(TableOMINFSCI[[#This Row],[Structure Line]]," "),TableOMINFSCI[[#This Row],[Structure Line]])</f>
        <v>Project Management Overview</v>
      </c>
      <c r="E41" s="56">
        <f>TableOMINFSCI[[#This Row],[Credit Points]]</f>
        <v>25</v>
      </c>
      <c r="F41" s="124">
        <v>1</v>
      </c>
      <c r="G41" s="101" t="s">
        <v>99</v>
      </c>
      <c r="H41" s="124">
        <v>0</v>
      </c>
      <c r="I41" s="124" t="s">
        <v>211</v>
      </c>
      <c r="J41" s="101" t="s">
        <v>130</v>
      </c>
      <c r="K41" s="124">
        <v>2</v>
      </c>
      <c r="L41" s="101" t="s">
        <v>221</v>
      </c>
      <c r="M41" s="124">
        <v>25</v>
      </c>
      <c r="N41" s="125">
        <v>42917</v>
      </c>
      <c r="O41" s="125"/>
      <c r="Q41" t="s">
        <v>130</v>
      </c>
      <c r="R41">
        <v>2</v>
      </c>
    </row>
    <row r="42" spans="1:18" x14ac:dyDescent="0.25">
      <c r="A42" t="str">
        <f>TableOMINFSCI[[#This Row],[Study Package Code]]</f>
        <v>PRJM6015</v>
      </c>
      <c r="B42" s="2">
        <f>TableOMINFSCI[[#This Row],[Ver]]</f>
        <v>1</v>
      </c>
      <c r="C42" t="str">
        <f>IF(TableOMINFSCI[[#This Row],[Ver]]&gt;0,_xlfn.TEXTBEFORE(TableOMINFSCI[[#This Row],[Structure Line]]," "),"")</f>
        <v>PRM510</v>
      </c>
      <c r="D42" t="str">
        <f>IF(TableOMINFSCI[[#This Row],[OUA Code]]&lt;&gt;"",_xlfn.TEXTAFTER(TableOMINFSCI[[#This Row],[Structure Line]]," "),TableOMINFSCI[[#This Row],[Structure Line]])</f>
        <v>Project and People</v>
      </c>
      <c r="E42" s="56">
        <f>TableOMINFSCI[[#This Row],[Credit Points]]</f>
        <v>25</v>
      </c>
      <c r="F42" s="124">
        <v>1</v>
      </c>
      <c r="G42" s="101" t="s">
        <v>99</v>
      </c>
      <c r="H42" s="124">
        <v>0</v>
      </c>
      <c r="I42" s="124" t="s">
        <v>211</v>
      </c>
      <c r="J42" s="101" t="s">
        <v>132</v>
      </c>
      <c r="K42" s="124">
        <v>1</v>
      </c>
      <c r="L42" s="101" t="s">
        <v>222</v>
      </c>
      <c r="M42" s="124">
        <v>25</v>
      </c>
      <c r="N42" s="125">
        <v>42917</v>
      </c>
      <c r="O42" s="125"/>
      <c r="Q42" t="s">
        <v>132</v>
      </c>
      <c r="R42">
        <v>1</v>
      </c>
    </row>
    <row r="43" spans="1:18" x14ac:dyDescent="0.25">
      <c r="A43" t="str">
        <f>TableOMINFSCI[[#This Row],[Study Package Code]]</f>
        <v>PRJM6020</v>
      </c>
      <c r="B43" s="2">
        <f>TableOMINFSCI[[#This Row],[Ver]]</f>
        <v>1</v>
      </c>
      <c r="C43" t="str">
        <f>IF(TableOMINFSCI[[#This Row],[Ver]]&gt;0,_xlfn.TEXTBEFORE(TableOMINFSCI[[#This Row],[Structure Line]]," "),"")</f>
        <v>PRM550</v>
      </c>
      <c r="D43" t="str">
        <f>IF(TableOMINFSCI[[#This Row],[OUA Code]]&lt;&gt;"",_xlfn.TEXTAFTER(TableOMINFSCI[[#This Row],[Structure Line]]," "),TableOMINFSCI[[#This Row],[Structure Line]])</f>
        <v>Project Risk Management</v>
      </c>
      <c r="E43" s="56">
        <f>TableOMINFSCI[[#This Row],[Credit Points]]</f>
        <v>25</v>
      </c>
      <c r="F43" s="124">
        <v>1</v>
      </c>
      <c r="G43" s="101" t="s">
        <v>99</v>
      </c>
      <c r="H43" s="124">
        <v>0</v>
      </c>
      <c r="I43" s="124" t="s">
        <v>211</v>
      </c>
      <c r="J43" s="101" t="s">
        <v>133</v>
      </c>
      <c r="K43" s="124">
        <v>1</v>
      </c>
      <c r="L43" s="101" t="s">
        <v>223</v>
      </c>
      <c r="M43" s="124">
        <v>25</v>
      </c>
      <c r="N43" s="125">
        <v>42917</v>
      </c>
      <c r="O43" s="125"/>
      <c r="Q43" t="s">
        <v>133</v>
      </c>
      <c r="R43">
        <v>1</v>
      </c>
    </row>
    <row r="44" spans="1:18" x14ac:dyDescent="0.25">
      <c r="A44" t="str">
        <f>TableOMINFSCI[[#This Row],[Study Package Code]]</f>
        <v>PRJM6021</v>
      </c>
      <c r="B44" s="2">
        <f>TableOMINFSCI[[#This Row],[Ver]]</f>
        <v>2</v>
      </c>
      <c r="C44" t="str">
        <f>IF(TableOMINFSCI[[#This Row],[Ver]]&gt;0,_xlfn.TEXTBEFORE(TableOMINFSCI[[#This Row],[Structure Line]]," "),"")</f>
        <v>PRM530</v>
      </c>
      <c r="D44" t="str">
        <f>IF(TableOMINFSCI[[#This Row],[OUA Code]]&lt;&gt;"",_xlfn.TEXTAFTER(TableOMINFSCI[[#This Row],[Structure Line]]," "),TableOMINFSCI[[#This Row],[Structure Line]])</f>
        <v>Project Planning and Schedule Management</v>
      </c>
      <c r="E44" s="56">
        <f>TableOMINFSCI[[#This Row],[Credit Points]]</f>
        <v>25</v>
      </c>
      <c r="F44" s="124">
        <v>1</v>
      </c>
      <c r="G44" s="101" t="s">
        <v>99</v>
      </c>
      <c r="H44" s="124">
        <v>0</v>
      </c>
      <c r="I44" s="124" t="s">
        <v>211</v>
      </c>
      <c r="J44" s="101" t="s">
        <v>135</v>
      </c>
      <c r="K44" s="124">
        <v>2</v>
      </c>
      <c r="L44" s="101" t="s">
        <v>224</v>
      </c>
      <c r="M44" s="124">
        <v>25</v>
      </c>
      <c r="N44" s="125">
        <v>45383</v>
      </c>
      <c r="O44" s="125"/>
      <c r="Q44" t="s">
        <v>135</v>
      </c>
      <c r="R44">
        <v>2</v>
      </c>
    </row>
    <row r="45" spans="1:18" x14ac:dyDescent="0.25">
      <c r="B45"/>
      <c r="E45"/>
      <c r="F45" s="218"/>
      <c r="G45" s="221" t="s">
        <v>199</v>
      </c>
      <c r="H45" s="223">
        <v>45993</v>
      </c>
      <c r="I45" s="219"/>
      <c r="J45" s="219" t="s">
        <v>56</v>
      </c>
      <c r="K45" s="220">
        <v>2</v>
      </c>
      <c r="L45" s="219" t="s">
        <v>38</v>
      </c>
      <c r="M45" s="219"/>
      <c r="N45" s="126">
        <v>45292</v>
      </c>
      <c r="O45" s="222"/>
    </row>
    <row r="46" spans="1:18" x14ac:dyDescent="0.25">
      <c r="A46" t="s">
        <v>0</v>
      </c>
      <c r="B46" s="2" t="s">
        <v>200</v>
      </c>
      <c r="C46" t="s">
        <v>19</v>
      </c>
      <c r="D46" t="s">
        <v>3</v>
      </c>
      <c r="E46" s="56" t="s">
        <v>201</v>
      </c>
      <c r="F46" t="s">
        <v>202</v>
      </c>
      <c r="G46" t="s">
        <v>203</v>
      </c>
      <c r="H46" s="2" t="s">
        <v>204</v>
      </c>
      <c r="I46" t="s">
        <v>20</v>
      </c>
      <c r="J46" t="s">
        <v>205</v>
      </c>
      <c r="K46" t="s">
        <v>1</v>
      </c>
      <c r="L46" t="s">
        <v>206</v>
      </c>
      <c r="M46" t="s">
        <v>46</v>
      </c>
      <c r="N46" t="s">
        <v>207</v>
      </c>
      <c r="O46" t="s">
        <v>208</v>
      </c>
      <c r="Q46" t="s">
        <v>209</v>
      </c>
      <c r="R46" t="s">
        <v>1</v>
      </c>
    </row>
    <row r="47" spans="1:18" x14ac:dyDescent="0.25">
      <c r="A47" t="str">
        <f>TableOMINFSCX[[#This Row],[Study Package Code]]</f>
        <v>INFO5041</v>
      </c>
      <c r="B47" s="2">
        <f>TableOMINFSCX[[#This Row],[Ver]]</f>
        <v>1</v>
      </c>
      <c r="C47" t="str">
        <f>IF(TableOMINFSCX[[#This Row],[Ver]]&gt;0,_xlfn.TEXTBEFORE(TableOMINFSCX[[#This Row],[Structure Line]]," "),"")</f>
        <v>INF500</v>
      </c>
      <c r="D47" t="str">
        <f>IF(TableOMINFSCX[[#This Row],[OUA Code]]&lt;&gt;"",_xlfn.TEXTAFTER(TableOMINFSCX[[#This Row],[Structure Line]]," "),TableOMINFSCX[[#This Row],[Structure Line]])</f>
        <v>Knowledge Organisation and Metadata</v>
      </c>
      <c r="E47" s="56">
        <f>TableOMINFSCX[[#This Row],[Credit Points]]</f>
        <v>25</v>
      </c>
      <c r="F47" s="124">
        <v>1</v>
      </c>
      <c r="G47" s="101" t="s">
        <v>210</v>
      </c>
      <c r="H47" s="124">
        <v>1</v>
      </c>
      <c r="I47" s="124" t="s">
        <v>211</v>
      </c>
      <c r="J47" s="101" t="s">
        <v>103</v>
      </c>
      <c r="K47" s="124">
        <v>1</v>
      </c>
      <c r="L47" s="101" t="s">
        <v>217</v>
      </c>
      <c r="M47" s="124">
        <v>25</v>
      </c>
      <c r="N47" s="125">
        <v>44927</v>
      </c>
      <c r="O47" s="125"/>
      <c r="Q47" t="s">
        <v>103</v>
      </c>
      <c r="R47">
        <v>1</v>
      </c>
    </row>
    <row r="48" spans="1:18" x14ac:dyDescent="0.25">
      <c r="A48" t="str">
        <f>TableOMINFSCX[[#This Row],[Study Package Code]]</f>
        <v>INFO5042</v>
      </c>
      <c r="B48" s="2">
        <f>TableOMINFSCX[[#This Row],[Ver]]</f>
        <v>1</v>
      </c>
      <c r="C48" t="str">
        <f>IF(TableOMINFSCX[[#This Row],[Ver]]&gt;0,_xlfn.TEXTBEFORE(TableOMINFSCX[[#This Row],[Structure Line]]," "),"")</f>
        <v>INF510</v>
      </c>
      <c r="D48" t="str">
        <f>IF(TableOMINFSCX[[#This Row],[OUA Code]]&lt;&gt;"",_xlfn.TEXTAFTER(TableOMINFSCX[[#This Row],[Structure Line]]," "),TableOMINFSCX[[#This Row],[Structure Line]])</f>
        <v>Telling Stories with Data</v>
      </c>
      <c r="E48" s="56">
        <f>TableOMINFSCX[[#This Row],[Credit Points]]</f>
        <v>25</v>
      </c>
      <c r="F48" s="124">
        <v>2</v>
      </c>
      <c r="G48" s="101" t="s">
        <v>210</v>
      </c>
      <c r="H48" s="124">
        <v>1</v>
      </c>
      <c r="I48" s="124" t="s">
        <v>211</v>
      </c>
      <c r="J48" s="101" t="s">
        <v>101</v>
      </c>
      <c r="K48" s="124">
        <v>1</v>
      </c>
      <c r="L48" s="101" t="s">
        <v>226</v>
      </c>
      <c r="M48" s="124">
        <v>25</v>
      </c>
      <c r="N48" s="125">
        <v>44927</v>
      </c>
      <c r="O48" s="125"/>
      <c r="Q48" t="s">
        <v>101</v>
      </c>
      <c r="R48">
        <v>1</v>
      </c>
    </row>
    <row r="49" spans="1:18" x14ac:dyDescent="0.25">
      <c r="A49" t="str">
        <f>TableOMINFSCX[[#This Row],[Study Package Code]]</f>
        <v>INFO5045</v>
      </c>
      <c r="B49" s="2">
        <f>TableOMINFSCX[[#This Row],[Ver]]</f>
        <v>1</v>
      </c>
      <c r="C49" t="str">
        <f>IF(TableOMINFSCX[[#This Row],[Ver]]&gt;0,_xlfn.TEXTBEFORE(TableOMINFSCX[[#This Row],[Structure Line]]," "),"")</f>
        <v>INF530</v>
      </c>
      <c r="D49" t="str">
        <f>IF(TableOMINFSCX[[#This Row],[OUA Code]]&lt;&gt;"",_xlfn.TEXTAFTER(TableOMINFSCX[[#This Row],[Structure Line]]," "),TableOMINFSCX[[#This Row],[Structure Line]])</f>
        <v>Public and Private Records</v>
      </c>
      <c r="E49" s="56">
        <f>TableOMINFSCX[[#This Row],[Credit Points]]</f>
        <v>25</v>
      </c>
      <c r="F49" s="124">
        <v>3</v>
      </c>
      <c r="G49" s="101" t="s">
        <v>210</v>
      </c>
      <c r="H49" s="124">
        <v>1</v>
      </c>
      <c r="I49" s="124" t="s">
        <v>211</v>
      </c>
      <c r="J49" s="101" t="s">
        <v>96</v>
      </c>
      <c r="K49" s="124">
        <v>1</v>
      </c>
      <c r="L49" s="101" t="s">
        <v>213</v>
      </c>
      <c r="M49" s="124">
        <v>25</v>
      </c>
      <c r="N49" s="125">
        <v>44927</v>
      </c>
      <c r="O49" s="125"/>
      <c r="Q49" t="s">
        <v>96</v>
      </c>
      <c r="R49">
        <v>1</v>
      </c>
    </row>
    <row r="50" spans="1:18" x14ac:dyDescent="0.25">
      <c r="A50" t="str">
        <f>TableOMINFSCX[[#This Row],[Study Package Code]]</f>
        <v>INFO5023</v>
      </c>
      <c r="B50" s="2">
        <f>TableOMINFSCX[[#This Row],[Ver]]</f>
        <v>2</v>
      </c>
      <c r="C50" t="str">
        <f>IF(TableOMINFSCX[[#This Row],[Ver]]&gt;0,_xlfn.TEXTBEFORE(TableOMINFSCX[[#This Row],[Structure Line]]," "),"")</f>
        <v>INFM510</v>
      </c>
      <c r="D50" t="str">
        <f>IF(TableOMINFSCX[[#This Row],[OUA Code]]&lt;&gt;"",_xlfn.TEXTAFTER(TableOMINFSCX[[#This Row],[Structure Line]]," "),TableOMINFSCX[[#This Row],[Structure Line]])</f>
        <v>Leading and Managing in Information Environments</v>
      </c>
      <c r="E50" s="56">
        <f>TableOMINFSCX[[#This Row],[Credit Points]]</f>
        <v>25</v>
      </c>
      <c r="F50" s="124">
        <v>4</v>
      </c>
      <c r="G50" s="101" t="s">
        <v>210</v>
      </c>
      <c r="H50" s="124">
        <v>1</v>
      </c>
      <c r="I50" s="124" t="s">
        <v>211</v>
      </c>
      <c r="J50" s="101" t="s">
        <v>107</v>
      </c>
      <c r="K50" s="124">
        <v>2</v>
      </c>
      <c r="L50" s="101" t="s">
        <v>212</v>
      </c>
      <c r="M50" s="124">
        <v>25</v>
      </c>
      <c r="N50" s="125">
        <v>44927</v>
      </c>
      <c r="O50" s="125"/>
      <c r="Q50" t="s">
        <v>107</v>
      </c>
      <c r="R50">
        <v>2</v>
      </c>
    </row>
    <row r="51" spans="1:18" x14ac:dyDescent="0.25">
      <c r="A51" t="str">
        <f>TableOMINFSCX[[#This Row],[Study Package Code]]</f>
        <v>INFO5051</v>
      </c>
      <c r="B51" s="2">
        <f>TableOMINFSCX[[#This Row],[Ver]]</f>
        <v>1</v>
      </c>
      <c r="C51" t="str">
        <f>IF(TableOMINFSCX[[#This Row],[Ver]]&gt;0,_xlfn.TEXTBEFORE(TableOMINFSCX[[#This Row],[Structure Line]]," "),"")</f>
        <v>INFM520</v>
      </c>
      <c r="D51" t="str">
        <f>IF(TableOMINFSCX[[#This Row],[OUA Code]]&lt;&gt;"",_xlfn.TEXTAFTER(TableOMINFSCX[[#This Row],[Structure Line]]," "),TableOMINFSCX[[#This Row],[Structure Line]])</f>
        <v>Critical Information Values</v>
      </c>
      <c r="E51" s="56">
        <f>TableOMINFSCX[[#This Row],[Credit Points]]</f>
        <v>25</v>
      </c>
      <c r="F51" s="124">
        <v>5</v>
      </c>
      <c r="G51" s="101" t="s">
        <v>210</v>
      </c>
      <c r="H51" s="124">
        <v>1</v>
      </c>
      <c r="I51" s="124" t="s">
        <v>211</v>
      </c>
      <c r="J51" s="101" t="s">
        <v>94</v>
      </c>
      <c r="K51" s="124">
        <v>1</v>
      </c>
      <c r="L51" s="101" t="s">
        <v>215</v>
      </c>
      <c r="M51" s="124">
        <v>25</v>
      </c>
      <c r="N51" s="125">
        <v>44927</v>
      </c>
      <c r="O51" s="125"/>
      <c r="Q51" t="s">
        <v>94</v>
      </c>
      <c r="R51">
        <v>1</v>
      </c>
    </row>
    <row r="52" spans="1:18" x14ac:dyDescent="0.25">
      <c r="A52" t="str">
        <f>TableOMINFSCX[[#This Row],[Study Package Code]]</f>
        <v>INFO5053</v>
      </c>
      <c r="B52" s="2">
        <f>TableOMINFSCX[[#This Row],[Ver]]</f>
        <v>1</v>
      </c>
      <c r="C52" t="str">
        <f>IF(TableOMINFSCX[[#This Row],[Ver]]&gt;0,_xlfn.TEXTBEFORE(TableOMINFSCX[[#This Row],[Structure Line]]," "),"")</f>
        <v>INFM540</v>
      </c>
      <c r="D52" t="str">
        <f>IF(TableOMINFSCX[[#This Row],[OUA Code]]&lt;&gt;"",_xlfn.TEXTAFTER(TableOMINFSCX[[#This Row],[Structure Line]]," "),TableOMINFSCX[[#This Row],[Structure Line]])</f>
        <v>Communities and Literacies</v>
      </c>
      <c r="E52" s="56">
        <f>TableOMINFSCX[[#This Row],[Credit Points]]</f>
        <v>25</v>
      </c>
      <c r="F52" s="124">
        <v>6</v>
      </c>
      <c r="G52" s="101" t="s">
        <v>210</v>
      </c>
      <c r="H52" s="124">
        <v>1</v>
      </c>
      <c r="I52" s="124" t="s">
        <v>211</v>
      </c>
      <c r="J52" s="101" t="s">
        <v>100</v>
      </c>
      <c r="K52" s="124">
        <v>1</v>
      </c>
      <c r="L52" s="101" t="s">
        <v>228</v>
      </c>
      <c r="M52" s="124">
        <v>25</v>
      </c>
      <c r="N52" s="125">
        <v>44927</v>
      </c>
      <c r="O52" s="125"/>
      <c r="Q52" t="s">
        <v>100</v>
      </c>
      <c r="R52">
        <v>1</v>
      </c>
    </row>
    <row r="53" spans="1:18" x14ac:dyDescent="0.25">
      <c r="A53" t="str">
        <f>TableOMINFSCX[[#This Row],[Study Package Code]]</f>
        <v>INFO5048</v>
      </c>
      <c r="B53" s="2">
        <f>TableOMINFSCX[[#This Row],[Ver]]</f>
        <v>1</v>
      </c>
      <c r="C53" t="str">
        <f>IF(TableOMINFSCX[[#This Row],[Ver]]&gt;0,_xlfn.TEXTBEFORE(TableOMINFSCX[[#This Row],[Structure Line]]," "),"")</f>
        <v>INFM560</v>
      </c>
      <c r="D53" t="str">
        <f>IF(TableOMINFSCX[[#This Row],[OUA Code]]&lt;&gt;"",_xlfn.TEXTAFTER(TableOMINFSCX[[#This Row],[Structure Line]]," "),TableOMINFSCX[[#This Row],[Structure Line]])</f>
        <v>Libraries as Organisations</v>
      </c>
      <c r="E53" s="56">
        <f>TableOMINFSCX[[#This Row],[Credit Points]]</f>
        <v>25</v>
      </c>
      <c r="F53" s="124">
        <v>7</v>
      </c>
      <c r="G53" s="101" t="s">
        <v>210</v>
      </c>
      <c r="H53" s="124">
        <v>1</v>
      </c>
      <c r="I53" s="124" t="s">
        <v>211</v>
      </c>
      <c r="J53" s="101" t="s">
        <v>102</v>
      </c>
      <c r="K53" s="124">
        <v>1</v>
      </c>
      <c r="L53" s="101" t="s">
        <v>227</v>
      </c>
      <c r="M53" s="124">
        <v>25</v>
      </c>
      <c r="N53" s="125">
        <v>44927</v>
      </c>
      <c r="O53" s="125"/>
      <c r="Q53" t="s">
        <v>102</v>
      </c>
      <c r="R53">
        <v>1</v>
      </c>
    </row>
    <row r="54" spans="1:18" x14ac:dyDescent="0.25">
      <c r="A54" t="str">
        <f>TableOMINFSCX[[#This Row],[Study Package Code]]</f>
        <v>INFO5016</v>
      </c>
      <c r="B54" s="2">
        <f>TableOMINFSCX[[#This Row],[Ver]]</f>
        <v>2</v>
      </c>
      <c r="C54" t="str">
        <f>IF(TableOMINFSCX[[#This Row],[Ver]]&gt;0,_xlfn.TEXTBEFORE(TableOMINFSCX[[#This Row],[Structure Line]]," "),"")</f>
        <v>INFM570</v>
      </c>
      <c r="D54" t="str">
        <f>IF(TableOMINFSCX[[#This Row],[OUA Code]]&lt;&gt;"",_xlfn.TEXTAFTER(TableOMINFSCX[[#This Row],[Structure Line]]," "),TableOMINFSCX[[#This Row],[Structure Line]])</f>
        <v>Archives and Heritage Collections</v>
      </c>
      <c r="E54" s="56">
        <f>TableOMINFSCX[[#This Row],[Credit Points]]</f>
        <v>25</v>
      </c>
      <c r="F54" s="124">
        <v>8</v>
      </c>
      <c r="G54" s="101" t="s">
        <v>210</v>
      </c>
      <c r="H54" s="124">
        <v>1</v>
      </c>
      <c r="I54" s="124" t="s">
        <v>211</v>
      </c>
      <c r="J54" s="101" t="s">
        <v>105</v>
      </c>
      <c r="K54" s="124">
        <v>2</v>
      </c>
      <c r="L54" s="101" t="s">
        <v>214</v>
      </c>
      <c r="M54" s="124">
        <v>25</v>
      </c>
      <c r="N54" s="125">
        <v>44927</v>
      </c>
      <c r="O54" s="125"/>
      <c r="Q54" t="s">
        <v>105</v>
      </c>
      <c r="R54">
        <v>2</v>
      </c>
    </row>
    <row r="55" spans="1:18" x14ac:dyDescent="0.25">
      <c r="A55" t="str">
        <f>TableOMINFSCX[[#This Row],[Study Package Code]]</f>
        <v>INFO5044</v>
      </c>
      <c r="B55" s="2">
        <f>TableOMINFSCX[[#This Row],[Ver]]</f>
        <v>1</v>
      </c>
      <c r="C55" t="str">
        <f>IF(TableOMINFSCX[[#This Row],[Ver]]&gt;0,_xlfn.TEXTBEFORE(TableOMINFSCX[[#This Row],[Structure Line]]," "),"")</f>
        <v>INF520</v>
      </c>
      <c r="D55" t="str">
        <f>IF(TableOMINFSCX[[#This Row],[OUA Code]]&lt;&gt;"",_xlfn.TEXTAFTER(TableOMINFSCX[[#This Row],[Structure Line]]," "),TableOMINFSCX[[#This Row],[Structure Line]])</f>
        <v>Research and Evaluation</v>
      </c>
      <c r="E55" s="56">
        <f>TableOMINFSCX[[#This Row],[Credit Points]]</f>
        <v>25</v>
      </c>
      <c r="F55" s="124">
        <v>9</v>
      </c>
      <c r="G55" s="101" t="s">
        <v>210</v>
      </c>
      <c r="H55" s="124">
        <v>2</v>
      </c>
      <c r="I55" s="124" t="s">
        <v>211</v>
      </c>
      <c r="J55" s="101" t="s">
        <v>108</v>
      </c>
      <c r="K55" s="124">
        <v>1</v>
      </c>
      <c r="L55" s="101" t="s">
        <v>225</v>
      </c>
      <c r="M55" s="124">
        <v>25</v>
      </c>
      <c r="N55" s="125">
        <v>44927</v>
      </c>
      <c r="O55" s="125"/>
      <c r="Q55" t="s">
        <v>108</v>
      </c>
      <c r="R55">
        <v>1</v>
      </c>
    </row>
    <row r="56" spans="1:18" x14ac:dyDescent="0.25">
      <c r="A56" t="str">
        <f>TableOMINFSCX[[#This Row],[Study Package Code]]</f>
        <v>INFO5046</v>
      </c>
      <c r="B56" s="2">
        <f>TableOMINFSCX[[#This Row],[Ver]]</f>
        <v>1</v>
      </c>
      <c r="C56" t="str">
        <f>IF(TableOMINFSCX[[#This Row],[Ver]]&gt;0,_xlfn.TEXTBEFORE(TableOMINFSCX[[#This Row],[Structure Line]]," "),"")</f>
        <v>INF540</v>
      </c>
      <c r="D56" t="str">
        <f>IF(TableOMINFSCX[[#This Row],[OUA Code]]&lt;&gt;"",_xlfn.TEXTAFTER(TableOMINFSCX[[#This Row],[Structure Line]]," "),TableOMINFSCX[[#This Row],[Structure Line]])</f>
        <v>Digital Preservation</v>
      </c>
      <c r="E56" s="56">
        <f>TableOMINFSCX[[#This Row],[Credit Points]]</f>
        <v>25</v>
      </c>
      <c r="F56" s="124">
        <v>10</v>
      </c>
      <c r="G56" s="101" t="s">
        <v>210</v>
      </c>
      <c r="H56" s="124">
        <v>2</v>
      </c>
      <c r="I56" s="124" t="s">
        <v>211</v>
      </c>
      <c r="J56" s="101" t="s">
        <v>109</v>
      </c>
      <c r="K56" s="124">
        <v>1</v>
      </c>
      <c r="L56" s="101" t="s">
        <v>216</v>
      </c>
      <c r="M56" s="124">
        <v>25</v>
      </c>
      <c r="N56" s="125">
        <v>44927</v>
      </c>
      <c r="O56" s="125"/>
      <c r="Q56" t="s">
        <v>109</v>
      </c>
      <c r="R56">
        <v>1</v>
      </c>
    </row>
    <row r="57" spans="1:18" x14ac:dyDescent="0.25">
      <c r="A57" t="str">
        <f>TableOMINFSCX[[#This Row],[Study Package Code]]</f>
        <v>Opt-INFSCX</v>
      </c>
      <c r="B57" s="2">
        <f>TableOMINFSCX[[#This Row],[Ver]]</f>
        <v>0</v>
      </c>
      <c r="C57" t="str">
        <f>IF(TableOMINFSCX[[#This Row],[Ver]]&gt;0,_xlfn.TEXTBEFORE(TableOMINFSCX[[#This Row],[Structure Line]]," "),"")</f>
        <v/>
      </c>
      <c r="D57" t="str">
        <f>IF(TableOMINFSCX[[#This Row],[OUA Code]]&lt;&gt;"",_xlfn.TEXTAFTER(TableOMINFSCX[[#This Row],[Structure Line]]," "),TableOMINFSCX[[#This Row],[Structure Line]])</f>
        <v>Choose Options</v>
      </c>
      <c r="E57" s="56">
        <f>TableOMINFSCX[[#This Row],[Credit Points]]</f>
        <v>50</v>
      </c>
      <c r="F57" s="124">
        <v>11</v>
      </c>
      <c r="G57" s="101" t="s">
        <v>99</v>
      </c>
      <c r="H57" s="124">
        <v>0</v>
      </c>
      <c r="I57" s="124" t="s">
        <v>211</v>
      </c>
      <c r="J57" s="101" t="s">
        <v>137</v>
      </c>
      <c r="K57" s="124">
        <v>0</v>
      </c>
      <c r="L57" s="101" t="s">
        <v>218</v>
      </c>
      <c r="M57" s="124">
        <v>50</v>
      </c>
      <c r="N57" s="125"/>
      <c r="O57" s="125"/>
      <c r="Q57" t="s">
        <v>137</v>
      </c>
      <c r="R57">
        <v>0</v>
      </c>
    </row>
    <row r="58" spans="1:18" x14ac:dyDescent="0.25">
      <c r="A58" t="str">
        <f>TableOMINFSCX[[#This Row],[Study Package Code]]</f>
        <v>AC-INFSCX2</v>
      </c>
      <c r="B58" s="2">
        <f>TableOMINFSCX[[#This Row],[Ver]]</f>
        <v>0</v>
      </c>
      <c r="C58" t="str">
        <f>IF(TableOMINFSCX[[#This Row],[Ver]]&gt;0,_xlfn.TEXTBEFORE(TableOMINFSCX[[#This Row],[Structure Line]]," "),"")</f>
        <v/>
      </c>
      <c r="D58" t="str">
        <f>IF(TableOMINFSCX[[#This Row],[OUA Code]]&lt;&gt;"",_xlfn.TEXTAFTER(TableOMINFSCX[[#This Row],[Structure Line]]," "),TableOMINFSCX[[#This Row],[Structure Line]])</f>
        <v>Choose HUMN6004 or COMS6006</v>
      </c>
      <c r="E58" s="56">
        <f>TableOMINFSCX[[#This Row],[Credit Points]]</f>
        <v>50</v>
      </c>
      <c r="F58" s="124">
        <v>12</v>
      </c>
      <c r="G58" s="101" t="s">
        <v>229</v>
      </c>
      <c r="H58" s="124">
        <v>2</v>
      </c>
      <c r="I58" s="124" t="s">
        <v>211</v>
      </c>
      <c r="J58" s="101" t="s">
        <v>116</v>
      </c>
      <c r="K58" s="124">
        <v>0</v>
      </c>
      <c r="L58" s="101" t="s">
        <v>230</v>
      </c>
      <c r="M58" s="124">
        <v>50</v>
      </c>
      <c r="N58" s="125"/>
      <c r="O58" s="125"/>
      <c r="Q58" t="s">
        <v>116</v>
      </c>
      <c r="R58">
        <v>0</v>
      </c>
    </row>
    <row r="59" spans="1:18" x14ac:dyDescent="0.25">
      <c r="A59" t="str">
        <f>TableOMINFSCX[[#This Row],[Study Package Code]]</f>
        <v>AC-INFSCX1</v>
      </c>
      <c r="B59" s="2">
        <f>TableOMINFSCX[[#This Row],[Ver]]</f>
        <v>0</v>
      </c>
      <c r="C59" t="str">
        <f>IF(TableOMINFSCX[[#This Row],[Ver]]&gt;0,_xlfn.TEXTBEFORE(TableOMINFSCX[[#This Row],[Structure Line]]," "),"")</f>
        <v/>
      </c>
      <c r="D59" t="str">
        <f>IF(TableOMINFSCX[[#This Row],[OUA Code]]&lt;&gt;"",_xlfn.TEXTAFTER(TableOMINFSCX[[#This Row],[Structure Line]]," "),TableOMINFSCX[[#This Row],[Structure Line]])</f>
        <v>Choose HUMN6002 or COMS6007</v>
      </c>
      <c r="E59" s="56">
        <f>TableOMINFSCX[[#This Row],[Credit Points]]</f>
        <v>50</v>
      </c>
      <c r="F59" s="124">
        <v>13</v>
      </c>
      <c r="G59" s="101" t="s">
        <v>229</v>
      </c>
      <c r="H59" s="124">
        <v>0</v>
      </c>
      <c r="I59" s="124" t="s">
        <v>211</v>
      </c>
      <c r="J59" s="101" t="s">
        <v>114</v>
      </c>
      <c r="K59" s="124">
        <v>0</v>
      </c>
      <c r="L59" s="101" t="s">
        <v>231</v>
      </c>
      <c r="M59" s="124">
        <v>50</v>
      </c>
      <c r="N59" s="125"/>
      <c r="O59" s="125"/>
      <c r="Q59" t="s">
        <v>114</v>
      </c>
      <c r="R59">
        <v>0</v>
      </c>
    </row>
    <row r="60" spans="1:18" x14ac:dyDescent="0.25">
      <c r="A60" t="str">
        <f>TableOMINFSCX[[#This Row],[Study Package Code]]</f>
        <v>HRIG5006</v>
      </c>
      <c r="B60" s="2">
        <f>TableOMINFSCX[[#This Row],[Ver]]</f>
        <v>2</v>
      </c>
      <c r="C60" t="str">
        <f>IF(TableOMINFSCX[[#This Row],[Ver]]&gt;0,_xlfn.TEXTBEFORE(TableOMINFSCX[[#This Row],[Structure Line]]," "),"")</f>
        <v>CHRE501</v>
      </c>
      <c r="D60" t="str">
        <f>IF(TableOMINFSCX[[#This Row],[OUA Code]]&lt;&gt;"",_xlfn.TEXTAFTER(TableOMINFSCX[[#This Row],[Structure Line]]," "),TableOMINFSCX[[#This Row],[Structure Line]])</f>
        <v>Introduction to Human Rights and Social Justice</v>
      </c>
      <c r="E60" s="56">
        <f>TableOMINFSCX[[#This Row],[Credit Points]]</f>
        <v>25</v>
      </c>
      <c r="F60" s="124">
        <v>11</v>
      </c>
      <c r="G60" s="101" t="s">
        <v>99</v>
      </c>
      <c r="H60" s="124">
        <v>0</v>
      </c>
      <c r="I60" s="124" t="s">
        <v>211</v>
      </c>
      <c r="J60" s="101" t="s">
        <v>126</v>
      </c>
      <c r="K60" s="124">
        <v>2</v>
      </c>
      <c r="L60" s="101" t="s">
        <v>219</v>
      </c>
      <c r="M60" s="124">
        <v>25</v>
      </c>
      <c r="N60" s="125">
        <v>45292</v>
      </c>
      <c r="O60" s="125"/>
      <c r="Q60" t="s">
        <v>126</v>
      </c>
      <c r="R60">
        <v>2</v>
      </c>
    </row>
    <row r="61" spans="1:18" x14ac:dyDescent="0.25">
      <c r="A61" t="str">
        <f>TableOMINFSCX[[#This Row],[Study Package Code]]</f>
        <v>HRIG5007</v>
      </c>
      <c r="B61" s="2">
        <f>TableOMINFSCX[[#This Row],[Ver]]</f>
        <v>2</v>
      </c>
      <c r="C61" t="str">
        <f>IF(TableOMINFSCX[[#This Row],[Ver]]&gt;0,_xlfn.TEXTBEFORE(TableOMINFSCX[[#This Row],[Structure Line]]," "),"")</f>
        <v>CHRE502</v>
      </c>
      <c r="D61" t="str">
        <f>IF(TableOMINFSCX[[#This Row],[OUA Code]]&lt;&gt;"",_xlfn.TEXTAFTER(TableOMINFSCX[[#This Row],[Structure Line]]," "),TableOMINFSCX[[#This Row],[Structure Line]])</f>
        <v>Dialogue across Cultures and Religions</v>
      </c>
      <c r="E61" s="56">
        <f>TableOMINFSCX[[#This Row],[Credit Points]]</f>
        <v>25</v>
      </c>
      <c r="F61" s="124">
        <v>11</v>
      </c>
      <c r="G61" s="101" t="s">
        <v>99</v>
      </c>
      <c r="H61" s="124">
        <v>0</v>
      </c>
      <c r="I61" s="124" t="s">
        <v>211</v>
      </c>
      <c r="J61" s="101" t="s">
        <v>128</v>
      </c>
      <c r="K61" s="124">
        <v>2</v>
      </c>
      <c r="L61" s="101" t="s">
        <v>220</v>
      </c>
      <c r="M61" s="124">
        <v>25</v>
      </c>
      <c r="N61" s="125">
        <v>45292</v>
      </c>
      <c r="O61" s="125"/>
      <c r="Q61" t="s">
        <v>128</v>
      </c>
      <c r="R61">
        <v>2</v>
      </c>
    </row>
    <row r="62" spans="1:18" x14ac:dyDescent="0.25">
      <c r="A62" t="str">
        <f>TableOMINFSCX[[#This Row],[Study Package Code]]</f>
        <v>PRJM6013</v>
      </c>
      <c r="B62" s="2">
        <f>TableOMINFSCX[[#This Row],[Ver]]</f>
        <v>2</v>
      </c>
      <c r="C62" t="str">
        <f>IF(TableOMINFSCX[[#This Row],[Ver]]&gt;0,_xlfn.TEXTBEFORE(TableOMINFSCX[[#This Row],[Structure Line]]," "),"")</f>
        <v>PRM500</v>
      </c>
      <c r="D62" t="str">
        <f>IF(TableOMINFSCX[[#This Row],[OUA Code]]&lt;&gt;"",_xlfn.TEXTAFTER(TableOMINFSCX[[#This Row],[Structure Line]]," "),TableOMINFSCX[[#This Row],[Structure Line]])</f>
        <v>Project Management Overview</v>
      </c>
      <c r="E62" s="56">
        <f>TableOMINFSCX[[#This Row],[Credit Points]]</f>
        <v>25</v>
      </c>
      <c r="F62" s="124">
        <v>11</v>
      </c>
      <c r="G62" s="101" t="s">
        <v>99</v>
      </c>
      <c r="H62" s="124">
        <v>0</v>
      </c>
      <c r="I62" s="124" t="s">
        <v>211</v>
      </c>
      <c r="J62" s="101" t="s">
        <v>130</v>
      </c>
      <c r="K62" s="124">
        <v>2</v>
      </c>
      <c r="L62" s="101" t="s">
        <v>221</v>
      </c>
      <c r="M62" s="124">
        <v>25</v>
      </c>
      <c r="N62" s="125">
        <v>42917</v>
      </c>
      <c r="O62" s="125"/>
      <c r="Q62" t="s">
        <v>130</v>
      </c>
      <c r="R62">
        <v>2</v>
      </c>
    </row>
    <row r="63" spans="1:18" x14ac:dyDescent="0.25">
      <c r="A63" t="str">
        <f>TableOMINFSCX[[#This Row],[Study Package Code]]</f>
        <v>PRJM6015</v>
      </c>
      <c r="B63" s="2">
        <f>TableOMINFSCX[[#This Row],[Ver]]</f>
        <v>1</v>
      </c>
      <c r="C63" t="str">
        <f>IF(TableOMINFSCX[[#This Row],[Ver]]&gt;0,_xlfn.TEXTBEFORE(TableOMINFSCX[[#This Row],[Structure Line]]," "),"")</f>
        <v>PRM510</v>
      </c>
      <c r="D63" t="str">
        <f>IF(TableOMINFSCX[[#This Row],[OUA Code]]&lt;&gt;"",_xlfn.TEXTAFTER(TableOMINFSCX[[#This Row],[Structure Line]]," "),TableOMINFSCX[[#This Row],[Structure Line]])</f>
        <v>Project and People</v>
      </c>
      <c r="E63" s="56">
        <f>TableOMINFSCX[[#This Row],[Credit Points]]</f>
        <v>25</v>
      </c>
      <c r="F63" s="124">
        <v>11</v>
      </c>
      <c r="G63" s="101" t="s">
        <v>99</v>
      </c>
      <c r="H63" s="124">
        <v>0</v>
      </c>
      <c r="I63" s="124" t="s">
        <v>211</v>
      </c>
      <c r="J63" s="101" t="s">
        <v>132</v>
      </c>
      <c r="K63" s="124">
        <v>1</v>
      </c>
      <c r="L63" s="101" t="s">
        <v>222</v>
      </c>
      <c r="M63" s="124">
        <v>25</v>
      </c>
      <c r="N63" s="125">
        <v>42917</v>
      </c>
      <c r="O63" s="125"/>
      <c r="Q63" t="s">
        <v>132</v>
      </c>
      <c r="R63">
        <v>1</v>
      </c>
    </row>
    <row r="64" spans="1:18" x14ac:dyDescent="0.25">
      <c r="A64" t="str">
        <f>TableOMINFSCX[[#This Row],[Study Package Code]]</f>
        <v>PRJM6020</v>
      </c>
      <c r="B64" s="2">
        <f>TableOMINFSCX[[#This Row],[Ver]]</f>
        <v>1</v>
      </c>
      <c r="C64" t="str">
        <f>IF(TableOMINFSCX[[#This Row],[Ver]]&gt;0,_xlfn.TEXTBEFORE(TableOMINFSCX[[#This Row],[Structure Line]]," "),"")</f>
        <v>PRM550</v>
      </c>
      <c r="D64" t="str">
        <f>IF(TableOMINFSCX[[#This Row],[OUA Code]]&lt;&gt;"",_xlfn.TEXTAFTER(TableOMINFSCX[[#This Row],[Structure Line]]," "),TableOMINFSCX[[#This Row],[Structure Line]])</f>
        <v>Project Risk Management</v>
      </c>
      <c r="E64" s="56">
        <f>TableOMINFSCX[[#This Row],[Credit Points]]</f>
        <v>25</v>
      </c>
      <c r="F64" s="124">
        <v>11</v>
      </c>
      <c r="G64" s="101" t="s">
        <v>99</v>
      </c>
      <c r="H64" s="124">
        <v>0</v>
      </c>
      <c r="I64" s="124" t="s">
        <v>211</v>
      </c>
      <c r="J64" s="101" t="s">
        <v>133</v>
      </c>
      <c r="K64" s="124">
        <v>1</v>
      </c>
      <c r="L64" s="101" t="s">
        <v>223</v>
      </c>
      <c r="M64" s="124">
        <v>25</v>
      </c>
      <c r="N64" s="125">
        <v>42917</v>
      </c>
      <c r="O64" s="125"/>
      <c r="Q64" t="s">
        <v>133</v>
      </c>
      <c r="R64">
        <v>1</v>
      </c>
    </row>
    <row r="65" spans="1:18" x14ac:dyDescent="0.25">
      <c r="A65" t="str">
        <f>TableOMINFSCX[[#This Row],[Study Package Code]]</f>
        <v>PRJM6021</v>
      </c>
      <c r="B65" s="2">
        <f>TableOMINFSCX[[#This Row],[Ver]]</f>
        <v>2</v>
      </c>
      <c r="C65" t="str">
        <f>IF(TableOMINFSCX[[#This Row],[Ver]]&gt;0,_xlfn.TEXTBEFORE(TableOMINFSCX[[#This Row],[Structure Line]]," "),"")</f>
        <v>PRM530</v>
      </c>
      <c r="D65" t="str">
        <f>IF(TableOMINFSCX[[#This Row],[OUA Code]]&lt;&gt;"",_xlfn.TEXTAFTER(TableOMINFSCX[[#This Row],[Structure Line]]," "),TableOMINFSCX[[#This Row],[Structure Line]])</f>
        <v>Project Planning and Schedule Management</v>
      </c>
      <c r="E65" s="56">
        <f>TableOMINFSCX[[#This Row],[Credit Points]]</f>
        <v>25</v>
      </c>
      <c r="F65" s="124">
        <v>11</v>
      </c>
      <c r="G65" s="101" t="s">
        <v>99</v>
      </c>
      <c r="H65" s="124">
        <v>0</v>
      </c>
      <c r="I65" s="124" t="s">
        <v>211</v>
      </c>
      <c r="J65" s="101" t="s">
        <v>135</v>
      </c>
      <c r="K65" s="124">
        <v>2</v>
      </c>
      <c r="L65" s="101" t="s">
        <v>224</v>
      </c>
      <c r="M65" s="124">
        <v>25</v>
      </c>
      <c r="N65" s="125">
        <v>45383</v>
      </c>
      <c r="O65" s="125"/>
      <c r="Q65" t="s">
        <v>135</v>
      </c>
      <c r="R65">
        <v>2</v>
      </c>
    </row>
    <row r="66" spans="1:18" x14ac:dyDescent="0.25">
      <c r="A66" t="str">
        <f>TableOMINFSCX[[#This Row],[Study Package Code]]</f>
        <v>COMS6006</v>
      </c>
      <c r="B66" s="2">
        <f>TableOMINFSCX[[#This Row],[Ver]]</f>
        <v>2</v>
      </c>
      <c r="C66" t="str">
        <f>IF(TableOMINFSCX[[#This Row],[Ver]]&gt;0,_xlfn.TEXTBEFORE(TableOMINFSCX[[#This Row],[Structure Line]]," "),"")</f>
        <v>COM600</v>
      </c>
      <c r="D66" t="str">
        <f>IF(TableOMINFSCX[[#This Row],[OUA Code]]&lt;&gt;"",_xlfn.TEXTAFTER(TableOMINFSCX[[#This Row],[Structure Line]]," "),TableOMINFSCX[[#This Row],[Structure Line]])</f>
        <v>Masters Professional Experience</v>
      </c>
      <c r="E66" s="56">
        <f>TableOMINFSCX[[#This Row],[Credit Points]]</f>
        <v>50</v>
      </c>
      <c r="F66" s="124">
        <v>12</v>
      </c>
      <c r="G66" s="101" t="s">
        <v>229</v>
      </c>
      <c r="H66" s="124">
        <v>2</v>
      </c>
      <c r="I66" s="124" t="s">
        <v>211</v>
      </c>
      <c r="J66" s="101" t="s">
        <v>134</v>
      </c>
      <c r="K66" s="124">
        <v>2</v>
      </c>
      <c r="L66" s="101" t="s">
        <v>232</v>
      </c>
      <c r="M66" s="124">
        <v>50</v>
      </c>
      <c r="N66" s="125">
        <v>45292</v>
      </c>
      <c r="O66" s="125"/>
      <c r="Q66" t="s">
        <v>134</v>
      </c>
      <c r="R66">
        <v>2</v>
      </c>
    </row>
    <row r="67" spans="1:18" x14ac:dyDescent="0.25">
      <c r="A67" t="str">
        <f>TableOMINFSCX[[#This Row],[Study Package Code]]</f>
        <v>HUMN6004</v>
      </c>
      <c r="B67" s="2">
        <f>TableOMINFSCX[[#This Row],[Ver]]</f>
        <v>1</v>
      </c>
      <c r="C67" t="str">
        <f>IF(TableOMINFSCX[[#This Row],[Ver]]&gt;0,_xlfn.TEXTBEFORE(TableOMINFSCX[[#This Row],[Structure Line]]," "),"")</f>
        <v>HUMN610</v>
      </c>
      <c r="D67" t="str">
        <f>IF(TableOMINFSCX[[#This Row],[OUA Code]]&lt;&gt;"",_xlfn.TEXTAFTER(TableOMINFSCX[[#This Row],[Structure Line]]," "),TableOMINFSCX[[#This Row],[Structure Line]])</f>
        <v>Masters Research Project 2</v>
      </c>
      <c r="E67" s="56">
        <f>TableOMINFSCX[[#This Row],[Credit Points]]</f>
        <v>50</v>
      </c>
      <c r="F67" s="124">
        <v>12</v>
      </c>
      <c r="G67" s="101" t="s">
        <v>229</v>
      </c>
      <c r="H67" s="124">
        <v>2</v>
      </c>
      <c r="I67" s="124" t="s">
        <v>211</v>
      </c>
      <c r="J67" s="101" t="s">
        <v>136</v>
      </c>
      <c r="K67" s="124">
        <v>1</v>
      </c>
      <c r="L67" s="101" t="s">
        <v>233</v>
      </c>
      <c r="M67" s="124">
        <v>50</v>
      </c>
      <c r="N67" s="125">
        <v>45292</v>
      </c>
      <c r="O67" s="125"/>
      <c r="Q67" t="s">
        <v>136</v>
      </c>
      <c r="R67">
        <v>1</v>
      </c>
    </row>
    <row r="68" spans="1:18" x14ac:dyDescent="0.25">
      <c r="A68" t="str">
        <f>TableOMINFSCX[[#This Row],[Study Package Code]]</f>
        <v>COMS6007</v>
      </c>
      <c r="B68" s="2">
        <f>TableOMINFSCX[[#This Row],[Ver]]</f>
        <v>1</v>
      </c>
      <c r="C68" t="str">
        <f>IF(TableOMINFSCX[[#This Row],[Ver]]&gt;0,_xlfn.TEXTBEFORE(TableOMINFSCX[[#This Row],[Structure Line]]," "),"")</f>
        <v>COM610</v>
      </c>
      <c r="D68" t="str">
        <f>IF(TableOMINFSCX[[#This Row],[OUA Code]]&lt;&gt;"",_xlfn.TEXTAFTER(TableOMINFSCX[[#This Row],[Structure Line]]," "),TableOMINFSCX[[#This Row],[Structure Line]])</f>
        <v>Masters Professional or Creative Project</v>
      </c>
      <c r="E68" s="56">
        <f>TableOMINFSCX[[#This Row],[Credit Points]]</f>
        <v>50</v>
      </c>
      <c r="F68" s="124">
        <v>13</v>
      </c>
      <c r="G68" s="101" t="s">
        <v>229</v>
      </c>
      <c r="H68" s="124">
        <v>0</v>
      </c>
      <c r="I68" s="124" t="s">
        <v>211</v>
      </c>
      <c r="J68" s="101" t="s">
        <v>127</v>
      </c>
      <c r="K68" s="124">
        <v>1</v>
      </c>
      <c r="L68" s="101" t="s">
        <v>234</v>
      </c>
      <c r="M68" s="124">
        <v>50</v>
      </c>
      <c r="N68" s="125">
        <v>45292</v>
      </c>
      <c r="O68" s="125"/>
      <c r="Q68" t="s">
        <v>127</v>
      </c>
      <c r="R68">
        <v>1</v>
      </c>
    </row>
    <row r="69" spans="1:18" x14ac:dyDescent="0.25">
      <c r="A69" t="str">
        <f>TableOMINFSCX[[#This Row],[Study Package Code]]</f>
        <v>HUMN6002</v>
      </c>
      <c r="B69" s="2">
        <f>TableOMINFSCX[[#This Row],[Ver]]</f>
        <v>1</v>
      </c>
      <c r="C69" t="str">
        <f>IF(TableOMINFSCX[[#This Row],[Ver]]&gt;0,_xlfn.TEXTBEFORE(TableOMINFSCX[[#This Row],[Structure Line]]," "),"")</f>
        <v>HUMN600</v>
      </c>
      <c r="D69" t="str">
        <f>IF(TableOMINFSCX[[#This Row],[OUA Code]]&lt;&gt;"",_xlfn.TEXTAFTER(TableOMINFSCX[[#This Row],[Structure Line]]," "),TableOMINFSCX[[#This Row],[Structure Line]])</f>
        <v>Masters Research Project 1</v>
      </c>
      <c r="E69" s="56">
        <f>TableOMINFSCX[[#This Row],[Credit Points]]</f>
        <v>50</v>
      </c>
      <c r="F69" s="124">
        <v>13</v>
      </c>
      <c r="G69" s="101" t="s">
        <v>229</v>
      </c>
      <c r="H69" s="124">
        <v>0</v>
      </c>
      <c r="I69" s="124" t="s">
        <v>211</v>
      </c>
      <c r="J69" s="101" t="s">
        <v>129</v>
      </c>
      <c r="K69" s="124">
        <v>1</v>
      </c>
      <c r="L69" s="101" t="s">
        <v>235</v>
      </c>
      <c r="M69" s="124">
        <v>50</v>
      </c>
      <c r="N69" s="125">
        <v>45292</v>
      </c>
      <c r="O69" s="125"/>
      <c r="Q69" t="s">
        <v>129</v>
      </c>
      <c r="R69">
        <v>1</v>
      </c>
    </row>
  </sheetData>
  <conditionalFormatting sqref="J3:J15">
    <cfRule type="duplicateValues" dxfId="15" priority="170"/>
  </conditionalFormatting>
  <conditionalFormatting sqref="J18:J25">
    <cfRule type="duplicateValues" dxfId="14" priority="9"/>
  </conditionalFormatting>
  <conditionalFormatting sqref="J28:J44">
    <cfRule type="duplicateValues" dxfId="13" priority="6"/>
  </conditionalFormatting>
  <conditionalFormatting sqref="J47:J69">
    <cfRule type="duplicateValues" dxfId="12" priority="3"/>
  </conditionalFormatting>
  <conditionalFormatting sqref="N3:N15">
    <cfRule type="cellIs" dxfId="11" priority="38" operator="greaterThan">
      <formula>$P$1</formula>
    </cfRule>
  </conditionalFormatting>
  <conditionalFormatting sqref="N18:N25">
    <cfRule type="cellIs" dxfId="10" priority="7" operator="greaterThan">
      <formula>$P$1</formula>
    </cfRule>
  </conditionalFormatting>
  <conditionalFormatting sqref="N28:N44">
    <cfRule type="cellIs" dxfId="9" priority="4" operator="greaterThan">
      <formula>$P$1</formula>
    </cfRule>
  </conditionalFormatting>
  <conditionalFormatting sqref="N47:N69">
    <cfRule type="cellIs" dxfId="8" priority="1" operator="greaterThan">
      <formula>$P$1</formula>
    </cfRule>
  </conditionalFormatting>
  <conditionalFormatting sqref="O3:O15">
    <cfRule type="notContainsBlanks" dxfId="7" priority="39">
      <formula>LEN(TRIM(O3))&gt;0</formula>
    </cfRule>
  </conditionalFormatting>
  <conditionalFormatting sqref="O18:O25">
    <cfRule type="notContainsBlanks" dxfId="6" priority="8">
      <formula>LEN(TRIM(O18))&gt;0</formula>
    </cfRule>
  </conditionalFormatting>
  <conditionalFormatting sqref="O28:O44">
    <cfRule type="notContainsBlanks" dxfId="5" priority="5">
      <formula>LEN(TRIM(O28))&gt;0</formula>
    </cfRule>
  </conditionalFormatting>
  <conditionalFormatting sqref="O47:O69">
    <cfRule type="notContainsBlanks" dxfId="4" priority="2">
      <formula>LEN(TRIM(O47))&gt;0</formula>
    </cfRule>
  </conditionalFormatting>
  <conditionalFormatting sqref="Q3:R15">
    <cfRule type="expression" dxfId="3" priority="169">
      <formula>Q3&lt;&gt;J3</formula>
    </cfRule>
  </conditionalFormatting>
  <conditionalFormatting sqref="Q18:R25">
    <cfRule type="expression" dxfId="2" priority="12">
      <formula>Q18&lt;&gt;J18</formula>
    </cfRule>
  </conditionalFormatting>
  <conditionalFormatting sqref="Q28:R44">
    <cfRule type="expression" dxfId="1" priority="11">
      <formula>Q28&lt;&gt;J28</formula>
    </cfRule>
  </conditionalFormatting>
  <conditionalFormatting sqref="Q47:R69">
    <cfRule type="expression" dxfId="0" priority="10">
      <formula>Q47&lt;&gt;J47</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5"/>
  <sheetViews>
    <sheetView workbookViewId="0">
      <selection activeCell="D6" sqref="D6"/>
    </sheetView>
  </sheetViews>
  <sheetFormatPr defaultRowHeight="15.75" x14ac:dyDescent="0.25"/>
  <cols>
    <col min="1" max="1" width="12.375" bestFit="1" customWidth="1"/>
    <col min="2" max="7" width="5.375" bestFit="1" customWidth="1"/>
    <col min="9" max="9" width="10.25" bestFit="1" customWidth="1"/>
    <col min="10" max="15" width="1.875" bestFit="1" customWidth="1"/>
  </cols>
  <sheetData>
    <row r="1" spans="1:15" x14ac:dyDescent="0.25">
      <c r="A1" s="210" t="s">
        <v>199</v>
      </c>
    </row>
    <row r="2" spans="1:15" x14ac:dyDescent="0.25">
      <c r="A2" s="211">
        <v>45993</v>
      </c>
    </row>
    <row r="3" spans="1:15" ht="103.5" x14ac:dyDescent="0.25">
      <c r="A3" t="s">
        <v>236</v>
      </c>
      <c r="B3" s="102" t="s">
        <v>237</v>
      </c>
      <c r="C3" s="102" t="s">
        <v>238</v>
      </c>
      <c r="D3" s="102" t="s">
        <v>239</v>
      </c>
      <c r="E3" s="102" t="s">
        <v>240</v>
      </c>
      <c r="F3" s="102" t="s">
        <v>241</v>
      </c>
      <c r="G3" s="102" t="s">
        <v>242</v>
      </c>
      <c r="I3" t="s">
        <v>243</v>
      </c>
    </row>
    <row r="4" spans="1:15" x14ac:dyDescent="0.25">
      <c r="A4" s="123" t="s">
        <v>116</v>
      </c>
      <c r="B4" s="224"/>
      <c r="C4" s="224"/>
      <c r="D4" s="224">
        <v>1</v>
      </c>
      <c r="E4" s="224"/>
      <c r="F4" s="224">
        <v>1</v>
      </c>
      <c r="G4" s="224"/>
      <c r="I4" t="s">
        <v>116</v>
      </c>
      <c r="L4">
        <v>1</v>
      </c>
      <c r="N4">
        <v>1</v>
      </c>
    </row>
    <row r="5" spans="1:15" x14ac:dyDescent="0.25">
      <c r="A5" s="123" t="s">
        <v>114</v>
      </c>
      <c r="B5" s="224"/>
      <c r="C5" s="224"/>
      <c r="D5" s="224">
        <v>1</v>
      </c>
      <c r="E5" s="224"/>
      <c r="F5" s="224">
        <v>1</v>
      </c>
      <c r="G5" s="224"/>
      <c r="I5" t="s">
        <v>114</v>
      </c>
      <c r="L5">
        <v>1</v>
      </c>
      <c r="N5">
        <v>1</v>
      </c>
    </row>
    <row r="6" spans="1:15" x14ac:dyDescent="0.25">
      <c r="A6" t="s">
        <v>134</v>
      </c>
      <c r="B6" s="2"/>
      <c r="C6" s="2"/>
      <c r="D6" s="2">
        <v>1</v>
      </c>
      <c r="E6" s="2"/>
      <c r="F6" s="2">
        <v>1</v>
      </c>
      <c r="G6" s="2"/>
      <c r="I6" t="s">
        <v>134</v>
      </c>
      <c r="L6">
        <v>1</v>
      </c>
      <c r="N6">
        <v>1</v>
      </c>
    </row>
    <row r="7" spans="1:15" x14ac:dyDescent="0.25">
      <c r="A7" t="s">
        <v>127</v>
      </c>
      <c r="B7" s="2"/>
      <c r="C7" s="2"/>
      <c r="D7" s="2">
        <v>1</v>
      </c>
      <c r="E7" s="2"/>
      <c r="F7" s="2">
        <v>1</v>
      </c>
      <c r="G7" s="2"/>
      <c r="I7" t="s">
        <v>127</v>
      </c>
      <c r="L7">
        <v>1</v>
      </c>
      <c r="N7">
        <v>1</v>
      </c>
    </row>
    <row r="8" spans="1:15" x14ac:dyDescent="0.25">
      <c r="A8" t="s">
        <v>126</v>
      </c>
      <c r="B8" s="2">
        <v>1</v>
      </c>
      <c r="C8" s="2"/>
      <c r="D8" s="2"/>
      <c r="E8" s="2"/>
      <c r="F8" s="2"/>
      <c r="G8" s="2"/>
      <c r="I8" t="s">
        <v>126</v>
      </c>
      <c r="J8">
        <v>1</v>
      </c>
    </row>
    <row r="9" spans="1:15" x14ac:dyDescent="0.25">
      <c r="A9" t="s">
        <v>128</v>
      </c>
      <c r="B9" s="2"/>
      <c r="C9" s="2">
        <v>1</v>
      </c>
      <c r="D9" s="2"/>
      <c r="E9" s="2"/>
      <c r="F9" s="2"/>
      <c r="G9" s="2"/>
      <c r="I9" t="s">
        <v>128</v>
      </c>
      <c r="K9">
        <v>1</v>
      </c>
    </row>
    <row r="10" spans="1:15" x14ac:dyDescent="0.25">
      <c r="A10" t="s">
        <v>129</v>
      </c>
      <c r="B10" s="2"/>
      <c r="C10" s="2"/>
      <c r="D10" s="2">
        <v>1</v>
      </c>
      <c r="E10" s="2"/>
      <c r="F10" s="2">
        <v>1</v>
      </c>
      <c r="G10" s="2"/>
      <c r="I10" t="s">
        <v>129</v>
      </c>
      <c r="L10">
        <v>1</v>
      </c>
      <c r="N10">
        <v>1</v>
      </c>
    </row>
    <row r="11" spans="1:15" x14ac:dyDescent="0.25">
      <c r="A11" t="s">
        <v>136</v>
      </c>
      <c r="B11" s="2"/>
      <c r="C11" s="2"/>
      <c r="D11" s="2">
        <v>1</v>
      </c>
      <c r="E11" s="2"/>
      <c r="F11" s="2">
        <v>1</v>
      </c>
      <c r="G11" s="2"/>
      <c r="I11" t="s">
        <v>136</v>
      </c>
      <c r="L11">
        <v>1</v>
      </c>
      <c r="N11">
        <v>1</v>
      </c>
    </row>
    <row r="12" spans="1:15" x14ac:dyDescent="0.25">
      <c r="A12" t="s">
        <v>105</v>
      </c>
      <c r="B12" s="2"/>
      <c r="C12" s="2"/>
      <c r="D12" s="2"/>
      <c r="E12" s="2"/>
      <c r="F12" s="2">
        <v>1</v>
      </c>
      <c r="G12" s="2"/>
      <c r="I12" t="s">
        <v>105</v>
      </c>
      <c r="N12">
        <v>1</v>
      </c>
    </row>
    <row r="13" spans="1:15" x14ac:dyDescent="0.25">
      <c r="A13" t="s">
        <v>107</v>
      </c>
      <c r="B13" s="2"/>
      <c r="C13" s="2"/>
      <c r="D13" s="2">
        <v>1</v>
      </c>
      <c r="E13" s="2"/>
      <c r="F13" s="2">
        <v>1</v>
      </c>
      <c r="G13" s="2"/>
      <c r="I13" t="s">
        <v>107</v>
      </c>
      <c r="L13">
        <v>1</v>
      </c>
      <c r="N13">
        <v>1</v>
      </c>
    </row>
    <row r="14" spans="1:15" x14ac:dyDescent="0.25">
      <c r="A14" t="s">
        <v>103</v>
      </c>
      <c r="B14" s="2"/>
      <c r="C14" s="2"/>
      <c r="D14" s="2">
        <v>1</v>
      </c>
      <c r="E14" s="2">
        <v>1</v>
      </c>
      <c r="F14" s="2"/>
      <c r="G14" s="2"/>
      <c r="I14" t="s">
        <v>103</v>
      </c>
      <c r="L14">
        <v>1</v>
      </c>
      <c r="M14">
        <v>1</v>
      </c>
    </row>
    <row r="15" spans="1:15" x14ac:dyDescent="0.25">
      <c r="A15" t="s">
        <v>101</v>
      </c>
      <c r="B15" s="2"/>
      <c r="C15" s="2"/>
      <c r="D15" s="2">
        <v>1</v>
      </c>
      <c r="E15" s="2"/>
      <c r="F15" s="2"/>
      <c r="G15" s="2">
        <v>1</v>
      </c>
      <c r="I15" t="s">
        <v>101</v>
      </c>
      <c r="L15">
        <v>1</v>
      </c>
      <c r="O15">
        <v>1</v>
      </c>
    </row>
    <row r="16" spans="1:15" x14ac:dyDescent="0.25">
      <c r="A16" t="s">
        <v>108</v>
      </c>
      <c r="B16" s="2"/>
      <c r="C16" s="2"/>
      <c r="D16" s="2"/>
      <c r="E16" s="2">
        <v>1</v>
      </c>
      <c r="F16" s="2"/>
      <c r="G16" s="2">
        <v>1</v>
      </c>
      <c r="I16" t="s">
        <v>108</v>
      </c>
      <c r="M16">
        <v>1</v>
      </c>
      <c r="O16">
        <v>1</v>
      </c>
    </row>
    <row r="17" spans="1:15" x14ac:dyDescent="0.25">
      <c r="A17" t="s">
        <v>96</v>
      </c>
      <c r="B17" s="2"/>
      <c r="C17" s="2"/>
      <c r="D17" s="2"/>
      <c r="E17" s="2">
        <v>1</v>
      </c>
      <c r="F17" s="2"/>
      <c r="G17" s="2"/>
      <c r="I17" t="s">
        <v>96</v>
      </c>
      <c r="M17">
        <v>1</v>
      </c>
    </row>
    <row r="18" spans="1:15" x14ac:dyDescent="0.25">
      <c r="A18" t="s">
        <v>109</v>
      </c>
      <c r="B18" s="2"/>
      <c r="C18" s="2"/>
      <c r="D18" s="2"/>
      <c r="E18" s="2">
        <v>1</v>
      </c>
      <c r="F18" s="2">
        <v>1</v>
      </c>
      <c r="G18" s="2"/>
      <c r="I18" t="s">
        <v>109</v>
      </c>
      <c r="M18">
        <v>1</v>
      </c>
      <c r="N18">
        <v>1</v>
      </c>
    </row>
    <row r="19" spans="1:15" x14ac:dyDescent="0.25">
      <c r="A19" t="s">
        <v>102</v>
      </c>
      <c r="B19" s="2"/>
      <c r="C19" s="2"/>
      <c r="D19" s="2">
        <v>1</v>
      </c>
      <c r="E19" s="2">
        <v>1</v>
      </c>
      <c r="F19" s="2"/>
      <c r="G19" s="2"/>
      <c r="I19" t="s">
        <v>102</v>
      </c>
      <c r="L19">
        <v>1</v>
      </c>
      <c r="M19">
        <v>1</v>
      </c>
    </row>
    <row r="20" spans="1:15" x14ac:dyDescent="0.25">
      <c r="A20" t="s">
        <v>94</v>
      </c>
      <c r="B20" s="2"/>
      <c r="C20" s="2"/>
      <c r="D20" s="2">
        <v>1</v>
      </c>
      <c r="E20" s="2"/>
      <c r="F20" s="2">
        <v>1</v>
      </c>
      <c r="G20" s="2"/>
      <c r="I20" t="s">
        <v>94</v>
      </c>
      <c r="L20">
        <v>1</v>
      </c>
      <c r="N20">
        <v>1</v>
      </c>
    </row>
    <row r="21" spans="1:15" x14ac:dyDescent="0.25">
      <c r="A21" t="s">
        <v>100</v>
      </c>
      <c r="B21" s="2"/>
      <c r="C21" s="2"/>
      <c r="D21" s="2"/>
      <c r="E21" s="2">
        <v>1</v>
      </c>
      <c r="F21" s="2">
        <v>1</v>
      </c>
      <c r="G21" s="2"/>
      <c r="I21" t="s">
        <v>100</v>
      </c>
      <c r="M21">
        <v>1</v>
      </c>
      <c r="N21">
        <v>1</v>
      </c>
    </row>
    <row r="22" spans="1:15" x14ac:dyDescent="0.25">
      <c r="A22" t="s">
        <v>130</v>
      </c>
      <c r="B22" s="2"/>
      <c r="C22" s="2"/>
      <c r="D22" s="2">
        <v>1</v>
      </c>
      <c r="E22" s="2"/>
      <c r="F22" s="2">
        <v>1</v>
      </c>
      <c r="G22" s="2"/>
      <c r="I22" t="s">
        <v>130</v>
      </c>
      <c r="L22">
        <v>1</v>
      </c>
      <c r="N22">
        <v>1</v>
      </c>
    </row>
    <row r="23" spans="1:15" x14ac:dyDescent="0.25">
      <c r="A23" t="s">
        <v>132</v>
      </c>
      <c r="B23" s="2"/>
      <c r="C23" s="2"/>
      <c r="D23" s="2"/>
      <c r="E23" s="2">
        <v>1</v>
      </c>
      <c r="F23" s="2"/>
      <c r="G23" s="2">
        <v>1</v>
      </c>
      <c r="I23" t="s">
        <v>132</v>
      </c>
      <c r="M23">
        <v>1</v>
      </c>
      <c r="O23">
        <v>1</v>
      </c>
    </row>
    <row r="24" spans="1:15" x14ac:dyDescent="0.25">
      <c r="A24" t="s">
        <v>133</v>
      </c>
      <c r="B24" s="2"/>
      <c r="C24" s="2"/>
      <c r="D24" s="2"/>
      <c r="E24" s="2">
        <v>1</v>
      </c>
      <c r="F24" s="2"/>
      <c r="G24" s="2"/>
      <c r="I24" t="s">
        <v>133</v>
      </c>
      <c r="M24">
        <v>1</v>
      </c>
      <c r="O24">
        <v>1</v>
      </c>
    </row>
    <row r="25" spans="1:15" x14ac:dyDescent="0.25">
      <c r="A25" t="s">
        <v>135</v>
      </c>
      <c r="B25" s="2"/>
      <c r="C25" s="2"/>
      <c r="D25" s="2"/>
      <c r="E25" s="2">
        <v>1</v>
      </c>
      <c r="F25" s="2"/>
      <c r="G25" s="2">
        <v>1</v>
      </c>
      <c r="I25" t="s">
        <v>135</v>
      </c>
      <c r="M25">
        <v>1</v>
      </c>
      <c r="O25">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58b0421-3d9b-4d43-8840-b275eef407cc"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05C8DE81E864C04FBD5CF16ED44542C5" ma:contentTypeVersion="25" ma:contentTypeDescription="Create a new document." ma:contentTypeScope="" ma:versionID="6ba72899b1b73ba3b2530aea358faf34">
  <xsd:schema xmlns:xsd="http://www.w3.org/2001/XMLSchema" xmlns:xs="http://www.w3.org/2001/XMLSchema" xmlns:p="http://schemas.microsoft.com/office/2006/metadata/properties" xmlns:ns2="1f4c0b20-2c14-4291-851e-36bd297de4e2" xmlns:ns3="ba69df13-0c3c-4942-8695-6ca01564010c" xmlns:ns4="http://schemas.microsoft.com/sharepoint/v4" targetNamespace="http://schemas.microsoft.com/office/2006/metadata/properties" ma:root="true" ma:fieldsID="cd96233f9e6694534e6888dc501f237b" ns2:_="" ns3:_="" ns4:_="">
    <xsd:import namespace="1f4c0b20-2c14-4291-851e-36bd297de4e2"/>
    <xsd:import namespace="ba69df13-0c3c-4942-8695-6ca01564010c"/>
    <xsd:import namespace="http://schemas.microsoft.com/sharepoint/v4"/>
    <xsd:element name="properties">
      <xsd:complexType>
        <xsd:sequence>
          <xsd:element name="documentManagement">
            <xsd:complexType>
              <xsd:all>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SearchProperties" minOccurs="0"/>
                <xsd:element ref="ns4:IconOverlay" minOccurs="0"/>
                <xsd:element ref="ns2:MediaServiceObjectDetectorVersions"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4c0b20-2c14-4291-851e-36bd297de4e2" elementFormDefault="qualified">
    <xsd:import namespace="http://schemas.microsoft.com/office/2006/documentManagement/types"/>
    <xsd:import namespace="http://schemas.microsoft.com/office/infopath/2007/PartnerControls"/>
    <xsd:element name="MediaServiceAutoKeyPoints" ma:index="8" nillable="true" ma:displayName="MediaServiceAutoKeyPoints" ma:hidden="true" ma:internalName="MediaServiceAutoKeyPoints" ma:readOnly="true">
      <xsd:simpleType>
        <xsd:restriction base="dms:Note"/>
      </xsd:simpleType>
    </xsd:element>
    <xsd:element name="MediaServiceKeyPoints" ma:index="9"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ba69df13-0c3c-4942-8695-6ca01564010c">
      <UserInfo>
        <DisplayName/>
        <AccountId xsi:nil="true"/>
        <AccountType/>
      </UserInfo>
    </SharedWithUsers>
    <TaxCatchAll xmlns="ba69df13-0c3c-4942-8695-6ca01564010c" xsi:nil="true"/>
    <lcf76f155ced4ddcb4097134ff3c332f xmlns="1f4c0b20-2c14-4291-851e-36bd297de4e2">
      <Terms xmlns="http://schemas.microsoft.com/office/infopath/2007/PartnerControls"/>
    </lcf76f155ced4ddcb4097134ff3c332f>
    <IconOverlay xmlns="http://schemas.microsoft.com/sharepoint/v4" xsi:nil="true"/>
  </documentManagement>
</p:properties>
</file>

<file path=customXml/itemProps1.xml><?xml version="1.0" encoding="utf-8"?>
<ds:datastoreItem xmlns:ds="http://schemas.openxmlformats.org/officeDocument/2006/customXml" ds:itemID="{9E734282-F7B5-4F26-B4CD-0687CAC40E0F}">
  <ds:schemaRefs>
    <ds:schemaRef ds:uri="Microsoft.SharePoint.Taxonomy.ContentTypeSync"/>
  </ds:schemaRefs>
</ds:datastoreItem>
</file>

<file path=customXml/itemProps2.xml><?xml version="1.0" encoding="utf-8"?>
<ds:datastoreItem xmlns:ds="http://schemas.openxmlformats.org/officeDocument/2006/customXml" ds:itemID="{2A882839-0DD1-4D55-A29B-F95FE6B563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4c0b20-2c14-4291-851e-36bd297de4e2"/>
    <ds:schemaRef ds:uri="ba69df13-0c3c-4942-8695-6ca01564010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4.xml><?xml version="1.0" encoding="utf-8"?>
<ds:datastoreItem xmlns:ds="http://schemas.openxmlformats.org/officeDocument/2006/customXml" ds:itemID="{702FBB4C-6ADF-4262-9F1C-6F0710538C55}">
  <ds:schemaRefs>
    <ds:schemaRef ds:uri="http://schemas.microsoft.com/office/infopath/2007/PartnerControls"/>
    <ds:schemaRef ds:uri="http://schemas.microsoft.com/office/2006/documentManagement/types"/>
    <ds:schemaRef ds:uri="http://purl.org/dc/elements/1.1/"/>
    <ds:schemaRef ds:uri="ba69df13-0c3c-4942-8695-6ca01564010c"/>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http://schemas.microsoft.com/sharepoint/v4"/>
    <ds:schemaRef ds:uri="1f4c0b20-2c14-4291-851e-36bd297de4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GD-ARCREC Planner</vt:lpstr>
      <vt:lpstr>GD-INFLSC Planner</vt:lpstr>
      <vt:lpstr>M-INFSCI Planner</vt:lpstr>
      <vt:lpstr>M-INFSCI(Ext) Planner</vt:lpstr>
      <vt:lpstr>CourseDetails</vt:lpstr>
      <vt:lpstr>Unitsets</vt:lpstr>
      <vt:lpstr>Handbook</vt:lpstr>
      <vt:lpstr>Structures</vt:lpstr>
      <vt:lpstr>Availabilities</vt:lpstr>
      <vt:lpstr>'GD-ARCREC Planner'!Print_Area</vt:lpstr>
      <vt:lpstr>'GD-INFLSC Planner'!Print_Area</vt:lpstr>
      <vt:lpstr>'M-INFSCI Planner'!Print_Area</vt:lpstr>
      <vt:lpstr>'M-INFSCI(Ext) Planner'!Print_Area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2025-12-09T05:48:00Z</cp:lastPrinted>
  <dcterms:created xsi:type="dcterms:W3CDTF">2022-02-28T04:48:12Z</dcterms:created>
  <dcterms:modified xsi:type="dcterms:W3CDTF">2025-12-09T05:49:01Z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0x01010005C8DE81E864C04FBD5CF16ED44542C5</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