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BECDCF78-3585-4334-9504-0EEBCE6F44BF}" xr6:coauthVersionLast="47" xr6:coauthVersionMax="47" xr10:uidLastSave="{00000000-0000-0000-0000-000000000000}"/>
  <workbookProtection workbookAlgorithmName="SHA-512" workbookHashValue="JkZPttIaWBcate5GNifaUHtwugmrMVi8Bui1HX7xyp98YkxqHFiZlGehJi/WhNCvyv2WWQAZwdztOOVUHgmkKQ==" workbookSaltValue="1Q7fazYkYpoXp4ZpuzymUg==" workbookSpinCount="100000" lockStructure="1"/>
  <bookViews>
    <workbookView xWindow="-120" yWindow="-120" windowWidth="29040" windowHeight="17520" xr2:uid="{00000000-000D-0000-FFFF-FFFF00000000}"/>
  </bookViews>
  <sheets>
    <sheet name="Master ECE Planner" sheetId="5" r:id="rId1"/>
    <sheet name="GD ECE Planner" sheetId="10" state="hidden" r:id="rId2"/>
    <sheet name="GC ECE Planner" sheetId="11" state="hidden" r:id="rId3"/>
    <sheet name="CourseDetails" sheetId="12" state="hidden" r:id="rId4"/>
    <sheet name="Unitsets" sheetId="2"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Unitsets!$C$23:$E$34</definedName>
    <definedName name="RangeUnitsets">Unitsets!$C$3:$Z$19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20" i="8"/>
  <c r="D20" i="8" s="1"/>
  <c r="C21" i="8"/>
  <c r="D21" i="8" s="1"/>
  <c r="C22" i="8"/>
  <c r="D22" i="8" s="1"/>
  <c r="C23" i="8"/>
  <c r="D23" i="8" s="1"/>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B1" i="3"/>
  <c r="C1" i="3"/>
  <c r="D1" i="3"/>
  <c r="E1" i="3"/>
  <c r="F1" i="3"/>
  <c r="G1" i="3"/>
  <c r="H1" i="3"/>
  <c r="I1" i="3"/>
  <c r="J1" i="3"/>
  <c r="K1" i="3"/>
  <c r="L1" i="3"/>
  <c r="M1" i="3"/>
  <c r="N1" i="3"/>
  <c r="A1"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29" i="8" l="1"/>
  <c r="A30" i="8"/>
  <c r="A31" i="8"/>
  <c r="A32" i="8"/>
  <c r="A33" i="8"/>
  <c r="A34" i="8"/>
  <c r="A35" i="8"/>
  <c r="A36" i="8"/>
  <c r="A37" i="8"/>
  <c r="B29" i="8"/>
  <c r="B30" i="8"/>
  <c r="B31" i="8"/>
  <c r="B32" i="8"/>
  <c r="B33" i="8"/>
  <c r="B34" i="8"/>
  <c r="B35" i="8"/>
  <c r="B36" i="8"/>
  <c r="B37" i="8"/>
  <c r="E29" i="8"/>
  <c r="E30" i="8"/>
  <c r="E31" i="8"/>
  <c r="E32" i="8"/>
  <c r="E33" i="8"/>
  <c r="E34" i="8"/>
  <c r="E35" i="8"/>
  <c r="E36" i="8"/>
  <c r="E37" i="8"/>
  <c r="A28" i="8" l="1"/>
  <c r="B28" i="8"/>
  <c r="E28" i="8"/>
  <c r="A25" i="8"/>
  <c r="A26" i="8"/>
  <c r="A27" i="8"/>
  <c r="B25" i="8"/>
  <c r="B26" i="8"/>
  <c r="B27" i="8"/>
  <c r="E25" i="8"/>
  <c r="E26" i="8"/>
  <c r="E27" i="8"/>
  <c r="A24" i="8" l="1"/>
  <c r="B24" i="8"/>
  <c r="E24" i="8"/>
  <c r="A8" i="8"/>
  <c r="A9" i="8"/>
  <c r="A10" i="8"/>
  <c r="A11" i="8"/>
  <c r="A12" i="8"/>
  <c r="A13" i="8"/>
  <c r="A14" i="8"/>
  <c r="A15" i="8"/>
  <c r="A16" i="8"/>
  <c r="B8" i="8"/>
  <c r="B9" i="8"/>
  <c r="B10" i="8"/>
  <c r="B11" i="8"/>
  <c r="B12" i="8"/>
  <c r="B13" i="8"/>
  <c r="B14" i="8"/>
  <c r="B15" i="8"/>
  <c r="B16" i="8"/>
  <c r="E8" i="8"/>
  <c r="E9" i="8"/>
  <c r="E10" i="8"/>
  <c r="E11" i="8"/>
  <c r="E12" i="8"/>
  <c r="E13" i="8"/>
  <c r="E14" i="8"/>
  <c r="E15" i="8"/>
  <c r="E16" i="8"/>
  <c r="A7" i="8"/>
  <c r="B7" i="8"/>
  <c r="E7" i="8"/>
  <c r="C14" i="5" l="1"/>
  <c r="E23" i="8" l="1"/>
  <c r="B23" i="8"/>
  <c r="A23" i="8"/>
  <c r="E22" i="8"/>
  <c r="B22" i="8"/>
  <c r="A22" i="8"/>
  <c r="E21" i="8"/>
  <c r="B21" i="8"/>
  <c r="A21" i="8"/>
  <c r="E20" i="8"/>
  <c r="B20" i="8"/>
  <c r="A20" i="8"/>
  <c r="M3" i="3" l="1"/>
  <c r="M16" i="3"/>
  <c r="M15" i="3"/>
  <c r="M4" i="3"/>
  <c r="M9" i="3"/>
  <c r="M14" i="3"/>
  <c r="M17" i="3"/>
  <c r="M5" i="3"/>
  <c r="M6" i="3"/>
  <c r="M7" i="3"/>
  <c r="M10" i="3"/>
  <c r="M13" i="3"/>
  <c r="M18" i="3"/>
  <c r="M19" i="3"/>
  <c r="M20" i="3"/>
  <c r="M21" i="3"/>
  <c r="M22" i="3"/>
  <c r="M23" i="3"/>
  <c r="M8" i="3"/>
  <c r="M11" i="3"/>
  <c r="M12" i="3"/>
  <c r="E3" i="8" l="1"/>
  <c r="E4" i="8"/>
  <c r="E5" i="8"/>
  <c r="E6" i="8"/>
  <c r="B3" i="8"/>
  <c r="B4" i="8"/>
  <c r="B5" i="8"/>
  <c r="B6" i="8"/>
  <c r="A3" i="8"/>
  <c r="A4" i="8"/>
  <c r="A5" i="8"/>
  <c r="A6" i="8"/>
  <c r="L3" i="3" l="1"/>
  <c r="L16" i="3"/>
  <c r="L15" i="3"/>
  <c r="L4" i="3"/>
  <c r="L9" i="3"/>
  <c r="L14" i="3"/>
  <c r="L22" i="3"/>
  <c r="L19" i="3"/>
  <c r="L5" i="3"/>
  <c r="L21" i="3"/>
  <c r="L18" i="3"/>
  <c r="L23" i="3"/>
  <c r="L8" i="3"/>
  <c r="L6" i="3"/>
  <c r="L13" i="3"/>
  <c r="L17" i="3"/>
  <c r="L12" i="3"/>
  <c r="L7" i="3"/>
  <c r="L20" i="3"/>
  <c r="L11" i="3"/>
  <c r="L10" i="3"/>
  <c r="A41" i="8" l="1"/>
  <c r="E41" i="8" l="1"/>
  <c r="E42" i="8"/>
  <c r="E43" i="8"/>
  <c r="E44" i="8"/>
  <c r="E45" i="8"/>
  <c r="E46" i="8"/>
  <c r="E47" i="8"/>
  <c r="E48" i="8"/>
  <c r="E49" i="8"/>
  <c r="E52" i="8"/>
  <c r="E53" i="8"/>
  <c r="E50" i="8"/>
  <c r="E51" i="8"/>
  <c r="E54" i="8"/>
  <c r="E55" i="8"/>
  <c r="E56" i="8"/>
  <c r="E57" i="8"/>
  <c r="E58" i="8"/>
  <c r="E59" i="8"/>
  <c r="E60" i="8"/>
  <c r="E61" i="8"/>
  <c r="B41" i="8"/>
  <c r="B42" i="8"/>
  <c r="B43" i="8"/>
  <c r="B44" i="8"/>
  <c r="B45" i="8"/>
  <c r="B46" i="8"/>
  <c r="B47" i="8"/>
  <c r="B48" i="8"/>
  <c r="B49" i="8"/>
  <c r="B52" i="8"/>
  <c r="B53" i="8"/>
  <c r="B50" i="8"/>
  <c r="B51" i="8"/>
  <c r="B54" i="8"/>
  <c r="B55" i="8"/>
  <c r="B56" i="8"/>
  <c r="B57" i="8"/>
  <c r="B58" i="8"/>
  <c r="B59" i="8"/>
  <c r="B60" i="8"/>
  <c r="B61" i="8"/>
  <c r="A42" i="8"/>
  <c r="A43" i="8"/>
  <c r="A44" i="8"/>
  <c r="A45" i="8"/>
  <c r="A46" i="8"/>
  <c r="A47" i="8"/>
  <c r="A48" i="8"/>
  <c r="A49" i="8"/>
  <c r="A52" i="8"/>
  <c r="A53" i="8"/>
  <c r="A50" i="8"/>
  <c r="A51" i="8"/>
  <c r="A54" i="8"/>
  <c r="A55" i="8"/>
  <c r="A56" i="8"/>
  <c r="A57" i="8"/>
  <c r="A58" i="8"/>
  <c r="A59" i="8"/>
  <c r="A60" i="8"/>
  <c r="A61" i="8"/>
  <c r="N3" i="3" l="1"/>
  <c r="N16" i="3"/>
  <c r="N15" i="3"/>
  <c r="N4" i="3"/>
  <c r="N9" i="3"/>
  <c r="N21" i="3"/>
  <c r="N14" i="3"/>
  <c r="N23" i="3"/>
  <c r="N18" i="3"/>
  <c r="N7" i="3"/>
  <c r="N22" i="3"/>
  <c r="N12" i="3"/>
  <c r="N17" i="3"/>
  <c r="N10" i="3"/>
  <c r="N19" i="3"/>
  <c r="N6" i="3"/>
  <c r="N5" i="3"/>
  <c r="N11" i="3"/>
  <c r="N13" i="3"/>
  <c r="N20" i="3"/>
  <c r="N8"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<sst xmlns="http://schemas.openxmlformats.org/spreadsheetml/2006/main" count="897" uniqueCount="204">
  <si>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</si>
  <si>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</si>
  <si>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</si>
  <si>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</si>
  <si>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</si>
  <si>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</si>
  <si>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</si>
  <si>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</si>
  <si>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</si>
  <si>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</si>
  <si>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</si>
  <si>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Environment and Climate Emergency (OpenUnis)</t>
  </si>
  <si>
    <t>Course version:</t>
  </si>
  <si>
    <t>Commencing:</t>
  </si>
  <si>
    <t>Choose your commencing study period (drop-down list)</t>
  </si>
  <si>
    <t>Credits to Complete:</t>
  </si>
  <si>
    <t>2026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</si>
  <si>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</si>
  <si>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</si>
  <si>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</si>
  <si>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</si>
  <si>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</si>
  <si>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</si>
  <si>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</si>
  <si>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</si>
  <si>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</si>
  <si>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</si>
  <si>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</si>
  <si>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</si>
  <si>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</si>
  <si>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</si>
  <si>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</si>
  <si>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</si>
  <si>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</si>
  <si>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Graduate Certificate in Environment and Climate Emergency (OpenUnis)</t>
  </si>
  <si>
    <t>Study Period 3 (August - November)</t>
  </si>
  <si>
    <t>Environment and Climate Emergency</t>
  </si>
  <si>
    <t>TableCourses</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</si>
  <si>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</si>
  <si>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</si>
  <si>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</si>
  <si>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</si>
  <si>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</si>
  <si>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</si>
  <si>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</si>
  <si>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</si>
  <si>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</si>
  <si>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</si>
  <si>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</si>
  <si>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</si>
  <si>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</si>
  <si>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OM-ENVCLM</t>
  </si>
  <si>
    <t>v.3</t>
  </si>
  <si>
    <t>400 credit points required</t>
  </si>
  <si>
    <t>TableStudyPeriods</t>
  </si>
  <si>
    <t>START</t>
  </si>
  <si>
    <t>Next</t>
  </si>
  <si>
    <t>Next2</t>
  </si>
  <si>
    <t>Next3</t>
  </si>
  <si>
    <t>Study Period 1 (February - May)</t>
  </si>
  <si>
    <t>Study Period 2 (May - August)</t>
  </si>
  <si>
    <t>Study Period 4 (November - February)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</si>
  <si>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</si>
  <si>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</si>
  <si>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</si>
  <si>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</si>
  <si>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</si>
  <si>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</si>
  <si>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</si>
  <si>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</si>
  <si>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</si>
  <si>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</si>
  <si>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</si>
  <si>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</si>
  <si>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</si>
  <si>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</si>
  <si>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</si>
  <si>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</si>
  <si>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</si>
  <si>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</si>
  <si>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</si>
  <si>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</si>
  <si>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</si>
  <si>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</si>
  <si>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SUST5016</t>
  </si>
  <si>
    <t>SUST5019</t>
  </si>
  <si>
    <t>URDE6007</t>
  </si>
  <si>
    <t>Y2SP1</t>
  </si>
  <si>
    <t>SUST6005</t>
  </si>
  <si>
    <t>Y2SP2</t>
  </si>
  <si>
    <t>SUST5014</t>
  </si>
  <si>
    <t>Y2SP3</t>
  </si>
  <si>
    <t>Y2SP4</t>
  </si>
  <si>
    <t>SUST5021</t>
  </si>
  <si>
    <t>SUST6001</t>
  </si>
  <si>
    <t>-</t>
  </si>
  <si>
    <t>Elective</t>
  </si>
  <si>
    <t>50CP Unit</t>
  </si>
  <si>
    <t>RangeOptions</t>
  </si>
  <si>
    <t>PRJM6013</t>
  </si>
  <si>
    <t>PRJM6015</t>
  </si>
  <si>
    <t>URDE5015</t>
  </si>
  <si>
    <t>URDE5016</t>
  </si>
  <si>
    <t>URDE5017</t>
  </si>
  <si>
    <t>URDE6004</t>
  </si>
  <si>
    <t>WORK5001</t>
  </si>
  <si>
    <t>Title</t>
  </si>
  <si>
    <t>NOTES</t>
  </si>
  <si>
    <t>Please note this is a double (50CP) subject</t>
  </si>
  <si>
    <t>Study a Postgraduate level Elective subject</t>
  </si>
  <si>
    <t>See OUA Website</t>
  </si>
  <si>
    <t>Study an Optional Subject from the list below</t>
  </si>
  <si>
    <t>See below</t>
  </si>
  <si>
    <t>Project Management Overview</t>
  </si>
  <si>
    <t>Nil</t>
  </si>
  <si>
    <t>Project and People</t>
  </si>
  <si>
    <t>PRM500</t>
  </si>
  <si>
    <t>PRM510</t>
  </si>
  <si>
    <t>SCP522</t>
  </si>
  <si>
    <t>Pathways to a Climate Resilient Society</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</si>
  <si>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</si>
  <si>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</si>
  <si>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</si>
  <si>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</si>
  <si>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</si>
  <si>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</si>
  <si>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</si>
  <si>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</si>
  <si>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</si>
  <si>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</si>
  <si>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</si>
  <si>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</si>
  <si>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</si>
  <si>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</si>
  <si>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</si>
  <si>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</si>
  <si>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</si>
  <si>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</si>
  <si>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</si>
  <si>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</si>
  <si>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</si>
  <si>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</si>
  <si>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</si>
  <si>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</si>
  <si>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</si>
  <si>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</si>
  <si>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</si>
  <si>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</si>
  <si>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</si>
  <si>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</si>
  <si>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</si>
  <si>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</si>
  <si>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</si>
  <si>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</si>
  <si>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</si>
  <si>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</si>
  <si>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</si>
  <si>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</si>
  <si>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</si>
  <si>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</si>
  <si>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</si>
  <si>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</si>
  <si>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</si>
  <si>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</si>
  <si>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</si>
  <si>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</si>
  <si>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</si>
  <si>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</si>
  <si>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</si>
  <si>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</si>
  <si>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</si>
  <si>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</si>
  <si>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</si>
  <si>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</si>
  <si>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</si>
  <si>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</si>
  <si>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</si>
  <si>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</si>
  <si>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</si>
  <si>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</si>
  <si>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</si>
  <si>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</si>
  <si>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</si>
  <si>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</si>
  <si>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</si>
  <si>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</si>
  <si>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</si>
  <si>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</si>
  <si>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</si>
  <si>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</si>
  <si>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</si>
  <si>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</si>
  <si>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</si>
  <si>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1) Update high level course / component &amp; study period details (CourseDetails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</si>
  <si>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</si>
  <si>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</si>
  <si>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</si>
  <si>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</si>
  <si>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</si>
  <si>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</si>
  <si>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</si>
  <si>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</si>
  <si>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Pre-reqs (21/11/2025)</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</si>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</sst>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b/>
      <i/>
      <sz val="10"/>
      <color rgb="FFA6A6A6"/>
      <name val="Arial"/>
      <family val="2"/>
    </font>
    <font>
      <b/>
      <sz val="12"/>
      <name val="Calibri"/>
      <family val="2"/>
      <scheme val="minor"/>
    </font>
    <font>
      <b/>
      <sz val="10"/>
      <name val="Arial"/>
      <family val="2"/>
    </font>
    <font>
      <b/>
      <i/>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7" fillId="0" borderId="0" applyNumberFormat="0" applyFill="0" applyBorder="0" applyAlignment="0" applyProtection="0"/>
    <xf numFmtId="0" fontId="53" fillId="13" borderId="0" applyNumberFormat="0" applyBorder="0" applyAlignment="0" applyProtection="0"/>
  </cellStyleXfs>
  <cellXfs count="348">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9" fillId="0" borderId="0" xfId="0" applyFont="1"/>
    <xf numFmtId="0" fontId="9"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15" fillId="0" borderId="0" xfId="0" applyFont="1"/>
    <xf numFmtId="0" fontId="17" fillId="0" borderId="9" xfId="1" applyFont="1" applyBorder="1" applyAlignment="1">
      <alignment horizontal="center"/>
    </xf>
    <xf numFmtId="0" fontId="17" fillId="0" borderId="10" xfId="1" applyFont="1" applyBorder="1" applyAlignment="1">
      <alignment horizontal="center"/>
    </xf>
    <xf numFmtId="0" fontId="17" fillId="0" borderId="10" xfId="1" applyFont="1" applyBorder="1"/>
    <xf numFmtId="0" fontId="17"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7" fillId="0" borderId="0" xfId="0" applyFont="1" applyAlignment="1">
      <alignment horizontal="center"/>
    </xf>
    <xf numFmtId="0" fontId="16"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2" fillId="0" borderId="0" xfId="0" applyFont="1"/>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2"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5" fillId="0" borderId="0" xfId="0" applyFont="1" applyAlignment="1">
      <alignment horizontal="right"/>
    </xf>
    <xf numFmtId="0" fontId="42"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8" fillId="9" borderId="0" xfId="2" applyFont="1" applyFill="1" applyAlignment="1" applyProtection="1">
      <alignment vertical="center"/>
    </xf>
    <xf numFmtId="0" fontId="27" fillId="9" borderId="0" xfId="2" applyFill="1" applyAlignment="1" applyProtection="1">
      <alignment vertical="center"/>
    </xf>
    <xf numFmtId="0" fontId="48" fillId="0" borderId="0" xfId="0" applyFont="1" applyAlignment="1">
      <alignment horizontal="center" vertic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49" fillId="2" borderId="0" xfId="1" applyFont="1" applyFill="1" applyAlignment="1" applyProtection="1">
      <alignment vertical="center"/>
      <protection locked="0"/>
    </xf>
    <xf numFmtId="0" fontId="50"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7" fillId="8" borderId="0" xfId="1" applyFont="1" applyFill="1" applyAlignment="1">
      <alignment vertical="center" wrapText="1"/>
    </xf>
    <xf numFmtId="0" fontId="19" fillId="2" borderId="0" xfId="1" applyFont="1" applyFill="1" applyAlignment="1">
      <alignment horizontal="right" vertical="center" indent="1"/>
    </xf>
    <xf numFmtId="0" fontId="21" fillId="2" borderId="0" xfId="1" applyFont="1" applyFill="1" applyAlignment="1">
      <alignment horizontal="right" vertical="center" indent="1"/>
    </xf>
    <xf numFmtId="0" fontId="19"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8" borderId="0" xfId="1" applyFont="1" applyFill="1" applyAlignment="1">
      <alignment horizontal="center" vertical="center"/>
    </xf>
    <xf numFmtId="0" fontId="22" fillId="8" borderId="0" xfId="1" applyFont="1" applyFill="1" applyAlignment="1">
      <alignment horizontal="left" vertical="center" indent="1"/>
    </xf>
    <xf numFmtId="0" fontId="22" fillId="8" borderId="0" xfId="1" applyFont="1" applyFill="1" applyAlignment="1">
      <alignment vertical="center" wrapText="1"/>
    </xf>
    <xf numFmtId="0" fontId="22" fillId="8" borderId="19" xfId="1" applyFont="1" applyFill="1" applyBorder="1" applyAlignment="1">
      <alignment horizontal="left" vertical="center"/>
    </xf>
    <xf numFmtId="0" fontId="22" fillId="8" borderId="0" xfId="1" applyFont="1" applyFill="1" applyAlignment="1">
      <alignment horizontal="left" vertical="center"/>
    </xf>
    <xf numFmtId="0" fontId="22" fillId="8" borderId="15" xfId="1" applyFont="1" applyFill="1" applyBorder="1" applyAlignment="1">
      <alignment horizontal="left" vertical="center"/>
    </xf>
    <xf numFmtId="0" fontId="22" fillId="8" borderId="0" xfId="1" applyFont="1" applyFill="1" applyAlignment="1">
      <alignment vertical="center"/>
    </xf>
    <xf numFmtId="0" fontId="23" fillId="2" borderId="0" xfId="1" applyFont="1" applyFill="1" applyAlignment="1">
      <alignment vertical="center"/>
    </xf>
    <xf numFmtId="0" fontId="22" fillId="8" borderId="0" xfId="1" applyFont="1" applyFill="1" applyAlignment="1">
      <alignment horizontal="center" vertical="center" wrapText="1"/>
    </xf>
    <xf numFmtId="0" fontId="21" fillId="2" borderId="44"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45" xfId="1" applyFont="1" applyFill="1" applyBorder="1" applyAlignment="1">
      <alignment vertical="center" wrapText="1"/>
    </xf>
    <xf numFmtId="0" fontId="24" fillId="2" borderId="45" xfId="1" applyFont="1" applyFill="1" applyBorder="1" applyAlignment="1">
      <alignment horizontal="center" vertical="center" wrapText="1"/>
    </xf>
    <xf numFmtId="0" fontId="25" fillId="0" borderId="0" xfId="1" applyFont="1" applyAlignment="1">
      <alignment horizontal="left" vertical="top" wrapText="1"/>
    </xf>
    <xf numFmtId="0" fontId="23" fillId="2" borderId="0" xfId="1" applyFont="1" applyFill="1" applyAlignment="1">
      <alignment wrapText="1"/>
    </xf>
    <xf numFmtId="0" fontId="21" fillId="2" borderId="47"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48" xfId="1" applyFont="1" applyFill="1" applyBorder="1" applyAlignment="1">
      <alignment vertical="center" wrapText="1"/>
    </xf>
    <xf numFmtId="0" fontId="24" fillId="2" borderId="48" xfId="1" applyFont="1" applyFill="1" applyBorder="1" applyAlignment="1">
      <alignment horizontal="center" vertical="center" wrapText="1"/>
    </xf>
    <xf numFmtId="0" fontId="21" fillId="0" borderId="45" xfId="1" applyFont="1" applyBorder="1" applyAlignment="1">
      <alignment horizontal="center" vertical="center" wrapText="1"/>
    </xf>
    <xf numFmtId="0" fontId="21" fillId="0" borderId="48" xfId="1" applyFont="1" applyBorder="1" applyAlignment="1">
      <alignment horizontal="center" vertical="center" wrapText="1"/>
    </xf>
    <xf numFmtId="0" fontId="23" fillId="2" borderId="0" xfId="1" applyFont="1" applyFill="1"/>
    <xf numFmtId="0" fontId="21" fillId="0" borderId="48" xfId="1" applyFont="1" applyBorder="1" applyAlignment="1">
      <alignment horizontal="left" vertical="center"/>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xf numFmtId="0" fontId="39" fillId="8" borderId="0" xfId="1" applyFont="1" applyFill="1" applyAlignment="1">
      <alignment vertical="center" readingOrder="1"/>
    </xf>
    <xf numFmtId="0" fontId="36" fillId="8" borderId="0" xfId="1" applyFont="1" applyFill="1" applyAlignment="1">
      <alignment horizontal="left" vertical="center" readingOrder="1"/>
    </xf>
    <xf numFmtId="0" fontId="20" fillId="8" borderId="0" xfId="1" applyFont="1" applyFill="1" applyAlignment="1">
      <alignment horizontal="left" vertical="center" readingOrder="1"/>
    </xf>
    <xf numFmtId="0" fontId="39" fillId="8" borderId="0" xfId="1" applyFont="1" applyFill="1" applyAlignment="1">
      <alignment horizontal="center" vertical="center" readingOrder="1"/>
    </xf>
    <xf numFmtId="0" fontId="22" fillId="8" borderId="19" xfId="1" applyFont="1" applyFill="1" applyBorder="1" applyAlignment="1">
      <alignment vertical="center" readingOrder="1"/>
    </xf>
    <xf numFmtId="0" fontId="22" fillId="8" borderId="0" xfId="1" applyFont="1" applyFill="1" applyAlignment="1">
      <alignment vertical="center" readingOrder="1"/>
    </xf>
    <xf numFmtId="0" fontId="39" fillId="8" borderId="15" xfId="1" applyFont="1" applyFill="1" applyBorder="1" applyAlignment="1">
      <alignment vertical="center" readingOrder="1"/>
    </xf>
    <xf numFmtId="0" fontId="47" fillId="8" borderId="0" xfId="1" applyFont="1" applyFill="1" applyAlignment="1">
      <alignment horizontal="right" vertical="center" readingOrder="1"/>
    </xf>
    <xf numFmtId="0" fontId="22" fillId="8" borderId="0" xfId="1" applyFont="1" applyFill="1" applyAlignment="1">
      <alignment horizontal="left" vertical="center" readingOrder="1"/>
    </xf>
    <xf numFmtId="0" fontId="22" fillId="8" borderId="0" xfId="1" applyFont="1" applyFill="1" applyAlignment="1">
      <alignment horizontal="center" vertical="top"/>
    </xf>
    <xf numFmtId="0" fontId="44" fillId="0" borderId="16" xfId="1" applyFont="1" applyBorder="1" applyAlignment="1">
      <alignment horizontal="center" vertical="center"/>
    </xf>
    <xf numFmtId="0" fontId="44" fillId="0" borderId="17" xfId="1" applyFont="1" applyBorder="1" applyAlignment="1">
      <alignment horizontal="center" vertical="center"/>
    </xf>
    <xf numFmtId="0" fontId="44" fillId="0" borderId="17" xfId="1" applyFont="1" applyBorder="1" applyAlignment="1">
      <alignment vertical="center"/>
    </xf>
    <xf numFmtId="0" fontId="44" fillId="0" borderId="17" xfId="1" applyFont="1" applyBorder="1" applyAlignment="1">
      <alignment horizontal="center" vertical="center" wrapText="1"/>
    </xf>
    <xf numFmtId="0" fontId="30" fillId="2" borderId="0" xfId="1" applyFont="1" applyFill="1"/>
    <xf numFmtId="0" fontId="32" fillId="2" borderId="0" xfId="1" applyFont="1" applyFill="1" applyAlignment="1">
      <alignment vertical="center"/>
    </xf>
    <xf numFmtId="0" fontId="11" fillId="2" borderId="0" xfId="1" applyFont="1" applyFill="1" applyAlignment="1">
      <alignment vertical="center"/>
    </xf>
    <xf numFmtId="0" fontId="34" fillId="2" borderId="0" xfId="1" applyFont="1" applyFill="1" applyAlignment="1">
      <alignment horizontal="right" vertical="center"/>
    </xf>
    <xf numFmtId="0" fontId="17" fillId="0" borderId="0" xfId="1" applyFont="1" applyAlignment="1">
      <alignment horizontal="center"/>
    </xf>
    <xf numFmtId="0" fontId="8" fillId="0" borderId="0" xfId="1" applyFont="1" applyAlignment="1">
      <alignment horizontal="center" vertical="center"/>
    </xf>
    <xf numFmtId="0" fontId="17" fillId="0" borderId="0" xfId="1" applyFont="1"/>
    <xf numFmtId="0" fontId="44" fillId="0" borderId="0" xfId="1" applyFont="1" applyAlignment="1">
      <alignment horizontal="center" vertical="center"/>
    </xf>
    <xf numFmtId="0" fontId="44" fillId="0" borderId="0" xfId="1" applyFont="1" applyAlignment="1">
      <alignment vertical="center"/>
    </xf>
    <xf numFmtId="0" fontId="44" fillId="0" borderId="0" xfId="1" applyFont="1" applyAlignment="1">
      <alignment horizontal="center" vertical="center" wrapText="1"/>
    </xf>
    <xf numFmtId="0" fontId="44" fillId="0" borderId="0" xfId="1" applyFont="1" applyAlignment="1" applyProtection="1">
      <alignment horizontal="left" vertical="center" wrapText="1"/>
      <protection locked="0"/>
    </xf>
    <xf numFmtId="0" fontId="21" fillId="11" borderId="11" xfId="1" applyFont="1" applyFill="1" applyBorder="1" applyAlignment="1">
      <alignment horizontal="center" vertical="center" wrapText="1"/>
    </xf>
    <xf numFmtId="0" fontId="21" fillId="11" borderId="0" xfId="1" applyFont="1" applyFill="1" applyAlignment="1">
      <alignment horizontal="center" vertical="center" wrapText="1"/>
    </xf>
    <xf numFmtId="0" fontId="21" fillId="11" borderId="0" xfId="1" applyFont="1" applyFill="1" applyAlignment="1">
      <alignment vertical="center" wrapText="1"/>
    </xf>
    <xf numFmtId="0" fontId="24" fillId="11" borderId="0" xfId="1" applyFont="1" applyFill="1" applyAlignment="1">
      <alignment horizontal="left" vertical="center" wrapText="1"/>
    </xf>
    <xf numFmtId="0" fontId="21" fillId="11" borderId="15" xfId="1" applyFont="1" applyFill="1" applyBorder="1" applyAlignment="1">
      <alignment horizontal="center" vertical="center" wrapText="1"/>
    </xf>
    <xf numFmtId="0" fontId="1" fillId="0" borderId="0" xfId="1" applyAlignment="1">
      <alignment horizontal="center" vertical="center"/>
    </xf>
    <xf numFmtId="0" fontId="25" fillId="0" borderId="0" xfId="1" applyFont="1" applyAlignment="1">
      <alignment horizontal="center" vertical="center" wrapText="1"/>
    </xf>
    <xf numFmtId="0" fontId="35" fillId="2" borderId="0" xfId="1" applyFont="1" applyFill="1" applyAlignment="1">
      <alignment horizontal="center" vertical="center"/>
    </xf>
    <xf numFmtId="0" fontId="36" fillId="2" borderId="0" xfId="1" applyFont="1" applyFill="1" applyAlignment="1">
      <alignment horizontal="right"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2" borderId="0" xfId="0" applyFill="1" applyAlignment="1">
      <alignment horizontal="center"/>
    </xf>
    <xf numFmtId="14" fontId="0" fillId="0" borderId="0" xfId="0" applyNumberFormat="1"/>
    <xf numFmtId="0" fontId="52" fillId="8" borderId="0" xfId="1" applyFont="1" applyFill="1" applyAlignment="1">
      <alignment vertical="center" readingOrder="1"/>
    </xf>
    <xf numFmtId="0" fontId="21" fillId="2" borderId="46" xfId="1" applyFont="1" applyFill="1" applyBorder="1" applyAlignment="1" applyProtection="1">
      <alignment horizontal="center" vertical="center" wrapText="1"/>
      <protection locked="0"/>
    </xf>
    <xf numFmtId="0" fontId="21" fillId="2" borderId="49" xfId="1" applyFont="1" applyFill="1" applyBorder="1" applyAlignment="1" applyProtection="1">
      <alignment horizontal="center" vertical="center" wrapText="1"/>
      <protection locked="0"/>
    </xf>
    <xf numFmtId="0" fontId="21" fillId="0" borderId="46" xfId="1" applyFont="1" applyBorder="1" applyAlignment="1" applyProtection="1">
      <alignment horizontal="center" vertical="center" wrapText="1"/>
      <protection locked="0"/>
    </xf>
    <xf numFmtId="0" fontId="21" fillId="0" borderId="49" xfId="1" applyFont="1" applyBorder="1" applyAlignment="1" applyProtection="1">
      <alignment horizontal="center" vertical="center" wrapText="1"/>
      <protection locked="0"/>
    </xf>
    <xf numFmtId="0" fontId="44" fillId="0" borderId="18" xfId="1" applyFont="1" applyBorder="1" applyAlignment="1" applyProtection="1">
      <alignment horizontal="center" vertical="center" wrapText="1"/>
      <protection locked="0"/>
    </xf>
    <xf numFmtId="0" fontId="22" fillId="8" borderId="50" xfId="1" applyFont="1" applyFill="1" applyBorder="1" applyAlignment="1">
      <alignment horizontal="center" vertical="center" wrapText="1"/>
    </xf>
    <xf numFmtId="0" fontId="22" fillId="8" borderId="51" xfId="1" applyFont="1" applyFill="1" applyBorder="1" applyAlignment="1">
      <alignment horizontal="center" vertical="center" wrapText="1"/>
    </xf>
    <xf numFmtId="0" fontId="22" fillId="8"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4" xfId="1" applyFont="1" applyFill="1" applyBorder="1" applyAlignment="1">
      <alignment horizontal="center" vertical="center" wrapText="1"/>
    </xf>
    <xf numFmtId="0" fontId="21" fillId="2" borderId="55" xfId="1" applyFont="1" applyFill="1" applyBorder="1" applyAlignment="1">
      <alignment horizontal="center" vertical="center" wrapText="1"/>
    </xf>
    <xf numFmtId="0" fontId="21" fillId="2" borderId="56" xfId="1" applyFont="1" applyFill="1" applyBorder="1" applyAlignment="1">
      <alignment horizontal="center" vertical="center" wrapText="1"/>
    </xf>
    <xf numFmtId="0" fontId="21" fillId="2" borderId="57" xfId="1" applyFont="1" applyFill="1" applyBorder="1" applyAlignment="1">
      <alignment horizontal="center" vertical="center" wrapText="1"/>
    </xf>
    <xf numFmtId="0" fontId="21" fillId="2" borderId="58" xfId="1" applyFont="1" applyFill="1" applyBorder="1" applyAlignment="1">
      <alignment horizontal="center" vertical="center" wrapText="1"/>
    </xf>
    <xf numFmtId="0" fontId="41" fillId="11" borderId="50"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52" xfId="1" applyFont="1" applyFill="1" applyBorder="1" applyAlignment="1">
      <alignment horizontal="center" vertical="center" wrapText="1"/>
    </xf>
    <xf numFmtId="0" fontId="21" fillId="0" borderId="53" xfId="1" applyFont="1" applyBorder="1" applyAlignment="1">
      <alignment horizontal="center" vertical="center" wrapText="1"/>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6" xfId="1" applyFont="1" applyBorder="1" applyAlignment="1">
      <alignment horizontal="center" vertical="center" wrapText="1"/>
    </xf>
    <xf numFmtId="0" fontId="21" fillId="0" borderId="57" xfId="1" applyFont="1" applyBorder="1" applyAlignment="1">
      <alignment horizontal="center" vertical="center" wrapText="1"/>
    </xf>
    <xf numFmtId="0" fontId="21" fillId="0" borderId="58" xfId="1" applyFont="1" applyBorder="1" applyAlignment="1">
      <alignment horizontal="center" vertical="center" wrapText="1"/>
    </xf>
    <xf numFmtId="0" fontId="22" fillId="8" borderId="50" xfId="1" applyFont="1" applyFill="1" applyBorder="1" applyAlignment="1">
      <alignment horizontal="center" vertical="center" wrapText="1" readingOrder="1"/>
    </xf>
    <xf numFmtId="0" fontId="22" fillId="8" borderId="51" xfId="1" applyFont="1" applyFill="1" applyBorder="1" applyAlignment="1">
      <alignment horizontal="center" vertical="center" wrapText="1" readingOrder="1"/>
    </xf>
    <xf numFmtId="0" fontId="22" fillId="8" borderId="52" xfId="1" applyFont="1" applyFill="1" applyBorder="1" applyAlignment="1">
      <alignment horizontal="center" vertical="center" wrapText="1" readingOrder="1"/>
    </xf>
    <xf numFmtId="0" fontId="44" fillId="0" borderId="59" xfId="1" applyFont="1" applyBorder="1" applyAlignment="1">
      <alignment horizontal="center" vertical="center" wrapText="1"/>
    </xf>
    <xf numFmtId="0" fontId="44" fillId="0" borderId="60" xfId="1" applyFont="1" applyBorder="1" applyAlignment="1">
      <alignment horizontal="center" vertical="center" wrapText="1"/>
    </xf>
    <xf numFmtId="0" fontId="44" fillId="0" borderId="61" xfId="1" applyFont="1" applyBorder="1" applyAlignment="1">
      <alignment horizontal="center" vertical="center" wrapText="1"/>
    </xf>
    <xf numFmtId="14" fontId="53" fillId="13" borderId="0" xfId="3" applyNumberFormat="1" applyAlignment="1">
      <alignment horizontal="center"/>
    </xf>
    <xf numFmtId="14" fontId="55" fillId="0" borderId="0" xfId="0" applyNumberFormat="1" applyFont="1"/>
    <xf numFmtId="0" fontId="43" fillId="0" borderId="0" xfId="0" applyFont="1" applyAlignment="1">
      <alignment vertical="center"/>
    </xf>
    <xf numFmtId="0" fontId="54" fillId="6" borderId="0" xfId="0" applyFont="1" applyFill="1" applyAlignment="1">
      <alignment wrapText="1"/>
    </xf>
    <xf numFmtId="14" fontId="9" fillId="0" borderId="0" xfId="0" applyNumberFormat="1" applyFont="1"/>
    <xf numFmtId="0" fontId="56" fillId="0" borderId="0" xfId="0" applyFont="1" applyAlignment="1">
      <alignment horizontal="left"/>
    </xf>
    <xf numFmtId="0" fontId="7" fillId="0" borderId="0" xfId="0" applyFont="1" applyAlignment="1">
      <alignment horizontal="center"/>
    </xf>
    <xf numFmtId="14" fontId="7" fillId="0" borderId="0" xfId="0" applyNumberFormat="1" applyFont="1" applyAlignment="1">
      <alignment horizontal="center"/>
    </xf>
    <xf numFmtId="0" fontId="18" fillId="11" borderId="14" xfId="1" applyFont="1" applyFill="1" applyBorder="1" applyAlignment="1">
      <alignment horizontal="center" vertical="center"/>
    </xf>
    <xf numFmtId="0" fontId="46" fillId="11" borderId="14" xfId="1" applyFont="1" applyFill="1" applyBorder="1" applyAlignment="1">
      <alignment horizontal="center" vertical="center"/>
    </xf>
    <xf numFmtId="0" fontId="46" fillId="11" borderId="13" xfId="1" applyFont="1" applyFill="1" applyBorder="1" applyAlignment="1">
      <alignment vertical="center"/>
    </xf>
    <xf numFmtId="0" fontId="18" fillId="11" borderId="14" xfId="1" applyFont="1" applyFill="1" applyBorder="1" applyAlignment="1">
      <alignment vertical="center"/>
    </xf>
    <xf numFmtId="0" fontId="40" fillId="11" borderId="14" xfId="1" applyFont="1" applyFill="1" applyBorder="1" applyAlignment="1">
      <alignment vertical="center"/>
    </xf>
    <xf numFmtId="0" fontId="51" fillId="11" borderId="14" xfId="1" applyFont="1" applyFill="1" applyBorder="1" applyAlignment="1">
      <alignment horizontal="right" vertical="center"/>
    </xf>
    <xf numFmtId="0" fontId="54" fillId="0" borderId="0" xfId="0" applyFont="1" applyAlignment="1">
      <alignment horizontal="center"/>
    </xf>
    <xf numFmtId="14" fontId="54" fillId="0" borderId="0" xfId="0"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right"/>
    </xf>
    <xf numFmtId="14" fontId="57" fillId="0" borderId="0" xfId="0" applyNumberFormat="1" applyFont="1"/>
    <xf numFmtId="0" fontId="58" fillId="0" borderId="0" xfId="0" applyFont="1"/>
    <xf numFmtId="0" fontId="59" fillId="0" borderId="0" xfId="0" applyFont="1"/>
    <xf numFmtId="0" fontId="10" fillId="0" borderId="28" xfId="0" applyFont="1" applyBorder="1" applyAlignment="1">
      <alignment horizontal="center"/>
    </xf>
    <xf numFmtId="0" fontId="10" fillId="0" borderId="0" xfId="0" applyFont="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0" fontId="0" fillId="0" borderId="0" xfId="0" applyAlignment="1">
      <alignment horizontal="right"/>
    </xf>
    <xf numFmtId="0" fontId="37" fillId="8"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7" fillId="0" borderId="9" xfId="1" applyFont="1" applyBorder="1" applyAlignment="1" applyProtection="1">
      <alignment horizontal="center"/>
    </xf>
    <xf numFmtId="0" fontId="17" fillId="0" borderId="10" xfId="1" applyFont="1" applyBorder="1" applyAlignment="1" applyProtection="1">
      <alignment horizontal="center"/>
    </xf>
    <xf numFmtId="0" fontId="17" fillId="0" borderId="10" xfId="1" applyFont="1" applyBorder="1" applyProtection="1"/>
    <xf numFmtId="0" fontId="17" fillId="0" borderId="11" xfId="1" applyFont="1" applyBorder="1" applyProtection="1"/>
    <xf numFmtId="0" fontId="1" fillId="0" borderId="0" xfId="1" applyProtection="1"/>
    <xf numFmtId="0" fontId="17" fillId="0" borderId="0" xfId="1" applyFont="1" applyAlignment="1" applyProtection="1">
      <alignment horizontal="center"/>
    </xf>
    <xf numFmtId="0" fontId="8" fillId="0" borderId="0" xfId="1" applyFont="1" applyAlignment="1" applyProtection="1">
      <alignment horizontal="center" vertical="center"/>
    </xf>
    <xf numFmtId="0" fontId="17" fillId="0" borderId="0" xfId="1" applyFont="1" applyProtection="1"/>
    <xf numFmtId="0" fontId="37" fillId="8" borderId="12" xfId="1" applyFont="1" applyFill="1" applyBorder="1" applyAlignment="1" applyProtection="1">
      <alignment horizontal="left" vertical="center" wrapText="1"/>
    </xf>
    <xf numFmtId="0" fontId="37" fillId="8" borderId="0" xfId="1" applyFont="1" applyFill="1" applyAlignment="1" applyProtection="1">
      <alignment vertical="center" wrapText="1"/>
    </xf>
    <xf numFmtId="0" fontId="46" fillId="11" borderId="13" xfId="1" applyFont="1" applyFill="1" applyBorder="1" applyAlignment="1" applyProtection="1">
      <alignment vertical="center"/>
    </xf>
    <xf numFmtId="0" fontId="18" fillId="11" borderId="14" xfId="1" applyFont="1" applyFill="1" applyBorder="1" applyAlignment="1" applyProtection="1">
      <alignment vertical="center"/>
    </xf>
    <xf numFmtId="0" fontId="51" fillId="11" borderId="14" xfId="1" applyFont="1" applyFill="1" applyBorder="1" applyAlignment="1" applyProtection="1">
      <alignment horizontal="right" vertical="center"/>
    </xf>
    <xf numFmtId="0" fontId="46" fillId="11" borderId="14" xfId="1" applyFont="1" applyFill="1" applyBorder="1" applyAlignment="1" applyProtection="1">
      <alignment horizontal="center" vertical="center"/>
    </xf>
    <xf numFmtId="0" fontId="18" fillId="11" borderId="14" xfId="1" applyFont="1" applyFill="1" applyBorder="1" applyAlignment="1" applyProtection="1">
      <alignment horizontal="center" vertical="center"/>
    </xf>
    <xf numFmtId="0" fontId="40" fillId="11" borderId="14" xfId="1" applyFont="1" applyFill="1" applyBorder="1" applyAlignment="1" applyProtection="1">
      <alignment vertical="center"/>
    </xf>
    <xf numFmtId="0" fontId="1" fillId="0" borderId="0" xfId="1" applyAlignment="1" applyProtection="1">
      <alignment horizontal="center"/>
    </xf>
    <xf numFmtId="0" fontId="19"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19" fillId="2" borderId="0" xfId="1" applyFont="1" applyFill="1" applyAlignment="1" applyProtection="1">
      <alignment vertical="center"/>
    </xf>
    <xf numFmtId="0" fontId="36" fillId="2" borderId="0" xfId="1" applyFont="1" applyFill="1" applyAlignment="1" applyProtection="1">
      <alignment horizontal="right" vertical="center"/>
    </xf>
    <xf numFmtId="0" fontId="19" fillId="2" borderId="0" xfId="1" applyFont="1" applyFill="1" applyAlignment="1" applyProtection="1">
      <alignment horizontal="left" vertical="center"/>
    </xf>
    <xf numFmtId="0" fontId="19"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22" fillId="8" borderId="0" xfId="1" applyFont="1" applyFill="1" applyAlignment="1" applyProtection="1">
      <alignment horizontal="center" vertical="center"/>
    </xf>
    <xf numFmtId="0" fontId="22" fillId="8" borderId="0" xfId="1" applyFont="1" applyFill="1" applyAlignment="1" applyProtection="1">
      <alignment horizontal="left" vertical="center" indent="1"/>
    </xf>
    <xf numFmtId="0" fontId="22" fillId="8" borderId="0" xfId="1" applyFont="1" applyFill="1" applyAlignment="1" applyProtection="1">
      <alignment vertical="center" wrapText="1"/>
    </xf>
    <xf numFmtId="0" fontId="22" fillId="8" borderId="19" xfId="1" applyFont="1" applyFill="1" applyBorder="1" applyAlignment="1" applyProtection="1">
      <alignment horizontal="left" vertical="center"/>
    </xf>
    <xf numFmtId="0" fontId="22" fillId="8" borderId="0" xfId="1" applyFont="1" applyFill="1" applyAlignment="1" applyProtection="1">
      <alignment horizontal="left" vertical="center"/>
    </xf>
    <xf numFmtId="0" fontId="22" fillId="8" borderId="15" xfId="1" applyFont="1" applyFill="1" applyBorder="1" applyAlignment="1" applyProtection="1">
      <alignment horizontal="left" vertical="center"/>
    </xf>
    <xf numFmtId="0" fontId="22" fillId="8"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8" borderId="0" xfId="1" applyFont="1" applyFill="1" applyAlignment="1" applyProtection="1">
      <alignment horizontal="center" vertical="center" wrapText="1"/>
    </xf>
    <xf numFmtId="0" fontId="22" fillId="8" borderId="50" xfId="1" applyFont="1" applyFill="1" applyBorder="1" applyAlignment="1" applyProtection="1">
      <alignment horizontal="center" vertical="center" wrapText="1"/>
    </xf>
    <xf numFmtId="0" fontId="22" fillId="8" borderId="51" xfId="1" applyFont="1" applyFill="1" applyBorder="1" applyAlignment="1" applyProtection="1">
      <alignment horizontal="center" vertical="center" wrapText="1"/>
    </xf>
    <xf numFmtId="0" fontId="22" fillId="8" borderId="52" xfId="1" applyFont="1" applyFill="1" applyBorder="1" applyAlignment="1" applyProtection="1">
      <alignment horizontal="center" vertical="center" wrapText="1"/>
    </xf>
    <xf numFmtId="0" fontId="21" fillId="2" borderId="44" xfId="1" applyFont="1" applyFill="1" applyBorder="1" applyAlignment="1" applyProtection="1">
      <alignment horizontal="center" vertical="center" wrapText="1"/>
    </xf>
    <xf numFmtId="0" fontId="21" fillId="2" borderId="45" xfId="1" applyFont="1" applyFill="1" applyBorder="1" applyAlignment="1" applyProtection="1">
      <alignment horizontal="center" vertical="center" wrapText="1"/>
    </xf>
    <xf numFmtId="0" fontId="21" fillId="2" borderId="45" xfId="1" applyFont="1" applyFill="1" applyBorder="1" applyAlignment="1" applyProtection="1">
      <alignment vertical="center" wrapText="1"/>
    </xf>
    <xf numFmtId="0" fontId="24" fillId="2" borderId="45" xfId="1" applyFont="1" applyFill="1" applyBorder="1" applyAlignment="1" applyProtection="1">
      <alignment horizontal="center" vertical="center" wrapText="1"/>
    </xf>
    <xf numFmtId="0" fontId="21" fillId="2" borderId="53" xfId="1" applyFont="1" applyFill="1" applyBorder="1" applyAlignment="1" applyProtection="1">
      <alignment horizontal="center" vertical="center" wrapText="1"/>
    </xf>
    <xf numFmtId="0" fontId="21" fillId="2" borderId="54" xfId="1" applyFont="1" applyFill="1" applyBorder="1" applyAlignment="1" applyProtection="1">
      <alignment horizontal="center" vertical="center" wrapText="1"/>
    </xf>
    <xf numFmtId="0" fontId="21" fillId="2" borderId="55"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2" borderId="47" xfId="1" applyFont="1" applyFill="1" applyBorder="1" applyAlignment="1" applyProtection="1">
      <alignment horizontal="center" vertical="center" wrapText="1"/>
    </xf>
    <xf numFmtId="0" fontId="21" fillId="2" borderId="48" xfId="1" applyFont="1" applyFill="1" applyBorder="1" applyAlignment="1" applyProtection="1">
      <alignment horizontal="center" vertical="center" wrapText="1"/>
    </xf>
    <xf numFmtId="0" fontId="21" fillId="2" borderId="48" xfId="1" applyFont="1" applyFill="1" applyBorder="1" applyAlignment="1" applyProtection="1">
      <alignment vertical="center" wrapText="1"/>
    </xf>
    <xf numFmtId="0" fontId="24" fillId="2" borderId="48" xfId="1" applyFont="1" applyFill="1" applyBorder="1" applyAlignment="1" applyProtection="1">
      <alignment horizontal="center" vertical="center" wrapText="1"/>
    </xf>
    <xf numFmtId="0" fontId="21" fillId="2" borderId="56" xfId="1" applyFont="1" applyFill="1" applyBorder="1" applyAlignment="1" applyProtection="1">
      <alignment horizontal="center" vertical="center" wrapText="1"/>
    </xf>
    <xf numFmtId="0" fontId="21" fillId="2" borderId="57" xfId="1" applyFont="1" applyFill="1" applyBorder="1" applyAlignment="1" applyProtection="1">
      <alignment horizontal="center" vertical="center" wrapText="1"/>
    </xf>
    <xf numFmtId="0" fontId="21" fillId="2" borderId="58" xfId="1" applyFont="1" applyFill="1" applyBorder="1" applyAlignment="1" applyProtection="1">
      <alignment horizontal="center" vertical="center" wrapText="1"/>
    </xf>
    <xf numFmtId="0" fontId="21" fillId="11" borderId="11" xfId="1" applyFont="1" applyFill="1" applyBorder="1" applyAlignment="1" applyProtection="1">
      <alignment horizontal="center" vertical="center" wrapText="1"/>
    </xf>
    <xf numFmtId="0" fontId="21" fillId="11" borderId="0" xfId="1" applyFont="1" applyFill="1" applyAlignment="1" applyProtection="1">
      <alignment horizontal="center" vertical="center" wrapText="1"/>
    </xf>
    <xf numFmtId="0" fontId="21" fillId="11" borderId="0" xfId="1" applyFont="1" applyFill="1" applyAlignment="1" applyProtection="1">
      <alignment vertical="center" wrapText="1"/>
    </xf>
    <xf numFmtId="0" fontId="24" fillId="11" borderId="0" xfId="1" applyFont="1" applyFill="1" applyAlignment="1" applyProtection="1">
      <alignment horizontal="left" vertical="center" wrapText="1"/>
    </xf>
    <xf numFmtId="0" fontId="41" fillId="11" borderId="50" xfId="1" applyFont="1" applyFill="1" applyBorder="1" applyAlignment="1" applyProtection="1">
      <alignment horizontal="center" vertical="center" wrapText="1"/>
    </xf>
    <xf numFmtId="0" fontId="41" fillId="11" borderId="51" xfId="1" applyFont="1" applyFill="1" applyBorder="1" applyAlignment="1" applyProtection="1">
      <alignment horizontal="center" vertical="center" wrapText="1"/>
    </xf>
    <xf numFmtId="0" fontId="41" fillId="11" borderId="52" xfId="1" applyFont="1" applyFill="1" applyBorder="1" applyAlignment="1" applyProtection="1">
      <alignment horizontal="center" vertical="center" wrapText="1"/>
    </xf>
    <xf numFmtId="0" fontId="21" fillId="0" borderId="45" xfId="1" applyFont="1" applyBorder="1" applyAlignment="1" applyProtection="1">
      <alignment horizontal="center" vertical="center" wrapText="1"/>
    </xf>
    <xf numFmtId="0" fontId="21" fillId="0" borderId="53" xfId="1" applyFont="1" applyBorder="1" applyAlignment="1" applyProtection="1">
      <alignment horizontal="center" vertical="center" wrapText="1"/>
    </xf>
    <xf numFmtId="0" fontId="21" fillId="0" borderId="54" xfId="1" applyFont="1" applyBorder="1" applyAlignment="1" applyProtection="1">
      <alignment horizontal="center" vertical="center" wrapText="1"/>
    </xf>
    <xf numFmtId="0" fontId="21" fillId="0" borderId="55"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6" xfId="1" applyFont="1" applyBorder="1" applyAlignment="1" applyProtection="1">
      <alignment horizontal="center" vertical="center" wrapText="1"/>
    </xf>
    <xf numFmtId="0" fontId="21" fillId="0" borderId="57" xfId="1" applyFont="1" applyBorder="1" applyAlignment="1" applyProtection="1">
      <alignment horizontal="center" vertical="center" wrapText="1"/>
    </xf>
    <xf numFmtId="0" fontId="21" fillId="0" borderId="58"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48" xfId="1" applyFont="1" applyBorder="1" applyAlignment="1" applyProtection="1">
      <alignment horizontal="left" vertical="center"/>
    </xf>
    <xf numFmtId="0" fontId="23" fillId="2" borderId="0" xfId="1" applyFont="1" applyFill="1" applyAlignment="1" applyProtection="1">
      <alignment horizontal="center" vertical="center"/>
    </xf>
    <xf numFmtId="0" fontId="21" fillId="0" borderId="45" xfId="1" applyFont="1" applyBorder="1" applyAlignment="1" applyProtection="1">
      <alignment vertical="center" wrapText="1"/>
    </xf>
    <xf numFmtId="0" fontId="21" fillId="0" borderId="45" xfId="1" applyFont="1" applyBorder="1" applyAlignment="1" applyProtection="1">
      <alignment horizontal="left" vertical="center"/>
    </xf>
    <xf numFmtId="0" fontId="21" fillId="11" borderId="50" xfId="1" applyFont="1" applyFill="1" applyBorder="1" applyAlignment="1" applyProtection="1">
      <alignment horizontal="center" vertical="center" wrapText="1"/>
    </xf>
    <xf numFmtId="0" fontId="21" fillId="11" borderId="51" xfId="1" applyFont="1" applyFill="1" applyBorder="1" applyAlignment="1" applyProtection="1">
      <alignment horizontal="center" vertical="center" wrapText="1"/>
    </xf>
    <xf numFmtId="0" fontId="21" fillId="11" borderId="52" xfId="1" applyFont="1" applyFill="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4" fillId="0" borderId="45" xfId="1" applyFont="1" applyBorder="1" applyAlignment="1" applyProtection="1">
      <alignment horizontal="center" vertical="center" wrapText="1"/>
    </xf>
    <xf numFmtId="0" fontId="21" fillId="0" borderId="47" xfId="1" applyFont="1" applyBorder="1" applyAlignment="1" applyProtection="1">
      <alignment horizontal="center" vertical="center" wrapText="1"/>
    </xf>
    <xf numFmtId="0" fontId="24" fillId="0" borderId="48" xfId="1" applyFont="1" applyBorder="1" applyAlignment="1" applyProtection="1">
      <alignment horizontal="center"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4" fillId="2" borderId="0" xfId="1" applyFont="1" applyFill="1" applyAlignment="1" applyProtection="1">
      <alignment horizontal="center" vertical="center"/>
    </xf>
    <xf numFmtId="0" fontId="35" fillId="2" borderId="0" xfId="1" applyFont="1" applyFill="1" applyAlignment="1" applyProtection="1">
      <alignment horizontal="center" vertical="center"/>
    </xf>
    <xf numFmtId="0" fontId="35" fillId="2" borderId="0" xfId="1" applyFont="1" applyFill="1" applyProtection="1"/>
    <xf numFmtId="0" fontId="11" fillId="2" borderId="0" xfId="1" applyFont="1" applyFill="1" applyProtection="1"/>
    <xf numFmtId="0" fontId="52" fillId="8" borderId="0" xfId="1" applyFont="1" applyFill="1" applyAlignment="1" applyProtection="1">
      <alignment vertical="center" readingOrder="1"/>
    </xf>
    <xf numFmtId="0" fontId="36" fillId="8" borderId="0" xfId="1" applyFont="1" applyFill="1" applyAlignment="1" applyProtection="1">
      <alignment horizontal="left" vertical="center" readingOrder="1"/>
    </xf>
    <xf numFmtId="0" fontId="20" fillId="8" borderId="0" xfId="1" applyFont="1" applyFill="1" applyAlignment="1" applyProtection="1">
      <alignment horizontal="left" vertical="center" readingOrder="1"/>
    </xf>
    <xf numFmtId="0" fontId="39" fillId="8" borderId="0" xfId="1" applyFont="1" applyFill="1" applyAlignment="1" applyProtection="1">
      <alignment horizontal="center" vertical="center" readingOrder="1"/>
    </xf>
    <xf numFmtId="0" fontId="22" fillId="8" borderId="19" xfId="1" applyFont="1" applyFill="1" applyBorder="1" applyAlignment="1" applyProtection="1">
      <alignment vertical="center" readingOrder="1"/>
    </xf>
    <xf numFmtId="0" fontId="22" fillId="8" borderId="0" xfId="1" applyFont="1" applyFill="1" applyAlignment="1" applyProtection="1">
      <alignment vertical="center" readingOrder="1"/>
    </xf>
    <xf numFmtId="0" fontId="39" fillId="8" borderId="0" xfId="1" applyFont="1" applyFill="1" applyAlignment="1" applyProtection="1">
      <alignment vertical="center" readingOrder="1"/>
    </xf>
    <xf numFmtId="0" fontId="39" fillId="8" borderId="15" xfId="1" applyFont="1" applyFill="1" applyBorder="1" applyAlignment="1" applyProtection="1">
      <alignment vertical="center" readingOrder="1"/>
    </xf>
    <xf numFmtId="0" fontId="47" fillId="8" borderId="0" xfId="1" applyFont="1" applyFill="1" applyAlignment="1" applyProtection="1">
      <alignment horizontal="center" vertical="center"/>
    </xf>
    <xf numFmtId="0" fontId="1" fillId="0" borderId="0" xfId="1" applyAlignment="1" applyProtection="1">
      <alignment horizontal="center" vertical="center"/>
    </xf>
    <xf numFmtId="0" fontId="22" fillId="8" borderId="0" xfId="1" applyFont="1" applyFill="1" applyAlignment="1" applyProtection="1">
      <alignment horizontal="left" vertical="center" readingOrder="1"/>
    </xf>
    <xf numFmtId="0" fontId="22" fillId="8" borderId="50" xfId="1" applyFont="1" applyFill="1" applyBorder="1" applyAlignment="1" applyProtection="1">
      <alignment horizontal="center" vertical="center" wrapText="1" readingOrder="1"/>
    </xf>
    <xf numFmtId="0" fontId="22" fillId="8" borderId="51" xfId="1" applyFont="1" applyFill="1" applyBorder="1" applyAlignment="1" applyProtection="1">
      <alignment horizontal="center" vertical="center" wrapText="1" readingOrder="1"/>
    </xf>
    <xf numFmtId="0" fontId="22" fillId="8" borderId="52" xfId="1" applyFont="1" applyFill="1" applyBorder="1" applyAlignment="1" applyProtection="1">
      <alignment horizontal="center" vertical="center" wrapText="1" readingOrder="1"/>
    </xf>
    <xf numFmtId="0" fontId="22" fillId="8" borderId="0" xfId="1" applyFont="1" applyFill="1" applyAlignment="1" applyProtection="1">
      <alignment horizontal="center" vertical="top"/>
    </xf>
    <xf numFmtId="0" fontId="1" fillId="0" borderId="0" xfId="1" applyAlignment="1" applyProtection="1">
      <alignment horizontal="center" vertical="top"/>
    </xf>
    <xf numFmtId="0" fontId="44" fillId="0" borderId="16" xfId="1" applyFont="1" applyBorder="1" applyAlignment="1" applyProtection="1">
      <alignment horizontal="center" vertical="center"/>
    </xf>
    <xf numFmtId="0" fontId="44" fillId="0" borderId="17" xfId="1" applyFont="1" applyBorder="1" applyAlignment="1" applyProtection="1">
      <alignment horizontal="center" vertical="center"/>
    </xf>
    <xf numFmtId="0" fontId="44" fillId="0" borderId="17" xfId="1" applyFont="1" applyBorder="1" applyAlignment="1" applyProtection="1">
      <alignment vertical="center"/>
    </xf>
    <xf numFmtId="0" fontId="44" fillId="0" borderId="17" xfId="1" applyFont="1" applyBorder="1" applyAlignment="1" applyProtection="1">
      <alignment horizontal="center" vertical="center" wrapText="1"/>
    </xf>
    <xf numFmtId="0" fontId="44" fillId="0" borderId="59" xfId="1" applyFont="1" applyBorder="1" applyAlignment="1" applyProtection="1">
      <alignment horizontal="center" vertical="center" wrapText="1"/>
    </xf>
    <xf numFmtId="0" fontId="44" fillId="0" borderId="60" xfId="1" applyFont="1" applyBorder="1" applyAlignment="1" applyProtection="1">
      <alignment horizontal="center" vertical="center" wrapText="1"/>
    </xf>
    <xf numFmtId="0" fontId="44" fillId="0" borderId="61" xfId="1" applyFont="1" applyBorder="1" applyAlignment="1" applyProtection="1">
      <alignment horizontal="center" vertical="center" wrapText="1"/>
    </xf>
    <xf numFmtId="0" fontId="44" fillId="0" borderId="0" xfId="1" applyFont="1" applyAlignment="1" applyProtection="1">
      <alignment horizontal="center" vertical="center"/>
    </xf>
    <xf numFmtId="0" fontId="44" fillId="0" borderId="0" xfId="1" applyFont="1" applyAlignment="1" applyProtection="1">
      <alignment vertical="center"/>
    </xf>
    <xf numFmtId="0" fontId="44" fillId="0" borderId="0" xfId="1" applyFont="1" applyAlignment="1" applyProtection="1">
      <alignment horizontal="center" vertical="center" wrapText="1"/>
    </xf>
    <xf numFmtId="0" fontId="44" fillId="0" borderId="0" xfId="1" applyFont="1" applyAlignment="1" applyProtection="1">
      <alignment horizontal="left" vertical="center" wrapText="1"/>
    </xf>
    <xf numFmtId="0" fontId="25" fillId="0" borderId="0" xfId="1" applyFont="1" applyAlignment="1" applyProtection="1">
      <alignment horizontal="left" vertical="top"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1" fillId="2" borderId="0" xfId="1" applyFont="1" applyFill="1" applyAlignment="1" applyProtection="1">
      <alignment vertical="center"/>
    </xf>
    <xf numFmtId="0" fontId="34" fillId="2" borderId="0" xfId="1" applyFont="1" applyFill="1" applyAlignment="1" applyProtection="1">
      <alignment horizontal="right" vertical="center"/>
    </xf>
    <xf numFmtId="0" fontId="21"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rgb="FF00B05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none">
              <a:solidFill>
                <a:schemeClr val="dk1"/>
              </a:solidFill>
              <a:effectLst/>
              <a:latin typeface="+mn-lt"/>
              <a:ea typeface="+mn-ea"/>
              <a:cs typeface="+mn-cs"/>
            </a:rPr>
            <a:t>Full-Time</a:t>
          </a:r>
          <a:r>
            <a:rPr lang="en-AU" sz="1100" b="1" i="0" u="none" baseline="0">
              <a:solidFill>
                <a:schemeClr val="dk1"/>
              </a:solidFill>
              <a:effectLst/>
              <a:latin typeface="+mn-lt"/>
              <a:ea typeface="+mn-ea"/>
              <a:cs typeface="+mn-cs"/>
            </a:rPr>
            <a:t> E</a:t>
          </a:r>
          <a:r>
            <a:rPr lang="en-AU" sz="1100" b="1" u="none">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18</xdr:col>
      <xdr:colOff>142875</xdr:colOff>
      <xdr:row>2</xdr:row>
      <xdr:rowOff>238125</xdr:rowOff>
    </xdr:from>
    <xdr:to>
      <xdr:col>22</xdr:col>
      <xdr:colOff>123825</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515975"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019674"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753726" y="590550"/>
          <a:ext cx="5019674"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a:solidFill>
                <a:schemeClr val="dk1"/>
              </a:solidFill>
              <a:effectLst/>
              <a:latin typeface="+mn-lt"/>
              <a:ea typeface="+mn-ea"/>
              <a:cs typeface="+mn-cs"/>
            </a:rPr>
            <a:t>Full-Time</a:t>
          </a:r>
          <a:r>
            <a:rPr lang="en-AU" sz="1100" b="1" i="0" baseline="0">
              <a:solidFill>
                <a:schemeClr val="dk1"/>
              </a:solidFill>
              <a:effectLst/>
              <a:latin typeface="+mn-lt"/>
              <a:ea typeface="+mn-ea"/>
              <a:cs typeface="+mn-cs"/>
            </a:rPr>
            <a:t> E</a:t>
          </a:r>
          <a:r>
            <a:rPr lang="en-AU" sz="1100" b="1">
              <a:solidFill>
                <a:schemeClr val="dk1"/>
              </a:solidFill>
              <a:effectLst/>
              <a:latin typeface="+mn-lt"/>
              <a:ea typeface="+mn-ea"/>
              <a:cs typeface="+mn-cs"/>
            </a:rPr>
            <a:t>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0:E14" totalsRowShown="0" dataDxfId="102">
  <autoFilter ref="A10:E14" xr:uid="{00000000-0009-0000-0100-000004000000}"/>
  <tableColumns count="5">
    <tableColumn id="1" xr3:uid="{00000000-0010-0000-0100-000001000000}" name="Choose your commencing study period (drop-down list)" dataDxfId="101"/>
    <tableColumn id="2" xr3:uid="{00000000-0010-0000-0100-000002000000}" name="START" dataDxfId="100"/>
    <tableColumn id="3" xr3:uid="{00000000-0010-0000-0100-000003000000}" name="Next" dataDxfId="99"/>
    <tableColumn id="4" xr3:uid="{00000000-0010-0000-0100-000004000000}" name="Next2" dataDxfId="98"/>
    <tableColumn id="5" xr3:uid="{00000000-0010-0000-0100-000005000000}" name="Next3" dataDxfId="9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5"/>
    <tableColumn id="3" xr3:uid="{00000000-0010-0000-0900-000003000000}" name="OpenUnis SP 2" dataDxfId="24"/>
    <tableColumn id="4" xr3:uid="{00000000-0010-0000-0900-000004000000}" name="OpenUnis SP 3" dataDxfId="23"/>
    <tableColumn id="5" xr3:uid="{00000000-0010-0000-0900-000005000000}" name="OpenUnis SP 4"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7" totalsRowShown="0" headerRowDxfId="96">
  <autoFilter ref="A4:H7" xr:uid="{00000000-0009-0000-0100-000003000000}"/>
  <tableColumns count="8">
    <tableColumn id="3" xr3:uid="{00000000-0010-0000-0000-000003000000}" name="Choose your Environment and Climate Emergency Course (drop-down list)" dataDxfId="95"/>
    <tableColumn id="1" xr3:uid="{00000000-0010-0000-0000-000001000000}" name="UDC" dataDxfId="94"/>
    <tableColumn id="2" xr3:uid="{00000000-0010-0000-0000-000002000000}" name="SM Version" dataDxfId="93"/>
    <tableColumn id="5" xr3:uid="{00000000-0010-0000-0000-000005000000}" name="SM Effective Date" dataDxfId="92"/>
    <tableColumn id="4" xr3:uid="{00000000-0010-0000-0000-000004000000}" name="Akari Iteration" dataDxfId="91"/>
    <tableColumn id="6" xr3:uid="{00000000-0010-0000-0000-000006000000}" name="Akari Effective Date" dataDxfId="90"/>
    <tableColumn id="7" xr3:uid="{00000000-0010-0000-0000-000007000000}" name="Credit Points" dataDxfId="89"/>
    <tableColumn id="8" xr3:uid="{00000000-0010-0000-0000-000008000000}" name="SM Availabilities" dataDxfId="8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3" totalsRowShown="0" headerRowDxfId="87">
  <autoFilter ref="A2:N23" xr:uid="{00000000-0009-0000-0100-000002000000}"/>
  <sortState xmlns:xlrd2="http://schemas.microsoft.com/office/spreadsheetml/2017/richdata2" ref="A3:N23">
    <sortCondition ref="A2:A23"/>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21/11/2025)" dataDxfId="86"/>
    <tableColumn id="12" xr3:uid="{00000000-0010-0000-0200-00000C000000}" name="SP1" dataDxfId="85">
      <calculatedColumnFormula>IFERROR(IF(VLOOKUP(TableHandbook[[#This Row],[UDC]],TableAvailabilities[],2,FALSE)&gt;0,"Y",""),"")</calculatedColumnFormula>
    </tableColumn>
    <tableColumn id="13" xr3:uid="{00000000-0010-0000-0200-00000D000000}" name="SP2" dataDxfId="84">
      <calculatedColumnFormula>IFERROR(IF(VLOOKUP(TableHandbook[[#This Row],[UDC]],TableAvailabilities[],3,FALSE)&gt;0,"Y",""),"")</calculatedColumnFormula>
    </tableColumn>
    <tableColumn id="14" xr3:uid="{00000000-0010-0000-0200-00000E000000}" name="SP3" dataDxfId="83">
      <calculatedColumnFormula>IFERROR(IF(VLOOKUP(TableHandbook[[#This Row],[UDC]],TableAvailabilities[],4,FALSE)&gt;0,"Y",""),"")</calculatedColumnFormula>
    </tableColumn>
    <tableColumn id="15" xr3:uid="{00000000-0010-0000-0200-00000F000000}" name="SP4" dataDxfId="82">
      <calculatedColumnFormula>IFERROR(IF(VLOOKUP(TableHandbook[[#This Row],[UDC]],TableAvailabilities[],5,FALSE)&gt;0,"Y",""),"")</calculatedColumnFormula>
    </tableColumn>
    <tableColumn id="7" xr3:uid="{00000000-0010-0000-0200-000007000000}" name="NOTES"/>
    <tableColumn id="10" xr3:uid="{00000000-0010-0000-0200-00000A000000}" name="OC-ENVCLM" dataDxfId="81">
      <calculatedColumnFormula>IFERROR(VLOOKUP(TableHandbook[[#This Row],[UDC]],TableOCENVCLM[],7,FALSE),"")</calculatedColumnFormula>
    </tableColumn>
    <tableColumn id="9" xr3:uid="{00000000-0010-0000-0200-000009000000}" name="OG-ENVCLM" dataDxfId="80">
      <calculatedColumnFormula>IFERROR(VLOOKUP(TableHandbook[[#This Row],[UDC]],TableOGENVCLM[],7,FALSE),"")</calculatedColumnFormula>
    </tableColumn>
    <tableColumn id="8" xr3:uid="{00000000-0010-0000-0200-000008000000}" name="OM-ENVCLM" dataDxfId="79">
      <calculatedColumnFormula>IFERROR(VLOOKUP(TableHandbook[[#This Row],[UDC]],TableOMENVCLM[],7,FALSE),"")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0:O61" totalsRowShown="0" headerRowDxfId="78" dataDxfId="77">
  <autoFilter ref="A40:O61" xr:uid="{00000000-0009-0000-0100-000001000000}"/>
  <sortState xmlns:xlrd2="http://schemas.microsoft.com/office/spreadsheetml/2017/richdata2" ref="A3:M26">
    <sortCondition ref="F2:F26"/>
  </sortState>
  <tableColumns count="15">
    <tableColumn id="1" xr3:uid="{00000000-0010-0000-0300-000001000000}" name="UDC" dataDxfId="76">
      <calculatedColumnFormula>TableOMENVCLM[[#This Row],[Study Package Code]]</calculatedColumnFormula>
    </tableColumn>
    <tableColumn id="9" xr3:uid="{00000000-0010-0000-0300-000009000000}" name="Version" dataDxfId="75">
      <calculatedColumnFormula>TableOMENVCLM[[#This Row],[Ver]]</calculatedColumnFormula>
    </tableColumn>
    <tableColumn id="10" xr3:uid="{00000000-0010-0000-0300-00000A000000}" name="OUA Code" dataDxfId="74">
      <calculatedColumnFormula>IF(TableOMENVCLM[[#This Row],[Ver]]&gt;0,_xlfn.TEXTBEFORE(TableOMENVCLM[[#This Row],[Structure Line]]," "),"")</calculatedColumnFormula>
    </tableColumn>
    <tableColumn id="13" xr3:uid="{00000000-0010-0000-0300-00000D000000}" name="Unit Title" dataDxfId="73">
      <calculatedColumnFormula>IF(TableOMENVCLM[[#This Row],[OUA Code]]&lt;&gt;"",_xlfn.TEXTAFTER(TableOMENVCLM[[#This Row],[Structure Line]]," "),TableOMENVCLM[[#This Row],[Structure Line]])</calculatedColumnFormula>
    </tableColumn>
    <tableColumn id="11" xr3:uid="{00000000-0010-0000-0300-00000B000000}" name="CPs" dataDxfId="72">
      <calculatedColumnFormula>TableOMENVCLM[[#This Row],[Credit Points]]</calculatedColumnFormula>
    </tableColumn>
    <tableColumn id="12" xr3:uid="{00000000-0010-0000-0300-00000C000000}" name="No." dataDxfId="71"/>
    <tableColumn id="2" xr3:uid="{00000000-0010-0000-0300-000002000000}" name="Component Type" dataDxfId="70"/>
    <tableColumn id="3" xr3:uid="{00000000-0010-0000-0300-000003000000}" name="Year Level" dataDxfId="69"/>
    <tableColumn id="4" xr3:uid="{00000000-0010-0000-0300-000004000000}" name="Study Period" dataDxfId="68"/>
    <tableColumn id="5" xr3:uid="{00000000-0010-0000-0300-000005000000}" name="Study Package Code" dataDxfId="67"/>
    <tableColumn id="6" xr3:uid="{00000000-0010-0000-0300-000006000000}" name="Ver" dataDxfId="66"/>
    <tableColumn id="7" xr3:uid="{00000000-0010-0000-0300-000007000000}" name="Structure Line" dataDxfId="65"/>
    <tableColumn id="8" xr3:uid="{00000000-0010-0000-0300-000008000000}" name="Credit Points" dataDxfId="64"/>
    <tableColumn id="14" xr3:uid="{00000000-0010-0000-0300-00000E000000}" name="Effective" dataDxfId="63"/>
    <tableColumn id="15" xr3:uid="{00000000-0010-0000-0300-00000F000000}" name="Discont." dataDxfId="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6" totalsRowShown="0" headerRowDxfId="61" dataDxfId="60" tableBorderDxfId="59">
  <autoFilter ref="A2:O16" xr:uid="{00000000-0009-0000-0100-000005000000}"/>
  <sortState xmlns:xlrd2="http://schemas.microsoft.com/office/spreadsheetml/2017/richdata2" ref="A3:M10">
    <sortCondition ref="F2:F10"/>
  </sortState>
  <tableColumns count="15">
    <tableColumn id="1" xr3:uid="{00000000-0010-0000-0400-000001000000}" name="UDC" dataDxfId="58">
      <calculatedColumnFormula>TableOCENVCLM[[#This Row],[Study Package Code]]</calculatedColumnFormula>
    </tableColumn>
    <tableColumn id="2" xr3:uid="{00000000-0010-0000-0400-000002000000}" name="Version" dataDxfId="57">
      <calculatedColumnFormula>TableOCENVCLM[[#This Row],[Ver]]</calculatedColumnFormula>
    </tableColumn>
    <tableColumn id="3" xr3:uid="{00000000-0010-0000-0400-000003000000}" name="OUA Code" dataDxfId="56">
      <calculatedColumnFormula>IF(TableOCENVCLM[[#This Row],[Ver]]&gt;0,_xlfn.TEXTBEFORE(TableOCENVCLM[[#This Row],[Structure Line]]," "),"")</calculatedColumnFormula>
    </tableColumn>
    <tableColumn id="4" xr3:uid="{00000000-0010-0000-0400-000004000000}" name="Unit Title" dataDxfId="55">
      <calculatedColumnFormula>IF(TableOCENVCLM[[#This Row],[OUA Code]]&lt;&gt;"",_xlfn.TEXTAFTER(TableOCENVCLM[[#This Row],[Structure Line]]," "),TableOCENVCLM[[#This Row],[Structure Line]])</calculatedColumnFormula>
    </tableColumn>
    <tableColumn id="5" xr3:uid="{00000000-0010-0000-0400-000005000000}" name="CPs" dataDxfId="54">
      <calculatedColumnFormula>TableOCENVCLM[[#This Row],[Credit Points]]</calculatedColumnFormula>
    </tableColumn>
    <tableColumn id="6" xr3:uid="{00000000-0010-0000-0400-000006000000}" name="No." dataDxfId="53"/>
    <tableColumn id="7" xr3:uid="{00000000-0010-0000-0400-000007000000}" name="Component Type" dataDxfId="52"/>
    <tableColumn id="8" xr3:uid="{00000000-0010-0000-0400-000008000000}" name="Year Level" dataDxfId="51"/>
    <tableColumn id="9" xr3:uid="{00000000-0010-0000-0400-000009000000}" name="Study Period" dataDxfId="50"/>
    <tableColumn id="10" xr3:uid="{00000000-0010-0000-0400-00000A000000}" name="Study Package Code" dataDxfId="49"/>
    <tableColumn id="11" xr3:uid="{00000000-0010-0000-0400-00000B000000}" name="Ver" dataDxfId="48"/>
    <tableColumn id="12" xr3:uid="{00000000-0010-0000-0400-00000C000000}" name="Structure Line" dataDxfId="47"/>
    <tableColumn id="13" xr3:uid="{00000000-0010-0000-0400-00000D000000}" name="Credit Points" dataDxfId="46"/>
    <tableColumn id="14" xr3:uid="{00000000-0010-0000-0400-00000E000000}" name="Effective" dataDxfId="45" dataCellStyle="Normal"/>
    <tableColumn id="15" xr3:uid="{00000000-0010-0000-0400-00000F000000}" name="Discont." dataDxfId="4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19:O37" totalsRowShown="0" headerRowDxfId="43" dataDxfId="42" tableBorderDxfId="41">
  <autoFilter ref="A19:O37" xr:uid="{00000000-0009-0000-0100-000006000000}"/>
  <sortState xmlns:xlrd2="http://schemas.microsoft.com/office/spreadsheetml/2017/richdata2" ref="A14:M20">
    <sortCondition ref="F2:F10"/>
  </sortState>
  <tableColumns count="15">
    <tableColumn id="1" xr3:uid="{00000000-0010-0000-0500-000001000000}" name="UDC" dataDxfId="40">
      <calculatedColumnFormula>TableOGENVCLM[[#This Row],[Study Package Code]]</calculatedColumnFormula>
    </tableColumn>
    <tableColumn id="2" xr3:uid="{00000000-0010-0000-0500-000002000000}" name="Version" dataDxfId="39">
      <calculatedColumnFormula>TableOGENVCLM[[#This Row],[Ver]]</calculatedColumnFormula>
    </tableColumn>
    <tableColumn id="3" xr3:uid="{00000000-0010-0000-0500-000003000000}" name="OUA Code" dataDxfId="38">
      <calculatedColumnFormula>IF(TableOGENVCLM[[#This Row],[Ver]]&gt;0,_xlfn.TEXTBEFORE(TableOGENVCLM[[#This Row],[Structure Line]]," "),"")</calculatedColumnFormula>
    </tableColumn>
    <tableColumn id="4" xr3:uid="{00000000-0010-0000-0500-000004000000}" name="Unit Title" dataDxfId="37">
      <calculatedColumnFormula>IF(TableOGENVCLM[[#This Row],[OUA Code]]&lt;&gt;"",_xlfn.TEXTAFTER(TableOGENVCLM[[#This Row],[Structure Line]]," "),TableOGENVCLM[[#This Row],[Structure Line]])</calculatedColumnFormula>
    </tableColumn>
    <tableColumn id="5" xr3:uid="{00000000-0010-0000-0500-000005000000}" name="CPs" dataDxfId="36">
      <calculatedColumnFormula>TableOGENVCLM[[#This Row],[Credit Points]]</calculatedColumnFormula>
    </tableColumn>
    <tableColumn id="6" xr3:uid="{00000000-0010-0000-0500-000006000000}" name="No." dataDxfId="35"/>
    <tableColumn id="7" xr3:uid="{00000000-0010-0000-0500-000007000000}" name="Component Type" dataDxfId="34"/>
    <tableColumn id="8" xr3:uid="{00000000-0010-0000-0500-000008000000}" name="Year Level" dataDxfId="33"/>
    <tableColumn id="9" xr3:uid="{00000000-0010-0000-0500-000009000000}" name="Study Period" dataDxfId="32"/>
    <tableColumn id="10" xr3:uid="{00000000-0010-0000-0500-00000A000000}" name="Study Package Code" dataDxfId="31"/>
    <tableColumn id="11" xr3:uid="{00000000-0010-0000-0500-00000B000000}" name="Ver" dataDxfId="30"/>
    <tableColumn id="12" xr3:uid="{00000000-0010-0000-0500-00000C000000}" name="Structure Line" dataDxfId="29"/>
    <tableColumn id="13" xr3:uid="{00000000-0010-0000-0500-00000D000000}" name="Credit Points" dataDxfId="28"/>
    <tableColumn id="14" xr3:uid="{00000000-0010-0000-0500-00000E000000}" name="Effective" dataDxfId="27"/>
    <tableColumn id="15" xr3:uid="{00000000-0010-0000-0500-00000F000000}" name="Discont." dataDxfId="2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CENVCLMCheck" displayName="TableOCENVCLMCheck" ref="Q2:R16" totalsRowShown="0">
  <autoFilter ref="Q2:R1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GENVCLMCheck" displayName="TableOGENVCLMCheck" ref="Q19:R37" totalsRowShown="0">
  <autoFilter ref="Q19:R37"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MENVCLMCheck" displayName="TableOMENVCLMCheck" ref="Q40:R61" totalsRowShown="0">
  <autoFilter ref="Q40:R61"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5"/>
  <sheetViews>
    <sheetView showGridLines="0" tabSelected="1" topLeftCell="A3" zoomScaleNormal="100" workbookViewId="0">
      <selection activeCell="D6" sqref="D6"/>
    </sheetView>
  </sheetViews>
  <sheetFormatPr defaultRowHeight="15" x14ac:dyDescent="0.25"/>
  <cols>
    <col min="1" max="1" width="8.5703125" style="238" customWidth="1"/>
    <col min="2" max="2" width="3.28515625" style="238" customWidth="1"/>
    <col min="3" max="3" width="9.42578125" style="238" customWidth="1"/>
    <col min="4" max="4" width="54.7109375" style="226" bestFit="1" customWidth="1"/>
    <col min="5" max="5" width="5.7109375" style="226" customWidth="1"/>
    <col min="6" max="6" width="27.85546875" style="226" customWidth="1"/>
    <col min="7" max="7" width="5.7109375" style="226" customWidth="1"/>
    <col min="8" max="11" width="4.7109375" style="226" customWidth="1"/>
    <col min="12" max="12" width="18.7109375" style="226" customWidth="1"/>
    <col min="13" max="13" width="2.5703125" style="226" hidden="1" customWidth="1"/>
    <col min="14" max="16384" width="9.140625" style="226"/>
  </cols>
  <sheetData>
    <row r="1" spans="1:16" hidden="1" x14ac:dyDescent="0.25">
      <c r="A1" s="222" t="s">
        <v>0</v>
      </c>
      <c r="B1" s="223" t="s">
        <v>1</v>
      </c>
      <c r="C1" s="223" t="s">
        <v>2</v>
      </c>
      <c r="D1" s="224" t="s">
        <v>3</v>
      </c>
      <c r="E1" s="224"/>
      <c r="F1" s="224" t="s">
        <v>4</v>
      </c>
      <c r="G1" s="224" t="s">
        <v>5</v>
      </c>
      <c r="H1" s="225" t="s">
        <v>6</v>
      </c>
      <c r="I1" s="224"/>
      <c r="J1" s="224"/>
      <c r="K1" s="224"/>
      <c r="L1" s="224" t="s">
        <v>7</v>
      </c>
    </row>
    <row r="2" spans="1:16" hidden="1" x14ac:dyDescent="0.25">
      <c r="A2" s="227"/>
      <c r="B2" s="228">
        <v>2</v>
      </c>
      <c r="C2" s="228">
        <v>3</v>
      </c>
      <c r="D2" s="228">
        <v>4</v>
      </c>
      <c r="E2" s="228"/>
      <c r="F2" s="228">
        <v>6</v>
      </c>
      <c r="G2" s="228">
        <v>5</v>
      </c>
      <c r="H2" s="228">
        <v>7</v>
      </c>
      <c r="I2" s="228">
        <v>8</v>
      </c>
      <c r="J2" s="228">
        <v>9</v>
      </c>
      <c r="K2" s="228">
        <v>10</v>
      </c>
      <c r="L2" s="229"/>
    </row>
    <row r="3" spans="1:16" ht="39.950000000000003" customHeight="1" x14ac:dyDescent="0.25">
      <c r="A3" s="230" t="s">
        <v>8</v>
      </c>
      <c r="B3" s="230"/>
      <c r="C3" s="230"/>
      <c r="D3" s="230"/>
      <c r="E3" s="231"/>
      <c r="F3" s="231"/>
      <c r="G3" s="231"/>
      <c r="H3" s="231"/>
      <c r="I3" s="231"/>
      <c r="J3" s="231"/>
      <c r="K3" s="231"/>
      <c r="L3" s="231"/>
    </row>
    <row r="4" spans="1:16" ht="26.25" x14ac:dyDescent="0.25">
      <c r="A4" s="232"/>
      <c r="B4" s="233"/>
      <c r="C4" s="233"/>
      <c r="D4" s="234"/>
      <c r="E4" s="235" t="s">
        <v>9</v>
      </c>
      <c r="F4" s="236"/>
      <c r="G4" s="237"/>
      <c r="H4" s="237"/>
      <c r="I4" s="237"/>
      <c r="J4" s="237"/>
      <c r="K4" s="237"/>
      <c r="L4" s="237"/>
    </row>
    <row r="5" spans="1:16" ht="20.100000000000001" customHeight="1" x14ac:dyDescent="0.25">
      <c r="B5" s="239"/>
      <c r="C5" s="240" t="s">
        <v>10</v>
      </c>
      <c r="D5" s="241" t="s">
        <v>11</v>
      </c>
      <c r="E5" s="242"/>
      <c r="F5" s="240" t="s">
        <v>12</v>
      </c>
      <c r="G5" s="242" t="str">
        <f>IFERROR(CONCATENATE(VLOOKUP(D5,TableCourses[],2,FALSE)," ",VLOOKUP(D5,TableCourses[],3,FALSE)),"")</f>
        <v>OM-ENVCLM v.3</v>
      </c>
      <c r="H5" s="242"/>
      <c r="I5" s="242"/>
      <c r="J5" s="242"/>
      <c r="K5" s="242"/>
      <c r="L5" s="243" t="e">
        <f>CONCATENATE(VLOOKUP(D5,TableCourses[],2,FALSE),VLOOKUP(D6,TableStudyPeriods[],2,FALSE))</f>
        <v>#N/A</v>
      </c>
    </row>
    <row r="6" spans="1:16" ht="20.100000000000001" customHeight="1" x14ac:dyDescent="0.25">
      <c r="A6" s="244"/>
      <c r="B6" s="245"/>
      <c r="C6" s="240" t="s">
        <v>13</v>
      </c>
      <c r="D6" s="80" t="s">
        <v>14</v>
      </c>
      <c r="E6" s="246"/>
      <c r="F6" s="240" t="s">
        <v>15</v>
      </c>
      <c r="G6" s="242" t="str">
        <f>IFERROR(VLOOKUP($D$5,TableCourses[],7,FALSE),"")</f>
        <v>400 credit points required</v>
      </c>
      <c r="H6" s="247"/>
      <c r="I6" s="247"/>
      <c r="J6" s="247"/>
      <c r="K6" s="247"/>
      <c r="L6" s="247"/>
    </row>
    <row r="7" spans="1:16" s="256" customFormat="1" ht="14.1" customHeight="1" x14ac:dyDescent="0.2">
      <c r="A7" s="248"/>
      <c r="B7" s="248"/>
      <c r="C7" s="248"/>
      <c r="D7" s="249"/>
      <c r="E7" s="250"/>
      <c r="F7" s="248"/>
      <c r="G7" s="248"/>
      <c r="H7" s="251" t="s">
        <v>16</v>
      </c>
      <c r="I7" s="252"/>
      <c r="J7" s="252"/>
      <c r="K7" s="253"/>
      <c r="L7" s="254"/>
      <c r="M7" s="255"/>
      <c r="N7" s="255"/>
      <c r="O7" s="255"/>
    </row>
    <row r="8" spans="1:16" s="256" customFormat="1" ht="31.5" x14ac:dyDescent="0.2">
      <c r="A8" s="248" t="s">
        <v>17</v>
      </c>
      <c r="B8" s="248"/>
      <c r="C8" s="248" t="s">
        <v>18</v>
      </c>
      <c r="D8" s="254" t="s">
        <v>3</v>
      </c>
      <c r="E8" s="257" t="s">
        <v>19</v>
      </c>
      <c r="F8" s="248" t="s">
        <v>20</v>
      </c>
      <c r="G8" s="248" t="s">
        <v>21</v>
      </c>
      <c r="H8" s="258" t="s">
        <v>22</v>
      </c>
      <c r="I8" s="259" t="s">
        <v>23</v>
      </c>
      <c r="J8" s="259" t="s">
        <v>24</v>
      </c>
      <c r="K8" s="260" t="s">
        <v>25</v>
      </c>
      <c r="L8" s="248" t="s">
        <v>26</v>
      </c>
      <c r="M8" s="255"/>
      <c r="N8" s="255"/>
      <c r="O8" s="255"/>
    </row>
    <row r="9" spans="1:16" s="270" customFormat="1" ht="21" customHeight="1" x14ac:dyDescent="0.15">
      <c r="A9" s="261" t="str">
        <f>IFERROR(IF(HLOOKUP($L$5,Unitsets!$C$3:$Z$19,M9,FALSE)=0,"",HLOOKUP($L$5,Unitsets!$C$3:$Z$19,M9,FALSE)),"")</f>
        <v/>
      </c>
      <c r="B9" s="262" t="str">
        <f>IFERROR(IF(VLOOKUP(A9,TableHandbook[],2,FALSE)=0,"",VLOOKUP(A9,TableHandbook[],2,FALSE)),"")</f>
        <v/>
      </c>
      <c r="C9" s="262" t="str">
        <f>IFERROR(IF(VLOOKUP(A9,TableHandbook[],3,FALSE)=0,"",VLOOKUP(A9,TableHandbook[],3,FALSE)),"")</f>
        <v/>
      </c>
      <c r="D9" s="263" t="str">
        <f>IFERROR(VLOOKUP(A9,TableHandbook[],4,FALSE),"")</f>
        <v/>
      </c>
      <c r="E9" s="262" t="str">
        <f>IF(A9="","",VLOOKUP($D$6,TableStudyPeriods[],2,FALSE))</f>
        <v/>
      </c>
      <c r="F9" s="264" t="str">
        <f>IFERROR(IF(VLOOKUP(A9,TableHandbook[],6,FALSE)=0,"",VLOOKUP(A9,TableHandbook[],6,FALSE)),"")</f>
        <v/>
      </c>
      <c r="G9" s="262" t="str">
        <f>IFERROR(IF(VLOOKUP(A9,TableHandbook[],5,FALSE)=0,"",VLOOKUP(A9,TableHandbook[],5,FALSE)),"")</f>
        <v/>
      </c>
      <c r="H9" s="265" t="str">
        <f>IFERROR(VLOOKUP($A9,TableHandbook[],H$2,FALSE),"")</f>
        <v/>
      </c>
      <c r="I9" s="266" t="str">
        <f>IFERROR(VLOOKUP($A9,TableHandbook[],I$2,FALSE),"")</f>
        <v/>
      </c>
      <c r="J9" s="266" t="str">
        <f>IFERROR(VLOOKUP($A9,TableHandbook[],J$2,FALSE),"")</f>
        <v/>
      </c>
      <c r="K9" s="267" t="str">
        <f>IFERROR(VLOOKUP($A9,TableHandbook[],K$2,FALSE),"")</f>
        <v/>
      </c>
      <c r="L9" s="161"/>
      <c r="M9" s="268">
        <v>2</v>
      </c>
      <c r="N9" s="269"/>
      <c r="O9" s="269"/>
    </row>
    <row r="10" spans="1:16" s="270" customFormat="1" ht="21" customHeight="1" x14ac:dyDescent="0.15">
      <c r="A10" s="271" t="str">
        <f>IFERROR(IF(HLOOKUP($L$5,Unitsets!$C$3:$Z$19,M10,FALSE)=0,"",HLOOKUP($L$5,Unitsets!$C$3:$Z$19,M10,FALSE)),"")</f>
        <v/>
      </c>
      <c r="B10" s="272" t="str">
        <f>IFERROR(IF(VLOOKUP(A10,TableHandbook[],2,FALSE)=0,"",VLOOKUP(A10,TableHandbook[],2,FALSE)),"")</f>
        <v/>
      </c>
      <c r="C10" s="272" t="str">
        <f>IFERROR(IF(VLOOKUP(A10,TableHandbook[],3,FALSE)=0,"",VLOOKUP(A10,TableHandbook[],3,FALSE)),"")</f>
        <v/>
      </c>
      <c r="D10" s="273" t="str">
        <f>IFERROR(VLOOKUP(A10,TableHandbook[],4,FALSE),"")</f>
        <v/>
      </c>
      <c r="E10" s="272" t="str">
        <f>IF(OR(A10="",A10="-"),"",E9)</f>
        <v/>
      </c>
      <c r="F10" s="274" t="str">
        <f>IFERROR(IF(VLOOKUP(A10,TableHandbook[],6,FALSE)=0,"",VLOOKUP(A10,TableHandbook[],6,FALSE)),"")</f>
        <v/>
      </c>
      <c r="G10" s="272" t="str">
        <f>IFERROR(IF(VLOOKUP(A10,TableHandbook[],5,FALSE)=0,"",VLOOKUP(A10,TableHandbook[],5,FALSE)),"")</f>
        <v/>
      </c>
      <c r="H10" s="275" t="str">
        <f>IFERROR(VLOOKUP($A10,TableHandbook[],H$2,FALSE),"")</f>
        <v/>
      </c>
      <c r="I10" s="276" t="str">
        <f>IFERROR(VLOOKUP($A10,TableHandbook[],I$2,FALSE),"")</f>
        <v/>
      </c>
      <c r="J10" s="276" t="str">
        <f>IFERROR(VLOOKUP($A10,TableHandbook[],J$2,FALSE),"")</f>
        <v/>
      </c>
      <c r="K10" s="277" t="str">
        <f>IFERROR(VLOOKUP($A10,TableHandbook[],K$2,FALSE),"")</f>
        <v/>
      </c>
      <c r="L10" s="162"/>
      <c r="M10" s="268">
        <v>3</v>
      </c>
      <c r="N10" s="269"/>
      <c r="O10" s="269"/>
    </row>
    <row r="11" spans="1:16" s="270" customFormat="1" ht="4.5" customHeight="1" x14ac:dyDescent="0.15">
      <c r="A11" s="278"/>
      <c r="B11" s="279"/>
      <c r="C11" s="279" t="str">
        <f>IFERROR(IF(VLOOKUP(A11,TableHandbook[],3,FALSE)=0,"",VLOOKUP(A11,TableHandbook[],3,FALSE)),"")</f>
        <v/>
      </c>
      <c r="D11" s="280"/>
      <c r="E11" s="279"/>
      <c r="F11" s="281"/>
      <c r="G11" s="279"/>
      <c r="H11" s="282"/>
      <c r="I11" s="283"/>
      <c r="J11" s="283"/>
      <c r="K11" s="284"/>
      <c r="L11" s="347"/>
      <c r="M11" s="268"/>
      <c r="N11" s="269"/>
      <c r="O11" s="269"/>
      <c r="P11" s="269"/>
    </row>
    <row r="12" spans="1:16" s="270" customFormat="1" ht="21" customHeight="1" x14ac:dyDescent="0.15">
      <c r="A12" s="261" t="str">
        <f>IFERROR(IF(HLOOKUP($L$5,Unitsets!$C$3:$Z$19,M12,FALSE)=0,"",HLOOKUP($L$5,Unitsets!$C$3:$Z$19,M12,FALSE)),"")</f>
        <v/>
      </c>
      <c r="B12" s="262" t="str">
        <f>IFERROR(IF(VLOOKUP(A12,TableHandbook[],2,FALSE)=0,"",VLOOKUP(A12,TableHandbook[],2,FALSE)),"")</f>
        <v/>
      </c>
      <c r="C12" s="262" t="str">
        <f>IFERROR(IF(VLOOKUP(A12,TableHandbook[],3,FALSE)=0,"",VLOOKUP(A12,TableHandbook[],3,FALSE)),"")</f>
        <v/>
      </c>
      <c r="D12" s="263" t="str">
        <f>IFERROR(VLOOKUP(A12,TableHandbook[],4,FALSE),"")</f>
        <v/>
      </c>
      <c r="E12" s="262" t="str">
        <f>IF(A12="","",VLOOKUP($D$6,TableStudyPeriods[],3,FALSE))</f>
        <v/>
      </c>
      <c r="F12" s="264" t="str">
        <f>IFERROR(IF(VLOOKUP(A12,TableHandbook[],6,FALSE)=0,"",VLOOKUP(A12,TableHandbook[],6,FALSE)),"")</f>
        <v/>
      </c>
      <c r="G12" s="262" t="str">
        <f>IFERROR(IF(VLOOKUP(A12,TableHandbook[],5,FALSE)=0,"",VLOOKUP(A12,TableHandbook[],5,FALSE)),"")</f>
        <v/>
      </c>
      <c r="H12" s="265" t="str">
        <f>IFERROR(VLOOKUP($A12,TableHandbook[],H$2,FALSE),"")</f>
        <v/>
      </c>
      <c r="I12" s="266" t="str">
        <f>IFERROR(VLOOKUP($A12,TableHandbook[],I$2,FALSE),"")</f>
        <v/>
      </c>
      <c r="J12" s="266" t="str">
        <f>IFERROR(VLOOKUP($A12,TableHandbook[],J$2,FALSE),"")</f>
        <v/>
      </c>
      <c r="K12" s="267" t="str">
        <f>IFERROR(VLOOKUP($A12,TableHandbook[],K$2,FALSE),"")</f>
        <v/>
      </c>
      <c r="L12" s="163"/>
      <c r="M12" s="268">
        <v>4</v>
      </c>
      <c r="N12" s="269"/>
      <c r="O12" s="269"/>
    </row>
    <row r="13" spans="1:16" s="270" customFormat="1" ht="21" customHeight="1" x14ac:dyDescent="0.15">
      <c r="A13" s="271" t="str">
        <f>IFERROR(IF(HLOOKUP($L$5,Unitsets!$C$3:$Z$19,M13,FALSE)=0,"",HLOOKUP($L$5,Unitsets!$C$3:$Z$19,M13,FALSE)),"")</f>
        <v/>
      </c>
      <c r="B13" s="272" t="str">
        <f>IFERROR(IF(VLOOKUP(A13,TableHandbook[],2,FALSE)=0,"",VLOOKUP(A13,TableHandbook[],2,FALSE)),"")</f>
        <v/>
      </c>
      <c r="C13" s="272" t="str">
        <f>IFERROR(IF(VLOOKUP(A13,TableHandbook[],3,FALSE)=0,"",VLOOKUP(A13,TableHandbook[],3,FALSE)),"")</f>
        <v/>
      </c>
      <c r="D13" s="273" t="str">
        <f>IFERROR(VLOOKUP(A13,TableHandbook[],4,FALSE),"")</f>
        <v/>
      </c>
      <c r="E13" s="272" t="str">
        <f>IF(OR(A13="",A13="-"),"",E12)</f>
        <v/>
      </c>
      <c r="F13" s="274" t="str">
        <f>IFERROR(IF(VLOOKUP(A13,TableHandbook[],6,FALSE)=0,"",VLOOKUP(A13,TableHandbook[],6,FALSE)),"")</f>
        <v/>
      </c>
      <c r="G13" s="272" t="str">
        <f>IFERROR(IF(VLOOKUP(A13,TableHandbook[],5,FALSE)=0,"",VLOOKUP(A13,TableHandbook[],5,FALSE)),"")</f>
        <v/>
      </c>
      <c r="H13" s="275" t="str">
        <f>IFERROR(VLOOKUP($A13,TableHandbook[],H$2,FALSE),"")</f>
        <v/>
      </c>
      <c r="I13" s="276" t="str">
        <f>IFERROR(VLOOKUP($A13,TableHandbook[],I$2,FALSE),"")</f>
        <v/>
      </c>
      <c r="J13" s="276" t="str">
        <f>IFERROR(VLOOKUP($A13,TableHandbook[],J$2,FALSE),"")</f>
        <v/>
      </c>
      <c r="K13" s="277" t="str">
        <f>IFERROR(VLOOKUP($A13,TableHandbook[],K$2,FALSE),"")</f>
        <v/>
      </c>
      <c r="L13" s="162"/>
      <c r="M13" s="268">
        <v>5</v>
      </c>
      <c r="N13" s="269"/>
      <c r="O13" s="269"/>
    </row>
    <row r="14" spans="1:16" s="270" customFormat="1" ht="4.5" customHeight="1" x14ac:dyDescent="0.15">
      <c r="A14" s="278"/>
      <c r="B14" s="279"/>
      <c r="C14" s="279" t="str">
        <f>IFERROR(IF(VLOOKUP(A14,TableHandbook[],3,FALSE)=0,"",VLOOKUP(A14,TableHandbook[],3,FALSE)),"")</f>
        <v/>
      </c>
      <c r="D14" s="280"/>
      <c r="E14" s="279"/>
      <c r="F14" s="281"/>
      <c r="G14" s="279"/>
      <c r="H14" s="282"/>
      <c r="I14" s="283"/>
      <c r="J14" s="283"/>
      <c r="K14" s="284"/>
      <c r="L14" s="347"/>
      <c r="M14" s="268"/>
      <c r="N14" s="269"/>
      <c r="O14" s="269"/>
      <c r="P14" s="269"/>
    </row>
    <row r="15" spans="1:16" s="270" customFormat="1" ht="21" customHeight="1" x14ac:dyDescent="0.15">
      <c r="A15" s="261" t="str">
        <f>IFERROR(IF(HLOOKUP($L$5,Unitsets!$C$3:$Z$19,M15,FALSE)=0,"",HLOOKUP($L$5,Unitsets!$C$3:$Z$19,M15,FALSE)),"")</f>
        <v/>
      </c>
      <c r="B15" s="285" t="str">
        <f>IFERROR(IF(VLOOKUP(A15,TableHandbook[],2,FALSE)=0,"",VLOOKUP(A15,TableHandbook[],2,FALSE)),"")</f>
        <v/>
      </c>
      <c r="C15" s="285" t="str">
        <f>IFERROR(IF(VLOOKUP(A15,TableHandbook[],3,FALSE)=0,"",VLOOKUP(A15,TableHandbook[],3,FALSE)),"")</f>
        <v/>
      </c>
      <c r="D15" s="263" t="str">
        <f>IFERROR(VLOOKUP(A15,TableHandbook[],4,FALSE),"")</f>
        <v/>
      </c>
      <c r="E15" s="262" t="str">
        <f>IF(A15="","",VLOOKUP($D$6,TableStudyPeriods[],4,FALSE))</f>
        <v/>
      </c>
      <c r="F15" s="264" t="str">
        <f>IFERROR(IF(VLOOKUP(A15,TableHandbook[],6,FALSE)=0,"",VLOOKUP(A15,TableHandbook[],6,FALSE)),"")</f>
        <v/>
      </c>
      <c r="G15" s="285" t="str">
        <f>IFERROR(IF(VLOOKUP(A15,TableHandbook[],5,FALSE)=0,"",VLOOKUP(A15,TableHandbook[],5,FALSE)),"")</f>
        <v/>
      </c>
      <c r="H15" s="286" t="str">
        <f>IFERROR(VLOOKUP($A15,TableHandbook[],H$2,FALSE),"")</f>
        <v/>
      </c>
      <c r="I15" s="287" t="str">
        <f>IFERROR(VLOOKUP($A15,TableHandbook[],I$2,FALSE),"")</f>
        <v/>
      </c>
      <c r="J15" s="287" t="str">
        <f>IFERROR(VLOOKUP($A15,TableHandbook[],J$2,FALSE),"")</f>
        <v/>
      </c>
      <c r="K15" s="288" t="str">
        <f>IFERROR(VLOOKUP($A15,TableHandbook[],K$2,FALSE),"")</f>
        <v/>
      </c>
      <c r="L15" s="163"/>
      <c r="M15" s="268">
        <v>6</v>
      </c>
      <c r="N15" s="269"/>
      <c r="O15" s="269"/>
    </row>
    <row r="16" spans="1:16" s="294" customFormat="1" ht="21" customHeight="1" x14ac:dyDescent="0.15">
      <c r="A16" s="271" t="str">
        <f>IFERROR(IF(HLOOKUP($L$5,Unitsets!$C$3:$Z$19,M16,FALSE)=0,"",HLOOKUP($L$5,Unitsets!$C$3:$Z$19,M16,FALSE)),"")</f>
        <v/>
      </c>
      <c r="B16" s="289" t="str">
        <f>IFERROR(IF(VLOOKUP(A16,TableHandbook[],2,FALSE)=0,"",VLOOKUP(A16,TableHandbook[],2,FALSE)),"")</f>
        <v/>
      </c>
      <c r="C16" s="289" t="str">
        <f>IFERROR(IF(VLOOKUP(A16,TableHandbook[],3,FALSE)=0,"",VLOOKUP(A16,TableHandbook[],3,FALSE)),"")</f>
        <v/>
      </c>
      <c r="D16" s="273" t="str">
        <f>IFERROR(VLOOKUP(A16,TableHandbook[],4,FALSE),"")</f>
        <v/>
      </c>
      <c r="E16" s="272" t="str">
        <f>IF(OR(A16="",A16="-"),"",E15)</f>
        <v/>
      </c>
      <c r="F16" s="274" t="str">
        <f>IFERROR(IF(VLOOKUP(A16,TableHandbook[],6,FALSE)=0,"",VLOOKUP(A16,TableHandbook[],6,FALSE)),"")</f>
        <v/>
      </c>
      <c r="G16" s="289" t="str">
        <f>IFERROR(IF(VLOOKUP(A16,TableHandbook[],5,FALSE)=0,"",VLOOKUP(A16,TableHandbook[],5,FALSE)),"")</f>
        <v/>
      </c>
      <c r="H16" s="290" t="str">
        <f>IFERROR(VLOOKUP($A16,TableHandbook[],H$2,FALSE),"")</f>
        <v/>
      </c>
      <c r="I16" s="291" t="str">
        <f>IFERROR(VLOOKUP($A16,TableHandbook[],I$2,FALSE),"")</f>
        <v/>
      </c>
      <c r="J16" s="291" t="str">
        <f>IFERROR(VLOOKUP($A16,TableHandbook[],J$2,FALSE),"")</f>
        <v/>
      </c>
      <c r="K16" s="292" t="str">
        <f>IFERROR(VLOOKUP($A16,TableHandbook[],K$2,FALSE),"")</f>
        <v/>
      </c>
      <c r="L16" s="164"/>
      <c r="M16" s="268">
        <v>7</v>
      </c>
      <c r="N16" s="293"/>
      <c r="O16" s="293"/>
    </row>
    <row r="17" spans="1:16" s="270" customFormat="1" ht="4.5" customHeight="1" x14ac:dyDescent="0.15">
      <c r="A17" s="278"/>
      <c r="B17" s="279"/>
      <c r="C17" s="279" t="str">
        <f>IFERROR(IF(VLOOKUP(A17,TableHandbook[],3,FALSE)=0,"",VLOOKUP(A17,TableHandbook[],3,FALSE)),"")</f>
        <v/>
      </c>
      <c r="D17" s="280"/>
      <c r="E17" s="279"/>
      <c r="F17" s="281"/>
      <c r="G17" s="279"/>
      <c r="H17" s="282"/>
      <c r="I17" s="283"/>
      <c r="J17" s="283"/>
      <c r="K17" s="284"/>
      <c r="L17" s="347"/>
      <c r="M17" s="268"/>
      <c r="N17" s="269"/>
      <c r="O17" s="269"/>
      <c r="P17" s="269"/>
    </row>
    <row r="18" spans="1:16" s="294" customFormat="1" ht="21" customHeight="1" x14ac:dyDescent="0.15">
      <c r="A18" s="261" t="str">
        <f>IFERROR(IF(HLOOKUP($L$5,Unitsets!$C$3:$Z$19,M18,FALSE)=0,"",HLOOKUP($L$5,Unitsets!$C$3:$Z$19,M18,FALSE)),"")</f>
        <v/>
      </c>
      <c r="B18" s="285" t="str">
        <f>IFERROR(IF(VLOOKUP(A18,TableHandbook[],2,FALSE)=0,"",VLOOKUP(A18,TableHandbook[],2,FALSE)),"")</f>
        <v/>
      </c>
      <c r="C18" s="285" t="str">
        <f>IFERROR(IF(VLOOKUP(A18,TableHandbook[],3,FALSE)=0,"",VLOOKUP(A18,TableHandbook[],3,FALSE)),"")</f>
        <v/>
      </c>
      <c r="D18" s="263" t="str">
        <f>IFERROR(VLOOKUP(A18,TableHandbook[],4,FALSE),"")</f>
        <v/>
      </c>
      <c r="E18" s="262" t="str">
        <f>IF(A18="","",VLOOKUP($D$6,TableStudyPeriods[],5,FALSE))</f>
        <v/>
      </c>
      <c r="F18" s="264" t="str">
        <f>IFERROR(IF(VLOOKUP(A18,TableHandbook[],6,FALSE)=0,"",VLOOKUP(A18,TableHandbook[],6,FALSE)),"")</f>
        <v/>
      </c>
      <c r="G18" s="285" t="str">
        <f>IFERROR(IF(VLOOKUP(A18,TableHandbook[],5,FALSE)=0,"",VLOOKUP(A18,TableHandbook[],5,FALSE)),"")</f>
        <v/>
      </c>
      <c r="H18" s="286" t="str">
        <f>IFERROR(VLOOKUP($A18,TableHandbook[],H$2,FALSE),"")</f>
        <v/>
      </c>
      <c r="I18" s="287" t="str">
        <f>IFERROR(VLOOKUP($A18,TableHandbook[],I$2,FALSE),"")</f>
        <v/>
      </c>
      <c r="J18" s="287" t="str">
        <f>IFERROR(VLOOKUP($A18,TableHandbook[],J$2,FALSE),"")</f>
        <v/>
      </c>
      <c r="K18" s="288" t="str">
        <f>IFERROR(VLOOKUP($A18,TableHandbook[],K$2,FALSE),"")</f>
        <v/>
      </c>
      <c r="L18" s="163"/>
      <c r="M18" s="268">
        <v>8</v>
      </c>
      <c r="N18" s="293"/>
      <c r="O18" s="293"/>
    </row>
    <row r="19" spans="1:16" s="294" customFormat="1" ht="21" customHeight="1" x14ac:dyDescent="0.15">
      <c r="A19" s="271" t="str">
        <f>IFERROR(IF(HLOOKUP($L$5,Unitsets!$C$3:$Z$19,M19,FALSE)=0,"",HLOOKUP($L$5,Unitsets!$C$3:$Z$19,M19,FALSE)),"")</f>
        <v/>
      </c>
      <c r="B19" s="289" t="str">
        <f>IFERROR(IF(VLOOKUP(A19,TableHandbook[],2,FALSE)=0,"",VLOOKUP(A19,TableHandbook[],2,FALSE)),"")</f>
        <v/>
      </c>
      <c r="C19" s="289" t="str">
        <f>IFERROR(IF(VLOOKUP(A19,TableHandbook[],3,FALSE)=0,"",VLOOKUP(A19,TableHandbook[],3,FALSE)),"")</f>
        <v/>
      </c>
      <c r="D19" s="295" t="str">
        <f>IFERROR(VLOOKUP(A19,TableHandbook[],4,FALSE),"")</f>
        <v/>
      </c>
      <c r="E19" s="289" t="str">
        <f>IF(OR(A19="",A19="-"),"",E18)</f>
        <v/>
      </c>
      <c r="F19" s="274" t="str">
        <f>IFERROR(IF(VLOOKUP(A19,TableHandbook[],6,FALSE)=0,"",VLOOKUP(A19,TableHandbook[],6,FALSE)),"")</f>
        <v/>
      </c>
      <c r="G19" s="289" t="str">
        <f>IFERROR(IF(VLOOKUP(A19,TableHandbook[],5,FALSE)=0,"",VLOOKUP(A19,TableHandbook[],5,FALSE)),"")</f>
        <v/>
      </c>
      <c r="H19" s="286" t="str">
        <f>IFERROR(VLOOKUP($A19,TableHandbook[],H$2,FALSE),"")</f>
        <v/>
      </c>
      <c r="I19" s="287" t="str">
        <f>IFERROR(VLOOKUP($A19,TableHandbook[],I$2,FALSE),"")</f>
        <v/>
      </c>
      <c r="J19" s="287" t="str">
        <f>IFERROR(VLOOKUP($A19,TableHandbook[],J$2,FALSE),"")</f>
        <v/>
      </c>
      <c r="K19" s="288" t="str">
        <f>IFERROR(VLOOKUP($A19,TableHandbook[],K$2,FALSE),"")</f>
        <v/>
      </c>
      <c r="L19" s="163"/>
      <c r="M19" s="268">
        <v>9</v>
      </c>
      <c r="N19" s="293"/>
      <c r="O19" s="293"/>
    </row>
    <row r="20" spans="1:16" s="256" customFormat="1" ht="31.5" x14ac:dyDescent="0.2">
      <c r="A20" s="248" t="s">
        <v>27</v>
      </c>
      <c r="B20" s="248"/>
      <c r="C20" s="248" t="s">
        <v>18</v>
      </c>
      <c r="D20" s="254" t="s">
        <v>3</v>
      </c>
      <c r="E20" s="257" t="s">
        <v>19</v>
      </c>
      <c r="F20" s="248" t="s">
        <v>20</v>
      </c>
      <c r="G20" s="248" t="s">
        <v>21</v>
      </c>
      <c r="H20" s="258" t="str">
        <f>H8</f>
        <v>SP1</v>
      </c>
      <c r="I20" s="259" t="str">
        <f t="shared" ref="I20:L20" si="0">I8</f>
        <v>SP2</v>
      </c>
      <c r="J20" s="259" t="str">
        <f t="shared" si="0"/>
        <v>SP3</v>
      </c>
      <c r="K20" s="260" t="str">
        <f t="shared" si="0"/>
        <v>SP4</v>
      </c>
      <c r="L20" s="248" t="str">
        <f t="shared" si="0"/>
        <v>Notes / Progress</v>
      </c>
      <c r="M20" s="296"/>
      <c r="N20" s="255"/>
      <c r="O20" s="255"/>
    </row>
    <row r="21" spans="1:16" s="270" customFormat="1" ht="21" customHeight="1" x14ac:dyDescent="0.15">
      <c r="A21" s="261" t="str">
        <f>IFERROR(IF(HLOOKUP($L$5,Unitsets!$C$3:$Z$19,M21,FALSE)=0,"",HLOOKUP($L$5,Unitsets!$C$3:$Z$19,M21,FALSE)),"")</f>
        <v/>
      </c>
      <c r="B21" s="285" t="str">
        <f>IFERROR(IF(VLOOKUP(A21,TableHandbook[],2,FALSE)=0,"",VLOOKUP(A21,TableHandbook[],2,FALSE)),"")</f>
        <v/>
      </c>
      <c r="C21" s="285" t="str">
        <f>IFERROR(IF(VLOOKUP(A21,TableHandbook[],3,FALSE)=0,"",VLOOKUP(A21,TableHandbook[],3,FALSE)),"")</f>
        <v/>
      </c>
      <c r="D21" s="297" t="str">
        <f>IFERROR(VLOOKUP(A21,TableHandbook[],4,FALSE),"")</f>
        <v/>
      </c>
      <c r="E21" s="285" t="str">
        <f>IF(A21="","",VLOOKUP($D$6,TableStudyPeriods[],2,FALSE))</f>
        <v/>
      </c>
      <c r="F21" s="264" t="str">
        <f>IFERROR(IF(VLOOKUP(A21,TableHandbook[],6,FALSE)=0,"",VLOOKUP(A21,TableHandbook[],6,FALSE)),"")</f>
        <v/>
      </c>
      <c r="G21" s="262" t="str">
        <f>IFERROR(IF(VLOOKUP(A21,TableHandbook[],5,FALSE)=0,"",VLOOKUP(A21,TableHandbook[],5,FALSE)),"")</f>
        <v/>
      </c>
      <c r="H21" s="265" t="str">
        <f>IFERROR(VLOOKUP($A21,TableHandbook[],H$2,FALSE),"")</f>
        <v/>
      </c>
      <c r="I21" s="266" t="str">
        <f>IFERROR(VLOOKUP($A21,TableHandbook[],I$2,FALSE),"")</f>
        <v/>
      </c>
      <c r="J21" s="266" t="str">
        <f>IFERROR(VLOOKUP($A21,TableHandbook[],J$2,FALSE),"")</f>
        <v/>
      </c>
      <c r="K21" s="267" t="str">
        <f>IFERROR(VLOOKUP($A21,TableHandbook[],K$2,FALSE),"")</f>
        <v/>
      </c>
      <c r="L21" s="161"/>
      <c r="M21" s="268">
        <v>10</v>
      </c>
      <c r="N21" s="269"/>
      <c r="O21" s="269"/>
    </row>
    <row r="22" spans="1:16" s="270" customFormat="1" ht="21" customHeight="1" x14ac:dyDescent="0.15">
      <c r="A22" s="271" t="str">
        <f>IFERROR(IF(HLOOKUP($L$5,Unitsets!$C$3:$Z$19,M22,FALSE)=0,"",HLOOKUP($L$5,Unitsets!$C$3:$Z$19,M22,FALSE)),"")</f>
        <v/>
      </c>
      <c r="B22" s="289" t="str">
        <f>IFERROR(IF(VLOOKUP(A22,TableHandbook[],2,FALSE)=0,"",VLOOKUP(A22,TableHandbook[],2,FALSE)),"")</f>
        <v/>
      </c>
      <c r="C22" s="289" t="str">
        <f>IFERROR(IF(VLOOKUP(A22,TableHandbook[],3,FALSE)=0,"",VLOOKUP(A22,TableHandbook[],3,FALSE)),"")</f>
        <v/>
      </c>
      <c r="D22" s="295" t="str">
        <f>IFERROR(VLOOKUP(A22,TableHandbook[],4,FALSE),"")</f>
        <v/>
      </c>
      <c r="E22" s="289" t="str">
        <f>IF(OR(A22="",A22="-"),"",E21)</f>
        <v/>
      </c>
      <c r="F22" s="274" t="str">
        <f>IFERROR(IF(VLOOKUP(A22,TableHandbook[],6,FALSE)=0,"",VLOOKUP(A22,TableHandbook[],6,FALSE)),"")</f>
        <v/>
      </c>
      <c r="G22" s="272" t="str">
        <f>IFERROR(IF(VLOOKUP(A22,TableHandbook[],5,FALSE)=0,"",VLOOKUP(A22,TableHandbook[],5,FALSE)),"")</f>
        <v/>
      </c>
      <c r="H22" s="275" t="str">
        <f>IFERROR(VLOOKUP($A22,TableHandbook[],H$2,FALSE),"")</f>
        <v/>
      </c>
      <c r="I22" s="276" t="str">
        <f>IFERROR(VLOOKUP($A22,TableHandbook[],I$2,FALSE),"")</f>
        <v/>
      </c>
      <c r="J22" s="276" t="str">
        <f>IFERROR(VLOOKUP($A22,TableHandbook[],J$2,FALSE),"")</f>
        <v/>
      </c>
      <c r="K22" s="277" t="str">
        <f>IFERROR(VLOOKUP($A22,TableHandbook[],K$2,FALSE),"")</f>
        <v/>
      </c>
      <c r="L22" s="162"/>
      <c r="M22" s="268">
        <v>11</v>
      </c>
      <c r="N22" s="269"/>
      <c r="O22" s="269"/>
    </row>
    <row r="23" spans="1:16" s="270" customFormat="1" ht="4.5" customHeight="1" x14ac:dyDescent="0.15">
      <c r="A23" s="278"/>
      <c r="B23" s="279"/>
      <c r="C23" s="279" t="str">
        <f>IFERROR(IF(VLOOKUP(A23,TableHandbook[],3,FALSE)=0,"",VLOOKUP(A23,TableHandbook[],3,FALSE)),"")</f>
        <v/>
      </c>
      <c r="D23" s="280"/>
      <c r="E23" s="279"/>
      <c r="F23" s="281"/>
      <c r="G23" s="279"/>
      <c r="H23" s="282"/>
      <c r="I23" s="283"/>
      <c r="J23" s="283"/>
      <c r="K23" s="284"/>
      <c r="L23" s="347"/>
      <c r="M23" s="268"/>
      <c r="N23" s="269"/>
      <c r="O23" s="269"/>
      <c r="P23" s="269"/>
    </row>
    <row r="24" spans="1:16" s="270" customFormat="1" ht="21" customHeight="1" x14ac:dyDescent="0.15">
      <c r="A24" s="261" t="str">
        <f>IFERROR(IF(HLOOKUP($L$5,Unitsets!$C$3:$Z$19,M24,FALSE)=0,"",HLOOKUP($L$5,Unitsets!$C$3:$Z$19,M24,FALSE)),"")</f>
        <v/>
      </c>
      <c r="B24" s="285" t="str">
        <f>IFERROR(IF(VLOOKUP(A24,TableHandbook[],2,FALSE)=0,"",VLOOKUP(A24,TableHandbook[],2,FALSE)),"")</f>
        <v/>
      </c>
      <c r="C24" s="285" t="str">
        <f>IFERROR(IF(VLOOKUP(A24,TableHandbook[],3,FALSE)=0,"",VLOOKUP(A24,TableHandbook[],3,FALSE)),"")</f>
        <v/>
      </c>
      <c r="D24" s="298" t="str">
        <f>IFERROR(VLOOKUP(A24,TableHandbook[],4,FALSE),"")</f>
        <v/>
      </c>
      <c r="E24" s="285" t="str">
        <f>IF(A24="","",VLOOKUP($D$6,TableStudyPeriods[],3,FALSE))</f>
        <v/>
      </c>
      <c r="F24" s="264" t="str">
        <f>IFERROR(IF(VLOOKUP(A24,TableHandbook[],6,FALSE)=0,"",VLOOKUP(A24,TableHandbook[],6,FALSE)),"")</f>
        <v/>
      </c>
      <c r="G24" s="262" t="str">
        <f>IFERROR(IF(VLOOKUP(A24,TableHandbook[],5,FALSE)=0,"",VLOOKUP(A24,TableHandbook[],5,FALSE)),"")</f>
        <v/>
      </c>
      <c r="H24" s="265" t="str">
        <f>IFERROR(VLOOKUP($A24,TableHandbook[],H$2,FALSE),"")</f>
        <v/>
      </c>
      <c r="I24" s="266" t="str">
        <f>IFERROR(VLOOKUP($A24,TableHandbook[],I$2,FALSE),"")</f>
        <v/>
      </c>
      <c r="J24" s="266" t="str">
        <f>IFERROR(VLOOKUP($A24,TableHandbook[],J$2,FALSE),"")</f>
        <v/>
      </c>
      <c r="K24" s="267" t="str">
        <f>IFERROR(VLOOKUP($A24,TableHandbook[],K$2,FALSE),"")</f>
        <v/>
      </c>
      <c r="L24" s="161"/>
      <c r="M24" s="268">
        <v>12</v>
      </c>
      <c r="N24" s="269"/>
      <c r="O24" s="269"/>
    </row>
    <row r="25" spans="1:16" s="270" customFormat="1" ht="21" customHeight="1" x14ac:dyDescent="0.15">
      <c r="A25" s="271" t="str">
        <f>IFERROR(IF(HLOOKUP($L$5,Unitsets!$C$3:$Z$19,M25,FALSE)=0,"",HLOOKUP($L$5,Unitsets!$C$3:$Z$19,M25,FALSE)),"")</f>
        <v/>
      </c>
      <c r="B25" s="289" t="str">
        <f>IFERROR(IF(VLOOKUP(A25,TableHandbook[],2,FALSE)=0,"",VLOOKUP(A25,TableHandbook[],2,FALSE)),"")</f>
        <v/>
      </c>
      <c r="C25" s="289" t="str">
        <f>IFERROR(IF(VLOOKUP(A25,TableHandbook[],3,FALSE)=0,"",VLOOKUP(A25,TableHandbook[],3,FALSE)),"")</f>
        <v/>
      </c>
      <c r="D25" s="295" t="str">
        <f>IFERROR(VLOOKUP(A25,TableHandbook[],4,FALSE),"")</f>
        <v/>
      </c>
      <c r="E25" s="289" t="str">
        <f>IF(OR(A25="",A25="-"),"",E24)</f>
        <v/>
      </c>
      <c r="F25" s="274" t="str">
        <f>IFERROR(IF(VLOOKUP(A25,TableHandbook[],6,FALSE)=0,"",VLOOKUP(A25,TableHandbook[],6,FALSE)),"")</f>
        <v/>
      </c>
      <c r="G25" s="272" t="str">
        <f>IFERROR(IF(VLOOKUP(A25,TableHandbook[],5,FALSE)=0,"",VLOOKUP(A25,TableHandbook[],5,FALSE)),"")</f>
        <v/>
      </c>
      <c r="H25" s="275" t="str">
        <f>IFERROR(VLOOKUP($A25,TableHandbook[],H$2,FALSE),"")</f>
        <v/>
      </c>
      <c r="I25" s="276" t="str">
        <f>IFERROR(VLOOKUP($A25,TableHandbook[],I$2,FALSE),"")</f>
        <v/>
      </c>
      <c r="J25" s="276" t="str">
        <f>IFERROR(VLOOKUP($A25,TableHandbook[],J$2,FALSE),"")</f>
        <v/>
      </c>
      <c r="K25" s="277" t="str">
        <f>IFERROR(VLOOKUP($A25,TableHandbook[],K$2,FALSE),"")</f>
        <v/>
      </c>
      <c r="L25" s="162"/>
      <c r="M25" s="268">
        <v>13</v>
      </c>
      <c r="N25" s="269"/>
      <c r="O25" s="269"/>
    </row>
    <row r="26" spans="1:16" s="270" customFormat="1" ht="5.0999999999999996" customHeight="1" x14ac:dyDescent="0.15">
      <c r="A26" s="278"/>
      <c r="B26" s="279"/>
      <c r="C26" s="279"/>
      <c r="D26" s="280"/>
      <c r="E26" s="279"/>
      <c r="F26" s="281"/>
      <c r="G26" s="279"/>
      <c r="H26" s="299"/>
      <c r="I26" s="300"/>
      <c r="J26" s="300"/>
      <c r="K26" s="301"/>
      <c r="L26" s="347"/>
      <c r="M26" s="268"/>
      <c r="N26" s="269"/>
      <c r="O26" s="269"/>
      <c r="P26" s="269"/>
    </row>
    <row r="27" spans="1:16" s="270" customFormat="1" ht="21" customHeight="1" x14ac:dyDescent="0.15">
      <c r="A27" s="302" t="str">
        <f>IFERROR(IF(HLOOKUP($L$5,Unitsets!$C$3:$Z$19,M27,FALSE)=0,"",HLOOKUP($L$5,Unitsets!$C$3:$Z$19,M27,FALSE)),"")</f>
        <v/>
      </c>
      <c r="B27" s="285" t="str">
        <f>IFERROR(IF(VLOOKUP(A27,TableHandbook[],2,FALSE)=0,"",VLOOKUP(A27,TableHandbook[],2,FALSE)),"")</f>
        <v/>
      </c>
      <c r="C27" s="285" t="str">
        <f>IFERROR(IF(VLOOKUP(A27,TableHandbook[],3,FALSE)=0,"",VLOOKUP(A27,TableHandbook[],3,FALSE)),"")</f>
        <v/>
      </c>
      <c r="D27" s="298" t="str">
        <f>IFERROR(VLOOKUP(A27,TableHandbook[],4,FALSE),"")</f>
        <v/>
      </c>
      <c r="E27" s="285" t="str">
        <f>IF(A27="","",VLOOKUP($D$6,TableStudyPeriods[],4,FALSE))</f>
        <v/>
      </c>
      <c r="F27" s="303" t="str">
        <f>IFERROR(IF(VLOOKUP(A27,TableHandbook[],6,FALSE)=0,"",VLOOKUP(A27,TableHandbook[],6,FALSE)),"")</f>
        <v/>
      </c>
      <c r="G27" s="285" t="str">
        <f>IFERROR(IF(VLOOKUP(A27,TableHandbook[],5,FALSE)=0,"",VLOOKUP(A27,TableHandbook[],5,FALSE)),"")</f>
        <v/>
      </c>
      <c r="H27" s="286" t="str">
        <f>IFERROR(VLOOKUP($A27,TableHandbook[],H$2,FALSE),"")</f>
        <v/>
      </c>
      <c r="I27" s="287" t="str">
        <f>IFERROR(VLOOKUP($A27,TableHandbook[],I$2,FALSE),"")</f>
        <v/>
      </c>
      <c r="J27" s="287" t="str">
        <f>IFERROR(VLOOKUP($A27,TableHandbook[],J$2,FALSE),"")</f>
        <v/>
      </c>
      <c r="K27" s="288" t="str">
        <f>IFERROR(VLOOKUP($A27,TableHandbook[],K$2,FALSE),"")</f>
        <v/>
      </c>
      <c r="L27" s="163"/>
      <c r="M27" s="268">
        <v>14</v>
      </c>
      <c r="N27" s="269"/>
      <c r="O27" s="269"/>
    </row>
    <row r="28" spans="1:16" s="270" customFormat="1" ht="21" customHeight="1" x14ac:dyDescent="0.15">
      <c r="A28" s="304" t="str">
        <f>IFERROR(IF(HLOOKUP($L$5,Unitsets!$C$3:$Z$19,M28,FALSE)=0,"",HLOOKUP($L$5,Unitsets!$C$3:$Z$19,M28,FALSE)),"")</f>
        <v/>
      </c>
      <c r="B28" s="289" t="str">
        <f>IFERROR(IF(VLOOKUP(A28,TableHandbook[],2,FALSE)=0,"",VLOOKUP(A28,TableHandbook[],2,FALSE)),"")</f>
        <v/>
      </c>
      <c r="C28" s="289" t="str">
        <f>IFERROR(IF(VLOOKUP(A28,TableHandbook[],3,FALSE)=0,"",VLOOKUP(A28,TableHandbook[],3,FALSE)),"")</f>
        <v/>
      </c>
      <c r="D28" s="295" t="str">
        <f>IFERROR(VLOOKUP(A28,TableHandbook[],4,FALSE),"")</f>
        <v/>
      </c>
      <c r="E28" s="289" t="str">
        <f>IF(OR(A28="",A28="-"),"",E27)</f>
        <v/>
      </c>
      <c r="F28" s="305" t="str">
        <f>IFERROR(IF(VLOOKUP(A28,TableHandbook[],6,FALSE)=0,"",VLOOKUP(A28,TableHandbook[],6,FALSE)),"")</f>
        <v/>
      </c>
      <c r="G28" s="289" t="str">
        <f>IFERROR(IF(VLOOKUP(A28,TableHandbook[],5,FALSE)=0,"",VLOOKUP(A28,TableHandbook[],5,FALSE)),"")</f>
        <v/>
      </c>
      <c r="H28" s="290" t="str">
        <f>IFERROR(VLOOKUP($A28,TableHandbook[],H$2,FALSE),"")</f>
        <v/>
      </c>
      <c r="I28" s="291" t="str">
        <f>IFERROR(VLOOKUP($A28,TableHandbook[],I$2,FALSE),"")</f>
        <v/>
      </c>
      <c r="J28" s="291" t="str">
        <f>IFERROR(VLOOKUP($A28,TableHandbook[],J$2,FALSE),"")</f>
        <v/>
      </c>
      <c r="K28" s="292" t="str">
        <f>IFERROR(VLOOKUP($A28,TableHandbook[],K$2,FALSE),"")</f>
        <v/>
      </c>
      <c r="L28" s="164"/>
      <c r="M28" s="268">
        <v>15</v>
      </c>
      <c r="N28" s="269"/>
      <c r="O28" s="269"/>
    </row>
    <row r="29" spans="1:16" s="270" customFormat="1" ht="4.5" customHeight="1" x14ac:dyDescent="0.15">
      <c r="A29" s="278"/>
      <c r="B29" s="279"/>
      <c r="C29" s="279" t="str">
        <f>IFERROR(IF(VLOOKUP(A29,TableHandbook[],3,FALSE)=0,"",VLOOKUP(A29,TableHandbook[],3,FALSE)),"")</f>
        <v/>
      </c>
      <c r="D29" s="280"/>
      <c r="E29" s="279"/>
      <c r="F29" s="281"/>
      <c r="G29" s="279"/>
      <c r="H29" s="282"/>
      <c r="I29" s="283"/>
      <c r="J29" s="283"/>
      <c r="K29" s="284"/>
      <c r="L29" s="347"/>
      <c r="M29" s="268"/>
      <c r="N29" s="269"/>
      <c r="O29" s="269"/>
      <c r="P29" s="269"/>
    </row>
    <row r="30" spans="1:16" s="294" customFormat="1" ht="21" customHeight="1" x14ac:dyDescent="0.15">
      <c r="A30" s="302" t="str">
        <f>IFERROR(IF(HLOOKUP($L$5,Unitsets!$C$3:$Z$19,M30,FALSE)=0,"",HLOOKUP($L$5,Unitsets!$C$3:$Z$19,M30,FALSE)),"")</f>
        <v/>
      </c>
      <c r="B30" s="285" t="str">
        <f>IFERROR(IF(VLOOKUP(A30,TableHandbook[],2,FALSE)=0,"",VLOOKUP(A30,TableHandbook[],2,FALSE)),"")</f>
        <v/>
      </c>
      <c r="C30" s="285" t="str">
        <f>IFERROR(IF(VLOOKUP(A30,TableHandbook[],3,FALSE)=0,"",VLOOKUP(A30,TableHandbook[],3,FALSE)),"")</f>
        <v/>
      </c>
      <c r="D30" s="298" t="str">
        <f>IFERROR(VLOOKUP(A30,TableHandbook[],4,FALSE),"")</f>
        <v/>
      </c>
      <c r="E30" s="285" t="str">
        <f>IF(A30="","",VLOOKUP($D$6,TableStudyPeriods[],5,FALSE))</f>
        <v/>
      </c>
      <c r="F30" s="303" t="str">
        <f>IFERROR(IF(VLOOKUP(A30,TableHandbook[],6,FALSE)=0,"",VLOOKUP(A30,TableHandbook[],6,FALSE)),"")</f>
        <v/>
      </c>
      <c r="G30" s="285" t="str">
        <f>IFERROR(IF(VLOOKUP(A30,TableHandbook[],5,FALSE)=0,"",VLOOKUP(A30,TableHandbook[],5,FALSE)),"")</f>
        <v/>
      </c>
      <c r="H30" s="286" t="str">
        <f>IFERROR(VLOOKUP($A30,TableHandbook[],H$2,FALSE),"")</f>
        <v/>
      </c>
      <c r="I30" s="287" t="str">
        <f>IFERROR(VLOOKUP($A30,TableHandbook[],I$2,FALSE),"")</f>
        <v/>
      </c>
      <c r="J30" s="287" t="str">
        <f>IFERROR(VLOOKUP($A30,TableHandbook[],J$2,FALSE),"")</f>
        <v/>
      </c>
      <c r="K30" s="288" t="str">
        <f>IFERROR(VLOOKUP($A30,TableHandbook[],K$2,FALSE),"")</f>
        <v/>
      </c>
      <c r="L30" s="163"/>
      <c r="M30" s="268">
        <v>16</v>
      </c>
      <c r="N30" s="293"/>
      <c r="O30" s="293"/>
    </row>
    <row r="31" spans="1:16" s="294" customFormat="1" ht="21" customHeight="1" x14ac:dyDescent="0.15">
      <c r="A31" s="304" t="str">
        <f>IFERROR(IF(HLOOKUP($L$5,Unitsets!$C$3:$Z$19,M31,FALSE)=0,"",HLOOKUP($L$5,Unitsets!$C$3:$Z$19,M31,FALSE)),"")</f>
        <v/>
      </c>
      <c r="B31" s="289" t="str">
        <f>IFERROR(IF(VLOOKUP(A31,TableHandbook[],2,FALSE)=0,"",VLOOKUP(A31,TableHandbook[],2,FALSE)),"")</f>
        <v/>
      </c>
      <c r="C31" s="289" t="str">
        <f>IFERROR(IF(VLOOKUP(A31,TableHandbook[],3,FALSE)=0,"",VLOOKUP(A31,TableHandbook[],3,FALSE)),"")</f>
        <v/>
      </c>
      <c r="D31" s="295" t="str">
        <f>IFERROR(VLOOKUP(A31,TableHandbook[],4,FALSE),"")</f>
        <v/>
      </c>
      <c r="E31" s="289" t="str">
        <f>IF(OR(A31="",A31="-"),"",E30)</f>
        <v/>
      </c>
      <c r="F31" s="305" t="str">
        <f>IFERROR(IF(VLOOKUP(A31,TableHandbook[],6,FALSE)=0,"",VLOOKUP(A31,TableHandbook[],6,FALSE)),"")</f>
        <v/>
      </c>
      <c r="G31" s="289" t="str">
        <f>IFERROR(IF(VLOOKUP(A31,TableHandbook[],5,FALSE)=0,"",VLOOKUP(A31,TableHandbook[],5,FALSE)),"")</f>
        <v/>
      </c>
      <c r="H31" s="290" t="str">
        <f>IFERROR(VLOOKUP($A31,TableHandbook[],H$2,FALSE),"")</f>
        <v/>
      </c>
      <c r="I31" s="291" t="str">
        <f>IFERROR(VLOOKUP($A31,TableHandbook[],I$2,FALSE),"")</f>
        <v/>
      </c>
      <c r="J31" s="291" t="str">
        <f>IFERROR(VLOOKUP($A31,TableHandbook[],J$2,FALSE),"")</f>
        <v/>
      </c>
      <c r="K31" s="292" t="str">
        <f>IFERROR(VLOOKUP($A31,TableHandbook[],K$2,FALSE),"")</f>
        <v/>
      </c>
      <c r="L31" s="164"/>
      <c r="M31" s="268">
        <v>17</v>
      </c>
      <c r="N31" s="293"/>
      <c r="O31" s="293"/>
    </row>
    <row r="32" spans="1:16" s="312" customFormat="1" ht="13.9" customHeight="1" x14ac:dyDescent="0.2">
      <c r="A32" s="306"/>
      <c r="B32" s="306"/>
      <c r="C32" s="306"/>
      <c r="D32" s="307"/>
      <c r="E32" s="307"/>
      <c r="F32" s="308"/>
      <c r="G32" s="308"/>
      <c r="H32" s="308"/>
      <c r="I32" s="308"/>
      <c r="J32" s="308"/>
      <c r="K32" s="308"/>
      <c r="L32" s="309"/>
      <c r="M32" s="310"/>
      <c r="N32" s="311"/>
      <c r="O32" s="311"/>
    </row>
    <row r="33" spans="1:15" ht="25.5" x14ac:dyDescent="0.25">
      <c r="A33" s="313" t="s">
        <v>28</v>
      </c>
      <c r="B33" s="314"/>
      <c r="C33" s="314"/>
      <c r="D33" s="315"/>
      <c r="E33" s="316"/>
      <c r="F33" s="316"/>
      <c r="G33" s="316"/>
      <c r="H33" s="317" t="str">
        <f>H7</f>
        <v>2026 Availabilities</v>
      </c>
      <c r="I33" s="318"/>
      <c r="J33" s="319"/>
      <c r="K33" s="320"/>
      <c r="L33" s="321" t="str">
        <f>VLOOKUP(D5,TableCourses[],2,FALSE)</f>
        <v>OM-ENVCLM</v>
      </c>
      <c r="M33" s="322"/>
    </row>
    <row r="34" spans="1:15" s="328" customFormat="1" x14ac:dyDescent="0.2">
      <c r="A34" s="248"/>
      <c r="B34" s="248"/>
      <c r="C34" s="248" t="s">
        <v>18</v>
      </c>
      <c r="D34" s="323" t="s">
        <v>3</v>
      </c>
      <c r="E34" s="248"/>
      <c r="F34" s="248" t="s">
        <v>20</v>
      </c>
      <c r="G34" s="248" t="s">
        <v>21</v>
      </c>
      <c r="H34" s="324" t="str">
        <f>H8</f>
        <v>SP1</v>
      </c>
      <c r="I34" s="325" t="str">
        <f t="shared" ref="I34:L34" si="1">I8</f>
        <v>SP2</v>
      </c>
      <c r="J34" s="325" t="str">
        <f t="shared" si="1"/>
        <v>SP3</v>
      </c>
      <c r="K34" s="326" t="str">
        <f t="shared" si="1"/>
        <v>SP4</v>
      </c>
      <c r="L34" s="327" t="str">
        <f t="shared" si="1"/>
        <v>Notes / Progress</v>
      </c>
      <c r="M34" s="322"/>
    </row>
    <row r="35" spans="1:15" x14ac:dyDescent="0.25">
      <c r="A35" s="329" t="str">
        <f t="shared" ref="A35:A41" si="2">IFERROR(IF(HLOOKUP($L$33,RangeOptions,$M35,FALSE)=0,"",HLOOKUP($L$33,RangeOptions,$M35,FALSE)),"")</f>
        <v>PRJM6013</v>
      </c>
      <c r="B35" s="330">
        <f>IFERROR(IF(VLOOKUP(A35,TableHandbook[],2,FALSE)=0,"",VLOOKUP(A35,TableHandbook[],2,FALSE)),"")</f>
        <v>2</v>
      </c>
      <c r="C35" s="330" t="str">
        <f>IFERROR(IF(VLOOKUP(A35,TableHandbook[],3,FALSE)=0,"",VLOOKUP(A35,TableHandbook[],3,FALSE)),"")</f>
        <v>PRM500</v>
      </c>
      <c r="D35" s="331" t="str">
        <f>IFERROR(VLOOKUP(A35,TableHandbook[],4,FALSE),"")</f>
        <v>Project Management Overview</v>
      </c>
      <c r="E35" s="332"/>
      <c r="F35" s="332" t="str">
        <f>IFERROR(IF(VLOOKUP(A35,TableHandbook[],6,FALSE)=0,"",VLOOKUP(A35,TableHandbook[],6,FALSE)),"")</f>
        <v>Nil</v>
      </c>
      <c r="G35" s="332">
        <f>IFERROR(IF(VLOOKUP(A35,TableHandbook[],5,FALSE)=0,"",VLOOKUP(A35,TableHandbook[],5,FALSE)),"")</f>
        <v>25</v>
      </c>
      <c r="H35" s="333" t="str">
        <f>IFERROR(VLOOKUP($A35,TableHandbook[],H$2,FALSE),"")</f>
        <v>Y</v>
      </c>
      <c r="I35" s="334" t="str">
        <f>IFERROR(VLOOKUP($A35,TableHandbook[],I$2,FALSE),"")</f>
        <v/>
      </c>
      <c r="J35" s="334" t="str">
        <f>IFERROR(VLOOKUP($A35,TableHandbook[],J$2,FALSE),"")</f>
        <v>Y</v>
      </c>
      <c r="K35" s="335" t="str">
        <f>IFERROR(VLOOKUP($A35,TableHandbook[],K$2,FALSE),"")</f>
        <v/>
      </c>
      <c r="L35" s="165"/>
      <c r="M35" s="268">
        <v>2</v>
      </c>
    </row>
    <row r="36" spans="1:15" x14ac:dyDescent="0.25">
      <c r="A36" s="329" t="str">
        <f t="shared" si="2"/>
        <v>PRJM6015</v>
      </c>
      <c r="B36" s="330">
        <f>IFERROR(IF(VLOOKUP(A36,TableHandbook[],2,FALSE)=0,"",VLOOKUP(A36,TableHandbook[],2,FALSE)),"")</f>
        <v>1</v>
      </c>
      <c r="C36" s="330" t="str">
        <f>IFERROR(IF(VLOOKUP(A36,TableHandbook[],3,FALSE)=0,"",VLOOKUP(A36,TableHandbook[],3,FALSE)),"")</f>
        <v>PRM510</v>
      </c>
      <c r="D36" s="331" t="str">
        <f>IFERROR(VLOOKUP(A36,TableHandbook[],4,FALSE),"")</f>
        <v>Project and People</v>
      </c>
      <c r="E36" s="332"/>
      <c r="F36" s="332" t="str">
        <f>IFERROR(IF(VLOOKUP(A36,TableHandbook[],6,FALSE)=0,"",VLOOKUP(A36,TableHandbook[],6,FALSE)),"")</f>
        <v>Nil</v>
      </c>
      <c r="G36" s="332">
        <f>IFERROR(IF(VLOOKUP(A36,TableHandbook[],5,FALSE)=0,"",VLOOKUP(A36,TableHandbook[],5,FALSE)),"")</f>
        <v>25</v>
      </c>
      <c r="H36" s="333" t="str">
        <f>IFERROR(VLOOKUP($A36,TableHandbook[],H$2,FALSE),"")</f>
        <v/>
      </c>
      <c r="I36" s="334" t="str">
        <f>IFERROR(VLOOKUP($A36,TableHandbook[],I$2,FALSE),"")</f>
        <v>Y</v>
      </c>
      <c r="J36" s="334" t="str">
        <f>IFERROR(VLOOKUP($A36,TableHandbook[],J$2,FALSE),"")</f>
        <v/>
      </c>
      <c r="K36" s="335" t="str">
        <f>IFERROR(VLOOKUP($A36,TableHandbook[],K$2,FALSE),"")</f>
        <v>Y</v>
      </c>
      <c r="L36" s="165"/>
      <c r="M36" s="268">
        <v>3</v>
      </c>
    </row>
    <row r="37" spans="1:15" x14ac:dyDescent="0.25">
      <c r="A37" s="329" t="str">
        <f t="shared" si="2"/>
        <v>URDE5015</v>
      </c>
      <c r="B37" s="330">
        <f>IFERROR(IF(VLOOKUP(A37,TableHandbook[],2,FALSE)=0,"",VLOOKUP(A37,TableHandbook[],2,FALSE)),"")</f>
        <v>3</v>
      </c>
      <c r="C37" s="330" t="str">
        <f>IFERROR(IF(VLOOKUP(A37,TableHandbook[],3,FALSE)=0,"",VLOOKUP(A37,TableHandbook[],3,FALSE)),"")</f>
        <v>URP530</v>
      </c>
      <c r="D37" s="331" t="str">
        <f>IFERROR(VLOOKUP(A37,TableHandbook[],4,FALSE),"")</f>
        <v>Planning Theory and Context</v>
      </c>
      <c r="E37" s="332"/>
      <c r="F37" s="332" t="str">
        <f>IFERROR(IF(VLOOKUP(A37,TableHandbook[],6,FALSE)=0,"",VLOOKUP(A37,TableHandbook[],6,FALSE)),"")</f>
        <v>Nil</v>
      </c>
      <c r="G37" s="332">
        <f>IFERROR(IF(VLOOKUP(A37,TableHandbook[],5,FALSE)=0,"",VLOOKUP(A37,TableHandbook[],5,FALSE)),"")</f>
        <v>25</v>
      </c>
      <c r="H37" s="333" t="str">
        <f>IFERROR(VLOOKUP($A37,TableHandbook[],H$2,FALSE),"")</f>
        <v/>
      </c>
      <c r="I37" s="334" t="str">
        <f>IFERROR(VLOOKUP($A37,TableHandbook[],I$2,FALSE),"")</f>
        <v>Y</v>
      </c>
      <c r="J37" s="334" t="str">
        <f>IFERROR(VLOOKUP($A37,TableHandbook[],J$2,FALSE),"")</f>
        <v/>
      </c>
      <c r="K37" s="335" t="str">
        <f>IFERROR(VLOOKUP($A37,TableHandbook[],K$2,FALSE),"")</f>
        <v>Y</v>
      </c>
      <c r="L37" s="165"/>
      <c r="M37" s="268">
        <v>4</v>
      </c>
    </row>
    <row r="38" spans="1:15" x14ac:dyDescent="0.25">
      <c r="A38" s="329" t="str">
        <f t="shared" si="2"/>
        <v>URDE5016</v>
      </c>
      <c r="B38" s="330">
        <f>IFERROR(IF(VLOOKUP(A38,TableHandbook[],2,FALSE)=0,"",VLOOKUP(A38,TableHandbook[],2,FALSE)),"")</f>
        <v>1</v>
      </c>
      <c r="C38" s="330" t="str">
        <f>IFERROR(IF(VLOOKUP(A38,TableHandbook[],3,FALSE)=0,"",VLOOKUP(A38,TableHandbook[],3,FALSE)),"")</f>
        <v>URP500</v>
      </c>
      <c r="D38" s="331" t="str">
        <f>IFERROR(VLOOKUP(A38,TableHandbook[],4,FALSE),"")</f>
        <v>Planning Law</v>
      </c>
      <c r="E38" s="332"/>
      <c r="F38" s="332" t="str">
        <f>IFERROR(IF(VLOOKUP(A38,TableHandbook[],6,FALSE)=0,"",VLOOKUP(A38,TableHandbook[],6,FALSE)),"")</f>
        <v>Nil</v>
      </c>
      <c r="G38" s="332">
        <f>IFERROR(IF(VLOOKUP(A38,TableHandbook[],5,FALSE)=0,"",VLOOKUP(A38,TableHandbook[],5,FALSE)),"")</f>
        <v>25</v>
      </c>
      <c r="H38" s="333" t="str">
        <f>IFERROR(VLOOKUP($A38,TableHandbook[],H$2,FALSE),"")</f>
        <v>Y</v>
      </c>
      <c r="I38" s="334" t="str">
        <f>IFERROR(VLOOKUP($A38,TableHandbook[],I$2,FALSE),"")</f>
        <v/>
      </c>
      <c r="J38" s="334" t="str">
        <f>IFERROR(VLOOKUP($A38,TableHandbook[],J$2,FALSE),"")</f>
        <v/>
      </c>
      <c r="K38" s="335" t="str">
        <f>IFERROR(VLOOKUP($A38,TableHandbook[],K$2,FALSE),"")</f>
        <v/>
      </c>
      <c r="L38" s="165"/>
      <c r="M38" s="268">
        <v>5</v>
      </c>
    </row>
    <row r="39" spans="1:15" x14ac:dyDescent="0.25">
      <c r="A39" s="329" t="str">
        <f t="shared" si="2"/>
        <v>URDE5017</v>
      </c>
      <c r="B39" s="330">
        <f>IFERROR(IF(VLOOKUP(A39,TableHandbook[],2,FALSE)=0,"",VLOOKUP(A39,TableHandbook[],2,FALSE)),"")</f>
        <v>2</v>
      </c>
      <c r="C39" s="330" t="str">
        <f>IFERROR(IF(VLOOKUP(A39,TableHandbook[],3,FALSE)=0,"",VLOOKUP(A39,TableHandbook[],3,FALSE)),"")</f>
        <v>URP510</v>
      </c>
      <c r="D39" s="331" t="str">
        <f>IFERROR(VLOOKUP(A39,TableHandbook[],4,FALSE),"")</f>
        <v>Planning for Regions</v>
      </c>
      <c r="E39" s="332"/>
      <c r="F39" s="332" t="str">
        <f>IFERROR(IF(VLOOKUP(A39,TableHandbook[],6,FALSE)=0,"",VLOOKUP(A39,TableHandbook[],6,FALSE)),"")</f>
        <v>Nil</v>
      </c>
      <c r="G39" s="332">
        <f>IFERROR(IF(VLOOKUP(A39,TableHandbook[],5,FALSE)=0,"",VLOOKUP(A39,TableHandbook[],5,FALSE)),"")</f>
        <v>25</v>
      </c>
      <c r="H39" s="333" t="str">
        <f>IFERROR(VLOOKUP($A39,TableHandbook[],H$2,FALSE),"")</f>
        <v/>
      </c>
      <c r="I39" s="334" t="str">
        <f>IFERROR(VLOOKUP($A39,TableHandbook[],I$2,FALSE),"")</f>
        <v>Y</v>
      </c>
      <c r="J39" s="334" t="str">
        <f>IFERROR(VLOOKUP($A39,TableHandbook[],J$2,FALSE),"")</f>
        <v/>
      </c>
      <c r="K39" s="335" t="str">
        <f>IFERROR(VLOOKUP($A39,TableHandbook[],K$2,FALSE),"")</f>
        <v/>
      </c>
      <c r="L39" s="165"/>
      <c r="M39" s="268">
        <v>6</v>
      </c>
    </row>
    <row r="40" spans="1:15" x14ac:dyDescent="0.25">
      <c r="A40" s="329" t="str">
        <f t="shared" si="2"/>
        <v>URDE6004</v>
      </c>
      <c r="B40" s="330">
        <f>IFERROR(IF(VLOOKUP(A40,TableHandbook[],2,FALSE)=0,"",VLOOKUP(A40,TableHandbook[],2,FALSE)),"")</f>
        <v>1</v>
      </c>
      <c r="C40" s="330" t="str">
        <f>IFERROR(IF(VLOOKUP(A40,TableHandbook[],3,FALSE)=0,"",VLOOKUP(A40,TableHandbook[],3,FALSE)),"")</f>
        <v>URP640</v>
      </c>
      <c r="D40" s="331" t="str">
        <f>IFERROR(VLOOKUP(A40,TableHandbook[],4,FALSE),"")</f>
        <v>Participatory Planning</v>
      </c>
      <c r="E40" s="332"/>
      <c r="F40" s="332" t="str">
        <f>IFERROR(IF(VLOOKUP(A40,TableHandbook[],6,FALSE)=0,"",VLOOKUP(A40,TableHandbook[],6,FALSE)),"")</f>
        <v>Nil</v>
      </c>
      <c r="G40" s="332">
        <f>IFERROR(IF(VLOOKUP(A40,TableHandbook[],5,FALSE)=0,"",VLOOKUP(A40,TableHandbook[],5,FALSE)),"")</f>
        <v>25</v>
      </c>
      <c r="H40" s="333" t="str">
        <f>IFERROR(VLOOKUP($A40,TableHandbook[],H$2,FALSE),"")</f>
        <v/>
      </c>
      <c r="I40" s="334" t="str">
        <f>IFERROR(VLOOKUP($A40,TableHandbook[],I$2,FALSE),"")</f>
        <v/>
      </c>
      <c r="J40" s="334" t="str">
        <f>IFERROR(VLOOKUP($A40,TableHandbook[],J$2,FALSE),"")</f>
        <v/>
      </c>
      <c r="K40" s="335" t="str">
        <f>IFERROR(VLOOKUP($A40,TableHandbook[],K$2,FALSE),"")</f>
        <v>Y</v>
      </c>
      <c r="L40" s="165"/>
      <c r="M40" s="268">
        <v>7</v>
      </c>
    </row>
    <row r="41" spans="1:15" x14ac:dyDescent="0.25">
      <c r="A41" s="329" t="str">
        <f t="shared" si="2"/>
        <v>WORK5001</v>
      </c>
      <c r="B41" s="330">
        <f>IFERROR(IF(VLOOKUP(A41,TableHandbook[],2,FALSE)=0,"",VLOOKUP(A41,TableHandbook[],2,FALSE)),"")</f>
        <v>1</v>
      </c>
      <c r="C41" s="330" t="str">
        <f>IFERROR(IF(VLOOKUP(A41,TableHandbook[],3,FALSE)=0,"",VLOOKUP(A41,TableHandbook[],3,FALSE)),"")</f>
        <v>WBP500</v>
      </c>
      <c r="D41" s="331" t="str">
        <f>IFERROR(VLOOKUP(A41,TableHandbook[],4,FALSE),"")</f>
        <v>Work Based Project (with approval)</v>
      </c>
      <c r="E41" s="332"/>
      <c r="F41" s="332" t="str">
        <f>IFERROR(IF(VLOOKUP(A41,TableHandbook[],6,FALSE)=0,"",VLOOKUP(A41,TableHandbook[],6,FALSE)),"")</f>
        <v>See OUA Website</v>
      </c>
      <c r="G41" s="332">
        <f>IFERROR(IF(VLOOKUP(A41,TableHandbook[],5,FALSE)=0,"",VLOOKUP(A41,TableHandbook[],5,FALSE)),"")</f>
        <v>25</v>
      </c>
      <c r="H41" s="333" t="str">
        <f>IFERROR(VLOOKUP($A41,TableHandbook[],H$2,FALSE),"")</f>
        <v/>
      </c>
      <c r="I41" s="334" t="str">
        <f>IFERROR(VLOOKUP($A41,TableHandbook[],I$2,FALSE),"")</f>
        <v/>
      </c>
      <c r="J41" s="334" t="str">
        <f>IFERROR(VLOOKUP($A41,TableHandbook[],J$2,FALSE),"")</f>
        <v/>
      </c>
      <c r="K41" s="335" t="str">
        <f>IFERROR(VLOOKUP($A41,TableHandbook[],K$2,FALSE),"")</f>
        <v/>
      </c>
      <c r="L41" s="165"/>
      <c r="M41" s="268">
        <v>8</v>
      </c>
    </row>
    <row r="42" spans="1:15" ht="21" customHeight="1" x14ac:dyDescent="0.25">
      <c r="A42" s="336"/>
      <c r="B42" s="336"/>
      <c r="C42" s="336"/>
      <c r="D42" s="337"/>
      <c r="E42" s="338"/>
      <c r="F42" s="338"/>
      <c r="G42" s="338"/>
      <c r="H42" s="338"/>
      <c r="I42" s="338"/>
      <c r="J42" s="338"/>
      <c r="K42" s="338"/>
      <c r="L42" s="339"/>
      <c r="M42" s="340"/>
    </row>
    <row r="43" spans="1:15" ht="32.25" customHeight="1" x14ac:dyDescent="0.25">
      <c r="A43" s="341" t="s">
        <v>29</v>
      </c>
      <c r="B43" s="341"/>
      <c r="C43" s="341"/>
      <c r="D43" s="341"/>
      <c r="E43" s="341"/>
      <c r="F43" s="341"/>
      <c r="G43" s="341"/>
      <c r="H43" s="341"/>
      <c r="I43" s="341"/>
      <c r="J43" s="341"/>
      <c r="K43" s="341"/>
      <c r="L43" s="341"/>
      <c r="M43" s="340"/>
    </row>
    <row r="44" spans="1:15" s="343" customFormat="1" ht="24.95" customHeight="1" x14ac:dyDescent="0.3">
      <c r="A44" s="73" t="s">
        <v>30</v>
      </c>
      <c r="B44" s="73"/>
      <c r="C44" s="73"/>
      <c r="D44" s="74"/>
      <c r="E44" s="74"/>
      <c r="F44" s="74"/>
      <c r="G44" s="74"/>
      <c r="H44" s="74"/>
      <c r="I44" s="74"/>
      <c r="J44" s="74"/>
      <c r="K44" s="74"/>
      <c r="L44" s="74"/>
      <c r="M44" s="342"/>
      <c r="N44" s="342"/>
      <c r="O44" s="342"/>
    </row>
    <row r="45" spans="1:15" ht="15" customHeight="1" x14ac:dyDescent="0.25">
      <c r="A45" s="344" t="s">
        <v>31</v>
      </c>
      <c r="B45" s="344"/>
      <c r="C45" s="344"/>
      <c r="D45" s="344"/>
      <c r="E45" s="345"/>
      <c r="F45" s="308"/>
      <c r="G45" s="346"/>
      <c r="H45" s="346"/>
      <c r="I45" s="346"/>
      <c r="J45" s="346"/>
      <c r="K45" s="346"/>
      <c r="L45" s="346" t="s">
        <v>32</v>
      </c>
    </row>
  </sheetData>
  <sheetProtection algorithmName="SHA-512" hashValue="Bu1i/cYu/vMaLAZbXYAm879wScOFK5EjQy1rr55/AocH/XMG2xddMmUauyrAXDaMkzRd3FKsaSZ6kpgpeMQcOA==" saltValue="ZBDQgHnzKVt06PZKdwpE2g==" spinCount="100000" sheet="1" objects="1" scenarios="1" formatCells="0"/>
  <mergeCells count="2">
    <mergeCell ref="A3:D3"/>
    <mergeCell ref="A43:L43"/>
  </mergeCells>
  <conditionalFormatting sqref="A9:L19 A21:L31 A35:L41">
    <cfRule type="expression" dxfId="21" priority="2">
      <formula>$A9=""</formula>
    </cfRule>
  </conditionalFormatting>
  <conditionalFormatting sqref="D5:D6">
    <cfRule type="containsText" dxfId="20" priority="7" operator="containsText" text="Choose">
      <formula>NOT(ISERROR(SEARCH("Choose",D5)))</formula>
    </cfRule>
  </conditionalFormatting>
  <conditionalFormatting sqref="H9:K19 H21:K31">
    <cfRule type="expression" dxfId="19"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6"/>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6.7109375" style="24"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37"/>
      <c r="B2" s="138">
        <v>2</v>
      </c>
      <c r="C2" s="138">
        <v>3</v>
      </c>
      <c r="D2" s="138">
        <v>4</v>
      </c>
      <c r="E2" s="138"/>
      <c r="F2" s="138">
        <v>6</v>
      </c>
      <c r="G2" s="138">
        <v>5</v>
      </c>
      <c r="H2" s="138">
        <v>7</v>
      </c>
      <c r="I2" s="138">
        <v>8</v>
      </c>
      <c r="J2" s="138">
        <v>9</v>
      </c>
      <c r="K2" s="138">
        <v>10</v>
      </c>
      <c r="L2" s="139"/>
    </row>
    <row r="3" spans="1:23" ht="39.950000000000003" customHeight="1" x14ac:dyDescent="0.25">
      <c r="A3" s="220" t="s">
        <v>8</v>
      </c>
      <c r="B3" s="220"/>
      <c r="C3" s="220"/>
      <c r="D3" s="220"/>
      <c r="E3" s="84"/>
      <c r="F3" s="84"/>
      <c r="G3" s="84"/>
      <c r="H3" s="84"/>
      <c r="I3" s="84"/>
      <c r="J3" s="84"/>
      <c r="K3" s="84"/>
      <c r="L3" s="84"/>
    </row>
    <row r="4" spans="1:23" ht="26.25" x14ac:dyDescent="0.25">
      <c r="A4" s="200"/>
      <c r="B4" s="201"/>
      <c r="C4" s="201"/>
      <c r="D4" s="203"/>
      <c r="E4" s="199" t="s">
        <v>9</v>
      </c>
      <c r="F4" s="198"/>
      <c r="G4" s="202"/>
      <c r="H4" s="202"/>
      <c r="I4" s="202"/>
      <c r="J4" s="202"/>
      <c r="K4" s="202"/>
      <c r="L4" s="202"/>
    </row>
    <row r="5" spans="1:23" ht="20.100000000000001" customHeight="1" x14ac:dyDescent="0.25">
      <c r="B5" s="85"/>
      <c r="C5" s="86" t="s">
        <v>10</v>
      </c>
      <c r="D5" s="79" t="s">
        <v>33</v>
      </c>
      <c r="E5" s="87"/>
      <c r="F5" s="86" t="s">
        <v>12</v>
      </c>
      <c r="G5" s="87" t="str">
        <f>IFERROR(CONCATENATE(VLOOKUP(D5,TableCourses[],2,FALSE)," ",VLOOKUP(D5,TableCourses[],3,FALSE)),"")</f>
        <v>OG-ENVCLM v.1</v>
      </c>
      <c r="H5" s="87"/>
      <c r="I5" s="87"/>
      <c r="J5" s="87"/>
      <c r="K5" s="87"/>
      <c r="L5" s="152"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200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66" t="s">
        <v>22</v>
      </c>
      <c r="I8" s="167" t="s">
        <v>23</v>
      </c>
      <c r="J8" s="167" t="s">
        <v>24</v>
      </c>
      <c r="K8" s="168"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69" t="str">
        <f>IFERROR(VLOOKUP($A9,TableHandbook[],H$2,FALSE),"")</f>
        <v/>
      </c>
      <c r="I9" s="170" t="str">
        <f>IFERROR(VLOOKUP($A9,TableHandbook[],I$2,FALSE),"")</f>
        <v/>
      </c>
      <c r="J9" s="170" t="str">
        <f>IFERROR(VLOOKUP($A9,TableHandbook[],J$2,FALSE),"")</f>
        <v/>
      </c>
      <c r="K9" s="171" t="str">
        <f>IFERROR(VLOOKUP($A9,TableHandbook[],K$2,FALSE),"")</f>
        <v/>
      </c>
      <c r="L9" s="161"/>
      <c r="M9" s="150">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IF(A10="","",E9)</f>
        <v/>
      </c>
      <c r="F10" s="110" t="str">
        <f>IFERROR(IF(VLOOKUP(A10,TableHandbook[],6,FALSE)=0,"",VLOOKUP(A10,TableHandbook[],6,FALSE)),"")</f>
        <v/>
      </c>
      <c r="G10" s="108" t="str">
        <f>IFERROR(IF(VLOOKUP(A10,TableHandbook[],5,FALSE)=0,"",VLOOKUP(A10,TableHandbook[],5,FALSE)),"")</f>
        <v/>
      </c>
      <c r="H10" s="172" t="str">
        <f>IFERROR(VLOOKUP($A10,TableHandbook[],H$2,FALSE),"")</f>
        <v/>
      </c>
      <c r="I10" s="173" t="str">
        <f>IFERROR(VLOOKUP($A10,TableHandbook[],I$2,FALSE),"")</f>
        <v/>
      </c>
      <c r="J10" s="173" t="str">
        <f>IFERROR(VLOOKUP($A10,TableHandbook[],J$2,FALSE),"")</f>
        <v/>
      </c>
      <c r="K10" s="174" t="str">
        <f>IFERROR(VLOOKUP($A10,TableHandbook[],K$2,FALSE),"")</f>
        <v/>
      </c>
      <c r="L10" s="162"/>
      <c r="M10" s="150">
        <v>3</v>
      </c>
      <c r="N10" s="106"/>
      <c r="O10" s="106"/>
      <c r="W10" s="29"/>
    </row>
    <row r="11" spans="1:23" s="30" customFormat="1" ht="4.5" customHeight="1" x14ac:dyDescent="0.15">
      <c r="A11" s="144"/>
      <c r="B11" s="145"/>
      <c r="C11" s="145" t="str">
        <f>IFERROR(IF(VLOOKUP(A11,TableHandbook[],3,FALSE)=0,"",VLOOKUP(A11,TableHandbook[],3,FALSE)),"")</f>
        <v/>
      </c>
      <c r="D11" s="146"/>
      <c r="E11" s="145"/>
      <c r="F11" s="147"/>
      <c r="G11" s="145"/>
      <c r="H11" s="175"/>
      <c r="I11" s="176"/>
      <c r="J11" s="176"/>
      <c r="K11" s="177"/>
      <c r="L11" s="148"/>
      <c r="M11" s="150"/>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69" t="str">
        <f>IFERROR(VLOOKUP($A12,TableHandbook[],H$2,FALSE),"")</f>
        <v/>
      </c>
      <c r="I12" s="170" t="str">
        <f>IFERROR(VLOOKUP($A12,TableHandbook[],I$2,FALSE),"")</f>
        <v/>
      </c>
      <c r="J12" s="170" t="str">
        <f>IFERROR(VLOOKUP($A12,TableHandbook[],J$2,FALSE),"")</f>
        <v/>
      </c>
      <c r="K12" s="171" t="str">
        <f>IFERROR(VLOOKUP($A12,TableHandbook[],K$2,FALSE),"")</f>
        <v/>
      </c>
      <c r="L12" s="163"/>
      <c r="M12" s="150">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IF(A13="","",E12)</f>
        <v/>
      </c>
      <c r="F13" s="110" t="str">
        <f>IFERROR(IF(VLOOKUP(A13,TableHandbook[],6,FALSE)=0,"",VLOOKUP(A13,TableHandbook[],6,FALSE)),"")</f>
        <v/>
      </c>
      <c r="G13" s="108" t="str">
        <f>IFERROR(IF(VLOOKUP(A13,TableHandbook[],5,FALSE)=0,"",VLOOKUP(A13,TableHandbook[],5,FALSE)),"")</f>
        <v/>
      </c>
      <c r="H13" s="172" t="str">
        <f>IFERROR(VLOOKUP($A13,TableHandbook[],H$2,FALSE),"")</f>
        <v/>
      </c>
      <c r="I13" s="173" t="str">
        <f>IFERROR(VLOOKUP($A13,TableHandbook[],I$2,FALSE),"")</f>
        <v/>
      </c>
      <c r="J13" s="173" t="str">
        <f>IFERROR(VLOOKUP($A13,TableHandbook[],J$2,FALSE),"")</f>
        <v/>
      </c>
      <c r="K13" s="174" t="str">
        <f>IFERROR(VLOOKUP($A13,TableHandbook[],K$2,FALSE),"")</f>
        <v/>
      </c>
      <c r="L13" s="162"/>
      <c r="M13" s="150">
        <v>5</v>
      </c>
      <c r="N13" s="106"/>
      <c r="O13" s="106"/>
      <c r="W13" s="29"/>
    </row>
    <row r="14" spans="1:23" s="30" customFormat="1" ht="4.5" customHeight="1" x14ac:dyDescent="0.15">
      <c r="A14" s="144"/>
      <c r="B14" s="145"/>
      <c r="C14" s="145" t="str">
        <f>IFERROR(IF(VLOOKUP(A14,TableHandbook[],3,FALSE)=0,"",VLOOKUP(A14,TableHandbook[],3,FALSE)),"")</f>
        <v/>
      </c>
      <c r="D14" s="146"/>
      <c r="E14" s="145"/>
      <c r="F14" s="147"/>
      <c r="G14" s="145"/>
      <c r="H14" s="175"/>
      <c r="I14" s="176"/>
      <c r="J14" s="176"/>
      <c r="K14" s="177"/>
      <c r="L14" s="148"/>
      <c r="M14" s="150"/>
      <c r="N14" s="106"/>
      <c r="O14" s="106"/>
      <c r="P14" s="106"/>
      <c r="W14" s="29"/>
    </row>
    <row r="15" spans="1:23" s="30" customFormat="1" ht="21" customHeight="1" x14ac:dyDescent="0.15">
      <c r="A15" s="101" t="str">
        <f>IFERROR(IF(HLOOKUP($L$5,Unitsets!$C$3:$Z$19,M15,FALSE)=0,"",HLOOKUP($L$5,Unitsets!$C$3:$Z$19,M15,FALSE)),"")</f>
        <v/>
      </c>
      <c r="B15" s="111" t="str">
        <f>IFERROR(IF(VLOOKUP(A15,TableHandbook[],2,FALSE)=0,"",VLOOKUP(A15,TableHandbook[],2,FALSE)),"")</f>
        <v/>
      </c>
      <c r="C15" s="111" t="str">
        <f>IFERROR(IF(VLOOKUP(A15,TableHandbook[],3,FALSE)=0,"",VLOOKUP(A15,TableHandbook[],3,FALSE)),"")</f>
        <v/>
      </c>
      <c r="D15" s="103" t="str">
        <f>IFERROR(VLOOKUP(A15,TableHandbook[],4,FALSE),"")</f>
        <v/>
      </c>
      <c r="E15" s="102" t="str">
        <f>IF(A15="","",VLOOKUP($D$6,TableStudyPeriods[],4,FALSE))</f>
        <v/>
      </c>
      <c r="F15" s="104" t="str">
        <f>IFERROR(IF(VLOOKUP(A15,TableHandbook[],6,FALSE)=0,"",VLOOKUP(A15,TableHandbook[],6,FALSE)),"")</f>
        <v/>
      </c>
      <c r="G15" s="111" t="str">
        <f>IFERROR(IF(VLOOKUP(A15,TableHandbook[],5,FALSE)=0,"",VLOOKUP(A15,TableHandbook[],5,FALSE)),"")</f>
        <v/>
      </c>
      <c r="H15" s="178" t="str">
        <f>IFERROR(VLOOKUP($A15,TableHandbook[],H$2,FALSE),"")</f>
        <v/>
      </c>
      <c r="I15" s="179" t="str">
        <f>IFERROR(VLOOKUP($A15,TableHandbook[],I$2,FALSE),"")</f>
        <v/>
      </c>
      <c r="J15" s="179" t="str">
        <f>IFERROR(VLOOKUP($A15,TableHandbook[],J$2,FALSE),"")</f>
        <v/>
      </c>
      <c r="K15" s="180" t="str">
        <f>IFERROR(VLOOKUP($A15,TableHandbook[],K$2,FALSE),"")</f>
        <v/>
      </c>
      <c r="L15" s="163"/>
      <c r="M15" s="150">
        <v>6</v>
      </c>
      <c r="N15" s="106"/>
      <c r="O15" s="106"/>
      <c r="W15" s="29"/>
    </row>
    <row r="16" spans="1:23" s="32" customFormat="1" ht="21" customHeight="1" x14ac:dyDescent="0.15">
      <c r="A16" s="107" t="str">
        <f>IFERROR(IF(HLOOKUP($L$5,Unitsets!$C$3:$Z$19,M16,FALSE)=0,"",HLOOKUP($L$5,Unitsets!$C$3:$Z$19,M16,FALSE)),"")</f>
        <v/>
      </c>
      <c r="B16" s="112" t="str">
        <f>IFERROR(IF(VLOOKUP(A16,TableHandbook[],2,FALSE)=0,"",VLOOKUP(A16,TableHandbook[],2,FALSE)),"")</f>
        <v/>
      </c>
      <c r="C16" s="112" t="str">
        <f>IFERROR(IF(VLOOKUP(A16,TableHandbook[],3,FALSE)=0,"",VLOOKUP(A16,TableHandbook[],3,FALSE)),"")</f>
        <v/>
      </c>
      <c r="D16" s="109" t="str">
        <f>IFERROR(VLOOKUP(A16,TableHandbook[],4,FALSE),"")</f>
        <v/>
      </c>
      <c r="E16" s="108" t="str">
        <f>IF(A16="","",E15)</f>
        <v/>
      </c>
      <c r="F16" s="110" t="str">
        <f>IFERROR(IF(VLOOKUP(A16,TableHandbook[],6,FALSE)=0,"",VLOOKUP(A16,TableHandbook[],6,FALSE)),"")</f>
        <v/>
      </c>
      <c r="G16" s="112" t="str">
        <f>IFERROR(IF(VLOOKUP(A16,TableHandbook[],5,FALSE)=0,"",VLOOKUP(A16,TableHandbook[],5,FALSE)),"")</f>
        <v/>
      </c>
      <c r="H16" s="181" t="str">
        <f>IFERROR(VLOOKUP($A16,TableHandbook[],H$2,FALSE),"")</f>
        <v/>
      </c>
      <c r="I16" s="182" t="str">
        <f>IFERROR(VLOOKUP($A16,TableHandbook[],I$2,FALSE),"")</f>
        <v/>
      </c>
      <c r="J16" s="182" t="str">
        <f>IFERROR(VLOOKUP($A16,TableHandbook[],J$2,FALSE),"")</f>
        <v/>
      </c>
      <c r="K16" s="183" t="str">
        <f>IFERROR(VLOOKUP($A16,TableHandbook[],K$2,FALSE),"")</f>
        <v/>
      </c>
      <c r="L16" s="164"/>
      <c r="M16" s="150">
        <v>7</v>
      </c>
      <c r="N16" s="113"/>
      <c r="O16" s="113"/>
      <c r="W16" s="31"/>
    </row>
    <row r="17" spans="1:23" s="30" customFormat="1" ht="4.5" customHeight="1" x14ac:dyDescent="0.15">
      <c r="A17" s="144"/>
      <c r="B17" s="145"/>
      <c r="C17" s="145" t="str">
        <f>IFERROR(IF(VLOOKUP(A17,TableHandbook[],3,FALSE)=0,"",VLOOKUP(A17,TableHandbook[],3,FALSE)),"")</f>
        <v/>
      </c>
      <c r="D17" s="146"/>
      <c r="E17" s="145"/>
      <c r="F17" s="147"/>
      <c r="G17" s="145"/>
      <c r="H17" s="175"/>
      <c r="I17" s="176"/>
      <c r="J17" s="176"/>
      <c r="K17" s="177"/>
      <c r="L17" s="148"/>
      <c r="M17" s="150"/>
      <c r="N17" s="106"/>
      <c r="O17" s="106"/>
      <c r="P17" s="106"/>
      <c r="W17" s="29"/>
    </row>
    <row r="18" spans="1:23" s="32" customFormat="1" ht="21" customHeight="1" x14ac:dyDescent="0.15">
      <c r="A18" s="101" t="str">
        <f>IFERROR(IF(HLOOKUP($L$5,Unitsets!$C$3:$Z$19,M18,FALSE)=0,"",HLOOKUP($L$5,Unitsets!$C$3:$Z$19,M18,FALSE)),"")</f>
        <v/>
      </c>
      <c r="B18" s="111" t="str">
        <f>IFERROR(IF(VLOOKUP(A18,TableHandbook[],2,FALSE)=0,"",VLOOKUP(A18,TableHandbook[],2,FALSE)),"")</f>
        <v/>
      </c>
      <c r="C18" s="111" t="str">
        <f>IFERROR(IF(VLOOKUP(A18,TableHandbook[],3,FALSE)=0,"",VLOOKUP(A18,TableHandbook[],3,FALSE)),"")</f>
        <v/>
      </c>
      <c r="D18" s="103" t="str">
        <f>IFERROR(VLOOKUP(A18,TableHandbook[],4,FALSE),"")</f>
        <v/>
      </c>
      <c r="E18" s="102" t="str">
        <f>IF(A18="","",VLOOKUP($D$6,TableStudyPeriods[],5,FALSE))</f>
        <v/>
      </c>
      <c r="F18" s="104" t="str">
        <f>IFERROR(IF(VLOOKUP(A18,TableHandbook[],6,FALSE)=0,"",VLOOKUP(A18,TableHandbook[],6,FALSE)),"")</f>
        <v/>
      </c>
      <c r="G18" s="111" t="str">
        <f>IFERROR(IF(VLOOKUP(A18,TableHandbook[],5,FALSE)=0,"",VLOOKUP(A18,TableHandbook[],5,FALSE)),"")</f>
        <v/>
      </c>
      <c r="H18" s="178" t="str">
        <f>IFERROR(VLOOKUP($A18,TableHandbook[],H$2,FALSE),"")</f>
        <v/>
      </c>
      <c r="I18" s="179" t="str">
        <f>IFERROR(VLOOKUP($A18,TableHandbook[],I$2,FALSE),"")</f>
        <v/>
      </c>
      <c r="J18" s="179" t="str">
        <f>IFERROR(VLOOKUP($A18,TableHandbook[],J$2,FALSE),"")</f>
        <v/>
      </c>
      <c r="K18" s="180" t="str">
        <f>IFERROR(VLOOKUP($A18,TableHandbook[],K$2,FALSE),"")</f>
        <v/>
      </c>
      <c r="L18" s="163"/>
      <c r="M18" s="150">
        <v>8</v>
      </c>
      <c r="N18" s="113"/>
      <c r="O18" s="113"/>
      <c r="W18" s="31"/>
    </row>
    <row r="19" spans="1:23" s="32" customFormat="1" ht="21" customHeight="1" x14ac:dyDescent="0.15">
      <c r="A19" s="107" t="str">
        <f>IFERROR(IF(HLOOKUP($L$5,Unitsets!$C$3:$Z$19,M19,FALSE)=0,"",HLOOKUP($L$5,Unitsets!$C$3:$Z$19,M19,FALSE)),"")</f>
        <v/>
      </c>
      <c r="B19" s="112" t="str">
        <f>IFERROR(IF(VLOOKUP(A19,TableHandbook[],2,FALSE)=0,"",VLOOKUP(A19,TableHandbook[],2,FALSE)),"")</f>
        <v/>
      </c>
      <c r="C19" s="112" t="str">
        <f>IFERROR(IF(VLOOKUP(A19,TableHandbook[],3,FALSE)=0,"",VLOOKUP(A19,TableHandbook[],3,FALSE)),"")</f>
        <v/>
      </c>
      <c r="D19" s="114" t="str">
        <f>IFERROR(VLOOKUP(A19,TableHandbook[],4,FALSE),"")</f>
        <v/>
      </c>
      <c r="E19" s="112" t="str">
        <f>IF(A19="","",E18)</f>
        <v/>
      </c>
      <c r="F19" s="110" t="str">
        <f>IFERROR(IF(VLOOKUP(A19,TableHandbook[],6,FALSE)=0,"",VLOOKUP(A19,TableHandbook[],6,FALSE)),"")</f>
        <v/>
      </c>
      <c r="G19" s="112" t="str">
        <f>IFERROR(IF(VLOOKUP(A19,TableHandbook[],5,FALSE)=0,"",VLOOKUP(A19,TableHandbook[],5,FALSE)),"")</f>
        <v/>
      </c>
      <c r="H19" s="178" t="str">
        <f>IFERROR(VLOOKUP($A19,TableHandbook[],H$2,FALSE),"")</f>
        <v/>
      </c>
      <c r="I19" s="179" t="str">
        <f>IFERROR(VLOOKUP($A19,TableHandbook[],I$2,FALSE),"")</f>
        <v/>
      </c>
      <c r="J19" s="179" t="str">
        <f>IFERROR(VLOOKUP($A19,TableHandbook[],J$2,FALSE),"")</f>
        <v/>
      </c>
      <c r="K19" s="180" t="str">
        <f>IFERROR(VLOOKUP($A19,TableHandbook[],K$2,FALSE),"")</f>
        <v/>
      </c>
      <c r="L19" s="163"/>
      <c r="M19" s="150">
        <v>9</v>
      </c>
      <c r="N19" s="113"/>
      <c r="O19" s="113"/>
      <c r="W19" s="31"/>
    </row>
    <row r="20" spans="1:23" s="36" customFormat="1" ht="13.9" customHeight="1" x14ac:dyDescent="0.2">
      <c r="A20" s="115"/>
      <c r="B20" s="115"/>
      <c r="C20" s="115"/>
      <c r="D20" s="116"/>
      <c r="E20" s="116"/>
      <c r="F20" s="117"/>
      <c r="G20" s="117"/>
      <c r="H20" s="117"/>
      <c r="I20" s="117"/>
      <c r="J20" s="117"/>
      <c r="K20" s="117"/>
      <c r="L20" s="117"/>
      <c r="M20" s="151"/>
      <c r="N20" s="118"/>
      <c r="O20" s="118"/>
      <c r="W20" s="35"/>
    </row>
    <row r="21" spans="1:23" ht="25.5" x14ac:dyDescent="0.25">
      <c r="A21" s="160" t="s">
        <v>28</v>
      </c>
      <c r="B21" s="120"/>
      <c r="C21" s="120"/>
      <c r="D21" s="121"/>
      <c r="E21" s="122"/>
      <c r="F21" s="122"/>
      <c r="G21" s="122"/>
      <c r="H21" s="123" t="str">
        <f>H7</f>
        <v>2026 Availabilities</v>
      </c>
      <c r="I21" s="124"/>
      <c r="J21" s="119"/>
      <c r="K21" s="125"/>
      <c r="L21" s="126" t="str">
        <f>VLOOKUP(D5,TableCourses[],2,FALSE)</f>
        <v>OG-ENVCLM</v>
      </c>
      <c r="M21" s="149"/>
      <c r="W21" s="26"/>
    </row>
    <row r="22" spans="1:23" s="38" customFormat="1" x14ac:dyDescent="0.2">
      <c r="A22" s="92"/>
      <c r="B22" s="92"/>
      <c r="C22" s="92" t="s">
        <v>18</v>
      </c>
      <c r="D22" s="127" t="s">
        <v>3</v>
      </c>
      <c r="E22" s="92"/>
      <c r="F22" s="92" t="s">
        <v>20</v>
      </c>
      <c r="G22" s="92" t="s">
        <v>21</v>
      </c>
      <c r="H22" s="184" t="str">
        <f>H8</f>
        <v>SP1</v>
      </c>
      <c r="I22" s="185" t="str">
        <f t="shared" ref="I22:L22" si="0">I8</f>
        <v>SP2</v>
      </c>
      <c r="J22" s="185" t="str">
        <f t="shared" si="0"/>
        <v>SP3</v>
      </c>
      <c r="K22" s="186" t="str">
        <f t="shared" si="0"/>
        <v>SP4</v>
      </c>
      <c r="L22" s="128" t="str">
        <f t="shared" si="0"/>
        <v>Notes / Progress</v>
      </c>
      <c r="M22" s="149"/>
      <c r="W22" s="37"/>
    </row>
    <row r="23" spans="1:23" x14ac:dyDescent="0.25">
      <c r="A23" s="129" t="str">
        <f t="shared" ref="A23:A32" si="1">IFERROR(IF(HLOOKUP($L$21,RangeOptions,$M23,FALSE)=0,"",HLOOKUP($L$21,RangeOptions,$M23,FALSE)),"")</f>
        <v>URDE6007</v>
      </c>
      <c r="B23" s="130">
        <f>IFERROR(IF(VLOOKUP(A23,TableHandbook[],2,FALSE)=0,"",VLOOKUP(A23,TableHandbook[],2,FALSE)),"")</f>
        <v>1</v>
      </c>
      <c r="C23" s="130" t="str">
        <f>IFERROR(IF(VLOOKUP(A23,TableHandbook[],3,FALSE)=0,"",VLOOKUP(A23,TableHandbook[],3,FALSE)),"")</f>
        <v>DBE600</v>
      </c>
      <c r="D23" s="131" t="str">
        <f>IFERROR(VLOOKUP(A23,TableHandbook[],4,FALSE),"")</f>
        <v>Design and Built Environment Research Methods</v>
      </c>
      <c r="E23" s="132"/>
      <c r="F23" s="132" t="str">
        <f>IFERROR(IF(VLOOKUP(A23,TableHandbook[],6,FALSE)=0,"",VLOOKUP(A23,TableHandbook[],6,FALSE)),"")</f>
        <v>Nil</v>
      </c>
      <c r="G23" s="132">
        <f>IFERROR(IF(VLOOKUP(A23,TableHandbook[],5,FALSE)=0,"",VLOOKUP(A23,TableHandbook[],5,FALSE)),"")</f>
        <v>25</v>
      </c>
      <c r="H23" s="187" t="str">
        <f>IFERROR(VLOOKUP($A23,TableHandbook[],H$2,FALSE),"")</f>
        <v>Y</v>
      </c>
      <c r="I23" s="188" t="str">
        <f>IFERROR(VLOOKUP($A23,TableHandbook[],I$2,FALSE),"")</f>
        <v/>
      </c>
      <c r="J23" s="188" t="str">
        <f>IFERROR(VLOOKUP($A23,TableHandbook[],J$2,FALSE),"")</f>
        <v>Y</v>
      </c>
      <c r="K23" s="189" t="str">
        <f>IFERROR(VLOOKUP($A23,TableHandbook[],K$2,FALSE),"")</f>
        <v/>
      </c>
      <c r="L23" s="165"/>
      <c r="M23" s="150">
        <v>2</v>
      </c>
      <c r="W23" s="26"/>
    </row>
    <row r="24" spans="1:23" x14ac:dyDescent="0.25">
      <c r="A24" s="129" t="str">
        <f t="shared" si="1"/>
        <v>PRJM6013</v>
      </c>
      <c r="B24" s="130">
        <f>IFERROR(IF(VLOOKUP(A24,TableHandbook[],2,FALSE)=0,"",VLOOKUP(A24,TableHandbook[],2,FALSE)),"")</f>
        <v>2</v>
      </c>
      <c r="C24" s="130" t="str">
        <f>IFERROR(IF(VLOOKUP(A24,TableHandbook[],3,FALSE)=0,"",VLOOKUP(A24,TableHandbook[],3,FALSE)),"")</f>
        <v>PRM500</v>
      </c>
      <c r="D24" s="131" t="str">
        <f>IFERROR(VLOOKUP(A24,TableHandbook[],4,FALSE),"")</f>
        <v>Project Management Overview</v>
      </c>
      <c r="E24" s="132"/>
      <c r="F24" s="132" t="str">
        <f>IFERROR(IF(VLOOKUP(A24,TableHandbook[],6,FALSE)=0,"",VLOOKUP(A24,TableHandbook[],6,FALSE)),"")</f>
        <v>Nil</v>
      </c>
      <c r="G24" s="132">
        <f>IFERROR(IF(VLOOKUP(A24,TableHandbook[],5,FALSE)=0,"",VLOOKUP(A24,TableHandbook[],5,FALSE)),"")</f>
        <v>25</v>
      </c>
      <c r="H24" s="187" t="str">
        <f>IFERROR(VLOOKUP($A24,TableHandbook[],H$2,FALSE),"")</f>
        <v>Y</v>
      </c>
      <c r="I24" s="188" t="str">
        <f>IFERROR(VLOOKUP($A24,TableHandbook[],I$2,FALSE),"")</f>
        <v/>
      </c>
      <c r="J24" s="188" t="str">
        <f>IFERROR(VLOOKUP($A24,TableHandbook[],J$2,FALSE),"")</f>
        <v>Y</v>
      </c>
      <c r="K24" s="189" t="str">
        <f>IFERROR(VLOOKUP($A24,TableHandbook[],K$2,FALSE),"")</f>
        <v/>
      </c>
      <c r="L24" s="165"/>
      <c r="M24" s="150">
        <v>3</v>
      </c>
      <c r="W24" s="26"/>
    </row>
    <row r="25" spans="1:23" x14ac:dyDescent="0.25">
      <c r="A25" s="129" t="str">
        <f t="shared" si="1"/>
        <v>PRJM6015</v>
      </c>
      <c r="B25" s="130">
        <f>IFERROR(IF(VLOOKUP(A25,TableHandbook[],2,FALSE)=0,"",VLOOKUP(A25,TableHandbook[],2,FALSE)),"")</f>
        <v>1</v>
      </c>
      <c r="C25" s="130" t="str">
        <f>IFERROR(IF(VLOOKUP(A25,TableHandbook[],3,FALSE)=0,"",VLOOKUP(A25,TableHandbook[],3,FALSE)),"")</f>
        <v>PRM510</v>
      </c>
      <c r="D25" s="131" t="str">
        <f>IFERROR(VLOOKUP(A25,TableHandbook[],4,FALSE),"")</f>
        <v>Project and People</v>
      </c>
      <c r="E25" s="132"/>
      <c r="F25" s="132" t="str">
        <f>IFERROR(IF(VLOOKUP(A25,TableHandbook[],6,FALSE)=0,"",VLOOKUP(A25,TableHandbook[],6,FALSE)),"")</f>
        <v>Nil</v>
      </c>
      <c r="G25" s="132">
        <f>IFERROR(IF(VLOOKUP(A25,TableHandbook[],5,FALSE)=0,"",VLOOKUP(A25,TableHandbook[],5,FALSE)),"")</f>
        <v>25</v>
      </c>
      <c r="H25" s="187" t="str">
        <f>IFERROR(VLOOKUP($A25,TableHandbook[],H$2,FALSE),"")</f>
        <v/>
      </c>
      <c r="I25" s="188" t="str">
        <f>IFERROR(VLOOKUP($A25,TableHandbook[],I$2,FALSE),"")</f>
        <v>Y</v>
      </c>
      <c r="J25" s="188" t="str">
        <f>IFERROR(VLOOKUP($A25,TableHandbook[],J$2,FALSE),"")</f>
        <v/>
      </c>
      <c r="K25" s="189" t="str">
        <f>IFERROR(VLOOKUP($A25,TableHandbook[],K$2,FALSE),"")</f>
        <v>Y</v>
      </c>
      <c r="L25" s="165"/>
      <c r="M25" s="150">
        <v>4</v>
      </c>
      <c r="W25" s="26"/>
    </row>
    <row r="26" spans="1:23" x14ac:dyDescent="0.25">
      <c r="A26" s="129" t="str">
        <f t="shared" si="1"/>
        <v>SUST5014</v>
      </c>
      <c r="B26" s="130">
        <f>IFERROR(IF(VLOOKUP(A26,TableHandbook[],2,FALSE)=0,"",VLOOKUP(A26,TableHandbook[],2,FALSE)),"")</f>
        <v>1</v>
      </c>
      <c r="C26" s="130" t="str">
        <f>IFERROR(IF(VLOOKUP(A26,TableHandbook[],3,FALSE)=0,"",VLOOKUP(A26,TableHandbook[],3,FALSE)),"")</f>
        <v>SCP544</v>
      </c>
      <c r="D26" s="131" t="str">
        <f>IFERROR(VLOOKUP(A26,TableHandbook[],4,FALSE),"")</f>
        <v>Leadership in Sustainability</v>
      </c>
      <c r="E26" s="132"/>
      <c r="F26" s="132" t="str">
        <f>IFERROR(IF(VLOOKUP(A26,TableHandbook[],6,FALSE)=0,"",VLOOKUP(A26,TableHandbook[],6,FALSE)),"")</f>
        <v>Nil</v>
      </c>
      <c r="G26" s="132">
        <f>IFERROR(IF(VLOOKUP(A26,TableHandbook[],5,FALSE)=0,"",VLOOKUP(A26,TableHandbook[],5,FALSE)),"")</f>
        <v>25</v>
      </c>
      <c r="H26" s="187" t="str">
        <f>IFERROR(VLOOKUP($A26,TableHandbook[],H$2,FALSE),"")</f>
        <v/>
      </c>
      <c r="I26" s="188" t="str">
        <f>IFERROR(VLOOKUP($A26,TableHandbook[],I$2,FALSE),"")</f>
        <v>Y</v>
      </c>
      <c r="J26" s="188" t="str">
        <f>IFERROR(VLOOKUP($A26,TableHandbook[],J$2,FALSE),"")</f>
        <v/>
      </c>
      <c r="K26" s="189" t="str">
        <f>IFERROR(VLOOKUP($A26,TableHandbook[],K$2,FALSE),"")</f>
        <v/>
      </c>
      <c r="L26" s="165"/>
      <c r="M26" s="150">
        <v>5</v>
      </c>
      <c r="W26" s="26"/>
    </row>
    <row r="27" spans="1:23" x14ac:dyDescent="0.25">
      <c r="A27" s="129" t="str">
        <f t="shared" si="1"/>
        <v>SUST5021</v>
      </c>
      <c r="B27" s="130">
        <f>IFERROR(IF(VLOOKUP(A27,TableHandbook[],2,FALSE)=0,"",VLOOKUP(A27,TableHandbook[],2,FALSE)),"")</f>
        <v>1</v>
      </c>
      <c r="C27" s="130" t="str">
        <f>IFERROR(IF(VLOOKUP(A27,TableHandbook[],3,FALSE)=0,"",VLOOKUP(A27,TableHandbook[],3,FALSE)),"")</f>
        <v>SCP549</v>
      </c>
      <c r="D27" s="131" t="str">
        <f>IFERROR(VLOOKUP(A27,TableHandbook[],4,FALSE),"")</f>
        <v>Sustainability, Climate Change and Economics</v>
      </c>
      <c r="E27" s="132"/>
      <c r="F27" s="132" t="str">
        <f>IFERROR(IF(VLOOKUP(A27,TableHandbook[],6,FALSE)=0,"",VLOOKUP(A27,TableHandbook[],6,FALSE)),"")</f>
        <v>Nil</v>
      </c>
      <c r="G27" s="132">
        <f>IFERROR(IF(VLOOKUP(A27,TableHandbook[],5,FALSE)=0,"",VLOOKUP(A27,TableHandbook[],5,FALSE)),"")</f>
        <v>25</v>
      </c>
      <c r="H27" s="187" t="str">
        <f>IFERROR(VLOOKUP($A27,TableHandbook[],H$2,FALSE),"")</f>
        <v/>
      </c>
      <c r="I27" s="188" t="str">
        <f>IFERROR(VLOOKUP($A27,TableHandbook[],I$2,FALSE),"")</f>
        <v/>
      </c>
      <c r="J27" s="188" t="str">
        <f>IFERROR(VLOOKUP($A27,TableHandbook[],J$2,FALSE),"")</f>
        <v/>
      </c>
      <c r="K27" s="189" t="str">
        <f>IFERROR(VLOOKUP($A27,TableHandbook[],K$2,FALSE),"")</f>
        <v>Y</v>
      </c>
      <c r="L27" s="165"/>
      <c r="M27" s="150">
        <v>6</v>
      </c>
      <c r="W27" s="26"/>
    </row>
    <row r="28" spans="1:23" x14ac:dyDescent="0.25">
      <c r="A28" s="129" t="str">
        <f t="shared" si="1"/>
        <v>URDE5015</v>
      </c>
      <c r="B28" s="130">
        <f>IFERROR(IF(VLOOKUP(A28,TableHandbook[],2,FALSE)=0,"",VLOOKUP(A28,TableHandbook[],2,FALSE)),"")</f>
        <v>3</v>
      </c>
      <c r="C28" s="130" t="str">
        <f>IFERROR(IF(VLOOKUP(A28,TableHandbook[],3,FALSE)=0,"",VLOOKUP(A28,TableHandbook[],3,FALSE)),"")</f>
        <v>URP530</v>
      </c>
      <c r="D28" s="131" t="str">
        <f>IFERROR(VLOOKUP(A28,TableHandbook[],4,FALSE),"")</f>
        <v>Planning Theory and Context</v>
      </c>
      <c r="E28" s="132"/>
      <c r="F28" s="132" t="str">
        <f>IFERROR(IF(VLOOKUP(A28,TableHandbook[],6,FALSE)=0,"",VLOOKUP(A28,TableHandbook[],6,FALSE)),"")</f>
        <v>Nil</v>
      </c>
      <c r="G28" s="132">
        <f>IFERROR(IF(VLOOKUP(A28,TableHandbook[],5,FALSE)=0,"",VLOOKUP(A28,TableHandbook[],5,FALSE)),"")</f>
        <v>25</v>
      </c>
      <c r="H28" s="187" t="str">
        <f>IFERROR(VLOOKUP($A28,TableHandbook[],H$2,FALSE),"")</f>
        <v/>
      </c>
      <c r="I28" s="188" t="str">
        <f>IFERROR(VLOOKUP($A28,TableHandbook[],I$2,FALSE),"")</f>
        <v>Y</v>
      </c>
      <c r="J28" s="188" t="str">
        <f>IFERROR(VLOOKUP($A28,TableHandbook[],J$2,FALSE),"")</f>
        <v/>
      </c>
      <c r="K28" s="189" t="str">
        <f>IFERROR(VLOOKUP($A28,TableHandbook[],K$2,FALSE),"")</f>
        <v>Y</v>
      </c>
      <c r="L28" s="165"/>
      <c r="M28" s="150">
        <v>7</v>
      </c>
      <c r="W28" s="26"/>
    </row>
    <row r="29" spans="1:23" x14ac:dyDescent="0.25">
      <c r="A29" s="129" t="str">
        <f t="shared" si="1"/>
        <v>URDE5016</v>
      </c>
      <c r="B29" s="130">
        <f>IFERROR(IF(VLOOKUP(A29,TableHandbook[],2,FALSE)=0,"",VLOOKUP(A29,TableHandbook[],2,FALSE)),"")</f>
        <v>1</v>
      </c>
      <c r="C29" s="130" t="str">
        <f>IFERROR(IF(VLOOKUP(A29,TableHandbook[],3,FALSE)=0,"",VLOOKUP(A29,TableHandbook[],3,FALSE)),"")</f>
        <v>URP500</v>
      </c>
      <c r="D29" s="131" t="str">
        <f>IFERROR(VLOOKUP(A29,TableHandbook[],4,FALSE),"")</f>
        <v>Planning Law</v>
      </c>
      <c r="E29" s="132"/>
      <c r="F29" s="132" t="str">
        <f>IFERROR(IF(VLOOKUP(A29,TableHandbook[],6,FALSE)=0,"",VLOOKUP(A29,TableHandbook[],6,FALSE)),"")</f>
        <v>Nil</v>
      </c>
      <c r="G29" s="132">
        <f>IFERROR(IF(VLOOKUP(A29,TableHandbook[],5,FALSE)=0,"",VLOOKUP(A29,TableHandbook[],5,FALSE)),"")</f>
        <v>25</v>
      </c>
      <c r="H29" s="187" t="str">
        <f>IFERROR(VLOOKUP($A29,TableHandbook[],H$2,FALSE),"")</f>
        <v>Y</v>
      </c>
      <c r="I29" s="188" t="str">
        <f>IFERROR(VLOOKUP($A29,TableHandbook[],I$2,FALSE),"")</f>
        <v/>
      </c>
      <c r="J29" s="188" t="str">
        <f>IFERROR(VLOOKUP($A29,TableHandbook[],J$2,FALSE),"")</f>
        <v/>
      </c>
      <c r="K29" s="189" t="str">
        <f>IFERROR(VLOOKUP($A29,TableHandbook[],K$2,FALSE),"")</f>
        <v/>
      </c>
      <c r="L29" s="165"/>
      <c r="M29" s="150">
        <v>8</v>
      </c>
      <c r="W29" s="26"/>
    </row>
    <row r="30" spans="1:23" x14ac:dyDescent="0.25">
      <c r="A30" s="129" t="str">
        <f t="shared" si="1"/>
        <v>URDE5017</v>
      </c>
      <c r="B30" s="130">
        <f>IFERROR(IF(VLOOKUP(A30,TableHandbook[],2,FALSE)=0,"",VLOOKUP(A30,TableHandbook[],2,FALSE)),"")</f>
        <v>2</v>
      </c>
      <c r="C30" s="130" t="str">
        <f>IFERROR(IF(VLOOKUP(A30,TableHandbook[],3,FALSE)=0,"",VLOOKUP(A30,TableHandbook[],3,FALSE)),"")</f>
        <v>URP510</v>
      </c>
      <c r="D30" s="131" t="str">
        <f>IFERROR(VLOOKUP(A30,TableHandbook[],4,FALSE),"")</f>
        <v>Planning for Regions</v>
      </c>
      <c r="E30" s="132"/>
      <c r="F30" s="132" t="str">
        <f>IFERROR(IF(VLOOKUP(A30,TableHandbook[],6,FALSE)=0,"",VLOOKUP(A30,TableHandbook[],6,FALSE)),"")</f>
        <v>Nil</v>
      </c>
      <c r="G30" s="132">
        <f>IFERROR(IF(VLOOKUP(A30,TableHandbook[],5,FALSE)=0,"",VLOOKUP(A30,TableHandbook[],5,FALSE)),"")</f>
        <v>25</v>
      </c>
      <c r="H30" s="187" t="str">
        <f>IFERROR(VLOOKUP($A30,TableHandbook[],H$2,FALSE),"")</f>
        <v/>
      </c>
      <c r="I30" s="188" t="str">
        <f>IFERROR(VLOOKUP($A30,TableHandbook[],I$2,FALSE),"")</f>
        <v>Y</v>
      </c>
      <c r="J30" s="188" t="str">
        <f>IFERROR(VLOOKUP($A30,TableHandbook[],J$2,FALSE),"")</f>
        <v/>
      </c>
      <c r="K30" s="189" t="str">
        <f>IFERROR(VLOOKUP($A30,TableHandbook[],K$2,FALSE),"")</f>
        <v/>
      </c>
      <c r="L30" s="165"/>
      <c r="M30" s="150">
        <v>9</v>
      </c>
      <c r="W30" s="26"/>
    </row>
    <row r="31" spans="1:23" x14ac:dyDescent="0.25">
      <c r="A31" s="129" t="str">
        <f t="shared" si="1"/>
        <v>URDE6004</v>
      </c>
      <c r="B31" s="130">
        <f>IFERROR(IF(VLOOKUP(A31,TableHandbook[],2,FALSE)=0,"",VLOOKUP(A31,TableHandbook[],2,FALSE)),"")</f>
        <v>1</v>
      </c>
      <c r="C31" s="130" t="str">
        <f>IFERROR(IF(VLOOKUP(A31,TableHandbook[],3,FALSE)=0,"",VLOOKUP(A31,TableHandbook[],3,FALSE)),"")</f>
        <v>URP640</v>
      </c>
      <c r="D31" s="131" t="str">
        <f>IFERROR(VLOOKUP(A31,TableHandbook[],4,FALSE),"")</f>
        <v>Participatory Planning</v>
      </c>
      <c r="E31" s="132"/>
      <c r="F31" s="132" t="str">
        <f>IFERROR(IF(VLOOKUP(A31,TableHandbook[],6,FALSE)=0,"",VLOOKUP(A31,TableHandbook[],6,FALSE)),"")</f>
        <v>Nil</v>
      </c>
      <c r="G31" s="132">
        <f>IFERROR(IF(VLOOKUP(A31,TableHandbook[],5,FALSE)=0,"",VLOOKUP(A31,TableHandbook[],5,FALSE)),"")</f>
        <v>25</v>
      </c>
      <c r="H31" s="187" t="str">
        <f>IFERROR(VLOOKUP($A31,TableHandbook[],H$2,FALSE),"")</f>
        <v/>
      </c>
      <c r="I31" s="188" t="str">
        <f>IFERROR(VLOOKUP($A31,TableHandbook[],I$2,FALSE),"")</f>
        <v/>
      </c>
      <c r="J31" s="188" t="str">
        <f>IFERROR(VLOOKUP($A31,TableHandbook[],J$2,FALSE),"")</f>
        <v/>
      </c>
      <c r="K31" s="189" t="str">
        <f>IFERROR(VLOOKUP($A31,TableHandbook[],K$2,FALSE),"")</f>
        <v>Y</v>
      </c>
      <c r="L31" s="165"/>
      <c r="M31" s="150">
        <v>10</v>
      </c>
      <c r="W31" s="26"/>
    </row>
    <row r="32" spans="1:23" x14ac:dyDescent="0.25">
      <c r="A32" s="129" t="str">
        <f t="shared" si="1"/>
        <v>WORK5001</v>
      </c>
      <c r="B32" s="130">
        <f>IFERROR(IF(VLOOKUP(A32,TableHandbook[],2,FALSE)=0,"",VLOOKUP(A32,TableHandbook[],2,FALSE)),"")</f>
        <v>1</v>
      </c>
      <c r="C32" s="130" t="str">
        <f>IFERROR(IF(VLOOKUP(A32,TableHandbook[],3,FALSE)=0,"",VLOOKUP(A32,TableHandbook[],3,FALSE)),"")</f>
        <v>WBP500</v>
      </c>
      <c r="D32" s="131" t="str">
        <f>IFERROR(VLOOKUP(A32,TableHandbook[],4,FALSE),"")</f>
        <v>Work Based Project (with approval)</v>
      </c>
      <c r="E32" s="132"/>
      <c r="F32" s="132" t="str">
        <f>IFERROR(IF(VLOOKUP(A32,TableHandbook[],6,FALSE)=0,"",VLOOKUP(A32,TableHandbook[],6,FALSE)),"")</f>
        <v>See OUA Website</v>
      </c>
      <c r="G32" s="132">
        <f>IFERROR(IF(VLOOKUP(A32,TableHandbook[],5,FALSE)=0,"",VLOOKUP(A32,TableHandbook[],5,FALSE)),"")</f>
        <v>25</v>
      </c>
      <c r="H32" s="187" t="str">
        <f>IFERROR(VLOOKUP($A32,TableHandbook[],H$2,FALSE),"")</f>
        <v/>
      </c>
      <c r="I32" s="188" t="str">
        <f>IFERROR(VLOOKUP($A32,TableHandbook[],I$2,FALSE),"")</f>
        <v/>
      </c>
      <c r="J32" s="188" t="str">
        <f>IFERROR(VLOOKUP($A32,TableHandbook[],J$2,FALSE),"")</f>
        <v/>
      </c>
      <c r="K32" s="189" t="str">
        <f>IFERROR(VLOOKUP($A32,TableHandbook[],K$2,FALSE),"")</f>
        <v/>
      </c>
      <c r="L32" s="165"/>
      <c r="M32" s="150">
        <v>11</v>
      </c>
      <c r="W32" s="26"/>
    </row>
    <row r="33" spans="1:23" ht="21" customHeight="1" x14ac:dyDescent="0.25">
      <c r="A33" s="140"/>
      <c r="B33" s="140"/>
      <c r="C33" s="140"/>
      <c r="D33" s="141"/>
      <c r="E33" s="142"/>
      <c r="F33" s="142"/>
      <c r="G33" s="142"/>
      <c r="H33" s="142"/>
      <c r="I33" s="142"/>
      <c r="J33" s="142"/>
      <c r="K33" s="142"/>
      <c r="L33" s="143"/>
      <c r="M33" s="105"/>
      <c r="W33" s="26"/>
    </row>
    <row r="34" spans="1:23" s="26" customFormat="1" ht="32.25" customHeight="1" x14ac:dyDescent="0.25">
      <c r="A34" s="221" t="s">
        <v>29</v>
      </c>
      <c r="B34" s="221"/>
      <c r="C34" s="221"/>
      <c r="D34" s="221"/>
      <c r="E34" s="221"/>
      <c r="F34" s="221"/>
      <c r="G34" s="221"/>
      <c r="H34" s="221"/>
      <c r="I34" s="221"/>
      <c r="J34" s="221"/>
      <c r="K34" s="221"/>
      <c r="L34" s="221"/>
      <c r="M34" s="105"/>
      <c r="N34" s="24"/>
      <c r="O34" s="24"/>
      <c r="P34" s="24"/>
      <c r="Q34" s="24"/>
      <c r="R34" s="24"/>
      <c r="S34" s="24"/>
      <c r="T34" s="24"/>
      <c r="U34" s="24"/>
      <c r="V34" s="24"/>
    </row>
    <row r="35" spans="1:23" s="34" customFormat="1" ht="24.95" customHeight="1" x14ac:dyDescent="0.3">
      <c r="A35" s="73" t="s">
        <v>30</v>
      </c>
      <c r="B35" s="73"/>
      <c r="C35" s="73"/>
      <c r="D35" s="74"/>
      <c r="E35" s="74"/>
      <c r="F35" s="74"/>
      <c r="G35" s="74"/>
      <c r="H35" s="74"/>
      <c r="I35" s="74"/>
      <c r="J35" s="74"/>
      <c r="K35" s="74"/>
      <c r="L35" s="74"/>
      <c r="M35" s="133"/>
      <c r="N35" s="133"/>
      <c r="O35" s="133"/>
      <c r="W35" s="33"/>
    </row>
    <row r="36" spans="1:23" s="26" customFormat="1" ht="15" customHeight="1" x14ac:dyDescent="0.25">
      <c r="A36" s="134" t="s">
        <v>31</v>
      </c>
      <c r="B36" s="134"/>
      <c r="C36" s="134"/>
      <c r="D36" s="134"/>
      <c r="E36" s="135"/>
      <c r="F36" s="117"/>
      <c r="G36" s="136"/>
      <c r="H36" s="136"/>
      <c r="I36" s="136"/>
      <c r="J36" s="136"/>
      <c r="K36" s="136"/>
      <c r="L36" s="136" t="s">
        <v>32</v>
      </c>
      <c r="M36" s="24"/>
      <c r="N36" s="24"/>
      <c r="O36" s="24"/>
      <c r="P36" s="24"/>
      <c r="Q36" s="24"/>
      <c r="R36" s="24"/>
      <c r="S36" s="24"/>
      <c r="T36" s="24"/>
      <c r="U36" s="24"/>
      <c r="V36" s="24"/>
    </row>
  </sheetData>
  <sheetProtection formatCells="0"/>
  <mergeCells count="2">
    <mergeCell ref="A3:D3"/>
    <mergeCell ref="A34:L34"/>
  </mergeCells>
  <conditionalFormatting sqref="A9:L19 A23:L32">
    <cfRule type="expression" dxfId="18" priority="2">
      <formula>$A9=""</formula>
    </cfRule>
  </conditionalFormatting>
  <conditionalFormatting sqref="D5:D6">
    <cfRule type="containsText" dxfId="17" priority="3" operator="containsText" text="Choose">
      <formula>NOT(ISERROR(SEARCH("Choose",D5)))</formula>
    </cfRule>
  </conditionalFormatting>
  <conditionalFormatting sqref="H9:K19">
    <cfRule type="expression" dxfId="16"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6"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D6" sqref="D6"/>
    </sheetView>
  </sheetViews>
  <sheetFormatPr defaultRowHeight="15" x14ac:dyDescent="0.25"/>
  <cols>
    <col min="1" max="1" width="8.5703125" style="25" customWidth="1"/>
    <col min="2" max="2" width="3.28515625" style="25" customWidth="1"/>
    <col min="3" max="3" width="9.42578125" style="25" customWidth="1"/>
    <col min="4" max="4" width="59.85546875" style="24" customWidth="1"/>
    <col min="5" max="5" width="5.7109375" style="24" customWidth="1"/>
    <col min="6" max="6" width="27.85546875" style="24" customWidth="1"/>
    <col min="7" max="7" width="5.7109375" style="24" customWidth="1"/>
    <col min="8" max="11" width="4.7109375" style="24" customWidth="1"/>
    <col min="12" max="12" width="18.7109375" style="24" customWidth="1"/>
    <col min="13" max="13" width="2.5703125" style="24" hidden="1" customWidth="1"/>
    <col min="14" max="16384" width="9.140625" style="24"/>
  </cols>
  <sheetData>
    <row r="1" spans="1:23" hidden="1" x14ac:dyDescent="0.25">
      <c r="A1" s="20" t="s">
        <v>0</v>
      </c>
      <c r="B1" s="21" t="s">
        <v>1</v>
      </c>
      <c r="C1" s="21" t="s">
        <v>2</v>
      </c>
      <c r="D1" s="22" t="s">
        <v>3</v>
      </c>
      <c r="E1" s="22"/>
      <c r="F1" s="22" t="s">
        <v>4</v>
      </c>
      <c r="G1" s="22" t="s">
        <v>5</v>
      </c>
      <c r="H1" s="23" t="s">
        <v>6</v>
      </c>
      <c r="I1" s="22"/>
      <c r="J1" s="22"/>
      <c r="K1" s="22"/>
      <c r="L1" s="22" t="s">
        <v>7</v>
      </c>
    </row>
    <row r="2" spans="1:23" hidden="1" x14ac:dyDescent="0.25">
      <c r="A2" s="137"/>
      <c r="B2" s="138">
        <v>2</v>
      </c>
      <c r="C2" s="138">
        <v>3</v>
      </c>
      <c r="D2" s="138">
        <v>4</v>
      </c>
      <c r="E2" s="138"/>
      <c r="F2" s="138">
        <v>6</v>
      </c>
      <c r="G2" s="138">
        <v>5</v>
      </c>
      <c r="H2" s="138">
        <v>7</v>
      </c>
      <c r="I2" s="138">
        <v>8</v>
      </c>
      <c r="J2" s="138">
        <v>9</v>
      </c>
      <c r="K2" s="138">
        <v>10</v>
      </c>
      <c r="L2" s="139"/>
    </row>
    <row r="3" spans="1:23" ht="39.950000000000003" customHeight="1" x14ac:dyDescent="0.25">
      <c r="A3" s="220" t="s">
        <v>8</v>
      </c>
      <c r="B3" s="220"/>
      <c r="C3" s="220"/>
      <c r="D3" s="220"/>
      <c r="E3" s="84"/>
      <c r="F3" s="84"/>
      <c r="G3" s="84"/>
      <c r="H3" s="84"/>
      <c r="I3" s="84"/>
      <c r="J3" s="84"/>
      <c r="K3" s="84"/>
      <c r="L3" s="84"/>
    </row>
    <row r="4" spans="1:23" ht="26.25" x14ac:dyDescent="0.25">
      <c r="A4" s="200"/>
      <c r="B4" s="201"/>
      <c r="C4" s="201"/>
      <c r="D4" s="203"/>
      <c r="E4" s="199" t="s">
        <v>9</v>
      </c>
      <c r="F4" s="198"/>
      <c r="G4" s="202"/>
      <c r="H4" s="202"/>
      <c r="I4" s="202"/>
      <c r="J4" s="202"/>
      <c r="K4" s="202"/>
      <c r="L4" s="202"/>
    </row>
    <row r="5" spans="1:23" ht="20.100000000000001" customHeight="1" x14ac:dyDescent="0.25">
      <c r="B5" s="85"/>
      <c r="C5" s="86" t="s">
        <v>10</v>
      </c>
      <c r="D5" s="79" t="s">
        <v>34</v>
      </c>
      <c r="E5" s="87"/>
      <c r="F5" s="86" t="s">
        <v>12</v>
      </c>
      <c r="G5" s="87" t="str">
        <f>IFERROR(CONCATENATE(VLOOKUP(D5,TableCourses[],2,FALSE)," ",VLOOKUP(D5,TableCourses[],3,FALSE)),"")</f>
        <v>OC-ENVCLM v.1</v>
      </c>
      <c r="H5" s="87"/>
      <c r="I5" s="87"/>
      <c r="J5" s="87"/>
      <c r="K5" s="87"/>
      <c r="L5" s="152" t="e">
        <f>CONCATENATE(VLOOKUP(D5,TableCourses[],2,FALSE),VLOOKUP(D6,TableStudyPeriods[],2,FALSE))</f>
        <v>#N/A</v>
      </c>
    </row>
    <row r="6" spans="1:23" ht="20.100000000000001" customHeight="1" x14ac:dyDescent="0.25">
      <c r="A6" s="88"/>
      <c r="B6" s="89"/>
      <c r="C6" s="86" t="s">
        <v>13</v>
      </c>
      <c r="D6" s="80" t="s">
        <v>14</v>
      </c>
      <c r="E6" s="90"/>
      <c r="F6" s="86" t="s">
        <v>15</v>
      </c>
      <c r="G6" s="87" t="str">
        <f>IFERROR(VLOOKUP($D$5,TableCourses[],7,FALSE),"")</f>
        <v>100 credit points required</v>
      </c>
      <c r="H6" s="91"/>
      <c r="I6" s="91"/>
      <c r="J6" s="91"/>
      <c r="K6" s="91"/>
      <c r="L6" s="91"/>
      <c r="W6" s="26"/>
    </row>
    <row r="7" spans="1:23" s="28" customFormat="1" ht="14.1" customHeight="1" x14ac:dyDescent="0.2">
      <c r="A7" s="92"/>
      <c r="B7" s="92"/>
      <c r="C7" s="92"/>
      <c r="D7" s="93"/>
      <c r="E7" s="94"/>
      <c r="F7" s="92"/>
      <c r="G7" s="92"/>
      <c r="H7" s="95" t="s">
        <v>16</v>
      </c>
      <c r="I7" s="96"/>
      <c r="J7" s="96"/>
      <c r="K7" s="97"/>
      <c r="L7" s="98"/>
      <c r="M7" s="99"/>
      <c r="N7" s="99"/>
      <c r="O7" s="99"/>
      <c r="W7" s="27"/>
    </row>
    <row r="8" spans="1:23" s="28" customFormat="1" ht="31.5" x14ac:dyDescent="0.2">
      <c r="A8" s="92" t="s">
        <v>17</v>
      </c>
      <c r="B8" s="92"/>
      <c r="C8" s="92" t="s">
        <v>18</v>
      </c>
      <c r="D8" s="98" t="s">
        <v>3</v>
      </c>
      <c r="E8" s="100" t="s">
        <v>19</v>
      </c>
      <c r="F8" s="92" t="s">
        <v>20</v>
      </c>
      <c r="G8" s="92" t="s">
        <v>21</v>
      </c>
      <c r="H8" s="166" t="s">
        <v>22</v>
      </c>
      <c r="I8" s="167" t="s">
        <v>23</v>
      </c>
      <c r="J8" s="167" t="s">
        <v>24</v>
      </c>
      <c r="K8" s="168" t="s">
        <v>25</v>
      </c>
      <c r="L8" s="92" t="s">
        <v>26</v>
      </c>
      <c r="M8" s="99"/>
      <c r="N8" s="99"/>
      <c r="O8" s="99"/>
      <c r="W8" s="27"/>
    </row>
    <row r="9" spans="1:23" s="30" customFormat="1" ht="21" customHeight="1" x14ac:dyDescent="0.15">
      <c r="A9" s="101" t="str">
        <f>IFERROR(IF(HLOOKUP($L$5,Unitsets!$C$3:$Z$19,M9,FALSE)=0,"",HLOOKUP($L$5,Unitsets!$C$3:$Z$19,M9,FALSE)),"")</f>
        <v/>
      </c>
      <c r="B9" s="102" t="str">
        <f>IFERROR(IF(VLOOKUP(A9,TableHandbook[],2,FALSE)=0,"",VLOOKUP(A9,TableHandbook[],2,FALSE)),"")</f>
        <v/>
      </c>
      <c r="C9" s="102" t="str">
        <f>IFERROR(IF(VLOOKUP(A9,TableHandbook[],3,FALSE)=0,"",VLOOKUP(A9,TableHandbook[],3,FALSE)),"")</f>
        <v/>
      </c>
      <c r="D9" s="103" t="str">
        <f>IFERROR(VLOOKUP(A9,TableHandbook[],4,FALSE),"")</f>
        <v/>
      </c>
      <c r="E9" s="102" t="str">
        <f>IF(A9="","",VLOOKUP($D$6,TableStudyPeriods[],2,FALSE))</f>
        <v/>
      </c>
      <c r="F9" s="104" t="str">
        <f>IFERROR(IF(VLOOKUP(A9,TableHandbook[],6,FALSE)=0,"",VLOOKUP(A9,TableHandbook[],6,FALSE)),"")</f>
        <v/>
      </c>
      <c r="G9" s="102" t="str">
        <f>IFERROR(IF(VLOOKUP(A9,TableHandbook[],5,FALSE)=0,"",VLOOKUP(A9,TableHandbook[],5,FALSE)),"")</f>
        <v/>
      </c>
      <c r="H9" s="169" t="str">
        <f>IFERROR(VLOOKUP($A9,TableHandbook[],H$2,FALSE),"")</f>
        <v/>
      </c>
      <c r="I9" s="170" t="str">
        <f>IFERROR(VLOOKUP($A9,TableHandbook[],I$2,FALSE),"")</f>
        <v/>
      </c>
      <c r="J9" s="170" t="str">
        <f>IFERROR(VLOOKUP($A9,TableHandbook[],J$2,FALSE),"")</f>
        <v/>
      </c>
      <c r="K9" s="171" t="str">
        <f>IFERROR(VLOOKUP($A9,TableHandbook[],K$2,FALSE),"")</f>
        <v/>
      </c>
      <c r="L9" s="161"/>
      <c r="M9" s="150">
        <v>2</v>
      </c>
      <c r="N9" s="106"/>
      <c r="O9" s="106"/>
      <c r="W9" s="29"/>
    </row>
    <row r="10" spans="1:23" s="30" customFormat="1" ht="21" customHeight="1" x14ac:dyDescent="0.15">
      <c r="A10" s="107" t="str">
        <f>IFERROR(IF(HLOOKUP($L$5,Unitsets!$C$3:$Z$19,M10,FALSE)=0,"",HLOOKUP($L$5,Unitsets!$C$3:$Z$19,M10,FALSE)),"")</f>
        <v/>
      </c>
      <c r="B10" s="108" t="str">
        <f>IFERROR(IF(VLOOKUP(A10,TableHandbook[],2,FALSE)=0,"",VLOOKUP(A10,TableHandbook[],2,FALSE)),"")</f>
        <v/>
      </c>
      <c r="C10" s="108" t="str">
        <f>IFERROR(IF(VLOOKUP(A10,TableHandbook[],3,FALSE)=0,"",VLOOKUP(A10,TableHandbook[],3,FALSE)),"")</f>
        <v/>
      </c>
      <c r="D10" s="109" t="str">
        <f>IFERROR(VLOOKUP(A10,TableHandbook[],4,FALSE),"")</f>
        <v/>
      </c>
      <c r="E10" s="108" t="str">
        <f>IF(A10="","",E9)</f>
        <v/>
      </c>
      <c r="F10" s="110" t="str">
        <f>IFERROR(IF(VLOOKUP(A10,TableHandbook[],6,FALSE)=0,"",VLOOKUP(A10,TableHandbook[],6,FALSE)),"")</f>
        <v/>
      </c>
      <c r="G10" s="108" t="str">
        <f>IFERROR(IF(VLOOKUP(A10,TableHandbook[],5,FALSE)=0,"",VLOOKUP(A10,TableHandbook[],5,FALSE)),"")</f>
        <v/>
      </c>
      <c r="H10" s="172" t="str">
        <f>IFERROR(VLOOKUP($A10,TableHandbook[],H$2,FALSE),"")</f>
        <v/>
      </c>
      <c r="I10" s="173" t="str">
        <f>IFERROR(VLOOKUP($A10,TableHandbook[],I$2,FALSE),"")</f>
        <v/>
      </c>
      <c r="J10" s="173" t="str">
        <f>IFERROR(VLOOKUP($A10,TableHandbook[],J$2,FALSE),"")</f>
        <v/>
      </c>
      <c r="K10" s="174" t="str">
        <f>IFERROR(VLOOKUP($A10,TableHandbook[],K$2,FALSE),"")</f>
        <v/>
      </c>
      <c r="L10" s="162"/>
      <c r="M10" s="150">
        <v>3</v>
      </c>
      <c r="N10" s="106"/>
      <c r="O10" s="106"/>
      <c r="W10" s="29"/>
    </row>
    <row r="11" spans="1:23" s="30" customFormat="1" ht="4.5" customHeight="1" x14ac:dyDescent="0.15">
      <c r="A11" s="144"/>
      <c r="B11" s="145"/>
      <c r="C11" s="145" t="str">
        <f>IFERROR(IF(VLOOKUP(A11,TableHandbook[],3,FALSE)=0,"",VLOOKUP(A11,TableHandbook[],3,FALSE)),"")</f>
        <v/>
      </c>
      <c r="D11" s="146"/>
      <c r="E11" s="145"/>
      <c r="F11" s="147"/>
      <c r="G11" s="145"/>
      <c r="H11" s="175"/>
      <c r="I11" s="176"/>
      <c r="J11" s="176"/>
      <c r="K11" s="177"/>
      <c r="L11" s="148"/>
      <c r="M11" s="150"/>
      <c r="N11" s="106"/>
      <c r="O11" s="106"/>
      <c r="P11" s="106"/>
      <c r="W11" s="29"/>
    </row>
    <row r="12" spans="1:23" s="30" customFormat="1" ht="21" customHeight="1" x14ac:dyDescent="0.15">
      <c r="A12" s="101" t="str">
        <f>IFERROR(IF(HLOOKUP($L$5,Unitsets!$C$3:$Z$19,M12,FALSE)=0,"",HLOOKUP($L$5,Unitsets!$C$3:$Z$19,M12,FALSE)),"")</f>
        <v/>
      </c>
      <c r="B12" s="102" t="str">
        <f>IFERROR(IF(VLOOKUP(A12,TableHandbook[],2,FALSE)=0,"",VLOOKUP(A12,TableHandbook[],2,FALSE)),"")</f>
        <v/>
      </c>
      <c r="C12" s="102" t="str">
        <f>IFERROR(IF(VLOOKUP(A12,TableHandbook[],3,FALSE)=0,"",VLOOKUP(A12,TableHandbook[],3,FALSE)),"")</f>
        <v/>
      </c>
      <c r="D12" s="103" t="str">
        <f>IFERROR(VLOOKUP(A12,TableHandbook[],4,FALSE),"")</f>
        <v/>
      </c>
      <c r="E12" s="102" t="str">
        <f>IF(A12="","",VLOOKUP($D$6,TableStudyPeriods[],3,FALSE))</f>
        <v/>
      </c>
      <c r="F12" s="104" t="str">
        <f>IFERROR(IF(VLOOKUP(A12,TableHandbook[],6,FALSE)=0,"",VLOOKUP(A12,TableHandbook[],6,FALSE)),"")</f>
        <v/>
      </c>
      <c r="G12" s="102" t="str">
        <f>IFERROR(IF(VLOOKUP(A12,TableHandbook[],5,FALSE)=0,"",VLOOKUP(A12,TableHandbook[],5,FALSE)),"")</f>
        <v/>
      </c>
      <c r="H12" s="169" t="str">
        <f>IFERROR(VLOOKUP($A12,TableHandbook[],H$2,FALSE),"")</f>
        <v/>
      </c>
      <c r="I12" s="170" t="str">
        <f>IFERROR(VLOOKUP($A12,TableHandbook[],I$2,FALSE),"")</f>
        <v/>
      </c>
      <c r="J12" s="170" t="str">
        <f>IFERROR(VLOOKUP($A12,TableHandbook[],J$2,FALSE),"")</f>
        <v/>
      </c>
      <c r="K12" s="171" t="str">
        <f>IFERROR(VLOOKUP($A12,TableHandbook[],K$2,FALSE),"")</f>
        <v/>
      </c>
      <c r="L12" s="163"/>
      <c r="M12" s="150">
        <v>4</v>
      </c>
      <c r="N12" s="106"/>
      <c r="O12" s="106"/>
      <c r="W12" s="29"/>
    </row>
    <row r="13" spans="1:23" s="30" customFormat="1" ht="21" customHeight="1" x14ac:dyDescent="0.15">
      <c r="A13" s="107" t="str">
        <f>IFERROR(IF(HLOOKUP($L$5,Unitsets!$C$3:$Z$19,M13,FALSE)=0,"",HLOOKUP($L$5,Unitsets!$C$3:$Z$19,M13,FALSE)),"")</f>
        <v/>
      </c>
      <c r="B13" s="108" t="str">
        <f>IFERROR(IF(VLOOKUP(A13,TableHandbook[],2,FALSE)=0,"",VLOOKUP(A13,TableHandbook[],2,FALSE)),"")</f>
        <v/>
      </c>
      <c r="C13" s="108" t="str">
        <f>IFERROR(IF(VLOOKUP(A13,TableHandbook[],3,FALSE)=0,"",VLOOKUP(A13,TableHandbook[],3,FALSE)),"")</f>
        <v/>
      </c>
      <c r="D13" s="109" t="str">
        <f>IFERROR(VLOOKUP(A13,TableHandbook[],4,FALSE),"")</f>
        <v/>
      </c>
      <c r="E13" s="108" t="str">
        <f>IF(A13="","",E12)</f>
        <v/>
      </c>
      <c r="F13" s="110" t="str">
        <f>IFERROR(IF(VLOOKUP(A13,TableHandbook[],6,FALSE)=0,"",VLOOKUP(A13,TableHandbook[],6,FALSE)),"")</f>
        <v/>
      </c>
      <c r="G13" s="108" t="str">
        <f>IFERROR(IF(VLOOKUP(A13,TableHandbook[],5,FALSE)=0,"",VLOOKUP(A13,TableHandbook[],5,FALSE)),"")</f>
        <v/>
      </c>
      <c r="H13" s="172" t="str">
        <f>IFERROR(VLOOKUP($A13,TableHandbook[],H$2,FALSE),"")</f>
        <v/>
      </c>
      <c r="I13" s="173" t="str">
        <f>IFERROR(VLOOKUP($A13,TableHandbook[],I$2,FALSE),"")</f>
        <v/>
      </c>
      <c r="J13" s="173" t="str">
        <f>IFERROR(VLOOKUP($A13,TableHandbook[],J$2,FALSE),"")</f>
        <v/>
      </c>
      <c r="K13" s="174" t="str">
        <f>IFERROR(VLOOKUP($A13,TableHandbook[],K$2,FALSE),"")</f>
        <v/>
      </c>
      <c r="L13" s="162"/>
      <c r="M13" s="150">
        <v>5</v>
      </c>
      <c r="N13" s="106"/>
      <c r="O13" s="106"/>
      <c r="W13" s="29"/>
    </row>
    <row r="14" spans="1:23" s="36" customFormat="1" ht="13.9" customHeight="1" x14ac:dyDescent="0.2">
      <c r="A14" s="115"/>
      <c r="B14" s="115"/>
      <c r="C14" s="115"/>
      <c r="D14" s="116"/>
      <c r="E14" s="116"/>
      <c r="F14" s="117"/>
      <c r="G14" s="117"/>
      <c r="H14" s="117"/>
      <c r="I14" s="117"/>
      <c r="J14" s="117"/>
      <c r="K14" s="117"/>
      <c r="L14" s="117"/>
      <c r="M14" s="151"/>
      <c r="N14" s="118"/>
      <c r="O14" s="118"/>
      <c r="W14" s="35"/>
    </row>
    <row r="15" spans="1:23" ht="25.5" x14ac:dyDescent="0.25">
      <c r="A15" s="160" t="s">
        <v>28</v>
      </c>
      <c r="B15" s="120"/>
      <c r="C15" s="120"/>
      <c r="D15" s="121"/>
      <c r="E15" s="122"/>
      <c r="F15" s="122"/>
      <c r="G15" s="122"/>
      <c r="H15" s="123" t="str">
        <f>H7</f>
        <v>2026 Availabilities</v>
      </c>
      <c r="I15" s="124"/>
      <c r="J15" s="119"/>
      <c r="K15" s="125"/>
      <c r="L15" s="126" t="str">
        <f>VLOOKUP(D5,TableCourses[],2,FALSE)</f>
        <v>OC-ENVCLM</v>
      </c>
      <c r="M15" s="149"/>
      <c r="W15" s="26"/>
    </row>
    <row r="16" spans="1:23" s="38" customFormat="1" x14ac:dyDescent="0.2">
      <c r="A16" s="92"/>
      <c r="B16" s="92"/>
      <c r="C16" s="92" t="s">
        <v>18</v>
      </c>
      <c r="D16" s="127" t="s">
        <v>3</v>
      </c>
      <c r="E16" s="100"/>
      <c r="F16" s="92" t="s">
        <v>20</v>
      </c>
      <c r="G16" s="92" t="s">
        <v>21</v>
      </c>
      <c r="H16" s="184" t="str">
        <f>H8</f>
        <v>SP1</v>
      </c>
      <c r="I16" s="185" t="str">
        <f t="shared" ref="I16:L16" si="0">I8</f>
        <v>SP2</v>
      </c>
      <c r="J16" s="185" t="str">
        <f t="shared" si="0"/>
        <v>SP3</v>
      </c>
      <c r="K16" s="186" t="str">
        <f t="shared" si="0"/>
        <v>SP4</v>
      </c>
      <c r="L16" s="92" t="str">
        <f t="shared" si="0"/>
        <v>Notes / Progress</v>
      </c>
      <c r="M16" s="149"/>
      <c r="W16" s="37"/>
    </row>
    <row r="17" spans="1:23" x14ac:dyDescent="0.25">
      <c r="A17" s="129" t="str">
        <f t="shared" ref="A17:A26" si="1">IFERROR(IF(HLOOKUP($L$15,RangeOptions,$M17,FALSE)=0,"",HLOOKUP($L$15,RangeOptions,$M17,FALSE)),"")</f>
        <v>URDE6007</v>
      </c>
      <c r="B17" s="130">
        <f>IFERROR(IF(VLOOKUP(A17,TableHandbook[],2,FALSE)=0,"",VLOOKUP(A17,TableHandbook[],2,FALSE)),"")</f>
        <v>1</v>
      </c>
      <c r="C17" s="130" t="str">
        <f>IFERROR(IF(VLOOKUP(A17,TableHandbook[],3,FALSE)=0,"",VLOOKUP(A17,TableHandbook[],3,FALSE)),"")</f>
        <v>DBE600</v>
      </c>
      <c r="D17" s="131" t="str">
        <f>IFERROR(VLOOKUP(A17,TableHandbook[],4,FALSE),"")</f>
        <v>Design and Built Environment Research Methods</v>
      </c>
      <c r="E17" s="132"/>
      <c r="F17" s="132" t="str">
        <f>IFERROR(IF(VLOOKUP(A17,TableHandbook[],6,FALSE)=0,"",VLOOKUP(A17,TableHandbook[],6,FALSE)),"")</f>
        <v>Nil</v>
      </c>
      <c r="G17" s="132">
        <f>IFERROR(IF(VLOOKUP(A17,TableHandbook[],5,FALSE)=0,"",VLOOKUP(A17,TableHandbook[],5,FALSE)),"")</f>
        <v>25</v>
      </c>
      <c r="H17" s="187" t="str">
        <f>IFERROR(VLOOKUP($A17,TableHandbook[],H$2,FALSE),"")</f>
        <v>Y</v>
      </c>
      <c r="I17" s="188" t="str">
        <f>IFERROR(VLOOKUP($A17,TableHandbook[],I$2,FALSE),"")</f>
        <v/>
      </c>
      <c r="J17" s="188" t="str">
        <f>IFERROR(VLOOKUP($A17,TableHandbook[],J$2,FALSE),"")</f>
        <v>Y</v>
      </c>
      <c r="K17" s="189" t="str">
        <f>IFERROR(VLOOKUP($A17,TableHandbook[],K$2,FALSE),"")</f>
        <v/>
      </c>
      <c r="L17" s="165"/>
      <c r="M17" s="150">
        <v>2</v>
      </c>
      <c r="W17" s="26"/>
    </row>
    <row r="18" spans="1:23" x14ac:dyDescent="0.25">
      <c r="A18" s="129" t="str">
        <f t="shared" si="1"/>
        <v>PRJM6013</v>
      </c>
      <c r="B18" s="130">
        <f>IFERROR(IF(VLOOKUP(A18,TableHandbook[],2,FALSE)=0,"",VLOOKUP(A18,TableHandbook[],2,FALSE)),"")</f>
        <v>2</v>
      </c>
      <c r="C18" s="130" t="str">
        <f>IFERROR(IF(VLOOKUP(A18,TableHandbook[],3,FALSE)=0,"",VLOOKUP(A18,TableHandbook[],3,FALSE)),"")</f>
        <v>PRM500</v>
      </c>
      <c r="D18" s="131" t="str">
        <f>IFERROR(VLOOKUP(A18,TableHandbook[],4,FALSE),"")</f>
        <v>Project Management Overview</v>
      </c>
      <c r="E18" s="132"/>
      <c r="F18" s="132" t="str">
        <f>IFERROR(IF(VLOOKUP(A18,TableHandbook[],6,FALSE)=0,"",VLOOKUP(A18,TableHandbook[],6,FALSE)),"")</f>
        <v>Nil</v>
      </c>
      <c r="G18" s="132">
        <f>IFERROR(IF(VLOOKUP(A18,TableHandbook[],5,FALSE)=0,"",VLOOKUP(A18,TableHandbook[],5,FALSE)),"")</f>
        <v>25</v>
      </c>
      <c r="H18" s="187" t="str">
        <f>IFERROR(VLOOKUP($A18,TableHandbook[],H$2,FALSE),"")</f>
        <v>Y</v>
      </c>
      <c r="I18" s="188" t="str">
        <f>IFERROR(VLOOKUP($A18,TableHandbook[],I$2,FALSE),"")</f>
        <v/>
      </c>
      <c r="J18" s="188" t="str">
        <f>IFERROR(VLOOKUP($A18,TableHandbook[],J$2,FALSE),"")</f>
        <v>Y</v>
      </c>
      <c r="K18" s="189" t="str">
        <f>IFERROR(VLOOKUP($A18,TableHandbook[],K$2,FALSE),"")</f>
        <v/>
      </c>
      <c r="L18" s="165"/>
      <c r="M18" s="150">
        <v>3</v>
      </c>
      <c r="W18" s="26"/>
    </row>
    <row r="19" spans="1:23" x14ac:dyDescent="0.25">
      <c r="A19" s="129" t="str">
        <f t="shared" si="1"/>
        <v>PRJM6015</v>
      </c>
      <c r="B19" s="130">
        <f>IFERROR(IF(VLOOKUP(A19,TableHandbook[],2,FALSE)=0,"",VLOOKUP(A19,TableHandbook[],2,FALSE)),"")</f>
        <v>1</v>
      </c>
      <c r="C19" s="130" t="str">
        <f>IFERROR(IF(VLOOKUP(A19,TableHandbook[],3,FALSE)=0,"",VLOOKUP(A19,TableHandbook[],3,FALSE)),"")</f>
        <v>PRM510</v>
      </c>
      <c r="D19" s="131" t="str">
        <f>IFERROR(VLOOKUP(A19,TableHandbook[],4,FALSE),"")</f>
        <v>Project and People</v>
      </c>
      <c r="E19" s="132"/>
      <c r="F19" s="132" t="str">
        <f>IFERROR(IF(VLOOKUP(A19,TableHandbook[],6,FALSE)=0,"",VLOOKUP(A19,TableHandbook[],6,FALSE)),"")</f>
        <v>Nil</v>
      </c>
      <c r="G19" s="132">
        <f>IFERROR(IF(VLOOKUP(A19,TableHandbook[],5,FALSE)=0,"",VLOOKUP(A19,TableHandbook[],5,FALSE)),"")</f>
        <v>25</v>
      </c>
      <c r="H19" s="187" t="str">
        <f>IFERROR(VLOOKUP($A19,TableHandbook[],H$2,FALSE),"")</f>
        <v/>
      </c>
      <c r="I19" s="188" t="str">
        <f>IFERROR(VLOOKUP($A19,TableHandbook[],I$2,FALSE),"")</f>
        <v>Y</v>
      </c>
      <c r="J19" s="188" t="str">
        <f>IFERROR(VLOOKUP($A19,TableHandbook[],J$2,FALSE),"")</f>
        <v/>
      </c>
      <c r="K19" s="189" t="str">
        <f>IFERROR(VLOOKUP($A19,TableHandbook[],K$2,FALSE),"")</f>
        <v>Y</v>
      </c>
      <c r="L19" s="165"/>
      <c r="M19" s="150">
        <v>4</v>
      </c>
      <c r="W19" s="26"/>
    </row>
    <row r="20" spans="1:23" x14ac:dyDescent="0.25">
      <c r="A20" s="129" t="str">
        <f t="shared" si="1"/>
        <v>SUST5014</v>
      </c>
      <c r="B20" s="130">
        <f>IFERROR(IF(VLOOKUP(A20,TableHandbook[],2,FALSE)=0,"",VLOOKUP(A20,TableHandbook[],2,FALSE)),"")</f>
        <v>1</v>
      </c>
      <c r="C20" s="130" t="str">
        <f>IFERROR(IF(VLOOKUP(A20,TableHandbook[],3,FALSE)=0,"",VLOOKUP(A20,TableHandbook[],3,FALSE)),"")</f>
        <v>SCP544</v>
      </c>
      <c r="D20" s="131" t="str">
        <f>IFERROR(VLOOKUP(A20,TableHandbook[],4,FALSE),"")</f>
        <v>Leadership in Sustainability</v>
      </c>
      <c r="E20" s="132"/>
      <c r="F20" s="132" t="str">
        <f>IFERROR(IF(VLOOKUP(A20,TableHandbook[],6,FALSE)=0,"",VLOOKUP(A20,TableHandbook[],6,FALSE)),"")</f>
        <v>Nil</v>
      </c>
      <c r="G20" s="132">
        <f>IFERROR(IF(VLOOKUP(A20,TableHandbook[],5,FALSE)=0,"",VLOOKUP(A20,TableHandbook[],5,FALSE)),"")</f>
        <v>25</v>
      </c>
      <c r="H20" s="187" t="str">
        <f>IFERROR(VLOOKUP($A20,TableHandbook[],H$2,FALSE),"")</f>
        <v/>
      </c>
      <c r="I20" s="188" t="str">
        <f>IFERROR(VLOOKUP($A20,TableHandbook[],I$2,FALSE),"")</f>
        <v>Y</v>
      </c>
      <c r="J20" s="188" t="str">
        <f>IFERROR(VLOOKUP($A20,TableHandbook[],J$2,FALSE),"")</f>
        <v/>
      </c>
      <c r="K20" s="189" t="str">
        <f>IFERROR(VLOOKUP($A20,TableHandbook[],K$2,FALSE),"")</f>
        <v/>
      </c>
      <c r="L20" s="165"/>
      <c r="M20" s="150">
        <v>5</v>
      </c>
      <c r="W20" s="26"/>
    </row>
    <row r="21" spans="1:23" x14ac:dyDescent="0.25">
      <c r="A21" s="129" t="str">
        <f t="shared" si="1"/>
        <v>SUST5021</v>
      </c>
      <c r="B21" s="130">
        <f>IFERROR(IF(VLOOKUP(A21,TableHandbook[],2,FALSE)=0,"",VLOOKUP(A21,TableHandbook[],2,FALSE)),"")</f>
        <v>1</v>
      </c>
      <c r="C21" s="130" t="str">
        <f>IFERROR(IF(VLOOKUP(A21,TableHandbook[],3,FALSE)=0,"",VLOOKUP(A21,TableHandbook[],3,FALSE)),"")</f>
        <v>SCP549</v>
      </c>
      <c r="D21" s="131" t="str">
        <f>IFERROR(VLOOKUP(A21,TableHandbook[],4,FALSE),"")</f>
        <v>Sustainability, Climate Change and Economics</v>
      </c>
      <c r="E21" s="132"/>
      <c r="F21" s="132" t="str">
        <f>IFERROR(IF(VLOOKUP(A21,TableHandbook[],6,FALSE)=0,"",VLOOKUP(A21,TableHandbook[],6,FALSE)),"")</f>
        <v>Nil</v>
      </c>
      <c r="G21" s="132">
        <f>IFERROR(IF(VLOOKUP(A21,TableHandbook[],5,FALSE)=0,"",VLOOKUP(A21,TableHandbook[],5,FALSE)),"")</f>
        <v>25</v>
      </c>
      <c r="H21" s="187" t="str">
        <f>IFERROR(VLOOKUP($A21,TableHandbook[],H$2,FALSE),"")</f>
        <v/>
      </c>
      <c r="I21" s="188" t="str">
        <f>IFERROR(VLOOKUP($A21,TableHandbook[],I$2,FALSE),"")</f>
        <v/>
      </c>
      <c r="J21" s="188" t="str">
        <f>IFERROR(VLOOKUP($A21,TableHandbook[],J$2,FALSE),"")</f>
        <v/>
      </c>
      <c r="K21" s="189" t="str">
        <f>IFERROR(VLOOKUP($A21,TableHandbook[],K$2,FALSE),"")</f>
        <v>Y</v>
      </c>
      <c r="L21" s="165"/>
      <c r="M21" s="150">
        <v>6</v>
      </c>
      <c r="W21" s="26"/>
    </row>
    <row r="22" spans="1:23" x14ac:dyDescent="0.25">
      <c r="A22" s="129" t="str">
        <f t="shared" si="1"/>
        <v>URDE5015</v>
      </c>
      <c r="B22" s="130">
        <f>IFERROR(IF(VLOOKUP(A22,TableHandbook[],2,FALSE)=0,"",VLOOKUP(A22,TableHandbook[],2,FALSE)),"")</f>
        <v>3</v>
      </c>
      <c r="C22" s="130" t="str">
        <f>IFERROR(IF(VLOOKUP(A22,TableHandbook[],3,FALSE)=0,"",VLOOKUP(A22,TableHandbook[],3,FALSE)),"")</f>
        <v>URP530</v>
      </c>
      <c r="D22" s="131" t="str">
        <f>IFERROR(VLOOKUP(A22,TableHandbook[],4,FALSE),"")</f>
        <v>Planning Theory and Context</v>
      </c>
      <c r="E22" s="132"/>
      <c r="F22" s="132" t="str">
        <f>IFERROR(IF(VLOOKUP(A22,TableHandbook[],6,FALSE)=0,"",VLOOKUP(A22,TableHandbook[],6,FALSE)),"")</f>
        <v>Nil</v>
      </c>
      <c r="G22" s="132">
        <f>IFERROR(IF(VLOOKUP(A22,TableHandbook[],5,FALSE)=0,"",VLOOKUP(A22,TableHandbook[],5,FALSE)),"")</f>
        <v>25</v>
      </c>
      <c r="H22" s="187" t="str">
        <f>IFERROR(VLOOKUP($A22,TableHandbook[],H$2,FALSE),"")</f>
        <v/>
      </c>
      <c r="I22" s="188" t="str">
        <f>IFERROR(VLOOKUP($A22,TableHandbook[],I$2,FALSE),"")</f>
        <v>Y</v>
      </c>
      <c r="J22" s="188" t="str">
        <f>IFERROR(VLOOKUP($A22,TableHandbook[],J$2,FALSE),"")</f>
        <v/>
      </c>
      <c r="K22" s="189" t="str">
        <f>IFERROR(VLOOKUP($A22,TableHandbook[],K$2,FALSE),"")</f>
        <v>Y</v>
      </c>
      <c r="L22" s="165"/>
      <c r="M22" s="150">
        <v>7</v>
      </c>
      <c r="W22" s="26"/>
    </row>
    <row r="23" spans="1:23" x14ac:dyDescent="0.25">
      <c r="A23" s="129" t="str">
        <f t="shared" si="1"/>
        <v>URDE5016</v>
      </c>
      <c r="B23" s="130">
        <f>IFERROR(IF(VLOOKUP(A23,TableHandbook[],2,FALSE)=0,"",VLOOKUP(A23,TableHandbook[],2,FALSE)),"")</f>
        <v>1</v>
      </c>
      <c r="C23" s="130" t="str">
        <f>IFERROR(IF(VLOOKUP(A23,TableHandbook[],3,FALSE)=0,"",VLOOKUP(A23,TableHandbook[],3,FALSE)),"")</f>
        <v>URP500</v>
      </c>
      <c r="D23" s="131" t="str">
        <f>IFERROR(VLOOKUP(A23,TableHandbook[],4,FALSE),"")</f>
        <v>Planning Law</v>
      </c>
      <c r="E23" s="132"/>
      <c r="F23" s="132" t="str">
        <f>IFERROR(IF(VLOOKUP(A23,TableHandbook[],6,FALSE)=0,"",VLOOKUP(A23,TableHandbook[],6,FALSE)),"")</f>
        <v>Nil</v>
      </c>
      <c r="G23" s="132">
        <f>IFERROR(IF(VLOOKUP(A23,TableHandbook[],5,FALSE)=0,"",VLOOKUP(A23,TableHandbook[],5,FALSE)),"")</f>
        <v>25</v>
      </c>
      <c r="H23" s="187" t="str">
        <f>IFERROR(VLOOKUP($A23,TableHandbook[],H$2,FALSE),"")</f>
        <v>Y</v>
      </c>
      <c r="I23" s="188" t="str">
        <f>IFERROR(VLOOKUP($A23,TableHandbook[],I$2,FALSE),"")</f>
        <v/>
      </c>
      <c r="J23" s="188" t="str">
        <f>IFERROR(VLOOKUP($A23,TableHandbook[],J$2,FALSE),"")</f>
        <v/>
      </c>
      <c r="K23" s="189" t="str">
        <f>IFERROR(VLOOKUP($A23,TableHandbook[],K$2,FALSE),"")</f>
        <v/>
      </c>
      <c r="L23" s="165"/>
      <c r="M23" s="150">
        <v>8</v>
      </c>
      <c r="W23" s="26"/>
    </row>
    <row r="24" spans="1:23" x14ac:dyDescent="0.25">
      <c r="A24" s="129" t="str">
        <f t="shared" si="1"/>
        <v>URDE5017</v>
      </c>
      <c r="B24" s="130">
        <f>IFERROR(IF(VLOOKUP(A24,TableHandbook[],2,FALSE)=0,"",VLOOKUP(A24,TableHandbook[],2,FALSE)),"")</f>
        <v>2</v>
      </c>
      <c r="C24" s="130" t="str">
        <f>IFERROR(IF(VLOOKUP(A24,TableHandbook[],3,FALSE)=0,"",VLOOKUP(A24,TableHandbook[],3,FALSE)),"")</f>
        <v>URP510</v>
      </c>
      <c r="D24" s="131" t="str">
        <f>IFERROR(VLOOKUP(A24,TableHandbook[],4,FALSE),"")</f>
        <v>Planning for Regions</v>
      </c>
      <c r="E24" s="132"/>
      <c r="F24" s="132" t="str">
        <f>IFERROR(IF(VLOOKUP(A24,TableHandbook[],6,FALSE)=0,"",VLOOKUP(A24,TableHandbook[],6,FALSE)),"")</f>
        <v>Nil</v>
      </c>
      <c r="G24" s="132">
        <f>IFERROR(IF(VLOOKUP(A24,TableHandbook[],5,FALSE)=0,"",VLOOKUP(A24,TableHandbook[],5,FALSE)),"")</f>
        <v>25</v>
      </c>
      <c r="H24" s="187" t="str">
        <f>IFERROR(VLOOKUP($A24,TableHandbook[],H$2,FALSE),"")</f>
        <v/>
      </c>
      <c r="I24" s="188" t="str">
        <f>IFERROR(VLOOKUP($A24,TableHandbook[],I$2,FALSE),"")</f>
        <v>Y</v>
      </c>
      <c r="J24" s="188" t="str">
        <f>IFERROR(VLOOKUP($A24,TableHandbook[],J$2,FALSE),"")</f>
        <v/>
      </c>
      <c r="K24" s="189" t="str">
        <f>IFERROR(VLOOKUP($A24,TableHandbook[],K$2,FALSE),"")</f>
        <v/>
      </c>
      <c r="L24" s="165"/>
      <c r="M24" s="150">
        <v>9</v>
      </c>
      <c r="W24" s="26"/>
    </row>
    <row r="25" spans="1:23" x14ac:dyDescent="0.25">
      <c r="A25" s="129" t="str">
        <f t="shared" si="1"/>
        <v>URDE6004</v>
      </c>
      <c r="B25" s="130">
        <f>IFERROR(IF(VLOOKUP(A25,TableHandbook[],2,FALSE)=0,"",VLOOKUP(A25,TableHandbook[],2,FALSE)),"")</f>
        <v>1</v>
      </c>
      <c r="C25" s="130" t="str">
        <f>IFERROR(IF(VLOOKUP(A25,TableHandbook[],3,FALSE)=0,"",VLOOKUP(A25,TableHandbook[],3,FALSE)),"")</f>
        <v>URP640</v>
      </c>
      <c r="D25" s="131" t="str">
        <f>IFERROR(VLOOKUP(A25,TableHandbook[],4,FALSE),"")</f>
        <v>Participatory Planning</v>
      </c>
      <c r="E25" s="132"/>
      <c r="F25" s="132" t="str">
        <f>IFERROR(IF(VLOOKUP(A25,TableHandbook[],6,FALSE)=0,"",VLOOKUP(A25,TableHandbook[],6,FALSE)),"")</f>
        <v>Nil</v>
      </c>
      <c r="G25" s="132">
        <f>IFERROR(IF(VLOOKUP(A25,TableHandbook[],5,FALSE)=0,"",VLOOKUP(A25,TableHandbook[],5,FALSE)),"")</f>
        <v>25</v>
      </c>
      <c r="H25" s="187" t="str">
        <f>IFERROR(VLOOKUP($A25,TableHandbook[],H$2,FALSE),"")</f>
        <v/>
      </c>
      <c r="I25" s="188" t="str">
        <f>IFERROR(VLOOKUP($A25,TableHandbook[],I$2,FALSE),"")</f>
        <v/>
      </c>
      <c r="J25" s="188" t="str">
        <f>IFERROR(VLOOKUP($A25,TableHandbook[],J$2,FALSE),"")</f>
        <v/>
      </c>
      <c r="K25" s="189" t="str">
        <f>IFERROR(VLOOKUP($A25,TableHandbook[],K$2,FALSE),"")</f>
        <v>Y</v>
      </c>
      <c r="L25" s="165"/>
      <c r="M25" s="150">
        <v>10</v>
      </c>
      <c r="W25" s="26"/>
    </row>
    <row r="26" spans="1:23" x14ac:dyDescent="0.25">
      <c r="A26" s="129" t="str">
        <f t="shared" si="1"/>
        <v>WORK5001</v>
      </c>
      <c r="B26" s="130">
        <f>IFERROR(IF(VLOOKUP(A26,TableHandbook[],2,FALSE)=0,"",VLOOKUP(A26,TableHandbook[],2,FALSE)),"")</f>
        <v>1</v>
      </c>
      <c r="C26" s="130" t="str">
        <f>IFERROR(IF(VLOOKUP(A26,TableHandbook[],3,FALSE)=0,"",VLOOKUP(A26,TableHandbook[],3,FALSE)),"")</f>
        <v>WBP500</v>
      </c>
      <c r="D26" s="131" t="str">
        <f>IFERROR(VLOOKUP(A26,TableHandbook[],4,FALSE),"")</f>
        <v>Work Based Project (with approval)</v>
      </c>
      <c r="E26" s="132"/>
      <c r="F26" s="132" t="str">
        <f>IFERROR(IF(VLOOKUP(A26,TableHandbook[],6,FALSE)=0,"",VLOOKUP(A26,TableHandbook[],6,FALSE)),"")</f>
        <v>See OUA Website</v>
      </c>
      <c r="G26" s="132">
        <f>IFERROR(IF(VLOOKUP(A26,TableHandbook[],5,FALSE)=0,"",VLOOKUP(A26,TableHandbook[],5,FALSE)),"")</f>
        <v>25</v>
      </c>
      <c r="H26" s="187" t="str">
        <f>IFERROR(VLOOKUP($A26,TableHandbook[],H$2,FALSE),"")</f>
        <v/>
      </c>
      <c r="I26" s="188" t="str">
        <f>IFERROR(VLOOKUP($A26,TableHandbook[],I$2,FALSE),"")</f>
        <v/>
      </c>
      <c r="J26" s="188" t="str">
        <f>IFERROR(VLOOKUP($A26,TableHandbook[],J$2,FALSE),"")</f>
        <v/>
      </c>
      <c r="K26" s="189" t="str">
        <f>IFERROR(VLOOKUP($A26,TableHandbook[],K$2,FALSE),"")</f>
        <v/>
      </c>
      <c r="L26" s="165"/>
      <c r="M26" s="150">
        <v>11</v>
      </c>
      <c r="W26" s="26"/>
    </row>
    <row r="27" spans="1:23" ht="21" customHeight="1" x14ac:dyDescent="0.25">
      <c r="A27" s="140"/>
      <c r="B27" s="140"/>
      <c r="C27" s="140"/>
      <c r="D27" s="141"/>
      <c r="E27" s="142"/>
      <c r="F27" s="142"/>
      <c r="G27" s="142"/>
      <c r="H27" s="142"/>
      <c r="I27" s="142"/>
      <c r="J27" s="142"/>
      <c r="K27" s="142"/>
      <c r="L27" s="143"/>
      <c r="M27" s="105"/>
      <c r="W27" s="26"/>
    </row>
    <row r="28" spans="1:23" s="26" customFormat="1" ht="32.25" customHeight="1" x14ac:dyDescent="0.25">
      <c r="A28" s="221" t="s">
        <v>29</v>
      </c>
      <c r="B28" s="221"/>
      <c r="C28" s="221"/>
      <c r="D28" s="221"/>
      <c r="E28" s="221"/>
      <c r="F28" s="221"/>
      <c r="G28" s="221"/>
      <c r="H28" s="221"/>
      <c r="I28" s="221"/>
      <c r="J28" s="221"/>
      <c r="K28" s="221"/>
      <c r="L28" s="221"/>
      <c r="M28" s="105"/>
      <c r="N28" s="24"/>
      <c r="O28" s="24"/>
      <c r="P28" s="24"/>
      <c r="Q28" s="24"/>
      <c r="R28" s="24"/>
      <c r="S28" s="24"/>
      <c r="T28" s="24"/>
      <c r="U28" s="24"/>
      <c r="V28" s="24"/>
    </row>
    <row r="29" spans="1:23" s="34" customFormat="1" ht="24.95" customHeight="1" x14ac:dyDescent="0.3">
      <c r="A29" s="73" t="s">
        <v>30</v>
      </c>
      <c r="B29" s="73"/>
      <c r="C29" s="73"/>
      <c r="D29" s="74"/>
      <c r="E29" s="74"/>
      <c r="F29" s="74"/>
      <c r="G29" s="74"/>
      <c r="H29" s="74"/>
      <c r="I29" s="74"/>
      <c r="J29" s="74"/>
      <c r="K29" s="74"/>
      <c r="L29" s="74"/>
      <c r="M29" s="133"/>
      <c r="N29" s="133"/>
      <c r="O29" s="133"/>
      <c r="W29" s="33"/>
    </row>
    <row r="30" spans="1:23" s="26" customFormat="1" ht="15" customHeight="1" x14ac:dyDescent="0.25">
      <c r="A30" s="134" t="s">
        <v>31</v>
      </c>
      <c r="B30" s="134"/>
      <c r="C30" s="134"/>
      <c r="D30" s="134"/>
      <c r="E30" s="135"/>
      <c r="F30" s="117"/>
      <c r="G30" s="136"/>
      <c r="H30" s="136"/>
      <c r="I30" s="136"/>
      <c r="J30" s="136"/>
      <c r="K30" s="136"/>
      <c r="L30" s="136" t="s">
        <v>32</v>
      </c>
      <c r="M30" s="24"/>
      <c r="N30" s="24"/>
      <c r="O30" s="24"/>
      <c r="P30" s="24"/>
      <c r="Q30" s="24"/>
      <c r="R30" s="24"/>
      <c r="S30" s="24"/>
      <c r="T30" s="24"/>
      <c r="U30" s="24"/>
      <c r="V30" s="24"/>
    </row>
  </sheetData>
  <sheetProtection formatCells="0"/>
  <mergeCells count="2">
    <mergeCell ref="A3:D3"/>
    <mergeCell ref="A28:L28"/>
  </mergeCells>
  <conditionalFormatting sqref="A9:L13 A17:L26">
    <cfRule type="expression" dxfId="15" priority="2">
      <formula>$A9=""</formula>
    </cfRule>
  </conditionalFormatting>
  <conditionalFormatting sqref="D5:D6">
    <cfRule type="containsText" dxfId="14" priority="3" operator="containsText" text="Choose">
      <formula>NOT(ISERROR(SEARCH("Choose",D5)))</formula>
    </cfRule>
  </conditionalFormatting>
  <conditionalFormatting sqref="H9:K13">
    <cfRule type="expression" dxfId="13"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1"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8CB7-4946-4B63-AB79-401704661F2A}">
  <dimension ref="A1:H28"/>
  <sheetViews>
    <sheetView workbookViewId="0">
      <selection activeCell="B27" sqref="B27"/>
    </sheetView>
  </sheetViews>
  <sheetFormatPr defaultRowHeight="12.75" x14ac:dyDescent="0.2"/>
  <cols>
    <col min="1" max="1" width="75" style="12" bestFit="1" customWidth="1"/>
    <col min="2" max="2" width="12.28515625" style="7" bestFit="1" customWidth="1"/>
    <col min="3" max="3" width="22.42578125" style="7" bestFit="1" customWidth="1"/>
    <col min="4" max="4" width="19.28515625" style="7" bestFit="1" customWidth="1"/>
    <col min="5" max="5" width="16.28515625" style="7" bestFit="1" customWidth="1"/>
    <col min="6" max="6" width="21.28515625" style="7" bestFit="1" customWidth="1"/>
    <col min="7" max="7" width="22.28515625" style="7" bestFit="1" customWidth="1"/>
    <col min="8" max="8" width="19" style="7" bestFit="1" customWidth="1"/>
  </cols>
  <sheetData>
    <row r="1" spans="1:8" ht="16.5" customHeight="1" x14ac:dyDescent="0.25">
      <c r="A1" s="14" t="s">
        <v>36</v>
      </c>
      <c r="B1" s="15"/>
      <c r="C1" s="15"/>
      <c r="D1" s="15"/>
    </row>
    <row r="3" spans="1:8" x14ac:dyDescent="0.2">
      <c r="A3" s="195" t="s">
        <v>37</v>
      </c>
    </row>
    <row r="4" spans="1:8" x14ac:dyDescent="0.2">
      <c r="A4" s="7" t="s">
        <v>38</v>
      </c>
      <c r="B4" s="12" t="s">
        <v>0</v>
      </c>
      <c r="C4" s="7" t="s">
        <v>39</v>
      </c>
      <c r="D4" s="7" t="s">
        <v>40</v>
      </c>
      <c r="E4" s="7" t="s">
        <v>41</v>
      </c>
      <c r="F4" s="7" t="s">
        <v>42</v>
      </c>
      <c r="G4" s="7" t="s">
        <v>43</v>
      </c>
      <c r="H4" s="7" t="s">
        <v>44</v>
      </c>
    </row>
    <row r="5" spans="1:8" x14ac:dyDescent="0.2">
      <c r="A5" s="7" t="s">
        <v>34</v>
      </c>
      <c r="B5" s="204" t="s">
        <v>45</v>
      </c>
      <c r="C5" s="204" t="s">
        <v>46</v>
      </c>
      <c r="D5" s="205">
        <v>44013</v>
      </c>
      <c r="E5" s="204">
        <v>5</v>
      </c>
      <c r="F5" s="205">
        <v>45474</v>
      </c>
      <c r="G5" s="196" t="s">
        <v>47</v>
      </c>
      <c r="H5" s="204" t="s">
        <v>48</v>
      </c>
    </row>
    <row r="6" spans="1:8" x14ac:dyDescent="0.2">
      <c r="A6" s="7" t="s">
        <v>33</v>
      </c>
      <c r="B6" s="204" t="s">
        <v>49</v>
      </c>
      <c r="C6" s="204" t="s">
        <v>46</v>
      </c>
      <c r="D6" s="205">
        <v>44013</v>
      </c>
      <c r="E6" s="204">
        <v>6</v>
      </c>
      <c r="F6" s="205">
        <v>45474</v>
      </c>
      <c r="G6" s="196" t="s">
        <v>50</v>
      </c>
      <c r="H6" s="204" t="s">
        <v>48</v>
      </c>
    </row>
    <row r="7" spans="1:8" x14ac:dyDescent="0.2">
      <c r="A7" t="s">
        <v>11</v>
      </c>
      <c r="B7" s="204" t="s">
        <v>51</v>
      </c>
      <c r="C7" s="204" t="s">
        <v>52</v>
      </c>
      <c r="D7" s="205">
        <v>44927</v>
      </c>
      <c r="E7" s="204">
        <v>10</v>
      </c>
      <c r="F7" s="205">
        <v>45474</v>
      </c>
      <c r="G7" s="196" t="s">
        <v>53</v>
      </c>
      <c r="H7" s="204" t="s">
        <v>48</v>
      </c>
    </row>
    <row r="9" spans="1:8" x14ac:dyDescent="0.2">
      <c r="A9" s="195" t="s">
        <v>54</v>
      </c>
    </row>
    <row r="10" spans="1:8" x14ac:dyDescent="0.2">
      <c r="A10" s="13" t="s">
        <v>14</v>
      </c>
      <c r="B10" s="16" t="s">
        <v>55</v>
      </c>
      <c r="C10" s="7" t="s">
        <v>56</v>
      </c>
      <c r="D10" s="7" t="s">
        <v>57</v>
      </c>
      <c r="E10" s="7" t="s">
        <v>58</v>
      </c>
    </row>
    <row r="11" spans="1:8" x14ac:dyDescent="0.2">
      <c r="A11" s="7" t="s">
        <v>59</v>
      </c>
      <c r="B11" s="8" t="s">
        <v>22</v>
      </c>
      <c r="C11" s="8" t="s">
        <v>23</v>
      </c>
      <c r="D11" s="8" t="s">
        <v>24</v>
      </c>
      <c r="E11" s="8" t="s">
        <v>25</v>
      </c>
    </row>
    <row r="12" spans="1:8" x14ac:dyDescent="0.2">
      <c r="A12" s="7" t="s">
        <v>60</v>
      </c>
      <c r="B12" s="8" t="s">
        <v>23</v>
      </c>
      <c r="C12" s="8" t="s">
        <v>24</v>
      </c>
      <c r="D12" s="8" t="s">
        <v>25</v>
      </c>
      <c r="E12" s="8" t="s">
        <v>22</v>
      </c>
    </row>
    <row r="13" spans="1:8" x14ac:dyDescent="0.2">
      <c r="A13" s="7" t="s">
        <v>35</v>
      </c>
      <c r="B13" s="8" t="s">
        <v>24</v>
      </c>
      <c r="C13" s="8" t="s">
        <v>25</v>
      </c>
      <c r="D13" s="8" t="s">
        <v>22</v>
      </c>
      <c r="E13" s="8" t="s">
        <v>23</v>
      </c>
    </row>
    <row r="14" spans="1:8" x14ac:dyDescent="0.2">
      <c r="A14" s="7" t="s">
        <v>61</v>
      </c>
      <c r="B14" s="8" t="s">
        <v>25</v>
      </c>
      <c r="C14" s="8" t="s">
        <v>22</v>
      </c>
      <c r="D14" s="8" t="s">
        <v>23</v>
      </c>
      <c r="E14" s="8" t="s">
        <v>24</v>
      </c>
      <c r="F14" s="17"/>
      <c r="G14" s="17"/>
      <c r="H14" s="17"/>
    </row>
    <row r="15" spans="1:8" x14ac:dyDescent="0.2">
      <c r="C15"/>
    </row>
    <row r="16" spans="1:8" x14ac:dyDescent="0.2">
      <c r="A16"/>
      <c r="B16"/>
      <c r="C16"/>
      <c r="D16"/>
      <c r="E16" s="6"/>
    </row>
    <row r="17" spans="1:4" x14ac:dyDescent="0.2">
      <c r="A17" t="s">
        <v>193</v>
      </c>
      <c r="B17" s="206">
        <v>45895</v>
      </c>
      <c r="C17"/>
      <c r="D17"/>
    </row>
    <row r="18" spans="1:4" x14ac:dyDescent="0.2">
      <c r="A18" t="s">
        <v>194</v>
      </c>
      <c r="B18" s="206">
        <v>45741</v>
      </c>
      <c r="C18"/>
      <c r="D18"/>
    </row>
    <row r="19" spans="1:4" x14ac:dyDescent="0.2">
      <c r="A19" s="6" t="s">
        <v>195</v>
      </c>
      <c r="B19" s="206">
        <v>45895</v>
      </c>
      <c r="C19"/>
    </row>
    <row r="20" spans="1:4" x14ac:dyDescent="0.2">
      <c r="A20" s="6" t="s">
        <v>196</v>
      </c>
      <c r="B20" s="206">
        <v>45897</v>
      </c>
      <c r="C20"/>
    </row>
    <row r="21" spans="1:4" x14ac:dyDescent="0.2">
      <c r="A21" s="12" t="s">
        <v>197</v>
      </c>
      <c r="B21" s="206">
        <v>46031</v>
      </c>
      <c r="C21"/>
    </row>
    <row r="22" spans="1:4" x14ac:dyDescent="0.2">
      <c r="A22" s="12" t="s">
        <v>198</v>
      </c>
      <c r="B22" s="206">
        <v>45982</v>
      </c>
    </row>
    <row r="23" spans="1:4" x14ac:dyDescent="0.2">
      <c r="A23" s="12" t="s">
        <v>199</v>
      </c>
      <c r="B23" s="206">
        <v>45897</v>
      </c>
    </row>
    <row r="24" spans="1:4" x14ac:dyDescent="0.2">
      <c r="A24" s="12" t="s">
        <v>200</v>
      </c>
      <c r="B24" s="197">
        <v>45982</v>
      </c>
      <c r="C24"/>
    </row>
    <row r="25" spans="1:4" x14ac:dyDescent="0.2">
      <c r="A25" s="12" t="s">
        <v>201</v>
      </c>
      <c r="B25" s="197">
        <v>45982</v>
      </c>
    </row>
    <row r="26" spans="1:4" x14ac:dyDescent="0.2">
      <c r="B26" s="194"/>
    </row>
    <row r="27" spans="1:4" x14ac:dyDescent="0.2">
      <c r="A27" s="219" t="s">
        <v>203</v>
      </c>
      <c r="B27" s="197">
        <v>46031</v>
      </c>
    </row>
    <row r="28" spans="1:4" x14ac:dyDescent="0.2">
      <c r="A28"/>
      <c r="B28"/>
    </row>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F56"/>
  <sheetViews>
    <sheetView zoomScale="85" zoomScaleNormal="85" workbookViewId="0">
      <selection activeCell="B27" sqref="B27"/>
    </sheetView>
  </sheetViews>
  <sheetFormatPr defaultRowHeight="12.75" x14ac:dyDescent="0.2"/>
  <cols>
    <col min="1" max="1" width="16.28515625" style="7" bestFit="1" customWidth="1"/>
    <col min="2" max="2" width="2.85546875" bestFit="1" customWidth="1"/>
    <col min="3" max="3" width="10.7109375" bestFit="1" customWidth="1"/>
    <col min="4" max="4" width="16" bestFit="1" customWidth="1"/>
    <col min="5" max="5" width="11" customWidth="1"/>
    <col min="6" max="6" width="19.42578125" bestFit="1" customWidth="1"/>
    <col min="7" max="7" width="5.7109375" bestFit="1" customWidth="1"/>
    <col min="8" max="8" width="16.28515625" bestFit="1" customWidth="1"/>
    <col min="9" max="9" width="5.7109375" bestFit="1" customWidth="1"/>
    <col min="10" max="10" width="16.28515625" bestFit="1" customWidth="1"/>
    <col min="11" max="11" width="5.7109375" bestFit="1" customWidth="1"/>
    <col min="12" max="12" width="16" bestFit="1" customWidth="1"/>
    <col min="13" max="13" width="5.7109375" bestFit="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6" bestFit="1" customWidth="1"/>
    <col min="20" max="20" width="16.28515625" bestFit="1" customWidth="1"/>
    <col min="21" max="21" width="6" bestFit="1" customWidth="1"/>
    <col min="22" max="22" width="16.5703125" bestFit="1" customWidth="1"/>
    <col min="23" max="23" width="6" bestFit="1" customWidth="1"/>
    <col min="24" max="24" width="16.5703125" bestFit="1" customWidth="1"/>
    <col min="25" max="25" width="6" bestFit="1" customWidth="1"/>
    <col min="26" max="26" width="16.5703125" bestFit="1" customWidth="1"/>
    <col min="27" max="27" width="6.140625" customWidth="1"/>
    <col min="29" max="29" width="21" customWidth="1"/>
    <col min="30" max="30" width="12.140625" bestFit="1" customWidth="1"/>
  </cols>
  <sheetData>
    <row r="1" spans="1:32" ht="15.75" customHeight="1" x14ac:dyDescent="0.2"/>
    <row r="2" spans="1:32" ht="15.75" customHeight="1" x14ac:dyDescent="0.25">
      <c r="C2" s="40"/>
      <c r="D2" s="9"/>
      <c r="E2" s="9"/>
      <c r="F2" s="9"/>
      <c r="G2" s="9"/>
      <c r="H2" s="9"/>
      <c r="I2" s="9"/>
      <c r="J2" s="9"/>
      <c r="K2" s="9"/>
      <c r="L2" s="9"/>
      <c r="M2" s="9"/>
      <c r="N2" s="9"/>
      <c r="O2" s="9"/>
      <c r="P2" s="9"/>
      <c r="Q2" s="9"/>
      <c r="R2" s="9"/>
      <c r="S2" s="9"/>
      <c r="T2" s="9"/>
      <c r="U2" s="9"/>
      <c r="V2" s="9"/>
      <c r="W2" s="9"/>
      <c r="X2" s="9"/>
      <c r="Y2" s="10"/>
      <c r="Z2" s="9"/>
      <c r="AA2" s="10"/>
      <c r="AB2" s="19"/>
      <c r="AC2" s="19"/>
      <c r="AD2" s="19"/>
      <c r="AE2" s="19"/>
      <c r="AF2" s="19"/>
    </row>
    <row r="3" spans="1:32" ht="15.75" customHeight="1" x14ac:dyDescent="0.25">
      <c r="A3" s="67" t="s">
        <v>62</v>
      </c>
      <c r="B3" s="2">
        <v>1</v>
      </c>
      <c r="C3" s="1"/>
      <c r="D3" s="54" t="s">
        <v>63</v>
      </c>
      <c r="E3" s="1"/>
      <c r="F3" s="54" t="s">
        <v>64</v>
      </c>
      <c r="G3" s="1"/>
      <c r="H3" s="54" t="s">
        <v>65</v>
      </c>
      <c r="I3" s="1"/>
      <c r="J3" s="54" t="s">
        <v>66</v>
      </c>
      <c r="K3" s="1"/>
      <c r="L3" s="54" t="s">
        <v>67</v>
      </c>
      <c r="M3" s="1"/>
      <c r="N3" s="54" t="s">
        <v>68</v>
      </c>
      <c r="O3" s="1"/>
      <c r="P3" s="54" t="s">
        <v>69</v>
      </c>
      <c r="Q3" s="1"/>
      <c r="R3" s="54" t="s">
        <v>70</v>
      </c>
      <c r="S3" s="1"/>
      <c r="T3" s="11" t="s">
        <v>71</v>
      </c>
      <c r="U3" s="1"/>
      <c r="V3" s="11" t="s">
        <v>72</v>
      </c>
      <c r="W3" s="1"/>
      <c r="X3" s="11" t="s">
        <v>73</v>
      </c>
      <c r="Y3" s="45"/>
      <c r="Z3" s="46" t="s">
        <v>74</v>
      </c>
    </row>
    <row r="4" spans="1:32" ht="15.75" customHeight="1" x14ac:dyDescent="0.2">
      <c r="B4" s="18">
        <v>2</v>
      </c>
      <c r="C4" s="48" t="s">
        <v>75</v>
      </c>
      <c r="D4" s="65" t="s">
        <v>76</v>
      </c>
      <c r="E4" s="48" t="s">
        <v>77</v>
      </c>
      <c r="F4" s="65" t="s">
        <v>78</v>
      </c>
      <c r="G4" s="48" t="s">
        <v>79</v>
      </c>
      <c r="H4" s="65" t="s">
        <v>76</v>
      </c>
      <c r="I4" s="48" t="s">
        <v>80</v>
      </c>
      <c r="J4" s="65" t="s">
        <v>78</v>
      </c>
      <c r="K4" s="48" t="s">
        <v>75</v>
      </c>
      <c r="L4" s="65" t="s">
        <v>76</v>
      </c>
      <c r="M4" s="48" t="s">
        <v>77</v>
      </c>
      <c r="N4" s="65" t="s">
        <v>78</v>
      </c>
      <c r="O4" s="48" t="s">
        <v>79</v>
      </c>
      <c r="P4" s="65" t="s">
        <v>84</v>
      </c>
      <c r="Q4" s="48" t="s">
        <v>80</v>
      </c>
      <c r="R4" s="65" t="s">
        <v>78</v>
      </c>
      <c r="S4" s="48" t="s">
        <v>75</v>
      </c>
      <c r="T4" s="83" t="s">
        <v>76</v>
      </c>
      <c r="U4" s="48" t="s">
        <v>77</v>
      </c>
      <c r="V4" s="83" t="s">
        <v>78</v>
      </c>
      <c r="W4" s="48" t="s">
        <v>79</v>
      </c>
      <c r="X4" s="83" t="s">
        <v>84</v>
      </c>
      <c r="Y4" s="42" t="s">
        <v>80</v>
      </c>
      <c r="Z4" s="51" t="s">
        <v>78</v>
      </c>
    </row>
    <row r="5" spans="1:32" ht="15.75" customHeight="1" x14ac:dyDescent="0.2">
      <c r="B5" s="18">
        <v>3</v>
      </c>
      <c r="C5" s="41" t="s">
        <v>75</v>
      </c>
      <c r="D5" s="55" t="s">
        <v>81</v>
      </c>
      <c r="E5" s="41" t="s">
        <v>77</v>
      </c>
      <c r="F5" s="55" t="s">
        <v>82</v>
      </c>
      <c r="G5" s="41" t="s">
        <v>79</v>
      </c>
      <c r="H5" s="55" t="s">
        <v>81</v>
      </c>
      <c r="I5" s="41" t="s">
        <v>80</v>
      </c>
      <c r="J5" s="55" t="s">
        <v>82</v>
      </c>
      <c r="K5" s="41" t="s">
        <v>75</v>
      </c>
      <c r="L5" s="55" t="s">
        <v>81</v>
      </c>
      <c r="M5" s="41" t="s">
        <v>77</v>
      </c>
      <c r="N5" s="55" t="s">
        <v>83</v>
      </c>
      <c r="O5" s="41" t="s">
        <v>79</v>
      </c>
      <c r="P5" s="55" t="s">
        <v>81</v>
      </c>
      <c r="Q5" s="41" t="s">
        <v>80</v>
      </c>
      <c r="R5" s="55" t="s">
        <v>85</v>
      </c>
      <c r="S5" s="41" t="s">
        <v>75</v>
      </c>
      <c r="T5" s="3" t="s">
        <v>81</v>
      </c>
      <c r="U5" s="41" t="s">
        <v>77</v>
      </c>
      <c r="V5" s="3" t="s">
        <v>83</v>
      </c>
      <c r="W5" s="41" t="s">
        <v>79</v>
      </c>
      <c r="X5" s="3" t="s">
        <v>81</v>
      </c>
      <c r="Y5" s="43" t="s">
        <v>80</v>
      </c>
      <c r="Z5" s="52" t="s">
        <v>85</v>
      </c>
    </row>
    <row r="6" spans="1:32" ht="15.75" customHeight="1" x14ac:dyDescent="0.2">
      <c r="B6" s="18">
        <v>4</v>
      </c>
      <c r="C6" s="41" t="s">
        <v>77</v>
      </c>
      <c r="D6" s="55" t="s">
        <v>78</v>
      </c>
      <c r="E6" s="41" t="s">
        <v>79</v>
      </c>
      <c r="F6" s="55" t="s">
        <v>76</v>
      </c>
      <c r="G6" s="41" t="s">
        <v>80</v>
      </c>
      <c r="H6" s="55" t="s">
        <v>78</v>
      </c>
      <c r="I6" s="41" t="s">
        <v>75</v>
      </c>
      <c r="J6" s="55" t="s">
        <v>76</v>
      </c>
      <c r="K6" s="41" t="s">
        <v>77</v>
      </c>
      <c r="L6" s="55" t="s">
        <v>78</v>
      </c>
      <c r="M6" s="41" t="s">
        <v>79</v>
      </c>
      <c r="N6" s="55" t="s">
        <v>84</v>
      </c>
      <c r="O6" s="41" t="s">
        <v>80</v>
      </c>
      <c r="P6" s="55" t="s">
        <v>78</v>
      </c>
      <c r="Q6" s="41" t="s">
        <v>75</v>
      </c>
      <c r="R6" s="55" t="s">
        <v>76</v>
      </c>
      <c r="S6" s="41" t="s">
        <v>77</v>
      </c>
      <c r="T6" s="3" t="s">
        <v>78</v>
      </c>
      <c r="U6" s="41" t="s">
        <v>79</v>
      </c>
      <c r="V6" s="3" t="s">
        <v>84</v>
      </c>
      <c r="W6" s="41" t="s">
        <v>80</v>
      </c>
      <c r="X6" s="3" t="s">
        <v>78</v>
      </c>
      <c r="Y6" s="43" t="s">
        <v>75</v>
      </c>
      <c r="Z6" s="52" t="s">
        <v>76</v>
      </c>
    </row>
    <row r="7" spans="1:32" ht="15.75" customHeight="1" x14ac:dyDescent="0.2">
      <c r="B7" s="18">
        <v>5</v>
      </c>
      <c r="C7" s="41" t="s">
        <v>77</v>
      </c>
      <c r="D7" s="55" t="s">
        <v>82</v>
      </c>
      <c r="E7" s="41" t="s">
        <v>79</v>
      </c>
      <c r="F7" s="55" t="s">
        <v>81</v>
      </c>
      <c r="G7" s="41" t="s">
        <v>80</v>
      </c>
      <c r="H7" s="55" t="s">
        <v>82</v>
      </c>
      <c r="I7" s="41" t="s">
        <v>75</v>
      </c>
      <c r="J7" s="55" t="s">
        <v>81</v>
      </c>
      <c r="K7" s="41" t="s">
        <v>77</v>
      </c>
      <c r="L7" s="55" t="s">
        <v>83</v>
      </c>
      <c r="M7" s="41" t="s">
        <v>79</v>
      </c>
      <c r="N7" s="55" t="s">
        <v>81</v>
      </c>
      <c r="O7" s="41" t="s">
        <v>80</v>
      </c>
      <c r="P7" s="55" t="s">
        <v>85</v>
      </c>
      <c r="Q7" s="41" t="s">
        <v>75</v>
      </c>
      <c r="R7" s="55" t="s">
        <v>81</v>
      </c>
      <c r="S7" s="41" t="s">
        <v>77</v>
      </c>
      <c r="T7" s="3" t="s">
        <v>83</v>
      </c>
      <c r="U7" s="41" t="s">
        <v>79</v>
      </c>
      <c r="V7" s="3" t="s">
        <v>81</v>
      </c>
      <c r="W7" s="41" t="s">
        <v>80</v>
      </c>
      <c r="X7" s="3" t="s">
        <v>85</v>
      </c>
      <c r="Y7" s="43" t="s">
        <v>75</v>
      </c>
      <c r="Z7" s="52" t="s">
        <v>81</v>
      </c>
    </row>
    <row r="8" spans="1:32" ht="15.75" customHeight="1" x14ac:dyDescent="0.2">
      <c r="B8" s="18">
        <v>6</v>
      </c>
      <c r="C8" s="48"/>
      <c r="D8" s="65"/>
      <c r="E8" s="48"/>
      <c r="F8" s="65"/>
      <c r="G8" s="48"/>
      <c r="H8" s="65"/>
      <c r="I8" s="48"/>
      <c r="J8" s="65"/>
      <c r="K8" s="56" t="s">
        <v>79</v>
      </c>
      <c r="L8" s="81" t="s">
        <v>84</v>
      </c>
      <c r="M8" s="56" t="s">
        <v>80</v>
      </c>
      <c r="N8" s="81" t="s">
        <v>85</v>
      </c>
      <c r="O8" s="56" t="s">
        <v>75</v>
      </c>
      <c r="P8" s="81" t="s">
        <v>76</v>
      </c>
      <c r="Q8" s="56" t="s">
        <v>77</v>
      </c>
      <c r="R8" s="81" t="s">
        <v>83</v>
      </c>
      <c r="S8" s="42" t="s">
        <v>79</v>
      </c>
      <c r="T8" s="47" t="s">
        <v>84</v>
      </c>
      <c r="U8" s="42" t="s">
        <v>80</v>
      </c>
      <c r="V8" s="47" t="s">
        <v>85</v>
      </c>
      <c r="W8" s="42" t="s">
        <v>75</v>
      </c>
      <c r="X8" s="47" t="s">
        <v>76</v>
      </c>
      <c r="Y8" s="42" t="s">
        <v>77</v>
      </c>
      <c r="Z8" s="51" t="s">
        <v>83</v>
      </c>
    </row>
    <row r="9" spans="1:32" ht="15.75" customHeight="1" x14ac:dyDescent="0.2">
      <c r="B9" s="18">
        <v>7</v>
      </c>
      <c r="C9" s="41"/>
      <c r="D9" s="55"/>
      <c r="E9" s="41"/>
      <c r="F9" s="55"/>
      <c r="G9" s="41"/>
      <c r="H9" s="55"/>
      <c r="I9" s="41"/>
      <c r="J9" s="55"/>
      <c r="K9" s="41" t="s">
        <v>79</v>
      </c>
      <c r="L9" s="55" t="s">
        <v>82</v>
      </c>
      <c r="M9" s="41" t="s">
        <v>80</v>
      </c>
      <c r="N9" s="55" t="s">
        <v>82</v>
      </c>
      <c r="O9" s="41" t="s">
        <v>75</v>
      </c>
      <c r="P9" s="55" t="s">
        <v>82</v>
      </c>
      <c r="Q9" s="41" t="s">
        <v>77</v>
      </c>
      <c r="R9" s="55" t="s">
        <v>82</v>
      </c>
      <c r="S9" s="43" t="s">
        <v>79</v>
      </c>
      <c r="T9" s="3" t="s">
        <v>86</v>
      </c>
      <c r="U9" s="43" t="s">
        <v>80</v>
      </c>
      <c r="V9" s="3" t="s">
        <v>82</v>
      </c>
      <c r="W9" s="43" t="s">
        <v>75</v>
      </c>
      <c r="X9" s="3" t="s">
        <v>86</v>
      </c>
      <c r="Y9" s="43" t="s">
        <v>77</v>
      </c>
      <c r="Z9" s="52" t="s">
        <v>82</v>
      </c>
    </row>
    <row r="10" spans="1:32" ht="15.75" customHeight="1" x14ac:dyDescent="0.2">
      <c r="B10" s="18">
        <v>8</v>
      </c>
      <c r="C10" s="41"/>
      <c r="D10" s="55"/>
      <c r="E10" s="41"/>
      <c r="F10" s="55"/>
      <c r="G10" s="41"/>
      <c r="H10" s="55"/>
      <c r="I10" s="41"/>
      <c r="J10" s="55"/>
      <c r="K10" s="41" t="s">
        <v>80</v>
      </c>
      <c r="L10" s="55" t="s">
        <v>85</v>
      </c>
      <c r="M10" s="41" t="s">
        <v>75</v>
      </c>
      <c r="N10" s="55" t="s">
        <v>76</v>
      </c>
      <c r="O10" s="41" t="s">
        <v>77</v>
      </c>
      <c r="P10" s="55" t="s">
        <v>83</v>
      </c>
      <c r="Q10" s="41" t="s">
        <v>79</v>
      </c>
      <c r="R10" s="55" t="s">
        <v>84</v>
      </c>
      <c r="S10" s="43" t="s">
        <v>80</v>
      </c>
      <c r="T10" s="3" t="s">
        <v>85</v>
      </c>
      <c r="U10" s="43" t="s">
        <v>75</v>
      </c>
      <c r="V10" s="3" t="s">
        <v>76</v>
      </c>
      <c r="W10" s="43" t="s">
        <v>77</v>
      </c>
      <c r="X10" s="3" t="s">
        <v>83</v>
      </c>
      <c r="Y10" s="43" t="s">
        <v>79</v>
      </c>
      <c r="Z10" s="52" t="s">
        <v>84</v>
      </c>
    </row>
    <row r="11" spans="1:32" ht="15.75" customHeight="1" x14ac:dyDescent="0.2">
      <c r="B11" s="18">
        <v>9</v>
      </c>
      <c r="C11" s="41"/>
      <c r="D11" s="55"/>
      <c r="E11" s="41"/>
      <c r="F11" s="55"/>
      <c r="G11" s="41"/>
      <c r="H11" s="55"/>
      <c r="I11" s="41"/>
      <c r="J11" s="55"/>
      <c r="K11" s="41" t="s">
        <v>80</v>
      </c>
      <c r="L11" s="55" t="s">
        <v>82</v>
      </c>
      <c r="M11" s="57" t="s">
        <v>75</v>
      </c>
      <c r="N11" s="82" t="s">
        <v>82</v>
      </c>
      <c r="O11" s="57" t="s">
        <v>77</v>
      </c>
      <c r="P11" s="82" t="s">
        <v>82</v>
      </c>
      <c r="Q11" s="57" t="s">
        <v>79</v>
      </c>
      <c r="R11" s="82" t="s">
        <v>82</v>
      </c>
      <c r="S11" s="44" t="s">
        <v>80</v>
      </c>
      <c r="T11" s="49" t="s">
        <v>82</v>
      </c>
      <c r="U11" s="44" t="s">
        <v>75</v>
      </c>
      <c r="V11" s="49" t="s">
        <v>86</v>
      </c>
      <c r="W11" s="44" t="s">
        <v>77</v>
      </c>
      <c r="X11" s="49" t="s">
        <v>82</v>
      </c>
      <c r="Y11" s="43" t="s">
        <v>79</v>
      </c>
      <c r="Z11" s="52" t="s">
        <v>86</v>
      </c>
    </row>
    <row r="12" spans="1:32" ht="15.75" customHeight="1" x14ac:dyDescent="0.2">
      <c r="B12" s="18">
        <v>10</v>
      </c>
      <c r="C12" s="41"/>
      <c r="D12" s="55"/>
      <c r="E12" s="41"/>
      <c r="F12" s="55"/>
      <c r="G12" s="41"/>
      <c r="H12" s="55"/>
      <c r="I12" s="41"/>
      <c r="J12" s="3"/>
      <c r="K12" s="48"/>
      <c r="L12" s="65"/>
      <c r="M12" s="48"/>
      <c r="N12" s="65"/>
      <c r="O12" s="48"/>
      <c r="P12" s="65"/>
      <c r="Q12" s="48"/>
      <c r="R12" s="65"/>
      <c r="S12" s="41" t="s">
        <v>87</v>
      </c>
      <c r="T12" s="3" t="s">
        <v>88</v>
      </c>
      <c r="U12" s="41" t="s">
        <v>89</v>
      </c>
      <c r="V12" s="3" t="s">
        <v>90</v>
      </c>
      <c r="W12" s="41" t="s">
        <v>91</v>
      </c>
      <c r="X12" s="3" t="s">
        <v>88</v>
      </c>
      <c r="Y12" s="42" t="s">
        <v>92</v>
      </c>
      <c r="Z12" s="51" t="s">
        <v>93</v>
      </c>
    </row>
    <row r="13" spans="1:32" ht="15.75" customHeight="1" x14ac:dyDescent="0.2">
      <c r="B13" s="18">
        <v>11</v>
      </c>
      <c r="C13" s="41"/>
      <c r="D13" s="55"/>
      <c r="E13" s="41"/>
      <c r="F13" s="55"/>
      <c r="G13" s="41"/>
      <c r="H13" s="55"/>
      <c r="I13" s="41"/>
      <c r="J13" s="3"/>
      <c r="K13" s="41"/>
      <c r="L13" s="55"/>
      <c r="M13" s="41"/>
      <c r="N13" s="55"/>
      <c r="O13" s="41"/>
      <c r="P13" s="55"/>
      <c r="Q13" s="41"/>
      <c r="R13" s="55"/>
      <c r="S13" s="41" t="s">
        <v>87</v>
      </c>
      <c r="T13" s="3" t="s">
        <v>82</v>
      </c>
      <c r="U13" s="41" t="s">
        <v>89</v>
      </c>
      <c r="V13" s="3" t="s">
        <v>82</v>
      </c>
      <c r="W13" s="41" t="s">
        <v>91</v>
      </c>
      <c r="X13" s="3" t="s">
        <v>82</v>
      </c>
      <c r="Y13" s="43" t="s">
        <v>92</v>
      </c>
      <c r="Z13" s="52" t="s">
        <v>82</v>
      </c>
    </row>
    <row r="14" spans="1:32" ht="15.75" customHeight="1" x14ac:dyDescent="0.2">
      <c r="B14" s="18">
        <v>12</v>
      </c>
      <c r="C14" s="41"/>
      <c r="D14" s="55"/>
      <c r="E14" s="41"/>
      <c r="F14" s="55"/>
      <c r="G14" s="41"/>
      <c r="H14" s="55"/>
      <c r="I14" s="41"/>
      <c r="J14" s="3"/>
      <c r="K14" s="41"/>
      <c r="L14" s="55"/>
      <c r="M14" s="41"/>
      <c r="N14" s="55"/>
      <c r="O14" s="41"/>
      <c r="P14" s="55"/>
      <c r="Q14" s="41"/>
      <c r="R14" s="55"/>
      <c r="S14" s="41" t="s">
        <v>89</v>
      </c>
      <c r="T14" s="3" t="s">
        <v>90</v>
      </c>
      <c r="U14" s="41" t="s">
        <v>91</v>
      </c>
      <c r="V14" s="3" t="s">
        <v>88</v>
      </c>
      <c r="W14" s="41" t="s">
        <v>92</v>
      </c>
      <c r="X14" s="3" t="s">
        <v>93</v>
      </c>
      <c r="Y14" s="43" t="s">
        <v>87</v>
      </c>
      <c r="Z14" s="52" t="s">
        <v>88</v>
      </c>
    </row>
    <row r="15" spans="1:32" ht="15.75" customHeight="1" x14ac:dyDescent="0.2">
      <c r="B15" s="18">
        <v>13</v>
      </c>
      <c r="C15" s="41"/>
      <c r="D15" s="55"/>
      <c r="E15" s="41"/>
      <c r="F15" s="55"/>
      <c r="G15" s="41"/>
      <c r="H15" s="55"/>
      <c r="I15" s="41"/>
      <c r="J15" s="3"/>
      <c r="K15" s="41"/>
      <c r="L15" s="55"/>
      <c r="M15" s="41"/>
      <c r="N15" s="55"/>
      <c r="O15" s="41"/>
      <c r="P15" s="55"/>
      <c r="Q15" s="41"/>
      <c r="R15" s="55"/>
      <c r="S15" s="41" t="s">
        <v>89</v>
      </c>
      <c r="T15" s="3" t="s">
        <v>82</v>
      </c>
      <c r="U15" s="41" t="s">
        <v>91</v>
      </c>
      <c r="V15" s="3" t="s">
        <v>82</v>
      </c>
      <c r="W15" s="41" t="s">
        <v>92</v>
      </c>
      <c r="X15" s="3" t="s">
        <v>82</v>
      </c>
      <c r="Y15" s="43" t="s">
        <v>87</v>
      </c>
      <c r="Z15" s="52" t="s">
        <v>82</v>
      </c>
    </row>
    <row r="16" spans="1:32" ht="15.75" customHeight="1" x14ac:dyDescent="0.2">
      <c r="B16" s="18">
        <v>14</v>
      </c>
      <c r="C16" s="41"/>
      <c r="D16" s="55"/>
      <c r="E16" s="41"/>
      <c r="F16" s="55"/>
      <c r="G16" s="41"/>
      <c r="H16" s="55"/>
      <c r="I16" s="41"/>
      <c r="J16" s="3"/>
      <c r="K16" s="41"/>
      <c r="L16" s="55"/>
      <c r="M16" s="41"/>
      <c r="N16" s="55"/>
      <c r="O16" s="41"/>
      <c r="P16" s="55"/>
      <c r="Q16" s="41"/>
      <c r="R16" s="55"/>
      <c r="S16" s="42" t="s">
        <v>79</v>
      </c>
      <c r="T16" s="69" t="s">
        <v>94</v>
      </c>
      <c r="U16" s="42" t="s">
        <v>80</v>
      </c>
      <c r="V16" s="51" t="s">
        <v>93</v>
      </c>
      <c r="W16" s="42" t="s">
        <v>75</v>
      </c>
      <c r="X16" s="69" t="s">
        <v>94</v>
      </c>
      <c r="Y16" s="47" t="s">
        <v>77</v>
      </c>
      <c r="Z16" s="51" t="s">
        <v>90</v>
      </c>
    </row>
    <row r="17" spans="1:27" ht="15.75" customHeight="1" x14ac:dyDescent="0.2">
      <c r="B17" s="18">
        <v>15</v>
      </c>
      <c r="C17" s="41"/>
      <c r="D17" s="55"/>
      <c r="E17" s="41"/>
      <c r="F17" s="55"/>
      <c r="G17" s="41"/>
      <c r="H17" s="55"/>
      <c r="I17" s="41"/>
      <c r="J17" s="3"/>
      <c r="K17" s="41"/>
      <c r="L17" s="55"/>
      <c r="M17" s="41"/>
      <c r="N17" s="55"/>
      <c r="O17" s="41"/>
      <c r="P17" s="55"/>
      <c r="Q17" s="41"/>
      <c r="R17" s="55"/>
      <c r="S17" s="43" t="s">
        <v>79</v>
      </c>
      <c r="T17" s="70" t="s">
        <v>95</v>
      </c>
      <c r="U17" s="43" t="s">
        <v>80</v>
      </c>
      <c r="V17" s="52" t="s">
        <v>96</v>
      </c>
      <c r="W17" s="43" t="s">
        <v>75</v>
      </c>
      <c r="X17" s="70" t="s">
        <v>95</v>
      </c>
      <c r="Y17" s="3" t="s">
        <v>77</v>
      </c>
      <c r="Z17" s="52" t="s">
        <v>96</v>
      </c>
    </row>
    <row r="18" spans="1:27" ht="15.75" customHeight="1" x14ac:dyDescent="0.2">
      <c r="B18" s="18">
        <v>16</v>
      </c>
      <c r="C18" s="41"/>
      <c r="D18" s="55"/>
      <c r="E18" s="41"/>
      <c r="F18" s="55"/>
      <c r="G18" s="41"/>
      <c r="H18" s="55"/>
      <c r="I18" s="41"/>
      <c r="J18" s="3"/>
      <c r="K18" s="41"/>
      <c r="L18" s="55"/>
      <c r="M18" s="41"/>
      <c r="N18" s="55"/>
      <c r="O18" s="41"/>
      <c r="P18" s="55"/>
      <c r="Q18" s="41"/>
      <c r="R18" s="55"/>
      <c r="S18" s="43" t="s">
        <v>80</v>
      </c>
      <c r="T18" s="52" t="s">
        <v>93</v>
      </c>
      <c r="U18" s="43" t="s">
        <v>75</v>
      </c>
      <c r="V18" s="70" t="s">
        <v>94</v>
      </c>
      <c r="W18" s="43" t="s">
        <v>77</v>
      </c>
      <c r="X18" s="52" t="s">
        <v>90</v>
      </c>
      <c r="Y18" s="3" t="s">
        <v>79</v>
      </c>
      <c r="Z18" s="70" t="s">
        <v>94</v>
      </c>
    </row>
    <row r="19" spans="1:27" ht="15.75" customHeight="1" x14ac:dyDescent="0.2">
      <c r="B19" s="18">
        <v>17</v>
      </c>
      <c r="C19" s="58"/>
      <c r="D19" s="59"/>
      <c r="E19" s="58"/>
      <c r="F19" s="59"/>
      <c r="G19" s="58"/>
      <c r="H19" s="59"/>
      <c r="I19" s="58"/>
      <c r="J19" s="66"/>
      <c r="K19" s="58"/>
      <c r="L19" s="59"/>
      <c r="M19" s="58"/>
      <c r="N19" s="59"/>
      <c r="O19" s="58"/>
      <c r="P19" s="59"/>
      <c r="Q19" s="58"/>
      <c r="R19" s="59"/>
      <c r="S19" s="44" t="s">
        <v>80</v>
      </c>
      <c r="T19" s="53" t="s">
        <v>96</v>
      </c>
      <c r="U19" s="44" t="s">
        <v>75</v>
      </c>
      <c r="V19" s="71" t="s">
        <v>95</v>
      </c>
      <c r="W19" s="44" t="s">
        <v>77</v>
      </c>
      <c r="X19" s="53" t="s">
        <v>96</v>
      </c>
      <c r="Y19" s="49" t="s">
        <v>79</v>
      </c>
      <c r="Z19" s="71" t="s">
        <v>95</v>
      </c>
    </row>
    <row r="20" spans="1:27" ht="15.75" customHeight="1" x14ac:dyDescent="0.25">
      <c r="D20" s="75"/>
      <c r="E20" s="60"/>
      <c r="F20" s="75"/>
      <c r="G20" s="60"/>
      <c r="H20" s="75"/>
      <c r="J20" s="75"/>
      <c r="L20" s="75"/>
      <c r="N20" s="75"/>
      <c r="P20" s="75"/>
      <c r="R20" s="75"/>
      <c r="T20" s="72" t="s">
        <v>97</v>
      </c>
      <c r="V20" s="72" t="s">
        <v>97</v>
      </c>
      <c r="X20" s="72" t="s">
        <v>97</v>
      </c>
      <c r="Z20" s="72" t="s">
        <v>97</v>
      </c>
      <c r="AA20" s="3"/>
    </row>
    <row r="21" spans="1:27" ht="15.75" customHeight="1" x14ac:dyDescent="0.2">
      <c r="D21" s="18"/>
      <c r="E21" s="18"/>
      <c r="F21" s="18"/>
      <c r="G21" s="18"/>
      <c r="H21" s="18"/>
      <c r="I21" s="18"/>
      <c r="J21" s="18"/>
      <c r="K21" s="18"/>
      <c r="L21" s="18"/>
      <c r="M21" s="18"/>
      <c r="N21" s="18"/>
      <c r="O21" s="18"/>
      <c r="P21" s="18"/>
      <c r="Q21" s="18"/>
      <c r="R21" s="18"/>
      <c r="S21" s="18"/>
      <c r="T21" s="75"/>
      <c r="U21" s="18"/>
      <c r="V21" s="75"/>
      <c r="W21" s="18"/>
      <c r="X21" s="75"/>
      <c r="Y21" s="3"/>
      <c r="Z21" s="75"/>
      <c r="AA21" s="3"/>
    </row>
    <row r="22" spans="1:27" ht="15.75" customHeight="1" thickBot="1" x14ac:dyDescent="0.25">
      <c r="D22" s="18"/>
      <c r="E22" s="18"/>
      <c r="F22" s="18"/>
      <c r="G22" s="18"/>
      <c r="H22" s="18"/>
      <c r="I22" s="18"/>
      <c r="J22" s="18"/>
      <c r="K22" s="18"/>
      <c r="L22" s="18"/>
      <c r="M22" s="18"/>
      <c r="N22" s="18"/>
      <c r="O22" s="18"/>
      <c r="P22" s="18"/>
      <c r="Q22" s="18"/>
      <c r="R22" s="18"/>
      <c r="S22" s="18"/>
      <c r="T22" s="18"/>
      <c r="U22" s="18"/>
      <c r="V22" s="18"/>
      <c r="W22" s="18"/>
      <c r="X22" s="18"/>
      <c r="Y22" s="3"/>
      <c r="Z22" s="2"/>
      <c r="AA22" s="3"/>
    </row>
    <row r="23" spans="1:27" ht="15.75" customHeight="1" x14ac:dyDescent="0.25">
      <c r="A23" s="67" t="s">
        <v>98</v>
      </c>
      <c r="B23" s="2">
        <v>1</v>
      </c>
      <c r="C23" s="76" t="s">
        <v>45</v>
      </c>
      <c r="D23" s="77" t="s">
        <v>49</v>
      </c>
      <c r="E23" s="78" t="s">
        <v>51</v>
      </c>
      <c r="I23" s="18"/>
      <c r="J23" s="18"/>
      <c r="K23" s="18"/>
      <c r="L23" s="18"/>
      <c r="M23" s="18"/>
      <c r="N23" s="18"/>
      <c r="O23" s="18"/>
      <c r="P23" s="18"/>
      <c r="Q23" s="18"/>
      <c r="R23" s="18"/>
      <c r="S23" s="18"/>
      <c r="T23" s="18"/>
      <c r="U23" s="18"/>
      <c r="V23" s="18"/>
      <c r="W23" s="18"/>
      <c r="X23" s="18"/>
      <c r="Y23" s="3"/>
      <c r="Z23" s="2"/>
      <c r="AA23" s="3"/>
    </row>
    <row r="24" spans="1:27" ht="15.75" customHeight="1" x14ac:dyDescent="0.25">
      <c r="A24" s="68"/>
      <c r="B24" s="18">
        <v>2</v>
      </c>
      <c r="C24" s="211" t="s">
        <v>86</v>
      </c>
      <c r="D24" s="212" t="s">
        <v>86</v>
      </c>
      <c r="E24" s="213" t="s">
        <v>99</v>
      </c>
      <c r="I24" s="18"/>
      <c r="J24" s="18"/>
      <c r="K24" s="18"/>
      <c r="L24" s="18"/>
      <c r="M24" s="18"/>
      <c r="N24" s="18"/>
      <c r="O24" s="18"/>
      <c r="P24" s="18"/>
      <c r="Q24" s="18"/>
      <c r="R24" s="18"/>
      <c r="S24" s="18"/>
      <c r="T24" s="18"/>
      <c r="U24" s="18"/>
      <c r="V24" s="18"/>
      <c r="W24" s="18"/>
      <c r="X24" s="18"/>
      <c r="Y24" s="3"/>
      <c r="Z24" s="2"/>
      <c r="AA24" s="3"/>
    </row>
    <row r="25" spans="1:27" ht="15.75" customHeight="1" x14ac:dyDescent="0.2">
      <c r="B25" s="18">
        <v>3</v>
      </c>
      <c r="C25" s="211" t="s">
        <v>99</v>
      </c>
      <c r="D25" s="212" t="s">
        <v>99</v>
      </c>
      <c r="E25" s="213" t="s">
        <v>100</v>
      </c>
      <c r="I25" s="18"/>
      <c r="J25" s="18"/>
      <c r="K25" s="18"/>
      <c r="L25" s="18"/>
      <c r="M25" s="18"/>
      <c r="N25" s="18"/>
      <c r="O25" s="18"/>
      <c r="P25" s="18"/>
      <c r="Q25" s="18"/>
      <c r="R25" s="18"/>
      <c r="S25" s="18"/>
      <c r="T25" s="18"/>
      <c r="U25" s="18"/>
      <c r="V25" s="18"/>
      <c r="W25" s="18"/>
      <c r="X25" s="18"/>
      <c r="Y25" s="3"/>
      <c r="Z25" s="2"/>
      <c r="AA25" s="3"/>
    </row>
    <row r="26" spans="1:27" ht="15.75" customHeight="1" x14ac:dyDescent="0.2">
      <c r="B26" s="18">
        <v>4</v>
      </c>
      <c r="C26" s="211" t="s">
        <v>100</v>
      </c>
      <c r="D26" s="212" t="s">
        <v>100</v>
      </c>
      <c r="E26" s="213" t="s">
        <v>101</v>
      </c>
      <c r="I26" s="18"/>
      <c r="J26" s="18"/>
      <c r="K26" s="18"/>
      <c r="L26" s="18"/>
      <c r="M26" s="18"/>
      <c r="N26" s="18"/>
      <c r="O26" s="18"/>
      <c r="P26" s="18"/>
      <c r="Q26" s="18"/>
      <c r="R26" s="18"/>
      <c r="S26" s="18"/>
      <c r="T26" s="18"/>
      <c r="U26" s="18"/>
      <c r="V26" s="18"/>
      <c r="W26" s="18"/>
      <c r="X26" s="18"/>
      <c r="Y26" s="3"/>
      <c r="Z26" s="2"/>
      <c r="AA26" s="3"/>
    </row>
    <row r="27" spans="1:27" ht="15.75" customHeight="1" x14ac:dyDescent="0.2">
      <c r="B27" s="18">
        <v>5</v>
      </c>
      <c r="C27" s="211" t="s">
        <v>90</v>
      </c>
      <c r="D27" s="212" t="s">
        <v>90</v>
      </c>
      <c r="E27" s="213" t="s">
        <v>102</v>
      </c>
      <c r="AA27" s="7"/>
    </row>
    <row r="28" spans="1:27" ht="15.75" customHeight="1" x14ac:dyDescent="0.2">
      <c r="B28" s="18">
        <v>6</v>
      </c>
      <c r="C28" s="211" t="s">
        <v>93</v>
      </c>
      <c r="D28" s="212" t="s">
        <v>93</v>
      </c>
      <c r="E28" s="213" t="s">
        <v>103</v>
      </c>
      <c r="AA28" s="7"/>
    </row>
    <row r="29" spans="1:27" ht="15.75" customHeight="1" x14ac:dyDescent="0.2">
      <c r="B29" s="18">
        <v>7</v>
      </c>
      <c r="C29" s="211" t="s">
        <v>101</v>
      </c>
      <c r="D29" s="212" t="s">
        <v>101</v>
      </c>
      <c r="E29" s="213" t="s">
        <v>104</v>
      </c>
      <c r="AA29" s="7"/>
    </row>
    <row r="30" spans="1:27" ht="15.75" customHeight="1" x14ac:dyDescent="0.2">
      <c r="B30" s="18">
        <v>8</v>
      </c>
      <c r="C30" s="211" t="s">
        <v>102</v>
      </c>
      <c r="D30" s="212" t="s">
        <v>102</v>
      </c>
      <c r="E30" s="213" t="s">
        <v>105</v>
      </c>
    </row>
    <row r="31" spans="1:27" ht="15.75" customHeight="1" x14ac:dyDescent="0.2">
      <c r="B31" s="18">
        <v>9</v>
      </c>
      <c r="C31" s="211" t="s">
        <v>103</v>
      </c>
      <c r="D31" s="212" t="s">
        <v>103</v>
      </c>
      <c r="E31" s="213"/>
    </row>
    <row r="32" spans="1:27" ht="15.75" customHeight="1" x14ac:dyDescent="0.2">
      <c r="B32" s="18">
        <v>10</v>
      </c>
      <c r="C32" s="211" t="s">
        <v>104</v>
      </c>
      <c r="D32" s="212" t="s">
        <v>104</v>
      </c>
      <c r="E32" s="213"/>
      <c r="AA32" s="7"/>
    </row>
    <row r="33" spans="2:5" ht="15.75" customHeight="1" x14ac:dyDescent="0.2">
      <c r="B33" s="18">
        <v>11</v>
      </c>
      <c r="C33" s="211" t="s">
        <v>105</v>
      </c>
      <c r="D33" s="212" t="s">
        <v>105</v>
      </c>
      <c r="E33" s="213"/>
    </row>
    <row r="34" spans="2:5" ht="15.75" customHeight="1" thickBot="1" x14ac:dyDescent="0.25">
      <c r="B34" s="18">
        <v>12</v>
      </c>
      <c r="C34" s="214"/>
      <c r="D34" s="215"/>
      <c r="E34" s="216"/>
    </row>
    <row r="35" spans="2:5" ht="15.75" customHeight="1" x14ac:dyDescent="0.2"/>
    <row r="36" spans="2:5" ht="15.75" customHeight="1" x14ac:dyDescent="0.2"/>
    <row r="37" spans="2:5" ht="15.75" customHeight="1" x14ac:dyDescent="0.2"/>
    <row r="38" spans="2:5" ht="15.75" customHeight="1" x14ac:dyDescent="0.2"/>
    <row r="39" spans="2:5" ht="15.75" customHeight="1" x14ac:dyDescent="0.2"/>
    <row r="40" spans="2:5" ht="15.75" customHeight="1" x14ac:dyDescent="0.2"/>
    <row r="41" spans="2:5" ht="15.75" customHeight="1" x14ac:dyDescent="0.2"/>
    <row r="42" spans="2:5" ht="15.75" customHeight="1" x14ac:dyDescent="0.2"/>
    <row r="43" spans="2:5" ht="15.75" customHeight="1" x14ac:dyDescent="0.2"/>
    <row r="44" spans="2:5" ht="15.75" customHeight="1" x14ac:dyDescent="0.2"/>
    <row r="45" spans="2:5" ht="15.75" customHeight="1" x14ac:dyDescent="0.2"/>
    <row r="46" spans="2:5" ht="15.75" customHeight="1" x14ac:dyDescent="0.2"/>
    <row r="47" spans="2:5" ht="15.75" customHeight="1" x14ac:dyDescent="0.2"/>
    <row r="48" spans="2: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3"/>
  <sheetViews>
    <sheetView zoomScaleNormal="100" workbookViewId="0">
      <selection activeCell="B27" sqref="B27"/>
    </sheetView>
  </sheetViews>
  <sheetFormatPr defaultRowHeight="12.75" x14ac:dyDescent="0.2"/>
  <cols>
    <col min="1" max="1" width="10.85546875" bestFit="1" customWidth="1"/>
    <col min="2" max="2" width="6.42578125" style="4" bestFit="1" customWidth="1"/>
    <col min="3" max="3" width="10.28515625" bestFit="1" customWidth="1"/>
    <col min="4" max="4" width="43.28515625" bestFit="1" customWidth="1"/>
    <col min="5" max="5" width="9.5703125" style="4" bestFit="1" customWidth="1"/>
    <col min="6" max="6" width="38" bestFit="1" customWidth="1"/>
    <col min="7" max="9" width="5.5703125" bestFit="1" customWidth="1"/>
    <col min="10" max="10" width="5.5703125" style="4" bestFit="1" customWidth="1"/>
    <col min="11" max="11" width="31.42578125" style="4" customWidth="1"/>
    <col min="12" max="13" width="6.42578125" style="4" bestFit="1" customWidth="1"/>
    <col min="14" max="14" width="7.42578125" bestFit="1" customWidth="1"/>
    <col min="15" max="16" width="12.85546875" customWidth="1"/>
    <col min="17" max="17" width="14.85546875" bestFit="1" customWidth="1"/>
  </cols>
  <sheetData>
    <row r="1" spans="1:15" x14ac:dyDescent="0.2">
      <c r="A1" s="39">
        <f>COLUMN()</f>
        <v>1</v>
      </c>
      <c r="B1" s="39">
        <f>COLUMN()</f>
        <v>2</v>
      </c>
      <c r="C1" s="39">
        <f>COLUMN()</f>
        <v>3</v>
      </c>
      <c r="D1" s="39">
        <f>COLUMN()</f>
        <v>4</v>
      </c>
      <c r="E1" s="39">
        <f>COLUMN()</f>
        <v>5</v>
      </c>
      <c r="F1" s="39">
        <f>COLUMN()</f>
        <v>6</v>
      </c>
      <c r="G1" s="39">
        <f>COLUMN()</f>
        <v>7</v>
      </c>
      <c r="H1" s="39">
        <f>COLUMN()</f>
        <v>8</v>
      </c>
      <c r="I1" s="39">
        <f>COLUMN()</f>
        <v>9</v>
      </c>
      <c r="J1" s="39">
        <f>COLUMN()</f>
        <v>10</v>
      </c>
      <c r="K1" s="39">
        <f>COLUMN()</f>
        <v>11</v>
      </c>
      <c r="L1" s="39">
        <f>COLUMN()</f>
        <v>12</v>
      </c>
      <c r="M1" s="39">
        <f>COLUMN()</f>
        <v>13</v>
      </c>
      <c r="N1" s="39">
        <f>COLUMN()</f>
        <v>14</v>
      </c>
    </row>
    <row r="2" spans="1:15" ht="64.5" x14ac:dyDescent="0.2">
      <c r="A2" s="153" t="s">
        <v>0</v>
      </c>
      <c r="B2" s="153" t="s">
        <v>1</v>
      </c>
      <c r="C2" s="153" t="s">
        <v>2</v>
      </c>
      <c r="D2" s="153" t="s">
        <v>106</v>
      </c>
      <c r="E2" s="153" t="s">
        <v>5</v>
      </c>
      <c r="F2" s="155" t="s">
        <v>202</v>
      </c>
      <c r="G2" s="154" t="s">
        <v>22</v>
      </c>
      <c r="H2" s="154" t="s">
        <v>23</v>
      </c>
      <c r="I2" s="154" t="s">
        <v>24</v>
      </c>
      <c r="J2" s="154" t="s">
        <v>25</v>
      </c>
      <c r="K2" s="153" t="s">
        <v>107</v>
      </c>
      <c r="L2" s="154" t="s">
        <v>45</v>
      </c>
      <c r="M2" s="154" t="s">
        <v>49</v>
      </c>
      <c r="N2" s="154" t="s">
        <v>51</v>
      </c>
      <c r="O2" s="5"/>
    </row>
    <row r="3" spans="1:15" x14ac:dyDescent="0.2">
      <c r="A3" t="s">
        <v>95</v>
      </c>
      <c r="B3"/>
      <c r="D3" t="s">
        <v>108</v>
      </c>
      <c r="E3"/>
      <c r="F3" s="156"/>
      <c r="G3" s="157" t="str">
        <f>IFERROR(IF(VLOOKUP(TableHandbook[[#This Row],[UDC]],TableAvailabilities[],2,FALSE)&gt;0,"Y",""),"")</f>
        <v/>
      </c>
      <c r="H3" s="157" t="str">
        <f>IFERROR(IF(VLOOKUP(TableHandbook[[#This Row],[UDC]],TableAvailabilities[],3,FALSE)&gt;0,"Y",""),"")</f>
        <v/>
      </c>
      <c r="I3" s="157" t="str">
        <f>IFERROR(IF(VLOOKUP(TableHandbook[[#This Row],[UDC]],TableAvailabilities[],4,FALSE)&gt;0,"Y",""),"")</f>
        <v/>
      </c>
      <c r="J3" s="157" t="str">
        <f>IFERROR(IF(VLOOKUP(TableHandbook[[#This Row],[UDC]],TableAvailabilities[],5,FALSE)&gt;0,"Y",""),"")</f>
        <v/>
      </c>
      <c r="K3"/>
      <c r="L3" s="158" t="str">
        <f>IFERROR(VLOOKUP(TableHandbook[[#This Row],[UDC]],TableOCENVCLM[],7,FALSE),"")</f>
        <v/>
      </c>
      <c r="M3" s="158" t="str">
        <f>IFERROR(VLOOKUP(TableHandbook[[#This Row],[UDC]],TableOGENVCLM[],7,FALSE),"")</f>
        <v/>
      </c>
      <c r="N3" s="158" t="str">
        <f>IFERROR(VLOOKUP(TableHandbook[[#This Row],[UDC]],TableOMENVCLM[],7,FALSE),"")</f>
        <v/>
      </c>
      <c r="O3" s="5"/>
    </row>
    <row r="4" spans="1:15" x14ac:dyDescent="0.2">
      <c r="A4" t="s">
        <v>96</v>
      </c>
      <c r="B4"/>
      <c r="D4" t="s">
        <v>109</v>
      </c>
      <c r="E4">
        <v>25</v>
      </c>
      <c r="F4" s="156" t="s">
        <v>110</v>
      </c>
      <c r="G4" s="157" t="str">
        <f>IFERROR(IF(VLOOKUP(TableHandbook[[#This Row],[UDC]],TableAvailabilities[],2,FALSE)&gt;0,"Y",""),"")</f>
        <v/>
      </c>
      <c r="H4" s="157" t="str">
        <f>IFERROR(IF(VLOOKUP(TableHandbook[[#This Row],[UDC]],TableAvailabilities[],3,FALSE)&gt;0,"Y",""),"")</f>
        <v/>
      </c>
      <c r="I4" s="157" t="str">
        <f>IFERROR(IF(VLOOKUP(TableHandbook[[#This Row],[UDC]],TableAvailabilities[],4,FALSE)&gt;0,"Y",""),"")</f>
        <v/>
      </c>
      <c r="J4" s="157" t="str">
        <f>IFERROR(IF(VLOOKUP(TableHandbook[[#This Row],[UDC]],TableAvailabilities[],5,FALSE)&gt;0,"Y",""),"")</f>
        <v/>
      </c>
      <c r="K4"/>
      <c r="L4" s="158" t="str">
        <f>IFERROR(VLOOKUP(TableHandbook[[#This Row],[UDC]],TableOCENVCLM[],7,FALSE),"")</f>
        <v/>
      </c>
      <c r="M4" s="158" t="str">
        <f>IFERROR(VLOOKUP(TableHandbook[[#This Row],[UDC]],TableOGENVCLM[],7,FALSE),"")</f>
        <v/>
      </c>
      <c r="N4" s="158" t="str">
        <f>IFERROR(VLOOKUP(TableHandbook[[#This Row],[UDC]],TableOMENVCLM[],7,FALSE),"")</f>
        <v>Elective</v>
      </c>
    </row>
    <row r="5" spans="1:15" x14ac:dyDescent="0.2">
      <c r="A5" t="s">
        <v>82</v>
      </c>
      <c r="B5"/>
      <c r="D5" t="s">
        <v>111</v>
      </c>
      <c r="E5">
        <v>25</v>
      </c>
      <c r="F5" s="156" t="s">
        <v>112</v>
      </c>
      <c r="G5" s="157" t="str">
        <f>IFERROR(IF(VLOOKUP(TableHandbook[[#This Row],[UDC]],TableAvailabilities[],2,FALSE)&gt;0,"Y",""),"")</f>
        <v/>
      </c>
      <c r="H5" s="157" t="str">
        <f>IFERROR(IF(VLOOKUP(TableHandbook[[#This Row],[UDC]],TableAvailabilities[],3,FALSE)&gt;0,"Y",""),"")</f>
        <v/>
      </c>
      <c r="I5" s="157" t="str">
        <f>IFERROR(IF(VLOOKUP(TableHandbook[[#This Row],[UDC]],TableAvailabilities[],4,FALSE)&gt;0,"Y",""),"")</f>
        <v/>
      </c>
      <c r="J5" s="157" t="str">
        <f>IFERROR(IF(VLOOKUP(TableHandbook[[#This Row],[UDC]],TableAvailabilities[],5,FALSE)&gt;0,"Y",""),"")</f>
        <v/>
      </c>
      <c r="K5"/>
      <c r="L5" s="158" t="str">
        <f>IFERROR(VLOOKUP(TableHandbook[[#This Row],[UDC]],TableOCENVCLM[],7,FALSE),"")</f>
        <v>Option</v>
      </c>
      <c r="M5" s="158" t="str">
        <f>IFERROR(VLOOKUP(TableHandbook[[#This Row],[UDC]],TableOGENVCLM[],7,FALSE),"")</f>
        <v>Option</v>
      </c>
      <c r="N5" s="158" t="str">
        <f>IFERROR(VLOOKUP(TableHandbook[[#This Row],[UDC]],TableOMENVCLM[],7,FALSE),"")</f>
        <v>Option</v>
      </c>
    </row>
    <row r="6" spans="1:15" x14ac:dyDescent="0.2">
      <c r="A6" t="s">
        <v>99</v>
      </c>
      <c r="B6">
        <v>2</v>
      </c>
      <c r="C6" t="s">
        <v>116</v>
      </c>
      <c r="D6" t="s">
        <v>113</v>
      </c>
      <c r="E6">
        <v>25</v>
      </c>
      <c r="F6" s="156" t="s">
        <v>114</v>
      </c>
      <c r="G6" s="157" t="str">
        <f>IFERROR(IF(VLOOKUP(TableHandbook[[#This Row],[UDC]],TableAvailabilities[],2,FALSE)&gt;0,"Y",""),"")</f>
        <v>Y</v>
      </c>
      <c r="H6" s="157" t="str">
        <f>IFERROR(IF(VLOOKUP(TableHandbook[[#This Row],[UDC]],TableAvailabilities[],3,FALSE)&gt;0,"Y",""),"")</f>
        <v/>
      </c>
      <c r="I6" s="157" t="str">
        <f>IFERROR(IF(VLOOKUP(TableHandbook[[#This Row],[UDC]],TableAvailabilities[],4,FALSE)&gt;0,"Y",""),"")</f>
        <v>Y</v>
      </c>
      <c r="J6" s="157" t="str">
        <f>IFERROR(IF(VLOOKUP(TableHandbook[[#This Row],[UDC]],TableAvailabilities[],5,FALSE)&gt;0,"Y",""),"")</f>
        <v/>
      </c>
      <c r="K6"/>
      <c r="L6" s="158" t="str">
        <f>IFERROR(VLOOKUP(TableHandbook[[#This Row],[UDC]],TableOCENVCLM[],7,FALSE),"")</f>
        <v>Option</v>
      </c>
      <c r="M6" s="158" t="str">
        <f>IFERROR(VLOOKUP(TableHandbook[[#This Row],[UDC]],TableOGENVCLM[],7,FALSE),"")</f>
        <v>Option</v>
      </c>
      <c r="N6" s="158" t="str">
        <f>IFERROR(VLOOKUP(TableHandbook[[#This Row],[UDC]],TableOMENVCLM[],7,FALSE),"")</f>
        <v>Option</v>
      </c>
    </row>
    <row r="7" spans="1:15" x14ac:dyDescent="0.2">
      <c r="A7" t="s">
        <v>100</v>
      </c>
      <c r="B7">
        <v>1</v>
      </c>
      <c r="C7" t="s">
        <v>117</v>
      </c>
      <c r="D7" t="s">
        <v>115</v>
      </c>
      <c r="E7">
        <v>25</v>
      </c>
      <c r="F7" s="156" t="s">
        <v>114</v>
      </c>
      <c r="G7" s="157" t="str">
        <f>IFERROR(IF(VLOOKUP(TableHandbook[[#This Row],[UDC]],TableAvailabilities[],2,FALSE)&gt;0,"Y",""),"")</f>
        <v/>
      </c>
      <c r="H7" s="157" t="str">
        <f>IFERROR(IF(VLOOKUP(TableHandbook[[#This Row],[UDC]],TableAvailabilities[],3,FALSE)&gt;0,"Y",""),"")</f>
        <v>Y</v>
      </c>
      <c r="I7" s="157" t="str">
        <f>IFERROR(IF(VLOOKUP(TableHandbook[[#This Row],[UDC]],TableAvailabilities[],4,FALSE)&gt;0,"Y",""),"")</f>
        <v/>
      </c>
      <c r="J7" s="157" t="str">
        <f>IFERROR(IF(VLOOKUP(TableHandbook[[#This Row],[UDC]],TableAvailabilities[],5,FALSE)&gt;0,"Y",""),"")</f>
        <v>Y</v>
      </c>
      <c r="K7"/>
      <c r="L7" s="158" t="str">
        <f>IFERROR(VLOOKUP(TableHandbook[[#This Row],[UDC]],TableOCENVCLM[],7,FALSE),"")</f>
        <v>Option</v>
      </c>
      <c r="M7" s="158" t="str">
        <f>IFERROR(VLOOKUP(TableHandbook[[#This Row],[UDC]],TableOGENVCLM[],7,FALSE),"")</f>
        <v>Option</v>
      </c>
      <c r="N7" s="158" t="str">
        <f>IFERROR(VLOOKUP(TableHandbook[[#This Row],[UDC]],TableOMENVCLM[],7,FALSE),"")</f>
        <v>Option</v>
      </c>
    </row>
    <row r="8" spans="1:15" x14ac:dyDescent="0.2">
      <c r="A8" t="s">
        <v>83</v>
      </c>
      <c r="B8">
        <v>2</v>
      </c>
      <c r="C8" t="s">
        <v>118</v>
      </c>
      <c r="D8" t="s">
        <v>119</v>
      </c>
      <c r="E8">
        <v>25</v>
      </c>
      <c r="F8" s="156" t="s">
        <v>114</v>
      </c>
      <c r="G8" s="157" t="str">
        <f>IFERROR(IF(VLOOKUP(TableHandbook[[#This Row],[UDC]],TableAvailabilities[],2,FALSE)&gt;0,"Y",""),"")</f>
        <v/>
      </c>
      <c r="H8" s="157" t="str">
        <f>IFERROR(IF(VLOOKUP(TableHandbook[[#This Row],[UDC]],TableAvailabilities[],3,FALSE)&gt;0,"Y",""),"")</f>
        <v>Y</v>
      </c>
      <c r="I8" s="157" t="str">
        <f>IFERROR(IF(VLOOKUP(TableHandbook[[#This Row],[UDC]],TableAvailabilities[],4,FALSE)&gt;0,"Y",""),"")</f>
        <v/>
      </c>
      <c r="J8" s="157" t="str">
        <f>IFERROR(IF(VLOOKUP(TableHandbook[[#This Row],[UDC]],TableAvailabilities[],5,FALSE)&gt;0,"Y",""),"")</f>
        <v/>
      </c>
      <c r="K8"/>
      <c r="L8" s="158" t="str">
        <f>IFERROR(VLOOKUP(TableHandbook[[#This Row],[UDC]],TableOCENVCLM[],7,FALSE),"")</f>
        <v/>
      </c>
      <c r="M8" s="158" t="str">
        <f>IFERROR(VLOOKUP(TableHandbook[[#This Row],[UDC]],TableOGENVCLM[],7,FALSE),"")</f>
        <v>Core</v>
      </c>
      <c r="N8" s="158" t="str">
        <f>IFERROR(VLOOKUP(TableHandbook[[#This Row],[UDC]],TableOMENVCLM[],7,FALSE),"")</f>
        <v>Core</v>
      </c>
    </row>
    <row r="9" spans="1:15" x14ac:dyDescent="0.2">
      <c r="A9" t="s">
        <v>78</v>
      </c>
      <c r="B9">
        <v>2</v>
      </c>
      <c r="C9" t="s">
        <v>120</v>
      </c>
      <c r="D9" t="s">
        <v>121</v>
      </c>
      <c r="E9">
        <v>25</v>
      </c>
      <c r="F9" s="156" t="s">
        <v>114</v>
      </c>
      <c r="G9" s="157" t="str">
        <f>IFERROR(IF(VLOOKUP(TableHandbook[[#This Row],[UDC]],TableAvailabilities[],2,FALSE)&gt;0,"Y",""),"")</f>
        <v/>
      </c>
      <c r="H9" s="157" t="str">
        <f>IFERROR(IF(VLOOKUP(TableHandbook[[#This Row],[UDC]],TableAvailabilities[],3,FALSE)&gt;0,"Y",""),"")</f>
        <v>Y</v>
      </c>
      <c r="I9" s="157" t="str">
        <f>IFERROR(IF(VLOOKUP(TableHandbook[[#This Row],[UDC]],TableAvailabilities[],4,FALSE)&gt;0,"Y",""),"")</f>
        <v/>
      </c>
      <c r="J9" s="157" t="str">
        <f>IFERROR(IF(VLOOKUP(TableHandbook[[#This Row],[UDC]],TableAvailabilities[],5,FALSE)&gt;0,"Y",""),"")</f>
        <v>Y</v>
      </c>
      <c r="K9"/>
      <c r="L9" s="158" t="str">
        <f>IFERROR(VLOOKUP(TableHandbook[[#This Row],[UDC]],TableOCENVCLM[],7,FALSE),"")</f>
        <v>Core</v>
      </c>
      <c r="M9" s="158" t="str">
        <f>IFERROR(VLOOKUP(TableHandbook[[#This Row],[UDC]],TableOGENVCLM[],7,FALSE),"")</f>
        <v>Core</v>
      </c>
      <c r="N9" s="158" t="str">
        <f>IFERROR(VLOOKUP(TableHandbook[[#This Row],[UDC]],TableOMENVCLM[],7,FALSE),"")</f>
        <v>Core</v>
      </c>
    </row>
    <row r="10" spans="1:15" x14ac:dyDescent="0.2">
      <c r="A10" t="s">
        <v>90</v>
      </c>
      <c r="B10">
        <v>1</v>
      </c>
      <c r="C10" t="s">
        <v>122</v>
      </c>
      <c r="D10" t="s">
        <v>123</v>
      </c>
      <c r="E10">
        <v>25</v>
      </c>
      <c r="F10" s="156" t="s">
        <v>114</v>
      </c>
      <c r="G10" s="157" t="str">
        <f>IFERROR(IF(VLOOKUP(TableHandbook[[#This Row],[UDC]],TableAvailabilities[],2,FALSE)&gt;0,"Y",""),"")</f>
        <v/>
      </c>
      <c r="H10" s="157" t="str">
        <f>IFERROR(IF(VLOOKUP(TableHandbook[[#This Row],[UDC]],TableAvailabilities[],3,FALSE)&gt;0,"Y",""),"")</f>
        <v>Y</v>
      </c>
      <c r="I10" s="157" t="str">
        <f>IFERROR(IF(VLOOKUP(TableHandbook[[#This Row],[UDC]],TableAvailabilities[],4,FALSE)&gt;0,"Y",""),"")</f>
        <v/>
      </c>
      <c r="J10" s="157" t="str">
        <f>IFERROR(IF(VLOOKUP(TableHandbook[[#This Row],[UDC]],TableAvailabilities[],5,FALSE)&gt;0,"Y",""),"")</f>
        <v/>
      </c>
      <c r="K10"/>
      <c r="L10" s="158" t="str">
        <f>IFERROR(VLOOKUP(TableHandbook[[#This Row],[UDC]],TableOCENVCLM[],7,FALSE),"")</f>
        <v>Option</v>
      </c>
      <c r="M10" s="158" t="str">
        <f>IFERROR(VLOOKUP(TableHandbook[[#This Row],[UDC]],TableOGENVCLM[],7,FALSE),"")</f>
        <v>Option</v>
      </c>
      <c r="N10" s="158" t="str">
        <f>IFERROR(VLOOKUP(TableHandbook[[#This Row],[UDC]],TableOMENVCLM[],7,FALSE),"")</f>
        <v>Core</v>
      </c>
    </row>
    <row r="11" spans="1:15" x14ac:dyDescent="0.2">
      <c r="A11" t="s">
        <v>84</v>
      </c>
      <c r="B11">
        <v>1</v>
      </c>
      <c r="C11" t="s">
        <v>124</v>
      </c>
      <c r="D11" t="s">
        <v>125</v>
      </c>
      <c r="E11">
        <v>25</v>
      </c>
      <c r="F11" s="156" t="s">
        <v>114</v>
      </c>
      <c r="G11" s="157" t="str">
        <f>IFERROR(IF(VLOOKUP(TableHandbook[[#This Row],[UDC]],TableAvailabilities[],2,FALSE)&gt;0,"Y",""),"")</f>
        <v/>
      </c>
      <c r="H11" s="157" t="str">
        <f>IFERROR(IF(VLOOKUP(TableHandbook[[#This Row],[UDC]],TableAvailabilities[],3,FALSE)&gt;0,"Y",""),"")</f>
        <v/>
      </c>
      <c r="I11" s="157" t="str">
        <f>IFERROR(IF(VLOOKUP(TableHandbook[[#This Row],[UDC]],TableAvailabilities[],4,FALSE)&gt;0,"Y",""),"")</f>
        <v>Y</v>
      </c>
      <c r="J11" s="157" t="str">
        <f>IFERROR(IF(VLOOKUP(TableHandbook[[#This Row],[UDC]],TableAvailabilities[],5,FALSE)&gt;0,"Y",""),"")</f>
        <v/>
      </c>
      <c r="K11"/>
      <c r="L11" s="158" t="str">
        <f>IFERROR(VLOOKUP(TableHandbook[[#This Row],[UDC]],TableOCENVCLM[],7,FALSE),"")</f>
        <v/>
      </c>
      <c r="M11" s="158" t="str">
        <f>IFERROR(VLOOKUP(TableHandbook[[#This Row],[UDC]],TableOGENVCLM[],7,FALSE),"")</f>
        <v>Core</v>
      </c>
      <c r="N11" s="158" t="str">
        <f>IFERROR(VLOOKUP(TableHandbook[[#This Row],[UDC]],TableOMENVCLM[],7,FALSE),"")</f>
        <v>Core</v>
      </c>
    </row>
    <row r="12" spans="1:15" x14ac:dyDescent="0.2">
      <c r="A12" t="s">
        <v>85</v>
      </c>
      <c r="B12">
        <v>2</v>
      </c>
      <c r="C12" t="s">
        <v>126</v>
      </c>
      <c r="D12" t="s">
        <v>127</v>
      </c>
      <c r="E12">
        <v>25</v>
      </c>
      <c r="F12" s="156" t="s">
        <v>114</v>
      </c>
      <c r="G12" s="157" t="str">
        <f>IFERROR(IF(VLOOKUP(TableHandbook[[#This Row],[UDC]],TableAvailabilities[],2,FALSE)&gt;0,"Y",""),"")</f>
        <v/>
      </c>
      <c r="H12" s="157" t="str">
        <f>IFERROR(IF(VLOOKUP(TableHandbook[[#This Row],[UDC]],TableAvailabilities[],3,FALSE)&gt;0,"Y",""),"")</f>
        <v/>
      </c>
      <c r="I12" s="157" t="str">
        <f>IFERROR(IF(VLOOKUP(TableHandbook[[#This Row],[UDC]],TableAvailabilities[],4,FALSE)&gt;0,"Y",""),"")</f>
        <v/>
      </c>
      <c r="J12" s="157" t="str">
        <f>IFERROR(IF(VLOOKUP(TableHandbook[[#This Row],[UDC]],TableAvailabilities[],5,FALSE)&gt;0,"Y",""),"")</f>
        <v>Y</v>
      </c>
      <c r="K12"/>
      <c r="L12" s="158" t="str">
        <f>IFERROR(VLOOKUP(TableHandbook[[#This Row],[UDC]],TableOCENVCLM[],7,FALSE),"")</f>
        <v/>
      </c>
      <c r="M12" s="158" t="str">
        <f>IFERROR(VLOOKUP(TableHandbook[[#This Row],[UDC]],TableOGENVCLM[],7,FALSE),"")</f>
        <v>Core</v>
      </c>
      <c r="N12" s="158" t="str">
        <f>IFERROR(VLOOKUP(TableHandbook[[#This Row],[UDC]],TableOMENVCLM[],7,FALSE),"")</f>
        <v>Core</v>
      </c>
    </row>
    <row r="13" spans="1:15" x14ac:dyDescent="0.2">
      <c r="A13" t="s">
        <v>93</v>
      </c>
      <c r="B13">
        <v>1</v>
      </c>
      <c r="C13" t="s">
        <v>128</v>
      </c>
      <c r="D13" t="s">
        <v>129</v>
      </c>
      <c r="E13">
        <v>25</v>
      </c>
      <c r="F13" s="156" t="s">
        <v>114</v>
      </c>
      <c r="G13" s="157" t="str">
        <f>IFERROR(IF(VLOOKUP(TableHandbook[[#This Row],[UDC]],TableAvailabilities[],2,FALSE)&gt;0,"Y",""),"")</f>
        <v/>
      </c>
      <c r="H13" s="157" t="str">
        <f>IFERROR(IF(VLOOKUP(TableHandbook[[#This Row],[UDC]],TableAvailabilities[],3,FALSE)&gt;0,"Y",""),"")</f>
        <v/>
      </c>
      <c r="I13" s="157" t="str">
        <f>IFERROR(IF(VLOOKUP(TableHandbook[[#This Row],[UDC]],TableAvailabilities[],4,FALSE)&gt;0,"Y",""),"")</f>
        <v/>
      </c>
      <c r="J13" s="157" t="str">
        <f>IFERROR(IF(VLOOKUP(TableHandbook[[#This Row],[UDC]],TableAvailabilities[],5,FALSE)&gt;0,"Y",""),"")</f>
        <v>Y</v>
      </c>
      <c r="K13"/>
      <c r="L13" s="158" t="str">
        <f>IFERROR(VLOOKUP(TableHandbook[[#This Row],[UDC]],TableOCENVCLM[],7,FALSE),"")</f>
        <v>Option</v>
      </c>
      <c r="M13" s="158" t="str">
        <f>IFERROR(VLOOKUP(TableHandbook[[#This Row],[UDC]],TableOGENVCLM[],7,FALSE),"")</f>
        <v>Option</v>
      </c>
      <c r="N13" s="158" t="str">
        <f>IFERROR(VLOOKUP(TableHandbook[[#This Row],[UDC]],TableOMENVCLM[],7,FALSE),"")</f>
        <v>Core</v>
      </c>
    </row>
    <row r="14" spans="1:15" x14ac:dyDescent="0.2">
      <c r="A14" t="s">
        <v>76</v>
      </c>
      <c r="B14">
        <v>1</v>
      </c>
      <c r="C14" t="s">
        <v>130</v>
      </c>
      <c r="D14" t="s">
        <v>131</v>
      </c>
      <c r="E14">
        <v>25</v>
      </c>
      <c r="F14" s="156" t="s">
        <v>114</v>
      </c>
      <c r="G14" s="157" t="str">
        <f>IFERROR(IF(VLOOKUP(TableHandbook[[#This Row],[UDC]],TableAvailabilities[],2,FALSE)&gt;0,"Y",""),"")</f>
        <v>Y</v>
      </c>
      <c r="H14" s="157" t="str">
        <f>IFERROR(IF(VLOOKUP(TableHandbook[[#This Row],[UDC]],TableAvailabilities[],3,FALSE)&gt;0,"Y",""),"")</f>
        <v/>
      </c>
      <c r="I14" s="157" t="str">
        <f>IFERROR(IF(VLOOKUP(TableHandbook[[#This Row],[UDC]],TableAvailabilities[],4,FALSE)&gt;0,"Y",""),"")</f>
        <v>Y</v>
      </c>
      <c r="J14" s="157" t="str">
        <f>IFERROR(IF(VLOOKUP(TableHandbook[[#This Row],[UDC]],TableAvailabilities[],5,FALSE)&gt;0,"Y",""),"")</f>
        <v/>
      </c>
      <c r="K14"/>
      <c r="L14" s="158" t="str">
        <f>IFERROR(VLOOKUP(TableHandbook[[#This Row],[UDC]],TableOCENVCLM[],7,FALSE),"")</f>
        <v>Core</v>
      </c>
      <c r="M14" s="158" t="str">
        <f>IFERROR(VLOOKUP(TableHandbook[[#This Row],[UDC]],TableOGENVCLM[],7,FALSE),"")</f>
        <v>Core</v>
      </c>
      <c r="N14" s="158" t="str">
        <f>IFERROR(VLOOKUP(TableHandbook[[#This Row],[UDC]],TableOMENVCLM[],7,FALSE),"")</f>
        <v>Core</v>
      </c>
    </row>
    <row r="15" spans="1:15" x14ac:dyDescent="0.2">
      <c r="A15" t="s">
        <v>94</v>
      </c>
      <c r="B15">
        <v>2</v>
      </c>
      <c r="C15" t="s">
        <v>132</v>
      </c>
      <c r="D15" t="s">
        <v>133</v>
      </c>
      <c r="E15">
        <v>50</v>
      </c>
      <c r="F15" s="193" t="s">
        <v>134</v>
      </c>
      <c r="G15" s="157" t="str">
        <f>IFERROR(IF(VLOOKUP(TableHandbook[[#This Row],[UDC]],TableAvailabilities[],2,FALSE)&gt;0,"Y",""),"")</f>
        <v>Y</v>
      </c>
      <c r="H15" s="157" t="str">
        <f>IFERROR(IF(VLOOKUP(TableHandbook[[#This Row],[UDC]],TableAvailabilities[],3,FALSE)&gt;0,"Y",""),"")</f>
        <v/>
      </c>
      <c r="I15" s="157" t="str">
        <f>IFERROR(IF(VLOOKUP(TableHandbook[[#This Row],[UDC]],TableAvailabilities[],4,FALSE)&gt;0,"Y",""),"")</f>
        <v>Y</v>
      </c>
      <c r="J15" s="157" t="str">
        <f>IFERROR(IF(VLOOKUP(TableHandbook[[#This Row],[UDC]],TableAvailabilities[],5,FALSE)&gt;0,"Y",""),"")</f>
        <v/>
      </c>
      <c r="K15"/>
      <c r="L15" s="158" t="str">
        <f>IFERROR(VLOOKUP(TableHandbook[[#This Row],[UDC]],TableOCENVCLM[],7,FALSE),"")</f>
        <v/>
      </c>
      <c r="M15" s="158" t="str">
        <f>IFERROR(VLOOKUP(TableHandbook[[#This Row],[UDC]],TableOGENVCLM[],7,FALSE),"")</f>
        <v/>
      </c>
      <c r="N15" s="158" t="str">
        <f>IFERROR(VLOOKUP(TableHandbook[[#This Row],[UDC]],TableOMENVCLM[],7,FALSE),"")</f>
        <v>Core</v>
      </c>
    </row>
    <row r="16" spans="1:15" ht="25.5" x14ac:dyDescent="0.2">
      <c r="A16" t="s">
        <v>88</v>
      </c>
      <c r="B16">
        <v>1</v>
      </c>
      <c r="C16" t="s">
        <v>135</v>
      </c>
      <c r="D16" t="s">
        <v>136</v>
      </c>
      <c r="E16">
        <v>25</v>
      </c>
      <c r="F16" s="193" t="s">
        <v>137</v>
      </c>
      <c r="G16" s="157" t="str">
        <f>IFERROR(IF(VLOOKUP(TableHandbook[[#This Row],[UDC]],TableAvailabilities[],2,FALSE)&gt;0,"Y",""),"")</f>
        <v>Y</v>
      </c>
      <c r="H16" s="157" t="str">
        <f>IFERROR(IF(VLOOKUP(TableHandbook[[#This Row],[UDC]],TableAvailabilities[],3,FALSE)&gt;0,"Y",""),"")</f>
        <v/>
      </c>
      <c r="I16" s="157" t="str">
        <f>IFERROR(IF(VLOOKUP(TableHandbook[[#This Row],[UDC]],TableAvailabilities[],4,FALSE)&gt;0,"Y",""),"")</f>
        <v>Y</v>
      </c>
      <c r="J16" s="157" t="str">
        <f>IFERROR(IF(VLOOKUP(TableHandbook[[#This Row],[UDC]],TableAvailabilities[],5,FALSE)&gt;0,"Y",""),"")</f>
        <v/>
      </c>
      <c r="K16"/>
      <c r="L16" s="158" t="str">
        <f>IFERROR(VLOOKUP(TableHandbook[[#This Row],[UDC]],TableOCENVCLM[],7,FALSE),"")</f>
        <v/>
      </c>
      <c r="M16" s="158" t="str">
        <f>IFERROR(VLOOKUP(TableHandbook[[#This Row],[UDC]],TableOGENVCLM[],7,FALSE),"")</f>
        <v/>
      </c>
      <c r="N16" s="158" t="str">
        <f>IFERROR(VLOOKUP(TableHandbook[[#This Row],[UDC]],TableOMENVCLM[],7,FALSE),"")</f>
        <v>Core</v>
      </c>
    </row>
    <row r="17" spans="1:14" x14ac:dyDescent="0.2">
      <c r="A17" t="s">
        <v>81</v>
      </c>
      <c r="B17">
        <v>2</v>
      </c>
      <c r="C17" t="s">
        <v>138</v>
      </c>
      <c r="D17" t="s">
        <v>139</v>
      </c>
      <c r="E17">
        <v>25</v>
      </c>
      <c r="F17" s="156" t="s">
        <v>114</v>
      </c>
      <c r="G17" s="157" t="str">
        <f>IFERROR(IF(VLOOKUP(TableHandbook[[#This Row],[UDC]],TableAvailabilities[],2,FALSE)&gt;0,"Y",""),"")</f>
        <v>Y</v>
      </c>
      <c r="H17" s="157" t="str">
        <f>IFERROR(IF(VLOOKUP(TableHandbook[[#This Row],[UDC]],TableAvailabilities[],3,FALSE)&gt;0,"Y",""),"")</f>
        <v/>
      </c>
      <c r="I17" s="157" t="str">
        <f>IFERROR(IF(VLOOKUP(TableHandbook[[#This Row],[UDC]],TableAvailabilities[],4,FALSE)&gt;0,"Y",""),"")</f>
        <v>Y</v>
      </c>
      <c r="J17" s="157" t="str">
        <f>IFERROR(IF(VLOOKUP(TableHandbook[[#This Row],[UDC]],TableAvailabilities[],5,FALSE)&gt;0,"Y",""),"")</f>
        <v/>
      </c>
      <c r="K17"/>
      <c r="L17" s="158" t="str">
        <f>IFERROR(VLOOKUP(TableHandbook[[#This Row],[UDC]],TableOCENVCLM[],7,FALSE),"")</f>
        <v>Core</v>
      </c>
      <c r="M17" s="158" t="str">
        <f>IFERROR(VLOOKUP(TableHandbook[[#This Row],[UDC]],TableOGENVCLM[],7,FALSE),"")</f>
        <v>Core</v>
      </c>
      <c r="N17" s="158" t="str">
        <f>IFERROR(VLOOKUP(TableHandbook[[#This Row],[UDC]],TableOMENVCLM[],7,FALSE),"")</f>
        <v>Core</v>
      </c>
    </row>
    <row r="18" spans="1:14" x14ac:dyDescent="0.2">
      <c r="A18" t="s">
        <v>101</v>
      </c>
      <c r="B18">
        <v>3</v>
      </c>
      <c r="C18" t="s">
        <v>140</v>
      </c>
      <c r="D18" t="s">
        <v>141</v>
      </c>
      <c r="E18">
        <v>25</v>
      </c>
      <c r="F18" s="156" t="s">
        <v>114</v>
      </c>
      <c r="G18" s="157" t="str">
        <f>IFERROR(IF(VLOOKUP(TableHandbook[[#This Row],[UDC]],TableAvailabilities[],2,FALSE)&gt;0,"Y",""),"")</f>
        <v/>
      </c>
      <c r="H18" s="157" t="str">
        <f>IFERROR(IF(VLOOKUP(TableHandbook[[#This Row],[UDC]],TableAvailabilities[],3,FALSE)&gt;0,"Y",""),"")</f>
        <v>Y</v>
      </c>
      <c r="I18" s="157" t="str">
        <f>IFERROR(IF(VLOOKUP(TableHandbook[[#This Row],[UDC]],TableAvailabilities[],4,FALSE)&gt;0,"Y",""),"")</f>
        <v/>
      </c>
      <c r="J18" s="157" t="str">
        <f>IFERROR(IF(VLOOKUP(TableHandbook[[#This Row],[UDC]],TableAvailabilities[],5,FALSE)&gt;0,"Y",""),"")</f>
        <v>Y</v>
      </c>
      <c r="K18"/>
      <c r="L18" s="158" t="str">
        <f>IFERROR(VLOOKUP(TableHandbook[[#This Row],[UDC]],TableOCENVCLM[],7,FALSE),"")</f>
        <v>Option</v>
      </c>
      <c r="M18" s="158" t="str">
        <f>IFERROR(VLOOKUP(TableHandbook[[#This Row],[UDC]],TableOGENVCLM[],7,FALSE),"")</f>
        <v>Option</v>
      </c>
      <c r="N18" s="158" t="str">
        <f>IFERROR(VLOOKUP(TableHandbook[[#This Row],[UDC]],TableOMENVCLM[],7,FALSE),"")</f>
        <v>Option</v>
      </c>
    </row>
    <row r="19" spans="1:14" x14ac:dyDescent="0.2">
      <c r="A19" t="s">
        <v>102</v>
      </c>
      <c r="B19">
        <v>1</v>
      </c>
      <c r="C19" t="s">
        <v>142</v>
      </c>
      <c r="D19" t="s">
        <v>143</v>
      </c>
      <c r="E19">
        <v>25</v>
      </c>
      <c r="F19" s="156" t="s">
        <v>114</v>
      </c>
      <c r="G19" s="157" t="str">
        <f>IFERROR(IF(VLOOKUP(TableHandbook[[#This Row],[UDC]],TableAvailabilities[],2,FALSE)&gt;0,"Y",""),"")</f>
        <v>Y</v>
      </c>
      <c r="H19" s="157" t="str">
        <f>IFERROR(IF(VLOOKUP(TableHandbook[[#This Row],[UDC]],TableAvailabilities[],3,FALSE)&gt;0,"Y",""),"")</f>
        <v/>
      </c>
      <c r="I19" s="157" t="str">
        <f>IFERROR(IF(VLOOKUP(TableHandbook[[#This Row],[UDC]],TableAvailabilities[],4,FALSE)&gt;0,"Y",""),"")</f>
        <v/>
      </c>
      <c r="J19" s="157" t="str">
        <f>IFERROR(IF(VLOOKUP(TableHandbook[[#This Row],[UDC]],TableAvailabilities[],5,FALSE)&gt;0,"Y",""),"")</f>
        <v/>
      </c>
      <c r="K19"/>
      <c r="L19" s="158" t="str">
        <f>IFERROR(VLOOKUP(TableHandbook[[#This Row],[UDC]],TableOCENVCLM[],7,FALSE),"")</f>
        <v>Option</v>
      </c>
      <c r="M19" s="158" t="str">
        <f>IFERROR(VLOOKUP(TableHandbook[[#This Row],[UDC]],TableOGENVCLM[],7,FALSE),"")</f>
        <v>Option</v>
      </c>
      <c r="N19" s="158" t="str">
        <f>IFERROR(VLOOKUP(TableHandbook[[#This Row],[UDC]],TableOMENVCLM[],7,FALSE),"")</f>
        <v>Option</v>
      </c>
    </row>
    <row r="20" spans="1:14" x14ac:dyDescent="0.2">
      <c r="A20" t="s">
        <v>103</v>
      </c>
      <c r="B20">
        <v>2</v>
      </c>
      <c r="C20" t="s">
        <v>144</v>
      </c>
      <c r="D20" t="s">
        <v>145</v>
      </c>
      <c r="E20">
        <v>25</v>
      </c>
      <c r="F20" s="156" t="s">
        <v>114</v>
      </c>
      <c r="G20" s="157" t="str">
        <f>IFERROR(IF(VLOOKUP(TableHandbook[[#This Row],[UDC]],TableAvailabilities[],2,FALSE)&gt;0,"Y",""),"")</f>
        <v/>
      </c>
      <c r="H20" s="157" t="str">
        <f>IFERROR(IF(VLOOKUP(TableHandbook[[#This Row],[UDC]],TableAvailabilities[],3,FALSE)&gt;0,"Y",""),"")</f>
        <v>Y</v>
      </c>
      <c r="I20" s="157" t="str">
        <f>IFERROR(IF(VLOOKUP(TableHandbook[[#This Row],[UDC]],TableAvailabilities[],4,FALSE)&gt;0,"Y",""),"")</f>
        <v/>
      </c>
      <c r="J20" s="157" t="str">
        <f>IFERROR(IF(VLOOKUP(TableHandbook[[#This Row],[UDC]],TableAvailabilities[],5,FALSE)&gt;0,"Y",""),"")</f>
        <v/>
      </c>
      <c r="K20"/>
      <c r="L20" s="158" t="str">
        <f>IFERROR(VLOOKUP(TableHandbook[[#This Row],[UDC]],TableOCENVCLM[],7,FALSE),"")</f>
        <v>Option</v>
      </c>
      <c r="M20" s="158" t="str">
        <f>IFERROR(VLOOKUP(TableHandbook[[#This Row],[UDC]],TableOGENVCLM[],7,FALSE),"")</f>
        <v>Option</v>
      </c>
      <c r="N20" s="158" t="str">
        <f>IFERROR(VLOOKUP(TableHandbook[[#This Row],[UDC]],TableOMENVCLM[],7,FALSE),"")</f>
        <v>Option</v>
      </c>
    </row>
    <row r="21" spans="1:14" x14ac:dyDescent="0.2">
      <c r="A21" t="s">
        <v>104</v>
      </c>
      <c r="B21">
        <v>1</v>
      </c>
      <c r="C21" t="s">
        <v>146</v>
      </c>
      <c r="D21" t="s">
        <v>147</v>
      </c>
      <c r="E21">
        <v>25</v>
      </c>
      <c r="F21" s="156" t="s">
        <v>114</v>
      </c>
      <c r="G21" s="157" t="str">
        <f>IFERROR(IF(VLOOKUP(TableHandbook[[#This Row],[UDC]],TableAvailabilities[],2,FALSE)&gt;0,"Y",""),"")</f>
        <v/>
      </c>
      <c r="H21" s="157" t="str">
        <f>IFERROR(IF(VLOOKUP(TableHandbook[[#This Row],[UDC]],TableAvailabilities[],3,FALSE)&gt;0,"Y",""),"")</f>
        <v/>
      </c>
      <c r="I21" s="157" t="str">
        <f>IFERROR(IF(VLOOKUP(TableHandbook[[#This Row],[UDC]],TableAvailabilities[],4,FALSE)&gt;0,"Y",""),"")</f>
        <v/>
      </c>
      <c r="J21" s="157" t="str">
        <f>IFERROR(IF(VLOOKUP(TableHandbook[[#This Row],[UDC]],TableAvailabilities[],5,FALSE)&gt;0,"Y",""),"")</f>
        <v>Y</v>
      </c>
      <c r="K21"/>
      <c r="L21" s="158" t="str">
        <f>IFERROR(VLOOKUP(TableHandbook[[#This Row],[UDC]],TableOCENVCLM[],7,FALSE),"")</f>
        <v>Option</v>
      </c>
      <c r="M21" s="158" t="str">
        <f>IFERROR(VLOOKUP(TableHandbook[[#This Row],[UDC]],TableOGENVCLM[],7,FALSE),"")</f>
        <v>Option</v>
      </c>
      <c r="N21" s="158" t="str">
        <f>IFERROR(VLOOKUP(TableHandbook[[#This Row],[UDC]],TableOMENVCLM[],7,FALSE),"")</f>
        <v>Option</v>
      </c>
    </row>
    <row r="22" spans="1:14" x14ac:dyDescent="0.2">
      <c r="A22" t="s">
        <v>86</v>
      </c>
      <c r="B22">
        <v>1</v>
      </c>
      <c r="C22" t="s">
        <v>148</v>
      </c>
      <c r="D22" t="s">
        <v>149</v>
      </c>
      <c r="E22">
        <v>25</v>
      </c>
      <c r="F22" s="156" t="s">
        <v>114</v>
      </c>
      <c r="G22" s="157" t="str">
        <f>IFERROR(IF(VLOOKUP(TableHandbook[[#This Row],[UDC]],TableAvailabilities[],2,FALSE)&gt;0,"Y",""),"")</f>
        <v>Y</v>
      </c>
      <c r="H22" s="157" t="str">
        <f>IFERROR(IF(VLOOKUP(TableHandbook[[#This Row],[UDC]],TableAvailabilities[],3,FALSE)&gt;0,"Y",""),"")</f>
        <v/>
      </c>
      <c r="I22" s="157" t="str">
        <f>IFERROR(IF(VLOOKUP(TableHandbook[[#This Row],[UDC]],TableAvailabilities[],4,FALSE)&gt;0,"Y",""),"")</f>
        <v>Y</v>
      </c>
      <c r="J22" s="157" t="str">
        <f>IFERROR(IF(VLOOKUP(TableHandbook[[#This Row],[UDC]],TableAvailabilities[],5,FALSE)&gt;0,"Y",""),"")</f>
        <v/>
      </c>
      <c r="K22"/>
      <c r="L22" s="158" t="str">
        <f>IFERROR(VLOOKUP(TableHandbook[[#This Row],[UDC]],TableOCENVCLM[],7,FALSE),"")</f>
        <v>Option</v>
      </c>
      <c r="M22" s="158" t="str">
        <f>IFERROR(VLOOKUP(TableHandbook[[#This Row],[UDC]],TableOGENVCLM[],7,FALSE),"")</f>
        <v>Option</v>
      </c>
      <c r="N22" s="158" t="str">
        <f>IFERROR(VLOOKUP(TableHandbook[[#This Row],[UDC]],TableOMENVCLM[],7,FALSE),"")</f>
        <v>Core</v>
      </c>
    </row>
    <row r="23" spans="1:14" x14ac:dyDescent="0.2">
      <c r="A23" t="s">
        <v>105</v>
      </c>
      <c r="B23">
        <v>1</v>
      </c>
      <c r="C23" t="s">
        <v>150</v>
      </c>
      <c r="D23" t="s">
        <v>151</v>
      </c>
      <c r="E23">
        <v>25</v>
      </c>
      <c r="F23" s="156" t="s">
        <v>110</v>
      </c>
      <c r="G23" s="157" t="str">
        <f>IFERROR(IF(VLOOKUP(TableHandbook[[#This Row],[UDC]],TableAvailabilities[],2,FALSE)&gt;0,"Y",""),"")</f>
        <v/>
      </c>
      <c r="H23" s="157" t="str">
        <f>IFERROR(IF(VLOOKUP(TableHandbook[[#This Row],[UDC]],TableAvailabilities[],3,FALSE)&gt;0,"Y",""),"")</f>
        <v/>
      </c>
      <c r="I23" s="157" t="str">
        <f>IFERROR(IF(VLOOKUP(TableHandbook[[#This Row],[UDC]],TableAvailabilities[],4,FALSE)&gt;0,"Y",""),"")</f>
        <v/>
      </c>
      <c r="J23" s="157" t="str">
        <f>IFERROR(IF(VLOOKUP(TableHandbook[[#This Row],[UDC]],TableAvailabilities[],5,FALSE)&gt;0,"Y",""),"")</f>
        <v/>
      </c>
      <c r="K23"/>
      <c r="L23" s="158" t="str">
        <f>IFERROR(VLOOKUP(TableHandbook[[#This Row],[UDC]],TableOCENVCLM[],7,FALSE),"")</f>
        <v>Option</v>
      </c>
      <c r="M23" s="158" t="str">
        <f>IFERROR(VLOOKUP(TableHandbook[[#This Row],[UDC]],TableOGENVCLM[],7,FALSE),"")</f>
        <v>Option</v>
      </c>
      <c r="N23" s="158" t="str">
        <f>IFERROR(VLOOKUP(TableHandbook[[#This Row],[UDC]],TableOMENVCLM[],7,FALSE),"")</f>
        <v>Option</v>
      </c>
    </row>
    <row r="24" spans="1:14" x14ac:dyDescent="0.2">
      <c r="B24"/>
      <c r="E24"/>
      <c r="J24"/>
      <c r="K24"/>
      <c r="L24"/>
      <c r="M24"/>
    </row>
    <row r="25" spans="1:14" x14ac:dyDescent="0.2">
      <c r="B25"/>
      <c r="E25"/>
      <c r="J25"/>
      <c r="K25"/>
      <c r="L25"/>
      <c r="M25"/>
    </row>
    <row r="26" spans="1:14" x14ac:dyDescent="0.2">
      <c r="B26"/>
      <c r="E26"/>
      <c r="J26"/>
      <c r="K26"/>
      <c r="L26"/>
      <c r="M26"/>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row>
    <row r="55" spans="2:13" x14ac:dyDescent="0.2">
      <c r="B55"/>
      <c r="E55"/>
    </row>
    <row r="56" spans="2:13" x14ac:dyDescent="0.2">
      <c r="B56"/>
      <c r="E56"/>
    </row>
    <row r="57" spans="2:13" x14ac:dyDescent="0.2">
      <c r="B57"/>
    </row>
    <row r="58" spans="2:13" x14ac:dyDescent="0.2">
      <c r="B58"/>
    </row>
    <row r="59" spans="2:13" x14ac:dyDescent="0.2">
      <c r="B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sheetData>
  <sortState xmlns:xlrd2="http://schemas.microsoft.com/office/spreadsheetml/2017/richdata2" ref="A21:D34">
    <sortCondition ref="A21"/>
  </sortState>
  <conditionalFormatting sqref="A3:A23">
    <cfRule type="duplicateValues" dxfId="12" priority="28"/>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B27" sqref="B27"/>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19"/>
      <c r="G1" s="207" t="s">
        <v>152</v>
      </c>
      <c r="H1" s="208">
        <v>45895</v>
      </c>
      <c r="I1" s="209"/>
      <c r="J1" s="210" t="s">
        <v>45</v>
      </c>
      <c r="K1" s="210" t="s">
        <v>46</v>
      </c>
      <c r="L1" s="210" t="s">
        <v>34</v>
      </c>
      <c r="M1" s="209"/>
      <c r="N1" s="191">
        <v>44013</v>
      </c>
      <c r="O1" s="208"/>
      <c r="P1" s="190">
        <v>45658</v>
      </c>
    </row>
    <row r="2" spans="1:18" x14ac:dyDescent="0.2">
      <c r="A2" s="50" t="s">
        <v>0</v>
      </c>
      <c r="B2" s="50" t="s">
        <v>153</v>
      </c>
      <c r="C2" s="50" t="s">
        <v>18</v>
      </c>
      <c r="D2" s="50" t="s">
        <v>3</v>
      </c>
      <c r="E2" s="62" t="s">
        <v>154</v>
      </c>
      <c r="F2" s="50" t="s">
        <v>155</v>
      </c>
      <c r="G2" s="50" t="s">
        <v>156</v>
      </c>
      <c r="H2" s="50" t="s">
        <v>157</v>
      </c>
      <c r="I2" s="50" t="s">
        <v>19</v>
      </c>
      <c r="J2" s="50" t="s">
        <v>158</v>
      </c>
      <c r="K2" s="50" t="s">
        <v>1</v>
      </c>
      <c r="L2" s="50" t="s">
        <v>159</v>
      </c>
      <c r="M2" s="50" t="s">
        <v>43</v>
      </c>
      <c r="N2" s="50" t="s">
        <v>160</v>
      </c>
      <c r="O2" s="50" t="s">
        <v>161</v>
      </c>
      <c r="Q2" t="s">
        <v>162</v>
      </c>
      <c r="R2" t="s">
        <v>1</v>
      </c>
    </row>
    <row r="3" spans="1:18" ht="15.75" x14ac:dyDescent="0.2">
      <c r="A3" s="50" t="str">
        <f>TableOCENVCLM[[#This Row],[Study Package Code]]</f>
        <v>SUST5013</v>
      </c>
      <c r="B3" s="61">
        <f>TableOCENVCLM[[#This Row],[Ver]]</f>
        <v>2</v>
      </c>
      <c r="C3" s="61" t="str">
        <f>IF(TableOCENVCLM[[#This Row],[Ver]]&gt;0,_xlfn.TEXTBEFORE(TableOCENVCLM[[#This Row],[Structure Line]]," "),"")</f>
        <v>SCP543</v>
      </c>
      <c r="D3" s="50" t="str">
        <f>IF(TableOCENVCLM[[#This Row],[OUA Code]]&lt;&gt;"",_xlfn.TEXTAFTER(TableOCENVCLM[[#This Row],[Structure Line]]," "),TableOCENVCLM[[#This Row],[Structure Line]])</f>
        <v>Future Cities</v>
      </c>
      <c r="E3" s="63">
        <f>TableOCENVCLM[[#This Row],[Credit Points]]</f>
        <v>25</v>
      </c>
      <c r="F3" s="50">
        <v>1</v>
      </c>
      <c r="G3" s="50" t="s">
        <v>163</v>
      </c>
      <c r="H3" s="50">
        <v>1</v>
      </c>
      <c r="I3" s="64" t="s">
        <v>164</v>
      </c>
      <c r="J3" s="50" t="s">
        <v>78</v>
      </c>
      <c r="K3" s="50">
        <v>2</v>
      </c>
      <c r="L3" s="50" t="s">
        <v>165</v>
      </c>
      <c r="M3" s="50">
        <v>25</v>
      </c>
      <c r="N3" s="159">
        <v>44013</v>
      </c>
      <c r="O3" s="159"/>
      <c r="Q3" t="s">
        <v>78</v>
      </c>
      <c r="R3">
        <v>2</v>
      </c>
    </row>
    <row r="4" spans="1:18" ht="15.75" x14ac:dyDescent="0.2">
      <c r="A4" s="50" t="str">
        <f>TableOCENVCLM[[#This Row],[Study Package Code]]</f>
        <v>SUST5025</v>
      </c>
      <c r="B4" s="61">
        <f>TableOCENVCLM[[#This Row],[Ver]]</f>
        <v>1</v>
      </c>
      <c r="C4" s="61" t="str">
        <f>IF(TableOCENVCLM[[#This Row],[Ver]]&gt;0,_xlfn.TEXTBEFORE(TableOCENVCLM[[#This Row],[Structure Line]]," "),"")</f>
        <v>SCP530</v>
      </c>
      <c r="D4" s="50" t="str">
        <f>IF(TableOCENVCLM[[#This Row],[OUA Code]]&lt;&gt;"",_xlfn.TEXTAFTER(TableOCENVCLM[[#This Row],[Structure Line]]," "),TableOCENVCLM[[#This Row],[Structure Line]])</f>
        <v>Sustainable Waste Management</v>
      </c>
      <c r="E4" s="63">
        <f>TableOCENVCLM[[#This Row],[Credit Points]]</f>
        <v>25</v>
      </c>
      <c r="F4" s="50">
        <v>2</v>
      </c>
      <c r="G4" s="50" t="s">
        <v>163</v>
      </c>
      <c r="H4" s="50">
        <v>1</v>
      </c>
      <c r="I4" s="64" t="s">
        <v>164</v>
      </c>
      <c r="J4" s="50" t="s">
        <v>76</v>
      </c>
      <c r="K4" s="50">
        <v>1</v>
      </c>
      <c r="L4" s="50" t="s">
        <v>166</v>
      </c>
      <c r="M4" s="50">
        <v>25</v>
      </c>
      <c r="N4" s="159">
        <v>44197</v>
      </c>
      <c r="O4" s="159"/>
      <c r="Q4" t="s">
        <v>76</v>
      </c>
      <c r="R4">
        <v>1</v>
      </c>
    </row>
    <row r="5" spans="1:18" ht="15.75" x14ac:dyDescent="0.2">
      <c r="A5" s="50" t="str">
        <f>TableOCENVCLM[[#This Row],[Study Package Code]]</f>
        <v>SUST7001</v>
      </c>
      <c r="B5" s="61">
        <f>TableOCENVCLM[[#This Row],[Ver]]</f>
        <v>2</v>
      </c>
      <c r="C5" s="61" t="str">
        <f>IF(TableOCENVCLM[[#This Row],[Ver]]&gt;0,_xlfn.TEXTBEFORE(TableOCENVCLM[[#This Row],[Structure Line]]," "),"")</f>
        <v>SCP701</v>
      </c>
      <c r="D5" s="50" t="str">
        <f>IF(TableOCENVCLM[[#This Row],[OUA Code]]&lt;&gt;"",_xlfn.TEXTAFTER(TableOCENVCLM[[#This Row],[Structure Line]]," "),TableOCENVCLM[[#This Row],[Structure Line]])</f>
        <v>Introduction to Environment &amp; Climate Emergency</v>
      </c>
      <c r="E5" s="63">
        <f>TableOCENVCLM[[#This Row],[Credit Points]]</f>
        <v>25</v>
      </c>
      <c r="F5" s="50">
        <v>3</v>
      </c>
      <c r="G5" s="50" t="s">
        <v>163</v>
      </c>
      <c r="H5" s="50">
        <v>1</v>
      </c>
      <c r="I5" s="64" t="s">
        <v>164</v>
      </c>
      <c r="J5" s="50" t="s">
        <v>81</v>
      </c>
      <c r="K5" s="50">
        <v>2</v>
      </c>
      <c r="L5" s="50" t="s">
        <v>167</v>
      </c>
      <c r="M5" s="50">
        <v>25</v>
      </c>
      <c r="N5" s="159">
        <v>44013</v>
      </c>
      <c r="O5" s="159"/>
      <c r="Q5" t="s">
        <v>81</v>
      </c>
      <c r="R5">
        <v>2</v>
      </c>
    </row>
    <row r="6" spans="1:18" ht="15.75" x14ac:dyDescent="0.2">
      <c r="A6" s="50" t="str">
        <f>TableOCENVCLM[[#This Row],[Study Package Code]]</f>
        <v>Option</v>
      </c>
      <c r="B6" s="61">
        <f>TableOCENVCLM[[#This Row],[Ver]]</f>
        <v>0</v>
      </c>
      <c r="C6" s="61" t="str">
        <f>IF(TableOCENVCLM[[#This Row],[Ver]]&gt;0,_xlfn.TEXTBEFORE(TableOCENVCLM[[#This Row],[Structure Line]]," "),"")</f>
        <v/>
      </c>
      <c r="D6" s="50" t="str">
        <f>IF(TableOCENVCLM[[#This Row],[OUA Code]]&lt;&gt;"",_xlfn.TEXTAFTER(TableOCENVCLM[[#This Row],[Structure Line]]," "),TableOCENVCLM[[#This Row],[Structure Line]])</f>
        <v>Choose your optional unit</v>
      </c>
      <c r="E6" s="63">
        <f>TableOCENVCLM[[#This Row],[Credit Points]]</f>
        <v>25</v>
      </c>
      <c r="F6" s="50">
        <v>4</v>
      </c>
      <c r="G6" s="50" t="s">
        <v>82</v>
      </c>
      <c r="H6" s="50">
        <v>1</v>
      </c>
      <c r="I6" s="64" t="s">
        <v>164</v>
      </c>
      <c r="J6" s="50" t="s">
        <v>82</v>
      </c>
      <c r="K6" s="50">
        <v>0</v>
      </c>
      <c r="L6" s="50" t="s">
        <v>168</v>
      </c>
      <c r="M6" s="50">
        <v>25</v>
      </c>
      <c r="N6" s="159"/>
      <c r="O6" s="159"/>
      <c r="Q6" t="s">
        <v>82</v>
      </c>
      <c r="R6">
        <v>0</v>
      </c>
    </row>
    <row r="7" spans="1:18" ht="15.75" x14ac:dyDescent="0.2">
      <c r="A7" s="50" t="str">
        <f>TableOCENVCLM[[#This Row],[Study Package Code]]</f>
        <v>PRJM6013</v>
      </c>
      <c r="B7" s="61">
        <f>TableOCENVCLM[[#This Row],[Ver]]</f>
        <v>2</v>
      </c>
      <c r="C7" s="61" t="str">
        <f>IF(TableOCENVCLM[[#This Row],[Ver]]&gt;0,_xlfn.TEXTBEFORE(TableOCENVCLM[[#This Row],[Structure Line]]," "),"")</f>
        <v>PRM500</v>
      </c>
      <c r="D7" s="50" t="str">
        <f>IF(TableOCENVCLM[[#This Row],[OUA Code]]&lt;&gt;"",_xlfn.TEXTAFTER(TableOCENVCLM[[#This Row],[Structure Line]]," "),TableOCENVCLM[[#This Row],[Structure Line]])</f>
        <v>Project Management Overview</v>
      </c>
      <c r="E7" s="63">
        <f>TableOCENVCLM[[#This Row],[Credit Points]]</f>
        <v>25</v>
      </c>
      <c r="F7" s="50">
        <v>4</v>
      </c>
      <c r="G7" s="50" t="s">
        <v>82</v>
      </c>
      <c r="H7" s="50">
        <v>1</v>
      </c>
      <c r="I7" s="64" t="s">
        <v>164</v>
      </c>
      <c r="J7" s="50" t="s">
        <v>99</v>
      </c>
      <c r="K7" s="50">
        <v>2</v>
      </c>
      <c r="L7" s="50" t="s">
        <v>169</v>
      </c>
      <c r="M7" s="50">
        <v>25</v>
      </c>
      <c r="N7" s="159">
        <v>42917</v>
      </c>
      <c r="O7" s="159"/>
      <c r="Q7" t="s">
        <v>99</v>
      </c>
      <c r="R7">
        <v>2</v>
      </c>
    </row>
    <row r="8" spans="1:18" ht="15.75" x14ac:dyDescent="0.2">
      <c r="A8" s="50" t="str">
        <f>TableOCENVCLM[[#This Row],[Study Package Code]]</f>
        <v>PRJM6015</v>
      </c>
      <c r="B8" s="61">
        <f>TableOCENVCLM[[#This Row],[Ver]]</f>
        <v>1</v>
      </c>
      <c r="C8" s="61" t="str">
        <f>IF(TableOCENVCLM[[#This Row],[Ver]]&gt;0,_xlfn.TEXTBEFORE(TableOCENVCLM[[#This Row],[Structure Line]]," "),"")</f>
        <v>PRM510</v>
      </c>
      <c r="D8" s="50" t="str">
        <f>IF(TableOCENVCLM[[#This Row],[OUA Code]]&lt;&gt;"",_xlfn.TEXTAFTER(TableOCENVCLM[[#This Row],[Structure Line]]," "),TableOCENVCLM[[#This Row],[Structure Line]])</f>
        <v>Project and People</v>
      </c>
      <c r="E8" s="63">
        <f>TableOCENVCLM[[#This Row],[Credit Points]]</f>
        <v>25</v>
      </c>
      <c r="F8" s="50">
        <v>4</v>
      </c>
      <c r="G8" s="50" t="s">
        <v>82</v>
      </c>
      <c r="H8" s="50">
        <v>1</v>
      </c>
      <c r="I8" s="64" t="s">
        <v>164</v>
      </c>
      <c r="J8" s="50" t="s">
        <v>100</v>
      </c>
      <c r="K8" s="50">
        <v>1</v>
      </c>
      <c r="L8" s="50" t="s">
        <v>170</v>
      </c>
      <c r="M8" s="50">
        <v>25</v>
      </c>
      <c r="N8" s="159">
        <v>42917</v>
      </c>
      <c r="O8" s="159"/>
      <c r="Q8" t="s">
        <v>100</v>
      </c>
      <c r="R8">
        <v>1</v>
      </c>
    </row>
    <row r="9" spans="1:18" ht="15.75" x14ac:dyDescent="0.2">
      <c r="A9" s="50" t="str">
        <f>TableOCENVCLM[[#This Row],[Study Package Code]]</f>
        <v>SUST5014</v>
      </c>
      <c r="B9" s="61">
        <f>TableOCENVCLM[[#This Row],[Ver]]</f>
        <v>1</v>
      </c>
      <c r="C9" s="61" t="str">
        <f>IF(TableOCENVCLM[[#This Row],[Ver]]&gt;0,_xlfn.TEXTBEFORE(TableOCENVCLM[[#This Row],[Structure Line]]," "),"")</f>
        <v>SCP544</v>
      </c>
      <c r="D9" s="50" t="str">
        <f>IF(TableOCENVCLM[[#This Row],[OUA Code]]&lt;&gt;"",_xlfn.TEXTAFTER(TableOCENVCLM[[#This Row],[Structure Line]]," "),TableOCENVCLM[[#This Row],[Structure Line]])</f>
        <v>Leadership in Sustainability</v>
      </c>
      <c r="E9" s="63">
        <f>TableOCENVCLM[[#This Row],[Credit Points]]</f>
        <v>25</v>
      </c>
      <c r="F9" s="50">
        <v>4</v>
      </c>
      <c r="G9" s="50" t="s">
        <v>82</v>
      </c>
      <c r="H9" s="50">
        <v>1</v>
      </c>
      <c r="I9" s="64" t="s">
        <v>164</v>
      </c>
      <c r="J9" s="50" t="s">
        <v>90</v>
      </c>
      <c r="K9" s="50">
        <v>1</v>
      </c>
      <c r="L9" s="50" t="s">
        <v>171</v>
      </c>
      <c r="M9" s="50">
        <v>25</v>
      </c>
      <c r="N9" s="159">
        <v>42005</v>
      </c>
      <c r="O9" s="159"/>
      <c r="Q9" t="s">
        <v>90</v>
      </c>
      <c r="R9">
        <v>1</v>
      </c>
    </row>
    <row r="10" spans="1:18" ht="15.75" x14ac:dyDescent="0.2">
      <c r="A10" s="50" t="str">
        <f>TableOCENVCLM[[#This Row],[Study Package Code]]</f>
        <v>SUST5021</v>
      </c>
      <c r="B10" s="61">
        <f>TableOCENVCLM[[#This Row],[Ver]]</f>
        <v>1</v>
      </c>
      <c r="C10" s="61" t="str">
        <f>IF(TableOCENVCLM[[#This Row],[Ver]]&gt;0,_xlfn.TEXTBEFORE(TableOCENVCLM[[#This Row],[Structure Line]]," "),"")</f>
        <v>SCP549</v>
      </c>
      <c r="D10" s="50" t="str">
        <f>IF(TableOCENVCLM[[#This Row],[OUA Code]]&lt;&gt;"",_xlfn.TEXTAFTER(TableOCENVCLM[[#This Row],[Structure Line]]," "),TableOCENVCLM[[#This Row],[Structure Line]])</f>
        <v>Sustainability, Climate Change and Economics</v>
      </c>
      <c r="E10" s="63">
        <f>TableOCENVCLM[[#This Row],[Credit Points]]</f>
        <v>25</v>
      </c>
      <c r="F10" s="50">
        <v>4</v>
      </c>
      <c r="G10" s="50" t="s">
        <v>82</v>
      </c>
      <c r="H10" s="50">
        <v>1</v>
      </c>
      <c r="I10" s="64" t="s">
        <v>164</v>
      </c>
      <c r="J10" s="50" t="s">
        <v>93</v>
      </c>
      <c r="K10" s="50">
        <v>1</v>
      </c>
      <c r="L10" s="50" t="s">
        <v>172</v>
      </c>
      <c r="M10" s="50">
        <v>25</v>
      </c>
      <c r="N10" s="159">
        <v>42736</v>
      </c>
      <c r="O10" s="159"/>
      <c r="Q10" t="s">
        <v>93</v>
      </c>
      <c r="R10">
        <v>1</v>
      </c>
    </row>
    <row r="11" spans="1:18" ht="15.75" x14ac:dyDescent="0.2">
      <c r="A11" s="50" t="str">
        <f>TableOCENVCLM[[#This Row],[Study Package Code]]</f>
        <v>URDE5015</v>
      </c>
      <c r="B11" s="61">
        <f>TableOCENVCLM[[#This Row],[Ver]]</f>
        <v>3</v>
      </c>
      <c r="C11" s="61" t="str">
        <f>IF(TableOCENVCLM[[#This Row],[Ver]]&gt;0,_xlfn.TEXTBEFORE(TableOCENVCLM[[#This Row],[Structure Line]]," "),"")</f>
        <v>URP530</v>
      </c>
      <c r="D11" s="50" t="str">
        <f>IF(TableOCENVCLM[[#This Row],[OUA Code]]&lt;&gt;"",_xlfn.TEXTAFTER(TableOCENVCLM[[#This Row],[Structure Line]]," "),TableOCENVCLM[[#This Row],[Structure Line]])</f>
        <v>Planning Theory and Context</v>
      </c>
      <c r="E11" s="63">
        <f>TableOCENVCLM[[#This Row],[Credit Points]]</f>
        <v>25</v>
      </c>
      <c r="F11" s="50">
        <v>4</v>
      </c>
      <c r="G11" s="50" t="s">
        <v>82</v>
      </c>
      <c r="H11" s="50">
        <v>1</v>
      </c>
      <c r="I11" s="64" t="s">
        <v>164</v>
      </c>
      <c r="J11" s="50" t="s">
        <v>101</v>
      </c>
      <c r="K11" s="50">
        <v>3</v>
      </c>
      <c r="L11" s="50" t="s">
        <v>173</v>
      </c>
      <c r="M11" s="50">
        <v>25</v>
      </c>
      <c r="N11" s="159">
        <v>44562</v>
      </c>
      <c r="O11" s="159"/>
      <c r="Q11" t="s">
        <v>101</v>
      </c>
      <c r="R11">
        <v>3</v>
      </c>
    </row>
    <row r="12" spans="1:18" ht="15.75" x14ac:dyDescent="0.2">
      <c r="A12" s="50" t="str">
        <f>TableOCENVCLM[[#This Row],[Study Package Code]]</f>
        <v>URDE5016</v>
      </c>
      <c r="B12" s="61">
        <f>TableOCENVCLM[[#This Row],[Ver]]</f>
        <v>1</v>
      </c>
      <c r="C12" s="61" t="str">
        <f>IF(TableOCENVCLM[[#This Row],[Ver]]&gt;0,_xlfn.TEXTBEFORE(TableOCENVCLM[[#This Row],[Structure Line]]," "),"")</f>
        <v>URP500</v>
      </c>
      <c r="D12" s="50" t="str">
        <f>IF(TableOCENVCLM[[#This Row],[OUA Code]]&lt;&gt;"",_xlfn.TEXTAFTER(TableOCENVCLM[[#This Row],[Structure Line]]," "),TableOCENVCLM[[#This Row],[Structure Line]])</f>
        <v>Planning Law</v>
      </c>
      <c r="E12" s="63">
        <f>TableOCENVCLM[[#This Row],[Credit Points]]</f>
        <v>25</v>
      </c>
      <c r="F12" s="50">
        <v>4</v>
      </c>
      <c r="G12" s="50" t="s">
        <v>82</v>
      </c>
      <c r="H12" s="50">
        <v>1</v>
      </c>
      <c r="I12" s="64" t="s">
        <v>164</v>
      </c>
      <c r="J12" s="50" t="s">
        <v>102</v>
      </c>
      <c r="K12" s="50">
        <v>1</v>
      </c>
      <c r="L12" s="50" t="s">
        <v>174</v>
      </c>
      <c r="M12" s="50">
        <v>25</v>
      </c>
      <c r="N12" s="159">
        <v>42005</v>
      </c>
      <c r="O12" s="159"/>
      <c r="Q12" t="s">
        <v>102</v>
      </c>
      <c r="R12">
        <v>1</v>
      </c>
    </row>
    <row r="13" spans="1:18" ht="15.75" x14ac:dyDescent="0.2">
      <c r="A13" s="50" t="str">
        <f>TableOCENVCLM[[#This Row],[Study Package Code]]</f>
        <v>URDE5017</v>
      </c>
      <c r="B13" s="61">
        <f>TableOCENVCLM[[#This Row],[Ver]]</f>
        <v>2</v>
      </c>
      <c r="C13" s="61" t="str">
        <f>IF(TableOCENVCLM[[#This Row],[Ver]]&gt;0,_xlfn.TEXTBEFORE(TableOCENVCLM[[#This Row],[Structure Line]]," "),"")</f>
        <v>URP510</v>
      </c>
      <c r="D13" s="50" t="str">
        <f>IF(TableOCENVCLM[[#This Row],[OUA Code]]&lt;&gt;"",_xlfn.TEXTAFTER(TableOCENVCLM[[#This Row],[Structure Line]]," "),TableOCENVCLM[[#This Row],[Structure Line]])</f>
        <v>Planning for Regions</v>
      </c>
      <c r="E13" s="63">
        <f>TableOCENVCLM[[#This Row],[Credit Points]]</f>
        <v>25</v>
      </c>
      <c r="F13" s="50">
        <v>4</v>
      </c>
      <c r="G13" s="50" t="s">
        <v>82</v>
      </c>
      <c r="H13" s="50">
        <v>1</v>
      </c>
      <c r="I13" s="64" t="s">
        <v>164</v>
      </c>
      <c r="J13" s="50" t="s">
        <v>103</v>
      </c>
      <c r="K13" s="50">
        <v>2</v>
      </c>
      <c r="L13" s="50" t="s">
        <v>175</v>
      </c>
      <c r="M13" s="50">
        <v>25</v>
      </c>
      <c r="N13" s="159">
        <v>44197</v>
      </c>
      <c r="O13" s="159"/>
      <c r="Q13" t="s">
        <v>103</v>
      </c>
      <c r="R13">
        <v>2</v>
      </c>
    </row>
    <row r="14" spans="1:18" ht="15.75" x14ac:dyDescent="0.2">
      <c r="A14" s="50" t="str">
        <f>TableOCENVCLM[[#This Row],[Study Package Code]]</f>
        <v>URDE6004</v>
      </c>
      <c r="B14" s="61">
        <f>TableOCENVCLM[[#This Row],[Ver]]</f>
        <v>1</v>
      </c>
      <c r="C14" s="61" t="str">
        <f>IF(TableOCENVCLM[[#This Row],[Ver]]&gt;0,_xlfn.TEXTBEFORE(TableOCENVCLM[[#This Row],[Structure Line]]," "),"")</f>
        <v>URP640</v>
      </c>
      <c r="D14" s="50" t="str">
        <f>IF(TableOCENVCLM[[#This Row],[OUA Code]]&lt;&gt;"",_xlfn.TEXTAFTER(TableOCENVCLM[[#This Row],[Structure Line]]," "),TableOCENVCLM[[#This Row],[Structure Line]])</f>
        <v>Participatory Planning</v>
      </c>
      <c r="E14" s="63">
        <f>TableOCENVCLM[[#This Row],[Credit Points]]</f>
        <v>25</v>
      </c>
      <c r="F14" s="50">
        <v>4</v>
      </c>
      <c r="G14" s="50" t="s">
        <v>82</v>
      </c>
      <c r="H14" s="50">
        <v>1</v>
      </c>
      <c r="I14" s="64" t="s">
        <v>164</v>
      </c>
      <c r="J14" s="50" t="s">
        <v>104</v>
      </c>
      <c r="K14" s="50">
        <v>1</v>
      </c>
      <c r="L14" s="50" t="s">
        <v>176</v>
      </c>
      <c r="M14" s="50">
        <v>25</v>
      </c>
      <c r="N14" s="159">
        <v>42005</v>
      </c>
      <c r="O14" s="159"/>
      <c r="Q14" t="s">
        <v>104</v>
      </c>
      <c r="R14">
        <v>1</v>
      </c>
    </row>
    <row r="15" spans="1:18" ht="15.75" x14ac:dyDescent="0.2">
      <c r="A15" s="50" t="str">
        <f>TableOCENVCLM[[#This Row],[Study Package Code]]</f>
        <v>URDE6007</v>
      </c>
      <c r="B15" s="61">
        <f>TableOCENVCLM[[#This Row],[Ver]]</f>
        <v>1</v>
      </c>
      <c r="C15" s="61" t="str">
        <f>IF(TableOCENVCLM[[#This Row],[Ver]]&gt;0,_xlfn.TEXTBEFORE(TableOCENVCLM[[#This Row],[Structure Line]]," "),"")</f>
        <v>DBE600</v>
      </c>
      <c r="D15" s="50" t="str">
        <f>IF(TableOCENVCLM[[#This Row],[OUA Code]]&lt;&gt;"",_xlfn.TEXTAFTER(TableOCENVCLM[[#This Row],[Structure Line]]," "),TableOCENVCLM[[#This Row],[Structure Line]])</f>
        <v>Design and Built Environment Research Methods</v>
      </c>
      <c r="E15" s="63">
        <f>TableOCENVCLM[[#This Row],[Credit Points]]</f>
        <v>25</v>
      </c>
      <c r="F15" s="50">
        <v>4</v>
      </c>
      <c r="G15" s="50" t="s">
        <v>82</v>
      </c>
      <c r="H15" s="50">
        <v>1</v>
      </c>
      <c r="I15" s="64" t="s">
        <v>164</v>
      </c>
      <c r="J15" s="50" t="s">
        <v>86</v>
      </c>
      <c r="K15" s="50">
        <v>1</v>
      </c>
      <c r="L15" s="50" t="s">
        <v>177</v>
      </c>
      <c r="M15" s="50">
        <v>25</v>
      </c>
      <c r="N15" s="159">
        <v>44562</v>
      </c>
      <c r="O15" s="159"/>
      <c r="Q15" t="s">
        <v>86</v>
      </c>
      <c r="R15">
        <v>1</v>
      </c>
    </row>
    <row r="16" spans="1:18" ht="15.75" x14ac:dyDescent="0.2">
      <c r="A16" s="50" t="str">
        <f>TableOCENVCLM[[#This Row],[Study Package Code]]</f>
        <v>WORK5001</v>
      </c>
      <c r="B16" s="61">
        <f>TableOCENVCLM[[#This Row],[Ver]]</f>
        <v>1</v>
      </c>
      <c r="C16" s="61" t="str">
        <f>IF(TableOCENVCLM[[#This Row],[Ver]]&gt;0,_xlfn.TEXTBEFORE(TableOCENVCLM[[#This Row],[Structure Line]]," "),"")</f>
        <v>WBP500</v>
      </c>
      <c r="D16" s="50" t="str">
        <f>IF(TableOCENVCLM[[#This Row],[OUA Code]]&lt;&gt;"",_xlfn.TEXTAFTER(TableOCENVCLM[[#This Row],[Structure Line]]," "),TableOCENVCLM[[#This Row],[Structure Line]])</f>
        <v>Work Based Project</v>
      </c>
      <c r="E16" s="63">
        <f>TableOCENVCLM[[#This Row],[Credit Points]]</f>
        <v>25</v>
      </c>
      <c r="F16" s="50">
        <v>4</v>
      </c>
      <c r="G16" s="50" t="s">
        <v>82</v>
      </c>
      <c r="H16" s="50">
        <v>1</v>
      </c>
      <c r="I16" s="64" t="s">
        <v>164</v>
      </c>
      <c r="J16" s="50" t="s">
        <v>105</v>
      </c>
      <c r="K16" s="50">
        <v>1</v>
      </c>
      <c r="L16" s="50" t="s">
        <v>178</v>
      </c>
      <c r="M16" s="50">
        <v>25</v>
      </c>
      <c r="N16" s="159">
        <v>44287</v>
      </c>
      <c r="O16" s="159"/>
      <c r="Q16" t="s">
        <v>105</v>
      </c>
      <c r="R16">
        <v>1</v>
      </c>
    </row>
    <row r="17" spans="1:18" ht="15.75" x14ac:dyDescent="0.2">
      <c r="A17" s="50"/>
      <c r="B17" s="61"/>
      <c r="C17" s="61"/>
      <c r="D17" s="50"/>
      <c r="E17" s="61"/>
      <c r="F17" s="50"/>
      <c r="G17" s="50"/>
      <c r="H17" s="50"/>
      <c r="I17" s="64"/>
      <c r="J17" s="50"/>
      <c r="K17" s="50"/>
      <c r="L17" s="50"/>
      <c r="M17" s="50"/>
    </row>
    <row r="18" spans="1:18" ht="15.75" x14ac:dyDescent="0.25">
      <c r="F18" s="19"/>
      <c r="G18" s="207" t="s">
        <v>152</v>
      </c>
      <c r="H18" s="208">
        <v>45895</v>
      </c>
      <c r="I18" s="209"/>
      <c r="J18" s="210" t="s">
        <v>49</v>
      </c>
      <c r="K18" s="210" t="s">
        <v>46</v>
      </c>
      <c r="L18" s="210" t="s">
        <v>33</v>
      </c>
      <c r="M18" s="209"/>
      <c r="N18" s="191">
        <v>44013</v>
      </c>
      <c r="O18" s="208"/>
    </row>
    <row r="19" spans="1:18" x14ac:dyDescent="0.2">
      <c r="A19" s="50" t="s">
        <v>0</v>
      </c>
      <c r="B19" s="50" t="s">
        <v>153</v>
      </c>
      <c r="C19" s="50" t="s">
        <v>18</v>
      </c>
      <c r="D19" s="50" t="s">
        <v>3</v>
      </c>
      <c r="E19" s="62" t="s">
        <v>154</v>
      </c>
      <c r="F19" s="50" t="s">
        <v>155</v>
      </c>
      <c r="G19" s="50" t="s">
        <v>156</v>
      </c>
      <c r="H19" s="50" t="s">
        <v>157</v>
      </c>
      <c r="I19" s="50" t="s">
        <v>19</v>
      </c>
      <c r="J19" s="50" t="s">
        <v>158</v>
      </c>
      <c r="K19" s="50" t="s">
        <v>1</v>
      </c>
      <c r="L19" s="50" t="s">
        <v>159</v>
      </c>
      <c r="M19" s="50" t="s">
        <v>43</v>
      </c>
      <c r="N19" s="159" t="s">
        <v>160</v>
      </c>
      <c r="O19" s="50" t="s">
        <v>161</v>
      </c>
      <c r="Q19" t="s">
        <v>162</v>
      </c>
      <c r="R19" t="s">
        <v>1</v>
      </c>
    </row>
    <row r="20" spans="1:18" ht="15.75" x14ac:dyDescent="0.2">
      <c r="A20" s="50" t="str">
        <f>TableOGENVCLM[[#This Row],[Study Package Code]]</f>
        <v>SUST5025</v>
      </c>
      <c r="B20" s="61">
        <f>TableOGENVCLM[[#This Row],[Ver]]</f>
        <v>1</v>
      </c>
      <c r="C20" s="61" t="str">
        <f>IF(TableOGENVCLM[[#This Row],[Ver]]&gt;0,_xlfn.TEXTBEFORE(TableOGENVCLM[[#This Row],[Structure Line]]," "),"")</f>
        <v>SCP530</v>
      </c>
      <c r="D20" s="50" t="str">
        <f>IF(TableOGENVCLM[[#This Row],[OUA Code]]&lt;&gt;"",_xlfn.TEXTAFTER(TableOGENVCLM[[#This Row],[Structure Line]]," "),TableOGENVCLM[[#This Row],[Structure Line]])</f>
        <v>Sustainable Waste Management</v>
      </c>
      <c r="E20" s="63">
        <f>TableOGENVCLM[[#This Row],[Credit Points]]</f>
        <v>25</v>
      </c>
      <c r="F20" s="50">
        <v>1</v>
      </c>
      <c r="G20" s="50" t="s">
        <v>163</v>
      </c>
      <c r="H20" s="50">
        <v>1</v>
      </c>
      <c r="I20" s="64" t="s">
        <v>164</v>
      </c>
      <c r="J20" s="50" t="s">
        <v>76</v>
      </c>
      <c r="K20" s="50">
        <v>1</v>
      </c>
      <c r="L20" s="50" t="s">
        <v>166</v>
      </c>
      <c r="M20" s="50">
        <v>25</v>
      </c>
      <c r="N20" s="159">
        <v>44197</v>
      </c>
      <c r="O20" s="159"/>
      <c r="Q20" t="s">
        <v>76</v>
      </c>
      <c r="R20">
        <v>1</v>
      </c>
    </row>
    <row r="21" spans="1:18" ht="15.75" x14ac:dyDescent="0.2">
      <c r="A21" s="50" t="str">
        <f>TableOGENVCLM[[#This Row],[Study Package Code]]</f>
        <v>SUST5013</v>
      </c>
      <c r="B21" s="61">
        <f>TableOGENVCLM[[#This Row],[Ver]]</f>
        <v>2</v>
      </c>
      <c r="C21" s="61" t="str">
        <f>IF(TableOGENVCLM[[#This Row],[Ver]]&gt;0,_xlfn.TEXTBEFORE(TableOGENVCLM[[#This Row],[Structure Line]]," "),"")</f>
        <v>SCP543</v>
      </c>
      <c r="D21" s="50" t="str">
        <f>IF(TableOGENVCLM[[#This Row],[OUA Code]]&lt;&gt;"",_xlfn.TEXTAFTER(TableOGENVCLM[[#This Row],[Structure Line]]," "),TableOGENVCLM[[#This Row],[Structure Line]])</f>
        <v>Future Cities</v>
      </c>
      <c r="E21" s="63">
        <f>TableOGENVCLM[[#This Row],[Credit Points]]</f>
        <v>25</v>
      </c>
      <c r="F21" s="50">
        <v>2</v>
      </c>
      <c r="G21" s="50" t="s">
        <v>163</v>
      </c>
      <c r="H21" s="50">
        <v>1</v>
      </c>
      <c r="I21" s="64" t="s">
        <v>164</v>
      </c>
      <c r="J21" s="50" t="s">
        <v>78</v>
      </c>
      <c r="K21" s="50">
        <v>2</v>
      </c>
      <c r="L21" s="50" t="s">
        <v>165</v>
      </c>
      <c r="M21" s="50">
        <v>25</v>
      </c>
      <c r="N21" s="159">
        <v>44013</v>
      </c>
      <c r="O21" s="159"/>
      <c r="Q21" t="s">
        <v>78</v>
      </c>
      <c r="R21">
        <v>2</v>
      </c>
    </row>
    <row r="22" spans="1:18" ht="15.75" x14ac:dyDescent="0.2">
      <c r="A22" s="50" t="str">
        <f>TableOGENVCLM[[#This Row],[Study Package Code]]</f>
        <v>SUST7001</v>
      </c>
      <c r="B22" s="61">
        <f>TableOGENVCLM[[#This Row],[Ver]]</f>
        <v>2</v>
      </c>
      <c r="C22" s="61" t="str">
        <f>IF(TableOGENVCLM[[#This Row],[Ver]]&gt;0,_xlfn.TEXTBEFORE(TableOGENVCLM[[#This Row],[Structure Line]]," "),"")</f>
        <v>SCP701</v>
      </c>
      <c r="D22" s="50" t="str">
        <f>IF(TableOGENVCLM[[#This Row],[OUA Code]]&lt;&gt;"",_xlfn.TEXTAFTER(TableOGENVCLM[[#This Row],[Structure Line]]," "),TableOGENVCLM[[#This Row],[Structure Line]])</f>
        <v>Introduction to Environment &amp; Climate Emergency</v>
      </c>
      <c r="E22" s="63">
        <f>TableOGENVCLM[[#This Row],[Credit Points]]</f>
        <v>25</v>
      </c>
      <c r="F22" s="50">
        <v>3</v>
      </c>
      <c r="G22" s="50" t="s">
        <v>163</v>
      </c>
      <c r="H22" s="50">
        <v>1</v>
      </c>
      <c r="I22" s="64" t="s">
        <v>164</v>
      </c>
      <c r="J22" s="50" t="s">
        <v>81</v>
      </c>
      <c r="K22" s="50">
        <v>2</v>
      </c>
      <c r="L22" s="50" t="s">
        <v>167</v>
      </c>
      <c r="M22" s="50">
        <v>25</v>
      </c>
      <c r="N22" s="159">
        <v>44013</v>
      </c>
      <c r="O22" s="159"/>
      <c r="Q22" t="s">
        <v>81</v>
      </c>
      <c r="R22">
        <v>2</v>
      </c>
    </row>
    <row r="23" spans="1:18" ht="15.75" x14ac:dyDescent="0.2">
      <c r="A23" s="50" t="str">
        <f>TableOGENVCLM[[#This Row],[Study Package Code]]</f>
        <v>Option</v>
      </c>
      <c r="B23" s="61">
        <f>TableOGENVCLM[[#This Row],[Ver]]</f>
        <v>0</v>
      </c>
      <c r="C23" s="61" t="str">
        <f>IF(TableOGENVCLM[[#This Row],[Ver]]&gt;0,_xlfn.TEXTBEFORE(TableOGENVCLM[[#This Row],[Structure Line]]," "),"")</f>
        <v/>
      </c>
      <c r="D23" s="50" t="str">
        <f>IF(TableOGENVCLM[[#This Row],[OUA Code]]&lt;&gt;"",_xlfn.TEXTAFTER(TableOGENVCLM[[#This Row],[Structure Line]]," "),TableOGENVCLM[[#This Row],[Structure Line]])</f>
        <v>Choose your optional unit</v>
      </c>
      <c r="E23" s="63">
        <f>TableOGENVCLM[[#This Row],[Credit Points]]</f>
        <v>25</v>
      </c>
      <c r="F23" s="50">
        <v>4</v>
      </c>
      <c r="G23" s="50" t="s">
        <v>82</v>
      </c>
      <c r="H23" s="50">
        <v>1</v>
      </c>
      <c r="I23" s="64" t="s">
        <v>164</v>
      </c>
      <c r="J23" s="50" t="s">
        <v>82</v>
      </c>
      <c r="K23" s="50">
        <v>0</v>
      </c>
      <c r="L23" s="50" t="s">
        <v>168</v>
      </c>
      <c r="M23" s="50">
        <v>25</v>
      </c>
      <c r="N23" s="159"/>
      <c r="O23" s="159"/>
      <c r="Q23" t="s">
        <v>82</v>
      </c>
      <c r="R23">
        <v>0</v>
      </c>
    </row>
    <row r="24" spans="1:18" ht="15.75" x14ac:dyDescent="0.2">
      <c r="A24" s="50" t="str">
        <f>TableOGENVCLM[[#This Row],[Study Package Code]]</f>
        <v>SUST5010</v>
      </c>
      <c r="B24" s="61">
        <f>TableOGENVCLM[[#This Row],[Ver]]</f>
        <v>2</v>
      </c>
      <c r="C24" s="61" t="str">
        <f>IF(TableOGENVCLM[[#This Row],[Ver]]&gt;0,_xlfn.TEXTBEFORE(TableOGENVCLM[[#This Row],[Structure Line]]," "),"")</f>
        <v>SCP522</v>
      </c>
      <c r="D24" s="50" t="str">
        <f>IF(TableOGENVCLM[[#This Row],[OUA Code]]&lt;&gt;"",_xlfn.TEXTAFTER(TableOGENVCLM[[#This Row],[Structure Line]]," "),TableOGENVCLM[[#This Row],[Structure Line]])</f>
        <v>Pathways to a Climate Resilient Society</v>
      </c>
      <c r="E24" s="63">
        <f>TableOGENVCLM[[#This Row],[Credit Points]]</f>
        <v>25</v>
      </c>
      <c r="F24" s="50">
        <v>5</v>
      </c>
      <c r="G24" s="50" t="s">
        <v>163</v>
      </c>
      <c r="H24" s="50">
        <v>1</v>
      </c>
      <c r="I24" s="64" t="s">
        <v>179</v>
      </c>
      <c r="J24" s="50" t="s">
        <v>83</v>
      </c>
      <c r="K24" s="50">
        <v>2</v>
      </c>
      <c r="L24" s="50" t="s">
        <v>180</v>
      </c>
      <c r="M24" s="50">
        <v>25</v>
      </c>
      <c r="N24" s="159">
        <v>44013</v>
      </c>
      <c r="O24" s="159"/>
      <c r="Q24" t="s">
        <v>83</v>
      </c>
      <c r="R24">
        <v>2</v>
      </c>
    </row>
    <row r="25" spans="1:18" ht="15.75" x14ac:dyDescent="0.2">
      <c r="A25" s="50" t="str">
        <f>TableOGENVCLM[[#This Row],[Study Package Code]]</f>
        <v>SUST5016</v>
      </c>
      <c r="B25" s="61">
        <f>TableOGENVCLM[[#This Row],[Ver]]</f>
        <v>1</v>
      </c>
      <c r="C25" s="61" t="str">
        <f>IF(TableOGENVCLM[[#This Row],[Ver]]&gt;0,_xlfn.TEXTBEFORE(TableOGENVCLM[[#This Row],[Structure Line]]," "),"")</f>
        <v>SCP547</v>
      </c>
      <c r="D25" s="50" t="str">
        <f>IF(TableOGENVCLM[[#This Row],[OUA Code]]&lt;&gt;"",_xlfn.TEXTAFTER(TableOGENVCLM[[#This Row],[Structure Line]]," "),TableOGENVCLM[[#This Row],[Structure Line]])</f>
        <v>Climate Policy</v>
      </c>
      <c r="E25" s="63">
        <f>TableOGENVCLM[[#This Row],[Credit Points]]</f>
        <v>25</v>
      </c>
      <c r="F25" s="50">
        <v>6</v>
      </c>
      <c r="G25" s="50" t="s">
        <v>163</v>
      </c>
      <c r="H25" s="50">
        <v>1</v>
      </c>
      <c r="I25" s="64" t="s">
        <v>179</v>
      </c>
      <c r="J25" s="50" t="s">
        <v>84</v>
      </c>
      <c r="K25" s="50">
        <v>1</v>
      </c>
      <c r="L25" s="50" t="s">
        <v>181</v>
      </c>
      <c r="M25" s="50">
        <v>25</v>
      </c>
      <c r="N25" s="159">
        <v>42005</v>
      </c>
      <c r="O25" s="159"/>
      <c r="Q25" t="s">
        <v>84</v>
      </c>
      <c r="R25">
        <v>1</v>
      </c>
    </row>
    <row r="26" spans="1:18" ht="15.75" x14ac:dyDescent="0.2">
      <c r="A26" s="50" t="str">
        <f>TableOGENVCLM[[#This Row],[Study Package Code]]</f>
        <v>SUST5019</v>
      </c>
      <c r="B26" s="61">
        <f>TableOGENVCLM[[#This Row],[Ver]]</f>
        <v>2</v>
      </c>
      <c r="C26" s="61" t="str">
        <f>IF(TableOGENVCLM[[#This Row],[Ver]]&gt;0,_xlfn.TEXTBEFORE(TableOGENVCLM[[#This Row],[Structure Line]]," "),"")</f>
        <v>SCP548</v>
      </c>
      <c r="D26" s="50" t="str">
        <f>IF(TableOGENVCLM[[#This Row],[OUA Code]]&lt;&gt;"",_xlfn.TEXTAFTER(TableOGENVCLM[[#This Row],[Structure Line]]," "),TableOGENVCLM[[#This Row],[Structure Line]])</f>
        <v>People and Planet</v>
      </c>
      <c r="E26" s="63">
        <f>TableOGENVCLM[[#This Row],[Credit Points]]</f>
        <v>25</v>
      </c>
      <c r="F26" s="50">
        <v>7</v>
      </c>
      <c r="G26" s="50" t="s">
        <v>163</v>
      </c>
      <c r="H26" s="50">
        <v>1</v>
      </c>
      <c r="I26" s="64" t="s">
        <v>179</v>
      </c>
      <c r="J26" s="50" t="s">
        <v>85</v>
      </c>
      <c r="K26" s="50">
        <v>2</v>
      </c>
      <c r="L26" s="50" t="s">
        <v>182</v>
      </c>
      <c r="M26" s="50">
        <v>25</v>
      </c>
      <c r="N26" s="159">
        <v>44013</v>
      </c>
      <c r="O26" s="159"/>
      <c r="Q26" t="s">
        <v>85</v>
      </c>
      <c r="R26">
        <v>2</v>
      </c>
    </row>
    <row r="27" spans="1:18" ht="15.75" x14ac:dyDescent="0.2">
      <c r="A27" s="50" t="str">
        <f>TableOGENVCLM[[#This Row],[Study Package Code]]</f>
        <v>Option</v>
      </c>
      <c r="B27" s="61">
        <f>TableOGENVCLM[[#This Row],[Ver]]</f>
        <v>0</v>
      </c>
      <c r="C27" s="61" t="str">
        <f>IF(TableOGENVCLM[[#This Row],[Ver]]&gt;0,_xlfn.TEXTBEFORE(TableOGENVCLM[[#This Row],[Structure Line]]," "),"")</f>
        <v/>
      </c>
      <c r="D27" s="50" t="str">
        <f>IF(TableOGENVCLM[[#This Row],[OUA Code]]&lt;&gt;"",_xlfn.TEXTAFTER(TableOGENVCLM[[#This Row],[Structure Line]]," "),TableOGENVCLM[[#This Row],[Structure Line]])</f>
        <v>Choose your optional unit</v>
      </c>
      <c r="E27" s="63">
        <f>TableOGENVCLM[[#This Row],[Credit Points]]</f>
        <v>25</v>
      </c>
      <c r="F27" s="50">
        <v>8</v>
      </c>
      <c r="G27" s="50" t="s">
        <v>82</v>
      </c>
      <c r="H27" s="50">
        <v>1</v>
      </c>
      <c r="I27" s="64" t="s">
        <v>179</v>
      </c>
      <c r="J27" s="50" t="s">
        <v>82</v>
      </c>
      <c r="K27" s="50">
        <v>0</v>
      </c>
      <c r="L27" s="50" t="s">
        <v>168</v>
      </c>
      <c r="M27" s="50">
        <v>25</v>
      </c>
      <c r="N27" s="159"/>
      <c r="O27" s="159"/>
      <c r="Q27" t="s">
        <v>82</v>
      </c>
      <c r="R27">
        <v>0</v>
      </c>
    </row>
    <row r="28" spans="1:18" ht="15.75" x14ac:dyDescent="0.2">
      <c r="A28" s="50" t="str">
        <f>TableOGENVCLM[[#This Row],[Study Package Code]]</f>
        <v>PRJM6013</v>
      </c>
      <c r="B28" s="61">
        <f>TableOGENVCLM[[#This Row],[Ver]]</f>
        <v>2</v>
      </c>
      <c r="C28" s="61" t="str">
        <f>IF(TableOGENVCLM[[#This Row],[Ver]]&gt;0,_xlfn.TEXTBEFORE(TableOGENVCLM[[#This Row],[Structure Line]]," "),"")</f>
        <v>PRM500</v>
      </c>
      <c r="D28" s="50" t="str">
        <f>IF(TableOGENVCLM[[#This Row],[OUA Code]]&lt;&gt;"",_xlfn.TEXTAFTER(TableOGENVCLM[[#This Row],[Structure Line]]," "),TableOGENVCLM[[#This Row],[Structure Line]])</f>
        <v>Project Management Overview</v>
      </c>
      <c r="E28" s="63">
        <f>TableOGENVCLM[[#This Row],[Credit Points]]</f>
        <v>25</v>
      </c>
      <c r="F28" s="50">
        <v>8</v>
      </c>
      <c r="G28" s="50" t="s">
        <v>82</v>
      </c>
      <c r="H28" s="50">
        <v>1</v>
      </c>
      <c r="I28" s="64"/>
      <c r="J28" s="50" t="s">
        <v>99</v>
      </c>
      <c r="K28" s="50">
        <v>2</v>
      </c>
      <c r="L28" s="50" t="s">
        <v>169</v>
      </c>
      <c r="M28" s="50">
        <v>25</v>
      </c>
      <c r="N28" s="159">
        <v>42917</v>
      </c>
      <c r="O28" s="159"/>
      <c r="Q28" t="s">
        <v>99</v>
      </c>
      <c r="R28">
        <v>2</v>
      </c>
    </row>
    <row r="29" spans="1:18" ht="15.75" x14ac:dyDescent="0.2">
      <c r="A29" s="50" t="str">
        <f>TableOGENVCLM[[#This Row],[Study Package Code]]</f>
        <v>PRJM6015</v>
      </c>
      <c r="B29" s="61">
        <f>TableOGENVCLM[[#This Row],[Ver]]</f>
        <v>1</v>
      </c>
      <c r="C29" s="61" t="str">
        <f>IF(TableOGENVCLM[[#This Row],[Ver]]&gt;0,_xlfn.TEXTBEFORE(TableOGENVCLM[[#This Row],[Structure Line]]," "),"")</f>
        <v>PRM510</v>
      </c>
      <c r="D29" s="50" t="str">
        <f>IF(TableOGENVCLM[[#This Row],[OUA Code]]&lt;&gt;"",_xlfn.TEXTAFTER(TableOGENVCLM[[#This Row],[Structure Line]]," "),TableOGENVCLM[[#This Row],[Structure Line]])</f>
        <v>Project and People</v>
      </c>
      <c r="E29" s="63">
        <f>TableOGENVCLM[[#This Row],[Credit Points]]</f>
        <v>25</v>
      </c>
      <c r="F29" s="50">
        <v>8</v>
      </c>
      <c r="G29" s="50" t="s">
        <v>82</v>
      </c>
      <c r="H29" s="50">
        <v>1</v>
      </c>
      <c r="I29" s="64"/>
      <c r="J29" s="50" t="s">
        <v>100</v>
      </c>
      <c r="K29" s="50">
        <v>1</v>
      </c>
      <c r="L29" s="50" t="s">
        <v>170</v>
      </c>
      <c r="M29" s="50">
        <v>25</v>
      </c>
      <c r="N29" s="159">
        <v>42917</v>
      </c>
      <c r="O29" s="159"/>
      <c r="Q29" t="s">
        <v>100</v>
      </c>
      <c r="R29">
        <v>1</v>
      </c>
    </row>
    <row r="30" spans="1:18" ht="15.75" x14ac:dyDescent="0.2">
      <c r="A30" s="50" t="str">
        <f>TableOGENVCLM[[#This Row],[Study Package Code]]</f>
        <v>SUST5014</v>
      </c>
      <c r="B30" s="61">
        <f>TableOGENVCLM[[#This Row],[Ver]]</f>
        <v>1</v>
      </c>
      <c r="C30" s="61" t="str">
        <f>IF(TableOGENVCLM[[#This Row],[Ver]]&gt;0,_xlfn.TEXTBEFORE(TableOGENVCLM[[#This Row],[Structure Line]]," "),"")</f>
        <v>SCP544</v>
      </c>
      <c r="D30" s="50" t="str">
        <f>IF(TableOGENVCLM[[#This Row],[OUA Code]]&lt;&gt;"",_xlfn.TEXTAFTER(TableOGENVCLM[[#This Row],[Structure Line]]," "),TableOGENVCLM[[#This Row],[Structure Line]])</f>
        <v>Leadership in Sustainability</v>
      </c>
      <c r="E30" s="63">
        <f>TableOGENVCLM[[#This Row],[Credit Points]]</f>
        <v>25</v>
      </c>
      <c r="F30" s="50">
        <v>8</v>
      </c>
      <c r="G30" s="50" t="s">
        <v>82</v>
      </c>
      <c r="H30" s="50">
        <v>1</v>
      </c>
      <c r="I30" s="64"/>
      <c r="J30" s="50" t="s">
        <v>90</v>
      </c>
      <c r="K30" s="50">
        <v>1</v>
      </c>
      <c r="L30" s="50" t="s">
        <v>171</v>
      </c>
      <c r="M30" s="50">
        <v>25</v>
      </c>
      <c r="N30" s="159">
        <v>42005</v>
      </c>
      <c r="O30" s="159"/>
      <c r="Q30" t="s">
        <v>90</v>
      </c>
      <c r="R30">
        <v>1</v>
      </c>
    </row>
    <row r="31" spans="1:18" ht="15.75" x14ac:dyDescent="0.2">
      <c r="A31" s="50" t="str">
        <f>TableOGENVCLM[[#This Row],[Study Package Code]]</f>
        <v>SUST5021</v>
      </c>
      <c r="B31" s="61">
        <f>TableOGENVCLM[[#This Row],[Ver]]</f>
        <v>1</v>
      </c>
      <c r="C31" s="61" t="str">
        <f>IF(TableOGENVCLM[[#This Row],[Ver]]&gt;0,_xlfn.TEXTBEFORE(TableOGENVCLM[[#This Row],[Structure Line]]," "),"")</f>
        <v>SCP549</v>
      </c>
      <c r="D31" s="50" t="str">
        <f>IF(TableOGENVCLM[[#This Row],[OUA Code]]&lt;&gt;"",_xlfn.TEXTAFTER(TableOGENVCLM[[#This Row],[Structure Line]]," "),TableOGENVCLM[[#This Row],[Structure Line]])</f>
        <v>Sustainability, Climate Change and Economics</v>
      </c>
      <c r="E31" s="63">
        <f>TableOGENVCLM[[#This Row],[Credit Points]]</f>
        <v>25</v>
      </c>
      <c r="F31" s="50">
        <v>8</v>
      </c>
      <c r="G31" s="50" t="s">
        <v>82</v>
      </c>
      <c r="H31" s="50">
        <v>1</v>
      </c>
      <c r="I31" s="64"/>
      <c r="J31" s="50" t="s">
        <v>93</v>
      </c>
      <c r="K31" s="50">
        <v>1</v>
      </c>
      <c r="L31" s="50" t="s">
        <v>172</v>
      </c>
      <c r="M31" s="50">
        <v>25</v>
      </c>
      <c r="N31" s="159">
        <v>42736</v>
      </c>
      <c r="O31" s="159"/>
      <c r="Q31" t="s">
        <v>93</v>
      </c>
      <c r="R31">
        <v>1</v>
      </c>
    </row>
    <row r="32" spans="1:18" ht="15.75" x14ac:dyDescent="0.2">
      <c r="A32" s="50" t="str">
        <f>TableOGENVCLM[[#This Row],[Study Package Code]]</f>
        <v>URDE5015</v>
      </c>
      <c r="B32" s="61">
        <f>TableOGENVCLM[[#This Row],[Ver]]</f>
        <v>3</v>
      </c>
      <c r="C32" s="61" t="str">
        <f>IF(TableOGENVCLM[[#This Row],[Ver]]&gt;0,_xlfn.TEXTBEFORE(TableOGENVCLM[[#This Row],[Structure Line]]," "),"")</f>
        <v>URP530</v>
      </c>
      <c r="D32" s="50" t="str">
        <f>IF(TableOGENVCLM[[#This Row],[OUA Code]]&lt;&gt;"",_xlfn.TEXTAFTER(TableOGENVCLM[[#This Row],[Structure Line]]," "),TableOGENVCLM[[#This Row],[Structure Line]])</f>
        <v>Planning Theory and Context</v>
      </c>
      <c r="E32" s="63">
        <f>TableOGENVCLM[[#This Row],[Credit Points]]</f>
        <v>25</v>
      </c>
      <c r="F32" s="50">
        <v>8</v>
      </c>
      <c r="G32" s="50" t="s">
        <v>82</v>
      </c>
      <c r="H32" s="50">
        <v>1</v>
      </c>
      <c r="I32" s="64"/>
      <c r="J32" s="50" t="s">
        <v>101</v>
      </c>
      <c r="K32" s="50">
        <v>3</v>
      </c>
      <c r="L32" s="50" t="s">
        <v>173</v>
      </c>
      <c r="M32" s="50">
        <v>25</v>
      </c>
      <c r="N32" s="159">
        <v>44562</v>
      </c>
      <c r="O32" s="159"/>
      <c r="Q32" t="s">
        <v>101</v>
      </c>
      <c r="R32">
        <v>3</v>
      </c>
    </row>
    <row r="33" spans="1:18" ht="15.75" x14ac:dyDescent="0.2">
      <c r="A33" s="50" t="str">
        <f>TableOGENVCLM[[#This Row],[Study Package Code]]</f>
        <v>URDE5016</v>
      </c>
      <c r="B33" s="61">
        <f>TableOGENVCLM[[#This Row],[Ver]]</f>
        <v>1</v>
      </c>
      <c r="C33" s="61" t="str">
        <f>IF(TableOGENVCLM[[#This Row],[Ver]]&gt;0,_xlfn.TEXTBEFORE(TableOGENVCLM[[#This Row],[Structure Line]]," "),"")</f>
        <v>URP500</v>
      </c>
      <c r="D33" s="50" t="str">
        <f>IF(TableOGENVCLM[[#This Row],[OUA Code]]&lt;&gt;"",_xlfn.TEXTAFTER(TableOGENVCLM[[#This Row],[Structure Line]]," "),TableOGENVCLM[[#This Row],[Structure Line]])</f>
        <v>Planning Law</v>
      </c>
      <c r="E33" s="63">
        <f>TableOGENVCLM[[#This Row],[Credit Points]]</f>
        <v>25</v>
      </c>
      <c r="F33" s="50">
        <v>8</v>
      </c>
      <c r="G33" s="50" t="s">
        <v>82</v>
      </c>
      <c r="H33" s="50">
        <v>1</v>
      </c>
      <c r="I33" s="64"/>
      <c r="J33" s="50" t="s">
        <v>102</v>
      </c>
      <c r="K33" s="50">
        <v>1</v>
      </c>
      <c r="L33" s="50" t="s">
        <v>174</v>
      </c>
      <c r="M33" s="50">
        <v>25</v>
      </c>
      <c r="N33" s="159">
        <v>42005</v>
      </c>
      <c r="O33" s="159"/>
      <c r="Q33" t="s">
        <v>102</v>
      </c>
      <c r="R33">
        <v>1</v>
      </c>
    </row>
    <row r="34" spans="1:18" ht="15.75" x14ac:dyDescent="0.2">
      <c r="A34" s="50" t="str">
        <f>TableOGENVCLM[[#This Row],[Study Package Code]]</f>
        <v>URDE5017</v>
      </c>
      <c r="B34" s="61">
        <f>TableOGENVCLM[[#This Row],[Ver]]</f>
        <v>2</v>
      </c>
      <c r="C34" s="61" t="str">
        <f>IF(TableOGENVCLM[[#This Row],[Ver]]&gt;0,_xlfn.TEXTBEFORE(TableOGENVCLM[[#This Row],[Structure Line]]," "),"")</f>
        <v>URP510</v>
      </c>
      <c r="D34" s="50" t="str">
        <f>IF(TableOGENVCLM[[#This Row],[OUA Code]]&lt;&gt;"",_xlfn.TEXTAFTER(TableOGENVCLM[[#This Row],[Structure Line]]," "),TableOGENVCLM[[#This Row],[Structure Line]])</f>
        <v>Planning for Regions</v>
      </c>
      <c r="E34" s="63">
        <f>TableOGENVCLM[[#This Row],[Credit Points]]</f>
        <v>25</v>
      </c>
      <c r="F34" s="50">
        <v>8</v>
      </c>
      <c r="G34" s="50" t="s">
        <v>82</v>
      </c>
      <c r="H34" s="50">
        <v>1</v>
      </c>
      <c r="I34" s="64"/>
      <c r="J34" s="50" t="s">
        <v>103</v>
      </c>
      <c r="K34" s="50">
        <v>2</v>
      </c>
      <c r="L34" s="50" t="s">
        <v>175</v>
      </c>
      <c r="M34" s="50">
        <v>25</v>
      </c>
      <c r="N34" s="159">
        <v>44197</v>
      </c>
      <c r="O34" s="159"/>
      <c r="Q34" t="s">
        <v>103</v>
      </c>
      <c r="R34">
        <v>2</v>
      </c>
    </row>
    <row r="35" spans="1:18" ht="15.75" x14ac:dyDescent="0.2">
      <c r="A35" s="50" t="str">
        <f>TableOGENVCLM[[#This Row],[Study Package Code]]</f>
        <v>URDE6004</v>
      </c>
      <c r="B35" s="61">
        <f>TableOGENVCLM[[#This Row],[Ver]]</f>
        <v>1</v>
      </c>
      <c r="C35" s="61" t="str">
        <f>IF(TableOGENVCLM[[#This Row],[Ver]]&gt;0,_xlfn.TEXTBEFORE(TableOGENVCLM[[#This Row],[Structure Line]]," "),"")</f>
        <v>URP640</v>
      </c>
      <c r="D35" s="50" t="str">
        <f>IF(TableOGENVCLM[[#This Row],[OUA Code]]&lt;&gt;"",_xlfn.TEXTAFTER(TableOGENVCLM[[#This Row],[Structure Line]]," "),TableOGENVCLM[[#This Row],[Structure Line]])</f>
        <v>Participatory Planning</v>
      </c>
      <c r="E35" s="63">
        <f>TableOGENVCLM[[#This Row],[Credit Points]]</f>
        <v>25</v>
      </c>
      <c r="F35" s="50">
        <v>8</v>
      </c>
      <c r="G35" s="50" t="s">
        <v>82</v>
      </c>
      <c r="H35" s="50">
        <v>1</v>
      </c>
      <c r="I35" s="64"/>
      <c r="J35" s="50" t="s">
        <v>104</v>
      </c>
      <c r="K35" s="50">
        <v>1</v>
      </c>
      <c r="L35" s="50" t="s">
        <v>176</v>
      </c>
      <c r="M35" s="50">
        <v>25</v>
      </c>
      <c r="N35" s="159">
        <v>42005</v>
      </c>
      <c r="O35" s="159"/>
      <c r="Q35" t="s">
        <v>104</v>
      </c>
      <c r="R35">
        <v>1</v>
      </c>
    </row>
    <row r="36" spans="1:18" ht="15.75" x14ac:dyDescent="0.2">
      <c r="A36" s="50" t="str">
        <f>TableOGENVCLM[[#This Row],[Study Package Code]]</f>
        <v>URDE6007</v>
      </c>
      <c r="B36" s="61">
        <f>TableOGENVCLM[[#This Row],[Ver]]</f>
        <v>1</v>
      </c>
      <c r="C36" s="61" t="str">
        <f>IF(TableOGENVCLM[[#This Row],[Ver]]&gt;0,_xlfn.TEXTBEFORE(TableOGENVCLM[[#This Row],[Structure Line]]," "),"")</f>
        <v>DBE600</v>
      </c>
      <c r="D36" s="50" t="str">
        <f>IF(TableOGENVCLM[[#This Row],[OUA Code]]&lt;&gt;"",_xlfn.TEXTAFTER(TableOGENVCLM[[#This Row],[Structure Line]]," "),TableOGENVCLM[[#This Row],[Structure Line]])</f>
        <v>Design and Built Environment Research Methods</v>
      </c>
      <c r="E36" s="63">
        <f>TableOGENVCLM[[#This Row],[Credit Points]]</f>
        <v>25</v>
      </c>
      <c r="F36" s="50">
        <v>8</v>
      </c>
      <c r="G36" s="50" t="s">
        <v>82</v>
      </c>
      <c r="H36" s="50">
        <v>1</v>
      </c>
      <c r="I36" s="64"/>
      <c r="J36" s="50" t="s">
        <v>86</v>
      </c>
      <c r="K36" s="50">
        <v>1</v>
      </c>
      <c r="L36" s="50" t="s">
        <v>177</v>
      </c>
      <c r="M36" s="50">
        <v>25</v>
      </c>
      <c r="N36" s="159">
        <v>44562</v>
      </c>
      <c r="O36" s="159"/>
      <c r="Q36" t="s">
        <v>86</v>
      </c>
      <c r="R36">
        <v>1</v>
      </c>
    </row>
    <row r="37" spans="1:18" ht="15.75" x14ac:dyDescent="0.2">
      <c r="A37" s="50" t="str">
        <f>TableOGENVCLM[[#This Row],[Study Package Code]]</f>
        <v>WORK5001</v>
      </c>
      <c r="B37" s="61">
        <f>TableOGENVCLM[[#This Row],[Ver]]</f>
        <v>1</v>
      </c>
      <c r="C37" s="61" t="str">
        <f>IF(TableOGENVCLM[[#This Row],[Ver]]&gt;0,_xlfn.TEXTBEFORE(TableOGENVCLM[[#This Row],[Structure Line]]," "),"")</f>
        <v>WBP500</v>
      </c>
      <c r="D37" s="50" t="str">
        <f>IF(TableOGENVCLM[[#This Row],[OUA Code]]&lt;&gt;"",_xlfn.TEXTAFTER(TableOGENVCLM[[#This Row],[Structure Line]]," "),TableOGENVCLM[[#This Row],[Structure Line]])</f>
        <v>Work Based Project</v>
      </c>
      <c r="E37" s="63">
        <f>TableOGENVCLM[[#This Row],[Credit Points]]</f>
        <v>25</v>
      </c>
      <c r="F37" s="50">
        <v>8</v>
      </c>
      <c r="G37" s="50" t="s">
        <v>82</v>
      </c>
      <c r="H37" s="50">
        <v>1</v>
      </c>
      <c r="I37" s="64"/>
      <c r="J37" s="50" t="s">
        <v>105</v>
      </c>
      <c r="K37" s="50">
        <v>1</v>
      </c>
      <c r="L37" s="50" t="s">
        <v>178</v>
      </c>
      <c r="M37" s="50">
        <v>25</v>
      </c>
      <c r="N37" s="159">
        <v>44287</v>
      </c>
      <c r="O37" s="159"/>
      <c r="Q37" t="s">
        <v>105</v>
      </c>
      <c r="R37">
        <v>1</v>
      </c>
    </row>
    <row r="38" spans="1:18" ht="15.75" x14ac:dyDescent="0.2">
      <c r="A38" s="50"/>
      <c r="B38" s="61"/>
      <c r="C38" s="61"/>
      <c r="D38" s="50"/>
      <c r="E38" s="61"/>
      <c r="F38" s="50"/>
      <c r="G38" s="50"/>
      <c r="H38" s="50"/>
      <c r="I38" s="64"/>
      <c r="J38" s="50"/>
      <c r="K38" s="50"/>
      <c r="L38" s="50"/>
      <c r="M38" s="50"/>
    </row>
    <row r="39" spans="1:18" ht="15.75" x14ac:dyDescent="0.25">
      <c r="F39" s="19"/>
      <c r="G39" s="207" t="s">
        <v>152</v>
      </c>
      <c r="H39" s="208">
        <v>45895</v>
      </c>
      <c r="I39" s="209"/>
      <c r="J39" s="210" t="s">
        <v>51</v>
      </c>
      <c r="K39" s="210" t="s">
        <v>52</v>
      </c>
      <c r="L39" s="210" t="s">
        <v>11</v>
      </c>
      <c r="M39" s="209"/>
      <c r="N39" s="191">
        <v>44927</v>
      </c>
      <c r="O39" s="208"/>
    </row>
    <row r="40" spans="1:18" x14ac:dyDescent="0.2">
      <c r="A40" s="50" t="s">
        <v>0</v>
      </c>
      <c r="B40" s="50" t="s">
        <v>153</v>
      </c>
      <c r="C40" s="50" t="s">
        <v>18</v>
      </c>
      <c r="D40" s="50" t="s">
        <v>3</v>
      </c>
      <c r="E40" s="62" t="s">
        <v>154</v>
      </c>
      <c r="F40" s="50" t="s">
        <v>155</v>
      </c>
      <c r="G40" s="50" t="s">
        <v>156</v>
      </c>
      <c r="H40" s="50" t="s">
        <v>157</v>
      </c>
      <c r="I40" s="50" t="s">
        <v>19</v>
      </c>
      <c r="J40" s="50" t="s">
        <v>158</v>
      </c>
      <c r="K40" s="50" t="s">
        <v>1</v>
      </c>
      <c r="L40" s="50" t="s">
        <v>159</v>
      </c>
      <c r="M40" s="50" t="s">
        <v>43</v>
      </c>
      <c r="N40" s="50" t="s">
        <v>160</v>
      </c>
      <c r="O40" s="50" t="s">
        <v>161</v>
      </c>
      <c r="Q40" t="s">
        <v>162</v>
      </c>
      <c r="R40" t="s">
        <v>1</v>
      </c>
    </row>
    <row r="41" spans="1:18" ht="15.75" x14ac:dyDescent="0.2">
      <c r="A41" s="50" t="str">
        <f>TableOMENVCLM[[#This Row],[Study Package Code]]</f>
        <v>URDE6007</v>
      </c>
      <c r="B41" s="61">
        <f>TableOMENVCLM[[#This Row],[Ver]]</f>
        <v>1</v>
      </c>
      <c r="C41" s="61" t="str">
        <f>IF(TableOMENVCLM[[#This Row],[Ver]]&gt;0,_xlfn.TEXTBEFORE(TableOMENVCLM[[#This Row],[Structure Line]]," "),"")</f>
        <v>DBE600</v>
      </c>
      <c r="D41" s="50" t="str">
        <f>IF(TableOMENVCLM[[#This Row],[OUA Code]]&lt;&gt;"",_xlfn.TEXTAFTER(TableOMENVCLM[[#This Row],[Structure Line]]," "),TableOMENVCLM[[#This Row],[Structure Line]])</f>
        <v>Design and Built Environment Research Methods</v>
      </c>
      <c r="E41" s="63">
        <f>TableOMENVCLM[[#This Row],[Credit Points]]</f>
        <v>25</v>
      </c>
      <c r="F41" s="50">
        <v>1</v>
      </c>
      <c r="G41" s="50" t="s">
        <v>163</v>
      </c>
      <c r="H41" s="50">
        <v>1</v>
      </c>
      <c r="I41" s="192" t="s">
        <v>183</v>
      </c>
      <c r="J41" s="50" t="s">
        <v>86</v>
      </c>
      <c r="K41" s="50">
        <v>1</v>
      </c>
      <c r="L41" s="50" t="s">
        <v>177</v>
      </c>
      <c r="M41" s="50">
        <v>25</v>
      </c>
      <c r="N41" s="159">
        <v>44562</v>
      </c>
      <c r="O41" s="159"/>
      <c r="Q41" t="s">
        <v>86</v>
      </c>
      <c r="R41">
        <v>1</v>
      </c>
    </row>
    <row r="42" spans="1:18" ht="15.75" x14ac:dyDescent="0.2">
      <c r="A42" s="50" t="str">
        <f>TableOMENVCLM[[#This Row],[Study Package Code]]</f>
        <v>SUST5010</v>
      </c>
      <c r="B42" s="61">
        <f>TableOMENVCLM[[#This Row],[Ver]]</f>
        <v>2</v>
      </c>
      <c r="C42" s="61" t="str">
        <f>IF(TableOMENVCLM[[#This Row],[Ver]]&gt;0,_xlfn.TEXTBEFORE(TableOMENVCLM[[#This Row],[Structure Line]]," "),"")</f>
        <v>SCP522</v>
      </c>
      <c r="D42" s="50" t="str">
        <f>IF(TableOMENVCLM[[#This Row],[OUA Code]]&lt;&gt;"",_xlfn.TEXTAFTER(TableOMENVCLM[[#This Row],[Structure Line]]," "),TableOMENVCLM[[#This Row],[Structure Line]])</f>
        <v>Pathways to a Climate Resilient Society</v>
      </c>
      <c r="E42" s="63">
        <f>TableOMENVCLM[[#This Row],[Credit Points]]</f>
        <v>25</v>
      </c>
      <c r="F42" s="50">
        <v>2</v>
      </c>
      <c r="G42" s="50" t="s">
        <v>163</v>
      </c>
      <c r="H42" s="50">
        <v>1</v>
      </c>
      <c r="I42" s="192" t="s">
        <v>183</v>
      </c>
      <c r="J42" s="50" t="s">
        <v>83</v>
      </c>
      <c r="K42" s="50">
        <v>2</v>
      </c>
      <c r="L42" s="50" t="s">
        <v>180</v>
      </c>
      <c r="M42" s="50">
        <v>25</v>
      </c>
      <c r="N42" s="159">
        <v>44013</v>
      </c>
      <c r="O42" s="159"/>
      <c r="Q42" t="s">
        <v>83</v>
      </c>
      <c r="R42">
        <v>2</v>
      </c>
    </row>
    <row r="43" spans="1:18" ht="15.75" customHeight="1" x14ac:dyDescent="0.2">
      <c r="A43" s="50" t="str">
        <f>TableOMENVCLM[[#This Row],[Study Package Code]]</f>
        <v>SUST5025</v>
      </c>
      <c r="B43" s="61">
        <f>TableOMENVCLM[[#This Row],[Ver]]</f>
        <v>1</v>
      </c>
      <c r="C43" s="61" t="str">
        <f>IF(TableOMENVCLM[[#This Row],[Ver]]&gt;0,_xlfn.TEXTBEFORE(TableOMENVCLM[[#This Row],[Structure Line]]," "),"")</f>
        <v>SCP530</v>
      </c>
      <c r="D43" s="50" t="str">
        <f>IF(TableOMENVCLM[[#This Row],[OUA Code]]&lt;&gt;"",_xlfn.TEXTAFTER(TableOMENVCLM[[#This Row],[Structure Line]]," "),TableOMENVCLM[[#This Row],[Structure Line]])</f>
        <v>Sustainable Waste Management</v>
      </c>
      <c r="E43" s="63">
        <f>TableOMENVCLM[[#This Row],[Credit Points]]</f>
        <v>25</v>
      </c>
      <c r="F43" s="50">
        <v>3</v>
      </c>
      <c r="G43" s="50" t="s">
        <v>163</v>
      </c>
      <c r="H43" s="50">
        <v>1</v>
      </c>
      <c r="I43" s="192" t="s">
        <v>183</v>
      </c>
      <c r="J43" s="50" t="s">
        <v>76</v>
      </c>
      <c r="K43" s="50">
        <v>1</v>
      </c>
      <c r="L43" s="50" t="s">
        <v>166</v>
      </c>
      <c r="M43" s="50">
        <v>25</v>
      </c>
      <c r="N43" s="159">
        <v>44197</v>
      </c>
      <c r="O43" s="159"/>
      <c r="Q43" t="s">
        <v>76</v>
      </c>
      <c r="R43">
        <v>1</v>
      </c>
    </row>
    <row r="44" spans="1:18" ht="15.75" customHeight="1" x14ac:dyDescent="0.2">
      <c r="A44" s="50" t="str">
        <f>TableOMENVCLM[[#This Row],[Study Package Code]]</f>
        <v>SUST5013</v>
      </c>
      <c r="B44" s="61">
        <f>TableOMENVCLM[[#This Row],[Ver]]</f>
        <v>2</v>
      </c>
      <c r="C44" s="61" t="str">
        <f>IF(TableOMENVCLM[[#This Row],[Ver]]&gt;0,_xlfn.TEXTBEFORE(TableOMENVCLM[[#This Row],[Structure Line]]," "),"")</f>
        <v>SCP543</v>
      </c>
      <c r="D44" s="50" t="str">
        <f>IF(TableOMENVCLM[[#This Row],[OUA Code]]&lt;&gt;"",_xlfn.TEXTAFTER(TableOMENVCLM[[#This Row],[Structure Line]]," "),TableOMENVCLM[[#This Row],[Structure Line]])</f>
        <v>Future Cities</v>
      </c>
      <c r="E44" s="63">
        <f>TableOMENVCLM[[#This Row],[Credit Points]]</f>
        <v>25</v>
      </c>
      <c r="F44" s="50">
        <v>4</v>
      </c>
      <c r="G44" s="50" t="s">
        <v>163</v>
      </c>
      <c r="H44" s="50">
        <v>1</v>
      </c>
      <c r="I44" s="192" t="s">
        <v>183</v>
      </c>
      <c r="J44" s="50" t="s">
        <v>78</v>
      </c>
      <c r="K44" s="50">
        <v>2</v>
      </c>
      <c r="L44" s="50" t="s">
        <v>165</v>
      </c>
      <c r="M44" s="50">
        <v>25</v>
      </c>
      <c r="N44" s="159">
        <v>44013</v>
      </c>
      <c r="O44" s="159"/>
      <c r="Q44" t="s">
        <v>78</v>
      </c>
      <c r="R44">
        <v>2</v>
      </c>
    </row>
    <row r="45" spans="1:18" ht="15.75" customHeight="1" x14ac:dyDescent="0.2">
      <c r="A45" s="50" t="str">
        <f>TableOMENVCLM[[#This Row],[Study Package Code]]</f>
        <v>SUST5016</v>
      </c>
      <c r="B45" s="61">
        <f>TableOMENVCLM[[#This Row],[Ver]]</f>
        <v>1</v>
      </c>
      <c r="C45" s="61" t="str">
        <f>IF(TableOMENVCLM[[#This Row],[Ver]]&gt;0,_xlfn.TEXTBEFORE(TableOMENVCLM[[#This Row],[Structure Line]]," "),"")</f>
        <v>SCP547</v>
      </c>
      <c r="D45" s="50" t="str">
        <f>IF(TableOMENVCLM[[#This Row],[OUA Code]]&lt;&gt;"",_xlfn.TEXTAFTER(TableOMENVCLM[[#This Row],[Structure Line]]," "),TableOMENVCLM[[#This Row],[Structure Line]])</f>
        <v>Climate Policy</v>
      </c>
      <c r="E45" s="63">
        <f>TableOMENVCLM[[#This Row],[Credit Points]]</f>
        <v>25</v>
      </c>
      <c r="F45" s="50">
        <v>5</v>
      </c>
      <c r="G45" s="50" t="s">
        <v>163</v>
      </c>
      <c r="H45" s="50">
        <v>1</v>
      </c>
      <c r="I45" s="192" t="s">
        <v>183</v>
      </c>
      <c r="J45" s="50" t="s">
        <v>84</v>
      </c>
      <c r="K45" s="50">
        <v>1</v>
      </c>
      <c r="L45" s="50" t="s">
        <v>181</v>
      </c>
      <c r="M45" s="50">
        <v>25</v>
      </c>
      <c r="N45" s="159">
        <v>42005</v>
      </c>
      <c r="O45" s="159"/>
      <c r="Q45" t="s">
        <v>84</v>
      </c>
      <c r="R45">
        <v>1</v>
      </c>
    </row>
    <row r="46" spans="1:18" ht="15.75" customHeight="1" x14ac:dyDescent="0.2">
      <c r="A46" s="50" t="str">
        <f>TableOMENVCLM[[#This Row],[Study Package Code]]</f>
        <v>SUST5019</v>
      </c>
      <c r="B46" s="61">
        <f>TableOMENVCLM[[#This Row],[Ver]]</f>
        <v>2</v>
      </c>
      <c r="C46" s="61" t="str">
        <f>IF(TableOMENVCLM[[#This Row],[Ver]]&gt;0,_xlfn.TEXTBEFORE(TableOMENVCLM[[#This Row],[Structure Line]]," "),"")</f>
        <v>SCP548</v>
      </c>
      <c r="D46" s="50" t="str">
        <f>IF(TableOMENVCLM[[#This Row],[OUA Code]]&lt;&gt;"",_xlfn.TEXTAFTER(TableOMENVCLM[[#This Row],[Structure Line]]," "),TableOMENVCLM[[#This Row],[Structure Line]])</f>
        <v>People and Planet</v>
      </c>
      <c r="E46" s="63">
        <f>TableOMENVCLM[[#This Row],[Credit Points]]</f>
        <v>25</v>
      </c>
      <c r="F46" s="50">
        <v>6</v>
      </c>
      <c r="G46" s="50" t="s">
        <v>163</v>
      </c>
      <c r="H46" s="50">
        <v>1</v>
      </c>
      <c r="I46" s="192" t="s">
        <v>183</v>
      </c>
      <c r="J46" s="50" t="s">
        <v>85</v>
      </c>
      <c r="K46" s="50">
        <v>2</v>
      </c>
      <c r="L46" s="50" t="s">
        <v>182</v>
      </c>
      <c r="M46" s="50">
        <v>25</v>
      </c>
      <c r="N46" s="159">
        <v>44013</v>
      </c>
      <c r="O46" s="159"/>
      <c r="Q46" t="s">
        <v>85</v>
      </c>
      <c r="R46">
        <v>2</v>
      </c>
    </row>
    <row r="47" spans="1:18" ht="15.75" customHeight="1" x14ac:dyDescent="0.2">
      <c r="A47" s="50" t="str">
        <f>TableOMENVCLM[[#This Row],[Study Package Code]]</f>
        <v>SUST7001</v>
      </c>
      <c r="B47" s="61">
        <f>TableOMENVCLM[[#This Row],[Ver]]</f>
        <v>2</v>
      </c>
      <c r="C47" s="61" t="str">
        <f>IF(TableOMENVCLM[[#This Row],[Ver]]&gt;0,_xlfn.TEXTBEFORE(TableOMENVCLM[[#This Row],[Structure Line]]," "),"")</f>
        <v>SCP701</v>
      </c>
      <c r="D47" s="50" t="str">
        <f>IF(TableOMENVCLM[[#This Row],[OUA Code]]&lt;&gt;"",_xlfn.TEXTAFTER(TableOMENVCLM[[#This Row],[Structure Line]]," "),TableOMENVCLM[[#This Row],[Structure Line]])</f>
        <v>Introduction to Environment &amp; Climate Emergency</v>
      </c>
      <c r="E47" s="63">
        <f>TableOMENVCLM[[#This Row],[Credit Points]]</f>
        <v>25</v>
      </c>
      <c r="F47" s="50">
        <v>7</v>
      </c>
      <c r="G47" s="50" t="s">
        <v>163</v>
      </c>
      <c r="H47" s="50">
        <v>1</v>
      </c>
      <c r="I47" s="192" t="s">
        <v>183</v>
      </c>
      <c r="J47" s="50" t="s">
        <v>81</v>
      </c>
      <c r="K47" s="50">
        <v>2</v>
      </c>
      <c r="L47" s="50" t="s">
        <v>167</v>
      </c>
      <c r="M47" s="50">
        <v>25</v>
      </c>
      <c r="N47" s="159">
        <v>44013</v>
      </c>
      <c r="O47" s="159"/>
      <c r="Q47" t="s">
        <v>81</v>
      </c>
      <c r="R47">
        <v>2</v>
      </c>
    </row>
    <row r="48" spans="1:18" ht="15.75" customHeight="1" x14ac:dyDescent="0.2">
      <c r="A48" s="50" t="str">
        <f>TableOMENVCLM[[#This Row],[Study Package Code]]</f>
        <v>SUST5014</v>
      </c>
      <c r="B48" s="61">
        <f>TableOMENVCLM[[#This Row],[Ver]]</f>
        <v>1</v>
      </c>
      <c r="C48" s="61" t="str">
        <f>IF(TableOMENVCLM[[#This Row],[Ver]]&gt;0,_xlfn.TEXTBEFORE(TableOMENVCLM[[#This Row],[Structure Line]]," "),"")</f>
        <v>SCP544</v>
      </c>
      <c r="D48" s="50" t="str">
        <f>IF(TableOMENVCLM[[#This Row],[OUA Code]]&lt;&gt;"",_xlfn.TEXTAFTER(TableOMENVCLM[[#This Row],[Structure Line]]," "),TableOMENVCLM[[#This Row],[Structure Line]])</f>
        <v>Leadership in Sustainability</v>
      </c>
      <c r="E48" s="63">
        <f>TableOMENVCLM[[#This Row],[Credit Points]]</f>
        <v>25</v>
      </c>
      <c r="F48" s="50">
        <v>8</v>
      </c>
      <c r="G48" s="50" t="s">
        <v>163</v>
      </c>
      <c r="H48" s="50">
        <v>2</v>
      </c>
      <c r="I48" s="192" t="s">
        <v>183</v>
      </c>
      <c r="J48" s="50" t="s">
        <v>90</v>
      </c>
      <c r="K48" s="50">
        <v>1</v>
      </c>
      <c r="L48" s="50" t="s">
        <v>171</v>
      </c>
      <c r="M48" s="50">
        <v>25</v>
      </c>
      <c r="N48" s="159">
        <v>42005</v>
      </c>
      <c r="O48" s="159"/>
      <c r="Q48" t="s">
        <v>90</v>
      </c>
      <c r="R48">
        <v>1</v>
      </c>
    </row>
    <row r="49" spans="1:18" ht="15.75" customHeight="1" x14ac:dyDescent="0.2">
      <c r="A49" s="50" t="str">
        <f>TableOMENVCLM[[#This Row],[Study Package Code]]</f>
        <v>SUST5021</v>
      </c>
      <c r="B49" s="61">
        <f>TableOMENVCLM[[#This Row],[Ver]]</f>
        <v>1</v>
      </c>
      <c r="C49" s="61" t="str">
        <f>IF(TableOMENVCLM[[#This Row],[Ver]]&gt;0,_xlfn.TEXTBEFORE(TableOMENVCLM[[#This Row],[Structure Line]]," "),"")</f>
        <v>SCP549</v>
      </c>
      <c r="D49" s="50" t="str">
        <f>IF(TableOMENVCLM[[#This Row],[OUA Code]]&lt;&gt;"",_xlfn.TEXTAFTER(TableOMENVCLM[[#This Row],[Structure Line]]," "),TableOMENVCLM[[#This Row],[Structure Line]])</f>
        <v>Sustainability, Climate Change and Economics</v>
      </c>
      <c r="E49" s="63">
        <f>TableOMENVCLM[[#This Row],[Credit Points]]</f>
        <v>25</v>
      </c>
      <c r="F49" s="50">
        <v>9</v>
      </c>
      <c r="G49" s="50" t="s">
        <v>163</v>
      </c>
      <c r="H49" s="50">
        <v>2</v>
      </c>
      <c r="I49" s="192" t="s">
        <v>183</v>
      </c>
      <c r="J49" s="50" t="s">
        <v>93</v>
      </c>
      <c r="K49" s="50">
        <v>1</v>
      </c>
      <c r="L49" s="50" t="s">
        <v>172</v>
      </c>
      <c r="M49" s="50">
        <v>25</v>
      </c>
      <c r="N49" s="159">
        <v>42736</v>
      </c>
      <c r="O49" s="159"/>
      <c r="Q49" t="s">
        <v>93</v>
      </c>
      <c r="R49">
        <v>1</v>
      </c>
    </row>
    <row r="50" spans="1:18" ht="15.75" customHeight="1" x14ac:dyDescent="0.2">
      <c r="A50" s="50" t="str">
        <f>TableOMENVCLM[[#This Row],[Study Package Code]]</f>
        <v>SUST6005</v>
      </c>
      <c r="B50" s="61">
        <f>TableOMENVCLM[[#This Row],[Ver]]</f>
        <v>1</v>
      </c>
      <c r="C50" s="61" t="str">
        <f>IF(TableOMENVCLM[[#This Row],[Ver]]&gt;0,_xlfn.TEXTBEFORE(TableOMENVCLM[[#This Row],[Structure Line]]," "),"")</f>
        <v>SCP680</v>
      </c>
      <c r="D50" s="50" t="str">
        <f>IF(TableOMENVCLM[[#This Row],[OUA Code]]&lt;&gt;"",_xlfn.TEXTAFTER(TableOMENVCLM[[#This Row],[Structure Line]]," "),TableOMENVCLM[[#This Row],[Structure Line]])</f>
        <v>Sustainability Dissertation 1</v>
      </c>
      <c r="E50" s="63">
        <f>TableOMENVCLM[[#This Row],[Credit Points]]</f>
        <v>25</v>
      </c>
      <c r="F50" s="50">
        <v>10</v>
      </c>
      <c r="G50" s="50" t="s">
        <v>163</v>
      </c>
      <c r="H50" s="50">
        <v>2</v>
      </c>
      <c r="I50" s="192" t="s">
        <v>183</v>
      </c>
      <c r="J50" s="50" t="s">
        <v>88</v>
      </c>
      <c r="K50" s="50">
        <v>1</v>
      </c>
      <c r="L50" s="50" t="s">
        <v>184</v>
      </c>
      <c r="M50" s="50">
        <v>25</v>
      </c>
      <c r="N50" s="159">
        <v>44562</v>
      </c>
      <c r="O50" s="159"/>
      <c r="Q50" t="s">
        <v>88</v>
      </c>
      <c r="R50">
        <v>1</v>
      </c>
    </row>
    <row r="51" spans="1:18" ht="15.75" customHeight="1" x14ac:dyDescent="0.2">
      <c r="A51" s="50" t="str">
        <f>TableOMENVCLM[[#This Row],[Study Package Code]]</f>
        <v>SUST6001</v>
      </c>
      <c r="B51" s="61">
        <f>TableOMENVCLM[[#This Row],[Ver]]</f>
        <v>2</v>
      </c>
      <c r="C51" s="61" t="str">
        <f>IF(TableOMENVCLM[[#This Row],[Ver]]&gt;0,_xlfn.TEXTBEFORE(TableOMENVCLM[[#This Row],[Structure Line]]," "),"")</f>
        <v>SCP691</v>
      </c>
      <c r="D51" s="50" t="str">
        <f>IF(TableOMENVCLM[[#This Row],[OUA Code]]&lt;&gt;"",_xlfn.TEXTAFTER(TableOMENVCLM[[#This Row],[Structure Line]]," "),TableOMENVCLM[[#This Row],[Structure Line]])</f>
        <v>Sustainability Dissertation 2</v>
      </c>
      <c r="E51" s="63">
        <f>TableOMENVCLM[[#This Row],[Credit Points]]</f>
        <v>50</v>
      </c>
      <c r="F51" s="50">
        <v>11</v>
      </c>
      <c r="G51" s="50" t="s">
        <v>163</v>
      </c>
      <c r="H51" s="50">
        <v>2</v>
      </c>
      <c r="I51" s="192" t="s">
        <v>183</v>
      </c>
      <c r="J51" s="50" t="s">
        <v>94</v>
      </c>
      <c r="K51" s="50">
        <v>2</v>
      </c>
      <c r="L51" s="50" t="s">
        <v>185</v>
      </c>
      <c r="M51" s="50">
        <v>50</v>
      </c>
      <c r="N51" s="159">
        <v>42370</v>
      </c>
      <c r="O51" s="159"/>
      <c r="Q51" t="s">
        <v>94</v>
      </c>
      <c r="R51">
        <v>2</v>
      </c>
    </row>
    <row r="52" spans="1:18" ht="15.75" customHeight="1" x14ac:dyDescent="0.2">
      <c r="A52" s="50" t="str">
        <f>TableOMENVCLM[[#This Row],[Study Package Code]]</f>
        <v>Option</v>
      </c>
      <c r="B52" s="61">
        <f>TableOMENVCLM[[#This Row],[Ver]]</f>
        <v>0</v>
      </c>
      <c r="C52" s="61" t="str">
        <f>IF(TableOMENVCLM[[#This Row],[Ver]]&gt;0,_xlfn.TEXTBEFORE(TableOMENVCLM[[#This Row],[Structure Line]]," "),"")</f>
        <v/>
      </c>
      <c r="D52" s="50" t="str">
        <f>IF(TableOMENVCLM[[#This Row],[OUA Code]]&lt;&gt;"",_xlfn.TEXTAFTER(TableOMENVCLM[[#This Row],[Structure Line]]," "),TableOMENVCLM[[#This Row],[Structure Line]])</f>
        <v>Choose Options</v>
      </c>
      <c r="E52" s="63">
        <f>TableOMENVCLM[[#This Row],[Credit Points]]</f>
        <v>25</v>
      </c>
      <c r="F52" s="50">
        <v>12</v>
      </c>
      <c r="G52" s="50" t="s">
        <v>82</v>
      </c>
      <c r="H52" s="50">
        <v>1</v>
      </c>
      <c r="I52" s="192" t="s">
        <v>183</v>
      </c>
      <c r="J52" s="50" t="s">
        <v>82</v>
      </c>
      <c r="K52" s="50">
        <v>0</v>
      </c>
      <c r="L52" s="50" t="s">
        <v>186</v>
      </c>
      <c r="M52" s="50">
        <v>25</v>
      </c>
      <c r="N52" s="159"/>
      <c r="O52" s="159"/>
      <c r="Q52" t="s">
        <v>82</v>
      </c>
      <c r="R52">
        <v>0</v>
      </c>
    </row>
    <row r="53" spans="1:18" ht="15.75" customHeight="1" x14ac:dyDescent="0.2">
      <c r="A53" s="50" t="str">
        <f>TableOMENVCLM[[#This Row],[Study Package Code]]</f>
        <v>Option</v>
      </c>
      <c r="B53" s="61">
        <f>TableOMENVCLM[[#This Row],[Ver]]</f>
        <v>0</v>
      </c>
      <c r="C53" s="61" t="str">
        <f>IF(TableOMENVCLM[[#This Row],[Ver]]&gt;0,_xlfn.TEXTBEFORE(TableOMENVCLM[[#This Row],[Structure Line]]," "),"")</f>
        <v/>
      </c>
      <c r="D53" s="50" t="str">
        <f>IF(TableOMENVCLM[[#This Row],[OUA Code]]&lt;&gt;"",_xlfn.TEXTAFTER(TableOMENVCLM[[#This Row],[Structure Line]]," "),TableOMENVCLM[[#This Row],[Structure Line]])</f>
        <v>Choose Options</v>
      </c>
      <c r="E53" s="63">
        <f>TableOMENVCLM[[#This Row],[Credit Points]]</f>
        <v>50</v>
      </c>
      <c r="F53" s="50">
        <v>13</v>
      </c>
      <c r="G53" s="50" t="s">
        <v>82</v>
      </c>
      <c r="H53" s="50">
        <v>2</v>
      </c>
      <c r="I53" s="192" t="s">
        <v>183</v>
      </c>
      <c r="J53" s="50" t="s">
        <v>82</v>
      </c>
      <c r="K53" s="50">
        <v>0</v>
      </c>
      <c r="L53" s="50" t="s">
        <v>186</v>
      </c>
      <c r="M53" s="50">
        <v>50</v>
      </c>
      <c r="N53" s="159"/>
      <c r="O53" s="159"/>
      <c r="Q53" t="s">
        <v>82</v>
      </c>
      <c r="R53">
        <v>0</v>
      </c>
    </row>
    <row r="54" spans="1:18" ht="15.75" customHeight="1" x14ac:dyDescent="0.2">
      <c r="A54" s="50" t="str">
        <f>TableOMENVCLM[[#This Row],[Study Package Code]]</f>
        <v>Elective</v>
      </c>
      <c r="B54" s="61">
        <f>TableOMENVCLM[[#This Row],[Ver]]</f>
        <v>0</v>
      </c>
      <c r="C54" s="61" t="str">
        <f>IF(TableOMENVCLM[[#This Row],[Ver]]&gt;0,_xlfn.TEXTBEFORE(TableOMENVCLM[[#This Row],[Structure Line]]," "),"")</f>
        <v/>
      </c>
      <c r="D54" s="50" t="str">
        <f>IF(TableOMENVCLM[[#This Row],[OUA Code]]&lt;&gt;"",_xlfn.TEXTAFTER(TableOMENVCLM[[#This Row],[Structure Line]]," "),TableOMENVCLM[[#This Row],[Structure Line]])</f>
        <v>Choose an Elective</v>
      </c>
      <c r="E54" s="63">
        <f>TableOMENVCLM[[#This Row],[Credit Points]]</f>
        <v>25</v>
      </c>
      <c r="F54" s="50">
        <v>14</v>
      </c>
      <c r="G54" s="50" t="s">
        <v>96</v>
      </c>
      <c r="H54" s="50">
        <v>2</v>
      </c>
      <c r="I54" s="192" t="s">
        <v>183</v>
      </c>
      <c r="J54" s="50" t="s">
        <v>96</v>
      </c>
      <c r="K54" s="50">
        <v>0</v>
      </c>
      <c r="L54" s="50" t="s">
        <v>187</v>
      </c>
      <c r="M54" s="50">
        <v>25</v>
      </c>
      <c r="N54" s="159"/>
      <c r="O54" s="159"/>
      <c r="Q54" t="s">
        <v>96</v>
      </c>
      <c r="R54">
        <v>0</v>
      </c>
    </row>
    <row r="55" spans="1:18" ht="15.75" customHeight="1" x14ac:dyDescent="0.2">
      <c r="A55" s="50" t="str">
        <f>TableOMENVCLM[[#This Row],[Study Package Code]]</f>
        <v>PRJM6013</v>
      </c>
      <c r="B55" s="61">
        <f>TableOMENVCLM[[#This Row],[Ver]]</f>
        <v>2</v>
      </c>
      <c r="C55" s="61" t="str">
        <f>IF(TableOMENVCLM[[#This Row],[Ver]]&gt;0,_xlfn.TEXTBEFORE(TableOMENVCLM[[#This Row],[Structure Line]]," "),"")</f>
        <v>PRM500</v>
      </c>
      <c r="D55" s="50" t="str">
        <f>IF(TableOMENVCLM[[#This Row],[OUA Code]]&lt;&gt;"",_xlfn.TEXTAFTER(TableOMENVCLM[[#This Row],[Structure Line]]," "),TableOMENVCLM[[#This Row],[Structure Line]])</f>
        <v>Project Management Overview</v>
      </c>
      <c r="E55" s="63">
        <f>TableOMENVCLM[[#This Row],[Credit Points]]</f>
        <v>25</v>
      </c>
      <c r="F55" s="50"/>
      <c r="G55" s="50" t="s">
        <v>82</v>
      </c>
      <c r="H55" s="50"/>
      <c r="I55" s="192"/>
      <c r="J55" s="50" t="s">
        <v>99</v>
      </c>
      <c r="K55" s="50">
        <v>2</v>
      </c>
      <c r="L55" s="50" t="s">
        <v>169</v>
      </c>
      <c r="M55" s="50">
        <v>25</v>
      </c>
      <c r="N55" s="159">
        <v>42917</v>
      </c>
      <c r="O55" s="159"/>
      <c r="Q55" t="s">
        <v>99</v>
      </c>
      <c r="R55">
        <v>2</v>
      </c>
    </row>
    <row r="56" spans="1:18" ht="15.75" customHeight="1" x14ac:dyDescent="0.2">
      <c r="A56" s="50" t="str">
        <f>TableOMENVCLM[[#This Row],[Study Package Code]]</f>
        <v>PRJM6015</v>
      </c>
      <c r="B56" s="61">
        <f>TableOMENVCLM[[#This Row],[Ver]]</f>
        <v>1</v>
      </c>
      <c r="C56" s="61" t="str">
        <f>IF(TableOMENVCLM[[#This Row],[Ver]]&gt;0,_xlfn.TEXTBEFORE(TableOMENVCLM[[#This Row],[Structure Line]]," "),"")</f>
        <v>PRM510</v>
      </c>
      <c r="D56" s="50" t="str">
        <f>IF(TableOMENVCLM[[#This Row],[OUA Code]]&lt;&gt;"",_xlfn.TEXTAFTER(TableOMENVCLM[[#This Row],[Structure Line]]," "),TableOMENVCLM[[#This Row],[Structure Line]])</f>
        <v>Project and People</v>
      </c>
      <c r="E56" s="63">
        <f>TableOMENVCLM[[#This Row],[Credit Points]]</f>
        <v>25</v>
      </c>
      <c r="F56" s="50"/>
      <c r="G56" s="50" t="s">
        <v>82</v>
      </c>
      <c r="H56" s="50"/>
      <c r="I56" s="192"/>
      <c r="J56" s="50" t="s">
        <v>100</v>
      </c>
      <c r="K56" s="50">
        <v>1</v>
      </c>
      <c r="L56" s="50" t="s">
        <v>170</v>
      </c>
      <c r="M56" s="50">
        <v>25</v>
      </c>
      <c r="N56" s="159">
        <v>42917</v>
      </c>
      <c r="O56" s="159"/>
      <c r="Q56" t="s">
        <v>100</v>
      </c>
      <c r="R56">
        <v>1</v>
      </c>
    </row>
    <row r="57" spans="1:18" ht="15.75" customHeight="1" x14ac:dyDescent="0.2">
      <c r="A57" s="50" t="str">
        <f>TableOMENVCLM[[#This Row],[Study Package Code]]</f>
        <v>URDE5015</v>
      </c>
      <c r="B57" s="61">
        <f>TableOMENVCLM[[#This Row],[Ver]]</f>
        <v>3</v>
      </c>
      <c r="C57" s="61" t="str">
        <f>IF(TableOMENVCLM[[#This Row],[Ver]]&gt;0,_xlfn.TEXTBEFORE(TableOMENVCLM[[#This Row],[Structure Line]]," "),"")</f>
        <v>URP530</v>
      </c>
      <c r="D57" s="50" t="str">
        <f>IF(TableOMENVCLM[[#This Row],[OUA Code]]&lt;&gt;"",_xlfn.TEXTAFTER(TableOMENVCLM[[#This Row],[Structure Line]]," "),TableOMENVCLM[[#This Row],[Structure Line]])</f>
        <v>Planning Theory and Context</v>
      </c>
      <c r="E57" s="63">
        <f>TableOMENVCLM[[#This Row],[Credit Points]]</f>
        <v>25</v>
      </c>
      <c r="F57" s="50"/>
      <c r="G57" s="50" t="s">
        <v>82</v>
      </c>
      <c r="H57" s="50"/>
      <c r="I57" s="192"/>
      <c r="J57" s="50" t="s">
        <v>101</v>
      </c>
      <c r="K57" s="50">
        <v>3</v>
      </c>
      <c r="L57" s="50" t="s">
        <v>173</v>
      </c>
      <c r="M57" s="50">
        <v>25</v>
      </c>
      <c r="N57" s="159">
        <v>44562</v>
      </c>
      <c r="O57" s="159"/>
      <c r="Q57" t="s">
        <v>101</v>
      </c>
      <c r="R57">
        <v>3</v>
      </c>
    </row>
    <row r="58" spans="1:18" ht="15.75" customHeight="1" x14ac:dyDescent="0.2">
      <c r="A58" s="50" t="str">
        <f>TableOMENVCLM[[#This Row],[Study Package Code]]</f>
        <v>URDE5016</v>
      </c>
      <c r="B58" s="61">
        <f>TableOMENVCLM[[#This Row],[Ver]]</f>
        <v>1</v>
      </c>
      <c r="C58" s="61" t="str">
        <f>IF(TableOMENVCLM[[#This Row],[Ver]]&gt;0,_xlfn.TEXTBEFORE(TableOMENVCLM[[#This Row],[Structure Line]]," "),"")</f>
        <v>URP500</v>
      </c>
      <c r="D58" s="50" t="str">
        <f>IF(TableOMENVCLM[[#This Row],[OUA Code]]&lt;&gt;"",_xlfn.TEXTAFTER(TableOMENVCLM[[#This Row],[Structure Line]]," "),TableOMENVCLM[[#This Row],[Structure Line]])</f>
        <v>Planning Law</v>
      </c>
      <c r="E58" s="63">
        <f>TableOMENVCLM[[#This Row],[Credit Points]]</f>
        <v>25</v>
      </c>
      <c r="F58" s="50"/>
      <c r="G58" s="50" t="s">
        <v>82</v>
      </c>
      <c r="H58" s="50"/>
      <c r="I58" s="192"/>
      <c r="J58" s="50" t="s">
        <v>102</v>
      </c>
      <c r="K58" s="50">
        <v>1</v>
      </c>
      <c r="L58" s="50" t="s">
        <v>174</v>
      </c>
      <c r="M58" s="50">
        <v>25</v>
      </c>
      <c r="N58" s="159">
        <v>42005</v>
      </c>
      <c r="O58" s="159"/>
      <c r="Q58" t="s">
        <v>102</v>
      </c>
      <c r="R58">
        <v>1</v>
      </c>
    </row>
    <row r="59" spans="1:18" ht="15.75" customHeight="1" x14ac:dyDescent="0.2">
      <c r="A59" s="50" t="str">
        <f>TableOMENVCLM[[#This Row],[Study Package Code]]</f>
        <v>URDE5017</v>
      </c>
      <c r="B59" s="61">
        <f>TableOMENVCLM[[#This Row],[Ver]]</f>
        <v>2</v>
      </c>
      <c r="C59" s="61" t="str">
        <f>IF(TableOMENVCLM[[#This Row],[Ver]]&gt;0,_xlfn.TEXTBEFORE(TableOMENVCLM[[#This Row],[Structure Line]]," "),"")</f>
        <v>URP510</v>
      </c>
      <c r="D59" s="50" t="str">
        <f>IF(TableOMENVCLM[[#This Row],[OUA Code]]&lt;&gt;"",_xlfn.TEXTAFTER(TableOMENVCLM[[#This Row],[Structure Line]]," "),TableOMENVCLM[[#This Row],[Structure Line]])</f>
        <v>Planning for Regions</v>
      </c>
      <c r="E59" s="63">
        <f>TableOMENVCLM[[#This Row],[Credit Points]]</f>
        <v>25</v>
      </c>
      <c r="F59" s="50"/>
      <c r="G59" s="50" t="s">
        <v>82</v>
      </c>
      <c r="H59" s="50"/>
      <c r="I59" s="192"/>
      <c r="J59" s="50" t="s">
        <v>103</v>
      </c>
      <c r="K59" s="50">
        <v>2</v>
      </c>
      <c r="L59" s="50" t="s">
        <v>175</v>
      </c>
      <c r="M59" s="50">
        <v>25</v>
      </c>
      <c r="N59" s="159">
        <v>44197</v>
      </c>
      <c r="O59" s="159"/>
      <c r="Q59" t="s">
        <v>103</v>
      </c>
      <c r="R59">
        <v>2</v>
      </c>
    </row>
    <row r="60" spans="1:18" ht="15.75" customHeight="1" x14ac:dyDescent="0.2">
      <c r="A60" s="50" t="str">
        <f>TableOMENVCLM[[#This Row],[Study Package Code]]</f>
        <v>URDE6004</v>
      </c>
      <c r="B60" s="61">
        <f>TableOMENVCLM[[#This Row],[Ver]]</f>
        <v>1</v>
      </c>
      <c r="C60" s="61" t="str">
        <f>IF(TableOMENVCLM[[#This Row],[Ver]]&gt;0,_xlfn.TEXTBEFORE(TableOMENVCLM[[#This Row],[Structure Line]]," "),"")</f>
        <v>URP640</v>
      </c>
      <c r="D60" s="50" t="str">
        <f>IF(TableOMENVCLM[[#This Row],[OUA Code]]&lt;&gt;"",_xlfn.TEXTAFTER(TableOMENVCLM[[#This Row],[Structure Line]]," "),TableOMENVCLM[[#This Row],[Structure Line]])</f>
        <v>Participatory Planning</v>
      </c>
      <c r="E60" s="63">
        <f>TableOMENVCLM[[#This Row],[Credit Points]]</f>
        <v>25</v>
      </c>
      <c r="F60" s="50"/>
      <c r="G60" s="50" t="s">
        <v>82</v>
      </c>
      <c r="H60" s="50"/>
      <c r="I60" s="192"/>
      <c r="J60" s="50" t="s">
        <v>104</v>
      </c>
      <c r="K60" s="50">
        <v>1</v>
      </c>
      <c r="L60" s="50" t="s">
        <v>176</v>
      </c>
      <c r="M60" s="50">
        <v>25</v>
      </c>
      <c r="N60" s="159">
        <v>42005</v>
      </c>
      <c r="O60" s="159"/>
      <c r="Q60" t="s">
        <v>104</v>
      </c>
      <c r="R60">
        <v>1</v>
      </c>
    </row>
    <row r="61" spans="1:18" ht="15.75" customHeight="1" x14ac:dyDescent="0.2">
      <c r="A61" s="50" t="str">
        <f>TableOMENVCLM[[#This Row],[Study Package Code]]</f>
        <v>WORK5001</v>
      </c>
      <c r="B61" s="61">
        <f>TableOMENVCLM[[#This Row],[Ver]]</f>
        <v>1</v>
      </c>
      <c r="C61" s="61" t="str">
        <f>IF(TableOMENVCLM[[#This Row],[Ver]]&gt;0,_xlfn.TEXTBEFORE(TableOMENVCLM[[#This Row],[Structure Line]]," "),"")</f>
        <v>WBP500</v>
      </c>
      <c r="D61" s="50" t="str">
        <f>IF(TableOMENVCLM[[#This Row],[OUA Code]]&lt;&gt;"",_xlfn.TEXTAFTER(TableOMENVCLM[[#This Row],[Structure Line]]," "),TableOMENVCLM[[#This Row],[Structure Line]])</f>
        <v>Work Based Project</v>
      </c>
      <c r="E61" s="63">
        <f>TableOMENVCLM[[#This Row],[Credit Points]]</f>
        <v>25</v>
      </c>
      <c r="F61" s="50"/>
      <c r="G61" s="50" t="s">
        <v>82</v>
      </c>
      <c r="H61" s="50"/>
      <c r="I61" s="192"/>
      <c r="J61" s="50" t="s">
        <v>105</v>
      </c>
      <c r="K61" s="50">
        <v>1</v>
      </c>
      <c r="L61" s="50" t="s">
        <v>178</v>
      </c>
      <c r="M61" s="50">
        <v>25</v>
      </c>
      <c r="N61" s="159">
        <v>44287</v>
      </c>
      <c r="O61" s="159"/>
      <c r="Q61" t="s">
        <v>105</v>
      </c>
      <c r="R61">
        <v>1</v>
      </c>
    </row>
    <row r="62" spans="1:18" ht="15.75" customHeight="1" x14ac:dyDescent="0.2"/>
    <row r="63" spans="1:18" ht="15.75" customHeight="1" x14ac:dyDescent="0.2"/>
    <row r="64" spans="1:18" ht="15.75" customHeight="1" x14ac:dyDescent="0.2"/>
    <row r="65" ht="15.75" customHeight="1" x14ac:dyDescent="0.2"/>
  </sheetData>
  <conditionalFormatting sqref="J3:J16">
    <cfRule type="duplicateValues" dxfId="11" priority="23"/>
  </conditionalFormatting>
  <conditionalFormatting sqref="J20:J37">
    <cfRule type="duplicateValues" dxfId="10" priority="25"/>
  </conditionalFormatting>
  <conditionalFormatting sqref="J41:J61">
    <cfRule type="duplicateValues" dxfId="9" priority="26"/>
  </conditionalFormatting>
  <conditionalFormatting sqref="N3:N16">
    <cfRule type="cellIs" dxfId="8" priority="10" operator="greaterThan">
      <formula>$P$1</formula>
    </cfRule>
  </conditionalFormatting>
  <conditionalFormatting sqref="N20:N37">
    <cfRule type="cellIs" dxfId="7" priority="7" operator="greaterThan">
      <formula>$P$1</formula>
    </cfRule>
  </conditionalFormatting>
  <conditionalFormatting sqref="N41:N61">
    <cfRule type="cellIs" dxfId="6" priority="4" operator="greaterThan">
      <formula>$P$1</formula>
    </cfRule>
  </conditionalFormatting>
  <conditionalFormatting sqref="O3:O16">
    <cfRule type="notContainsBlanks" dxfId="5" priority="9">
      <formula>LEN(TRIM(O3))&gt;0</formula>
    </cfRule>
  </conditionalFormatting>
  <conditionalFormatting sqref="O20:O37">
    <cfRule type="notContainsBlanks" dxfId="4" priority="6">
      <formula>LEN(TRIM(O20))&gt;0</formula>
    </cfRule>
  </conditionalFormatting>
  <conditionalFormatting sqref="O41:O61">
    <cfRule type="notContainsBlanks" dxfId="3" priority="3">
      <formula>LEN(TRIM(O41))&gt;0</formula>
    </cfRule>
  </conditionalFormatting>
  <conditionalFormatting sqref="Q3:R16">
    <cfRule type="expression" dxfId="2" priority="24">
      <formula>Q3&lt;&gt;J3</formula>
    </cfRule>
  </conditionalFormatting>
  <conditionalFormatting sqref="Q20:R37">
    <cfRule type="expression" dxfId="1" priority="2">
      <formula>Q20&lt;&gt;J20</formula>
    </cfRule>
  </conditionalFormatting>
  <conditionalFormatting sqref="Q41:R61">
    <cfRule type="expression" dxfId="0" priority="19">
      <formula>Q41&lt;&gt;J41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K21"/>
  <sheetViews>
    <sheetView workbookViewId="0">
      <selection activeCell="B27" sqref="B27"/>
    </sheetView>
  </sheetViews>
  <sheetFormatPr defaultRowHeight="12.75" x14ac:dyDescent="0.2"/>
  <cols>
    <col min="1" max="1" width="13.85546875" bestFit="1" customWidth="1"/>
    <col min="2" max="5" width="5.5703125" bestFit="1" customWidth="1"/>
    <col min="6" max="6" width="11.5703125" customWidth="1"/>
    <col min="7" max="7" width="10.85546875" bestFit="1" customWidth="1"/>
    <col min="8" max="11" width="2" bestFit="1" customWidth="1"/>
  </cols>
  <sheetData>
    <row r="1" spans="1:11" x14ac:dyDescent="0.2">
      <c r="A1" s="217" t="s">
        <v>152</v>
      </c>
    </row>
    <row r="2" spans="1:11" x14ac:dyDescent="0.2">
      <c r="A2" s="218">
        <v>46031</v>
      </c>
    </row>
    <row r="3" spans="1:11" ht="73.5" x14ac:dyDescent="0.2">
      <c r="A3" t="s">
        <v>188</v>
      </c>
      <c r="B3" s="154" t="s">
        <v>189</v>
      </c>
      <c r="C3" s="154" t="s">
        <v>190</v>
      </c>
      <c r="D3" s="154" t="s">
        <v>191</v>
      </c>
      <c r="E3" s="154" t="s">
        <v>192</v>
      </c>
    </row>
    <row r="4" spans="1:11" x14ac:dyDescent="0.2">
      <c r="A4" t="s">
        <v>99</v>
      </c>
      <c r="B4" s="4">
        <v>1</v>
      </c>
      <c r="C4" s="4"/>
      <c r="D4" s="4">
        <v>1</v>
      </c>
      <c r="E4" s="4"/>
      <c r="G4" t="s">
        <v>99</v>
      </c>
      <c r="H4">
        <v>1</v>
      </c>
      <c r="J4">
        <v>1</v>
      </c>
    </row>
    <row r="5" spans="1:11" x14ac:dyDescent="0.2">
      <c r="A5" t="s">
        <v>100</v>
      </c>
      <c r="B5" s="4"/>
      <c r="C5" s="4">
        <v>1</v>
      </c>
      <c r="D5" s="4"/>
      <c r="E5" s="4">
        <v>1</v>
      </c>
      <c r="G5" t="s">
        <v>100</v>
      </c>
      <c r="I5">
        <v>1</v>
      </c>
      <c r="K5">
        <v>1</v>
      </c>
    </row>
    <row r="6" spans="1:11" x14ac:dyDescent="0.2">
      <c r="A6" t="s">
        <v>83</v>
      </c>
      <c r="B6" s="4"/>
      <c r="C6" s="4">
        <v>1</v>
      </c>
      <c r="D6" s="4"/>
      <c r="E6" s="4"/>
      <c r="G6" t="s">
        <v>83</v>
      </c>
      <c r="I6">
        <v>1</v>
      </c>
      <c r="K6">
        <v>1</v>
      </c>
    </row>
    <row r="7" spans="1:11" x14ac:dyDescent="0.2">
      <c r="A7" t="s">
        <v>78</v>
      </c>
      <c r="B7" s="4"/>
      <c r="C7" s="4">
        <v>1</v>
      </c>
      <c r="D7" s="4"/>
      <c r="E7" s="4">
        <v>1</v>
      </c>
      <c r="G7" t="s">
        <v>78</v>
      </c>
      <c r="I7">
        <v>1</v>
      </c>
      <c r="K7">
        <v>1</v>
      </c>
    </row>
    <row r="8" spans="1:11" x14ac:dyDescent="0.2">
      <c r="A8" t="s">
        <v>90</v>
      </c>
      <c r="B8" s="4"/>
      <c r="C8" s="4">
        <v>1</v>
      </c>
      <c r="D8" s="4"/>
      <c r="E8" s="4"/>
      <c r="G8" t="s">
        <v>90</v>
      </c>
      <c r="I8">
        <v>1</v>
      </c>
    </row>
    <row r="9" spans="1:11" x14ac:dyDescent="0.2">
      <c r="A9" t="s">
        <v>84</v>
      </c>
      <c r="B9" s="4"/>
      <c r="C9" s="4"/>
      <c r="D9" s="4">
        <v>1</v>
      </c>
      <c r="E9" s="4"/>
      <c r="G9" t="s">
        <v>84</v>
      </c>
      <c r="H9">
        <v>1</v>
      </c>
      <c r="J9">
        <v>1</v>
      </c>
    </row>
    <row r="10" spans="1:11" x14ac:dyDescent="0.2">
      <c r="A10" t="s">
        <v>85</v>
      </c>
      <c r="B10" s="4"/>
      <c r="C10" s="4"/>
      <c r="D10" s="4"/>
      <c r="E10" s="4">
        <v>1</v>
      </c>
      <c r="G10" t="s">
        <v>85</v>
      </c>
      <c r="I10">
        <v>1</v>
      </c>
      <c r="K10">
        <v>1</v>
      </c>
    </row>
    <row r="11" spans="1:11" x14ac:dyDescent="0.2">
      <c r="A11" t="s">
        <v>93</v>
      </c>
      <c r="B11" s="4"/>
      <c r="C11" s="4"/>
      <c r="D11" s="4"/>
      <c r="E11" s="4">
        <v>1</v>
      </c>
      <c r="G11" t="s">
        <v>93</v>
      </c>
      <c r="K11">
        <v>1</v>
      </c>
    </row>
    <row r="12" spans="1:11" x14ac:dyDescent="0.2">
      <c r="A12" t="s">
        <v>76</v>
      </c>
      <c r="B12" s="4">
        <v>1</v>
      </c>
      <c r="C12" s="4"/>
      <c r="D12" s="4">
        <v>1</v>
      </c>
      <c r="E12" s="4"/>
      <c r="G12" t="s">
        <v>76</v>
      </c>
      <c r="H12">
        <v>1</v>
      </c>
      <c r="J12">
        <v>1</v>
      </c>
    </row>
    <row r="13" spans="1:11" x14ac:dyDescent="0.2">
      <c r="A13" t="s">
        <v>94</v>
      </c>
      <c r="B13" s="4">
        <v>1</v>
      </c>
      <c r="C13" s="4"/>
      <c r="D13" s="4">
        <v>1</v>
      </c>
      <c r="E13" s="4"/>
      <c r="G13" t="s">
        <v>94</v>
      </c>
      <c r="H13">
        <v>1</v>
      </c>
      <c r="J13">
        <v>1</v>
      </c>
    </row>
    <row r="14" spans="1:11" x14ac:dyDescent="0.2">
      <c r="A14" t="s">
        <v>88</v>
      </c>
      <c r="B14" s="4">
        <v>1</v>
      </c>
      <c r="C14" s="4"/>
      <c r="D14" s="4">
        <v>1</v>
      </c>
      <c r="E14" s="4"/>
      <c r="G14" t="s">
        <v>88</v>
      </c>
      <c r="H14">
        <v>1</v>
      </c>
      <c r="J14">
        <v>1</v>
      </c>
    </row>
    <row r="15" spans="1:11" x14ac:dyDescent="0.2">
      <c r="A15" t="s">
        <v>81</v>
      </c>
      <c r="B15" s="4">
        <v>1</v>
      </c>
      <c r="C15" s="4"/>
      <c r="D15" s="4">
        <v>1</v>
      </c>
      <c r="E15" s="4"/>
      <c r="G15" t="s">
        <v>81</v>
      </c>
      <c r="H15">
        <v>1</v>
      </c>
      <c r="J15">
        <v>1</v>
      </c>
    </row>
    <row r="16" spans="1:11" x14ac:dyDescent="0.2">
      <c r="A16" t="s">
        <v>101</v>
      </c>
      <c r="B16" s="4"/>
      <c r="C16" s="4">
        <v>1</v>
      </c>
      <c r="D16" s="4"/>
      <c r="E16" s="4">
        <v>1</v>
      </c>
      <c r="G16" t="s">
        <v>101</v>
      </c>
      <c r="I16">
        <v>1</v>
      </c>
      <c r="K16">
        <v>1</v>
      </c>
    </row>
    <row r="17" spans="1:11" x14ac:dyDescent="0.2">
      <c r="A17" t="s">
        <v>102</v>
      </c>
      <c r="B17" s="4">
        <v>1</v>
      </c>
      <c r="C17" s="4"/>
      <c r="D17" s="4"/>
      <c r="E17" s="4"/>
      <c r="G17" t="s">
        <v>102</v>
      </c>
      <c r="H17">
        <v>1</v>
      </c>
      <c r="J17">
        <v>1</v>
      </c>
    </row>
    <row r="18" spans="1:11" x14ac:dyDescent="0.2">
      <c r="A18" t="s">
        <v>103</v>
      </c>
      <c r="B18" s="4"/>
      <c r="C18" s="4">
        <v>1</v>
      </c>
      <c r="D18" s="4"/>
      <c r="E18" s="4"/>
      <c r="G18" t="s">
        <v>103</v>
      </c>
      <c r="I18">
        <v>1</v>
      </c>
      <c r="K18">
        <v>1</v>
      </c>
    </row>
    <row r="19" spans="1:11" x14ac:dyDescent="0.2">
      <c r="A19" t="s">
        <v>104</v>
      </c>
      <c r="B19" s="4"/>
      <c r="C19" s="4"/>
      <c r="D19" s="4"/>
      <c r="E19" s="4">
        <v>1</v>
      </c>
      <c r="G19" t="s">
        <v>104</v>
      </c>
      <c r="I19">
        <v>1</v>
      </c>
      <c r="K19">
        <v>1</v>
      </c>
    </row>
    <row r="20" spans="1:11" x14ac:dyDescent="0.2">
      <c r="A20" t="s">
        <v>86</v>
      </c>
      <c r="B20" s="4">
        <v>1</v>
      </c>
      <c r="C20" s="4"/>
      <c r="D20" s="4">
        <v>1</v>
      </c>
      <c r="E20" s="4"/>
      <c r="G20" t="s">
        <v>86</v>
      </c>
      <c r="H20">
        <v>1</v>
      </c>
      <c r="J20">
        <v>1</v>
      </c>
    </row>
    <row r="21" spans="1:11" x14ac:dyDescent="0.2">
      <c r="A21" t="s">
        <v>105</v>
      </c>
      <c r="B21" s="4"/>
      <c r="C21" s="4"/>
      <c r="D21" s="4"/>
      <c r="E21" s="4"/>
      <c r="G21" t="s">
        <v>105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2.xml><?xml version="1.0" encoding="utf-8"?>
<?mso-contentType ?>
<SharedContentType xmlns="Microsoft.SharePoint.Taxonomy.ContentTypeSync" SourceId="058b0421-3d9b-4d43-8840-b275eef407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purl.org/dc/elements/1.1/"/>
    <ds:schemaRef ds:uri="http://schemas.openxmlformats.org/package/2006/metadata/core-properties"/>
    <ds:schemaRef ds:uri="http://schemas.microsoft.com/sharepoint/v4"/>
    <ds:schemaRef ds:uri="http://schemas.microsoft.com/office/infopath/2007/PartnerControls"/>
    <ds:schemaRef ds:uri="http://schemas.microsoft.com/office/2006/documentManagement/types"/>
    <ds:schemaRef ds:uri="1f4c0b20-2c14-4291-851e-36bd297de4e2"/>
    <ds:schemaRef ds:uri="http://purl.org/dc/dcmitype/"/>
    <ds:schemaRef ds:uri="http://purl.org/dc/terms/"/>
    <ds:schemaRef ds:uri="ba69df13-0c3c-4942-8695-6ca01564010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64E7D9-FB96-4EBF-90C2-C126E72A644F}">
  <ds:schemaRefs>
    <ds:schemaRef ds:uri="Microsoft.SharePoint.Taxonomy.ContentTypeSync"/>
  </ds:schemaRefs>
</ds:datastoreItem>
</file>

<file path=customXml/itemProps3.xml><?xml version="1.0" encoding="utf-8"?>
<ds:datastoreItem xmlns:ds="http://schemas.openxmlformats.org/officeDocument/2006/customXml" ds:itemID="{64276A36-C188-40FA-AE19-C2CA1F95E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Master ECE Planner</vt:lpstr>
      <vt:lpstr>GD ECE Planner</vt:lpstr>
      <vt:lpstr>GC ECE Planner</vt:lpstr>
      <vt:lpstr>CourseDetails</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2026-01-09T05:35:24Z</cp:lastPrinted>
  <dcterms:created xsi:type="dcterms:W3CDTF">2022-02-28T04:48:12Z</dcterms:created>
  <dcterms:modified xsi:type="dcterms:W3CDTF">2026-01-09T05:36:32Z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