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BFA94366-B12F-48F1-A79D-58C504750AA5}" xr6:coauthVersionLast="47" xr6:coauthVersionMax="47" xr10:uidLastSave="{00000000-0000-0000-0000-000000000000}"/>
  <workbookProtection workbookAlgorithmName="SHA-512" workbookHashValue="JOSilFobPe+M/sEZHlIBeR93cdEVH96zzMlyRl+9KIhmslyqti1lqdCrTaQWx/ubgygMDJv/WFhYXQQTk2YKrg==" workbookSaltValue="FSpgax4NKR+3HFRNnlC3IQ==" workbookSpinCount="100000" lockStructure="1"/>
  <bookViews>
    <workbookView xWindow="-120" yWindow="-120" windowWidth="29040" windowHeight="17520" tabRatio="650" xr2:uid="{00000000-000D-0000-FFFF-FFFF00000000}"/>
  </bookViews>
  <sheets>
    <sheet name="OM-ARTS" sheetId="12" r:id="rId1"/>
    <sheet name="OG-ARTS" sheetId="17" state="hidden" r:id="rId2"/>
    <sheet name="OC-ARTS" sheetId="16" state="hidden" r:id="rId3"/>
    <sheet name="GC-HRIGHT (OUA)" sheetId="11" state="hidden" r:id="rId4"/>
    <sheet name="GD-HRIGHT (OUA)" sheetId="15" state="hidden" r:id="rId5"/>
    <sheet name="CourseDetails" sheetId="14" state="hidden" r:id="rId6"/>
    <sheet name="Unitsets" sheetId="2" state="hidden" r:id="rId7"/>
    <sheet name="Handbook" sheetId="3" state="hidden" r:id="rId8"/>
    <sheet name="Structures" sheetId="8" state="hidden" r:id="rId9"/>
    <sheet name="Availabilities" sheetId="9" state="hidden" r:id="rId10"/>
  </sheets>
  <definedNames>
    <definedName name="_xlnm._FilterDatabase" localSheetId="7" hidden="1">Handbook!#REF!</definedName>
    <definedName name="_xlnm.Print_Area" localSheetId="3">'GC-HRIGHT (OUA)'!$A$3:$N$48</definedName>
    <definedName name="_xlnm.Print_Area" localSheetId="4">'GD-HRIGHT (OUA)'!$A$3:$N$47</definedName>
    <definedName name="_xlnm.Print_Area" localSheetId="2">'OC-ARTS'!$A$3:$L$36</definedName>
    <definedName name="_xlnm.Print_Area" localSheetId="1">'OG-ARTS'!$A$3:$L$44</definedName>
    <definedName name="_xlnm.Print_Area" localSheetId="0">'OM-ARTS'!$A$3:$L$82</definedName>
    <definedName name="RangeACOptOCARTS">Unitsets!$C$103:$F$117</definedName>
    <definedName name="RangeACOptOGARTS">Unitsets!$C$78:$F$94</definedName>
    <definedName name="RangeACsOMARTS">Unitsets!$C$22:$F$29</definedName>
    <definedName name="RangeCourseNotes">CourseDetails!$A$45:$B$53</definedName>
    <definedName name="RangeOptionsHRIGHTS">Unitsets!$C$138:$E$157</definedName>
    <definedName name="RangeOptionsOMARTS">Unitsets!$C$32:$F$65</definedName>
    <definedName name="RangeUnitsetsHRIGHTS">Unitsets!$C$120:$R$136</definedName>
    <definedName name="RangeUnitsetsOCARTS">Unitsets!$C$97:$R$101</definedName>
    <definedName name="RangeUnitsetsOGARTS">Unitsets!$C$68:$R$76</definedName>
    <definedName name="RangeUnitsetsOMARTS">Unitsets!$C$3:$R$19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7" l="1"/>
  <c r="A39" i="17" s="1"/>
  <c r="B8" i="17"/>
  <c r="L6" i="17"/>
  <c r="A11" i="17" s="1"/>
  <c r="G6" i="17"/>
  <c r="L24" i="17"/>
  <c r="K24" i="17"/>
  <c r="J24" i="17"/>
  <c r="I24" i="17"/>
  <c r="H24" i="17"/>
  <c r="H23" i="17"/>
  <c r="G7" i="17"/>
  <c r="L5" i="17"/>
  <c r="G5" i="17"/>
  <c r="G94" i="3"/>
  <c r="G98" i="3"/>
  <c r="G101" i="3"/>
  <c r="G103" i="3"/>
  <c r="G69" i="3"/>
  <c r="G10" i="3"/>
  <c r="G79" i="3"/>
  <c r="G14" i="3"/>
  <c r="G85" i="3"/>
  <c r="G88" i="3"/>
  <c r="H94" i="3"/>
  <c r="H98" i="3"/>
  <c r="H101" i="3"/>
  <c r="H103" i="3"/>
  <c r="H69" i="3"/>
  <c r="H10" i="3"/>
  <c r="H79" i="3"/>
  <c r="H14" i="3"/>
  <c r="H85" i="3"/>
  <c r="H88" i="3"/>
  <c r="I94" i="3"/>
  <c r="I98" i="3"/>
  <c r="I101" i="3"/>
  <c r="I103" i="3"/>
  <c r="I69" i="3"/>
  <c r="I10" i="3"/>
  <c r="I79" i="3"/>
  <c r="I14" i="3"/>
  <c r="I85" i="3"/>
  <c r="I88" i="3"/>
  <c r="J94" i="3"/>
  <c r="J98" i="3"/>
  <c r="J101" i="3"/>
  <c r="J103" i="3"/>
  <c r="J69" i="3"/>
  <c r="J10" i="3"/>
  <c r="J79" i="3"/>
  <c r="J14" i="3"/>
  <c r="J85" i="3"/>
  <c r="J88" i="3"/>
  <c r="K94" i="3"/>
  <c r="K98" i="3"/>
  <c r="K101" i="3"/>
  <c r="K103" i="3"/>
  <c r="K69" i="3"/>
  <c r="K10" i="3"/>
  <c r="K79" i="3"/>
  <c r="K14" i="3"/>
  <c r="K85" i="3"/>
  <c r="K88" i="3"/>
  <c r="L94" i="3"/>
  <c r="L98" i="3"/>
  <c r="L101" i="3"/>
  <c r="L103" i="3"/>
  <c r="L69" i="3"/>
  <c r="L10" i="3"/>
  <c r="L79" i="3"/>
  <c r="L14" i="3"/>
  <c r="L85" i="3"/>
  <c r="L88" i="3"/>
  <c r="P94" i="3"/>
  <c r="P98" i="3"/>
  <c r="P101" i="3"/>
  <c r="P103" i="3"/>
  <c r="P69" i="3"/>
  <c r="P10" i="3"/>
  <c r="P79" i="3"/>
  <c r="P14" i="3"/>
  <c r="P85" i="3"/>
  <c r="P88" i="3"/>
  <c r="Q94" i="3"/>
  <c r="Q98" i="3"/>
  <c r="Q101" i="3"/>
  <c r="Q103" i="3"/>
  <c r="Q69" i="3"/>
  <c r="Q10" i="3"/>
  <c r="Q79" i="3"/>
  <c r="Q14" i="3"/>
  <c r="Q85" i="3"/>
  <c r="Q88" i="3"/>
  <c r="R94" i="3"/>
  <c r="R98" i="3"/>
  <c r="R101" i="3"/>
  <c r="R103" i="3"/>
  <c r="R69" i="3"/>
  <c r="R10" i="3"/>
  <c r="R79" i="3"/>
  <c r="R14" i="3"/>
  <c r="R85" i="3"/>
  <c r="R88" i="3"/>
  <c r="S94" i="3"/>
  <c r="S98" i="3"/>
  <c r="S101" i="3"/>
  <c r="S103" i="3"/>
  <c r="S69" i="3"/>
  <c r="S10" i="3"/>
  <c r="S79" i="3"/>
  <c r="S14" i="3"/>
  <c r="S85" i="3"/>
  <c r="S88" i="3"/>
  <c r="T94" i="3"/>
  <c r="T98" i="3"/>
  <c r="T101" i="3"/>
  <c r="T103" i="3"/>
  <c r="T69" i="3"/>
  <c r="T10" i="3"/>
  <c r="T79" i="3"/>
  <c r="T14" i="3"/>
  <c r="T85" i="3"/>
  <c r="T88" i="3"/>
  <c r="U94" i="3"/>
  <c r="U98" i="3"/>
  <c r="U101" i="3"/>
  <c r="U103" i="3"/>
  <c r="U69" i="3"/>
  <c r="U10" i="3"/>
  <c r="U79" i="3"/>
  <c r="U14" i="3"/>
  <c r="U85" i="3"/>
  <c r="U88" i="3"/>
  <c r="V94" i="3"/>
  <c r="V98" i="3"/>
  <c r="V101" i="3"/>
  <c r="V103" i="3"/>
  <c r="V69" i="3"/>
  <c r="V10" i="3"/>
  <c r="V79" i="3"/>
  <c r="V14" i="3"/>
  <c r="V85" i="3"/>
  <c r="V88" i="3"/>
  <c r="W94" i="3"/>
  <c r="W98" i="3"/>
  <c r="W101" i="3"/>
  <c r="W103" i="3"/>
  <c r="W69" i="3"/>
  <c r="W10" i="3"/>
  <c r="W79" i="3"/>
  <c r="W14" i="3"/>
  <c r="W85" i="3"/>
  <c r="W88" i="3"/>
  <c r="X94" i="3"/>
  <c r="X98" i="3"/>
  <c r="X101" i="3"/>
  <c r="X103" i="3"/>
  <c r="X69" i="3"/>
  <c r="X10" i="3"/>
  <c r="X79" i="3"/>
  <c r="X14" i="3"/>
  <c r="X85" i="3"/>
  <c r="X88" i="3"/>
  <c r="Y94" i="3"/>
  <c r="Y98" i="3"/>
  <c r="Y101" i="3"/>
  <c r="Y103" i="3"/>
  <c r="Y69" i="3"/>
  <c r="Y10" i="3"/>
  <c r="Y79" i="3"/>
  <c r="Y14" i="3"/>
  <c r="Y85" i="3"/>
  <c r="Y88" i="3"/>
  <c r="Z94" i="3"/>
  <c r="Z98" i="3"/>
  <c r="Z101" i="3"/>
  <c r="Z103" i="3"/>
  <c r="Z69" i="3"/>
  <c r="Z10" i="3"/>
  <c r="Z79" i="3"/>
  <c r="Z14" i="3"/>
  <c r="Z85" i="3"/>
  <c r="Z88" i="3"/>
  <c r="AA94" i="3"/>
  <c r="AA98" i="3"/>
  <c r="AA101" i="3"/>
  <c r="AA103" i="3"/>
  <c r="AA69" i="3"/>
  <c r="AA10" i="3"/>
  <c r="AA79" i="3"/>
  <c r="AA14" i="3"/>
  <c r="AA85" i="3"/>
  <c r="AA88" i="3"/>
  <c r="AB94" i="3"/>
  <c r="AB98" i="3"/>
  <c r="AB101" i="3"/>
  <c r="AB103" i="3"/>
  <c r="AB69" i="3"/>
  <c r="AB10" i="3"/>
  <c r="AB79" i="3"/>
  <c r="AB14" i="3"/>
  <c r="AB85" i="3"/>
  <c r="AB88" i="3"/>
  <c r="AE94" i="3"/>
  <c r="AE98" i="3"/>
  <c r="AE101" i="3"/>
  <c r="AE103" i="3"/>
  <c r="AE69" i="3"/>
  <c r="AE10" i="3"/>
  <c r="AE79" i="3"/>
  <c r="AE14" i="3"/>
  <c r="AE85" i="3"/>
  <c r="AE88" i="3"/>
  <c r="W3" i="3"/>
  <c r="W4" i="3"/>
  <c r="W5" i="3"/>
  <c r="W6" i="3"/>
  <c r="W7" i="3"/>
  <c r="W8" i="3"/>
  <c r="W9" i="3"/>
  <c r="W11" i="3"/>
  <c r="W12" i="3"/>
  <c r="W13"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70" i="3"/>
  <c r="W71" i="3"/>
  <c r="W72" i="3"/>
  <c r="W73" i="3"/>
  <c r="W74" i="3"/>
  <c r="W75" i="3"/>
  <c r="W76" i="3"/>
  <c r="W77" i="3"/>
  <c r="W78" i="3"/>
  <c r="W80" i="3"/>
  <c r="W81" i="3"/>
  <c r="W82" i="3"/>
  <c r="W83" i="3"/>
  <c r="W84" i="3"/>
  <c r="W86" i="3"/>
  <c r="W87" i="3"/>
  <c r="W89" i="3"/>
  <c r="W90" i="3"/>
  <c r="W91" i="3"/>
  <c r="W92" i="3"/>
  <c r="W93" i="3"/>
  <c r="W95" i="3"/>
  <c r="W96" i="3"/>
  <c r="W97" i="3"/>
  <c r="W99" i="3"/>
  <c r="W100" i="3"/>
  <c r="W102"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V3" i="3"/>
  <c r="V4" i="3"/>
  <c r="V5" i="3"/>
  <c r="V6" i="3"/>
  <c r="V7" i="3"/>
  <c r="V8" i="3"/>
  <c r="V9" i="3"/>
  <c r="V11" i="3"/>
  <c r="V12" i="3"/>
  <c r="V13"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70" i="3"/>
  <c r="V71" i="3"/>
  <c r="V72" i="3"/>
  <c r="V73" i="3"/>
  <c r="V74" i="3"/>
  <c r="V75" i="3"/>
  <c r="V76" i="3"/>
  <c r="V77" i="3"/>
  <c r="V78" i="3"/>
  <c r="V80" i="3"/>
  <c r="V81" i="3"/>
  <c r="V82" i="3"/>
  <c r="V83" i="3"/>
  <c r="V84" i="3"/>
  <c r="V86" i="3"/>
  <c r="V87" i="3"/>
  <c r="V89" i="3"/>
  <c r="V90" i="3"/>
  <c r="V91" i="3"/>
  <c r="V92" i="3"/>
  <c r="V93" i="3"/>
  <c r="V95" i="3"/>
  <c r="V96" i="3"/>
  <c r="V97" i="3"/>
  <c r="V99" i="3"/>
  <c r="V100" i="3"/>
  <c r="V102"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U3" i="3"/>
  <c r="U4" i="3"/>
  <c r="U5" i="3"/>
  <c r="U6" i="3"/>
  <c r="U7" i="3"/>
  <c r="U8" i="3"/>
  <c r="U9" i="3"/>
  <c r="U11" i="3"/>
  <c r="U12" i="3"/>
  <c r="U13"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70" i="3"/>
  <c r="U71" i="3"/>
  <c r="U72" i="3"/>
  <c r="U73" i="3"/>
  <c r="U74" i="3"/>
  <c r="U75" i="3"/>
  <c r="U76" i="3"/>
  <c r="U77" i="3"/>
  <c r="U78" i="3"/>
  <c r="U80" i="3"/>
  <c r="U81" i="3"/>
  <c r="U82" i="3"/>
  <c r="U83" i="3"/>
  <c r="U84" i="3"/>
  <c r="U86" i="3"/>
  <c r="U87" i="3"/>
  <c r="U89" i="3"/>
  <c r="U90" i="3"/>
  <c r="U91" i="3"/>
  <c r="U92" i="3"/>
  <c r="U93" i="3"/>
  <c r="U95" i="3"/>
  <c r="U96" i="3"/>
  <c r="U97" i="3"/>
  <c r="U99" i="3"/>
  <c r="U100" i="3"/>
  <c r="U102"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T3" i="3"/>
  <c r="T4" i="3"/>
  <c r="T5" i="3"/>
  <c r="T6" i="3"/>
  <c r="T7" i="3"/>
  <c r="T8" i="3"/>
  <c r="T9" i="3"/>
  <c r="T11" i="3"/>
  <c r="T12" i="3"/>
  <c r="T13"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70" i="3"/>
  <c r="T71" i="3"/>
  <c r="T72" i="3"/>
  <c r="T73" i="3"/>
  <c r="T74" i="3"/>
  <c r="T75" i="3"/>
  <c r="T76" i="3"/>
  <c r="T77" i="3"/>
  <c r="T78" i="3"/>
  <c r="T80" i="3"/>
  <c r="T81" i="3"/>
  <c r="T82" i="3"/>
  <c r="T83" i="3"/>
  <c r="T84" i="3"/>
  <c r="T86" i="3"/>
  <c r="T87" i="3"/>
  <c r="T89" i="3"/>
  <c r="T90" i="3"/>
  <c r="T91" i="3"/>
  <c r="T92" i="3"/>
  <c r="T93" i="3"/>
  <c r="T95" i="3"/>
  <c r="T96" i="3"/>
  <c r="T97" i="3"/>
  <c r="T99" i="3"/>
  <c r="T100" i="3"/>
  <c r="T102"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S3" i="3"/>
  <c r="S4" i="3"/>
  <c r="S5" i="3"/>
  <c r="S6" i="3"/>
  <c r="S7" i="3"/>
  <c r="S8" i="3"/>
  <c r="S9" i="3"/>
  <c r="S11" i="3"/>
  <c r="S12" i="3"/>
  <c r="S13"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70" i="3"/>
  <c r="S71" i="3"/>
  <c r="S72" i="3"/>
  <c r="S73" i="3"/>
  <c r="S74" i="3"/>
  <c r="S75" i="3"/>
  <c r="S76" i="3"/>
  <c r="S77" i="3"/>
  <c r="S78" i="3"/>
  <c r="S80" i="3"/>
  <c r="S81" i="3"/>
  <c r="S82" i="3"/>
  <c r="S83" i="3"/>
  <c r="S84" i="3"/>
  <c r="S86" i="3"/>
  <c r="S87" i="3"/>
  <c r="S89" i="3"/>
  <c r="S90" i="3"/>
  <c r="S91" i="3"/>
  <c r="S92" i="3"/>
  <c r="S93" i="3"/>
  <c r="S95" i="3"/>
  <c r="S96" i="3"/>
  <c r="S97" i="3"/>
  <c r="S99" i="3"/>
  <c r="S100" i="3"/>
  <c r="S102"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 i="3"/>
  <c r="T1" i="3"/>
  <c r="U1" i="3"/>
  <c r="V1" i="3"/>
  <c r="W1" i="3"/>
  <c r="X1" i="3"/>
  <c r="E318" i="8"/>
  <c r="C318" i="8"/>
  <c r="D318" i="8" s="1"/>
  <c r="B318" i="8"/>
  <c r="A318" i="8"/>
  <c r="E317" i="8"/>
  <c r="C317" i="8"/>
  <c r="D317" i="8" s="1"/>
  <c r="B317" i="8"/>
  <c r="A317" i="8"/>
  <c r="E316" i="8"/>
  <c r="C316" i="8"/>
  <c r="D316" i="8" s="1"/>
  <c r="B316" i="8"/>
  <c r="A316" i="8"/>
  <c r="E315" i="8"/>
  <c r="C315" i="8"/>
  <c r="D315" i="8" s="1"/>
  <c r="B315" i="8"/>
  <c r="A315" i="8"/>
  <c r="E314" i="8"/>
  <c r="C314" i="8"/>
  <c r="D314" i="8" s="1"/>
  <c r="B314" i="8"/>
  <c r="A314" i="8"/>
  <c r="E313" i="8"/>
  <c r="C313" i="8"/>
  <c r="D313" i="8" s="1"/>
  <c r="B313" i="8"/>
  <c r="A313" i="8"/>
  <c r="E312" i="8"/>
  <c r="C312" i="8"/>
  <c r="D312" i="8" s="1"/>
  <c r="B312" i="8"/>
  <c r="A312" i="8"/>
  <c r="E311" i="8"/>
  <c r="C311" i="8"/>
  <c r="D311" i="8" s="1"/>
  <c r="B311" i="8"/>
  <c r="A311" i="8"/>
  <c r="E310" i="8"/>
  <c r="C310" i="8"/>
  <c r="D310" i="8" s="1"/>
  <c r="B310" i="8"/>
  <c r="A310" i="8"/>
  <c r="E309" i="8"/>
  <c r="C309" i="8"/>
  <c r="D309" i="8" s="1"/>
  <c r="B309" i="8"/>
  <c r="A309" i="8"/>
  <c r="E308" i="8"/>
  <c r="C308" i="8"/>
  <c r="D308" i="8" s="1"/>
  <c r="B308" i="8"/>
  <c r="A308" i="8"/>
  <c r="E307" i="8"/>
  <c r="C307" i="8"/>
  <c r="D307" i="8" s="1"/>
  <c r="B307" i="8"/>
  <c r="A307" i="8"/>
  <c r="E304" i="8"/>
  <c r="C304" i="8"/>
  <c r="D304" i="8" s="1"/>
  <c r="B304" i="8"/>
  <c r="A304" i="8"/>
  <c r="E303" i="8"/>
  <c r="C303" i="8"/>
  <c r="D303" i="8" s="1"/>
  <c r="B303" i="8"/>
  <c r="A303" i="8"/>
  <c r="E302" i="8"/>
  <c r="C302" i="8"/>
  <c r="D302" i="8" s="1"/>
  <c r="B302" i="8"/>
  <c r="A302" i="8"/>
  <c r="E301" i="8"/>
  <c r="C301" i="8"/>
  <c r="D301" i="8" s="1"/>
  <c r="B301" i="8"/>
  <c r="A301" i="8"/>
  <c r="E300" i="8"/>
  <c r="C300" i="8"/>
  <c r="D300" i="8" s="1"/>
  <c r="B300" i="8"/>
  <c r="A300" i="8"/>
  <c r="E299" i="8"/>
  <c r="C299" i="8"/>
  <c r="D299" i="8" s="1"/>
  <c r="B299" i="8"/>
  <c r="A299" i="8"/>
  <c r="E298" i="8"/>
  <c r="C298" i="8"/>
  <c r="D298" i="8" s="1"/>
  <c r="B298" i="8"/>
  <c r="A298" i="8"/>
  <c r="E297" i="8"/>
  <c r="C297" i="8"/>
  <c r="D297" i="8" s="1"/>
  <c r="B297" i="8"/>
  <c r="A297" i="8"/>
  <c r="E296" i="8"/>
  <c r="C296" i="8"/>
  <c r="D296" i="8" s="1"/>
  <c r="B296" i="8"/>
  <c r="A296" i="8"/>
  <c r="E295" i="8"/>
  <c r="C295" i="8"/>
  <c r="D295" i="8" s="1"/>
  <c r="B295" i="8"/>
  <c r="A295" i="8"/>
  <c r="E294" i="8"/>
  <c r="C294" i="8"/>
  <c r="D294" i="8" s="1"/>
  <c r="B294" i="8"/>
  <c r="A294" i="8"/>
  <c r="E293" i="8"/>
  <c r="C293" i="8"/>
  <c r="D293" i="8" s="1"/>
  <c r="B293" i="8"/>
  <c r="A293" i="8"/>
  <c r="E290" i="8"/>
  <c r="C290" i="8"/>
  <c r="D290" i="8" s="1"/>
  <c r="B290" i="8"/>
  <c r="A290" i="8"/>
  <c r="E289" i="8"/>
  <c r="C289" i="8"/>
  <c r="D289" i="8" s="1"/>
  <c r="B289" i="8"/>
  <c r="A289" i="8"/>
  <c r="E288" i="8"/>
  <c r="C288" i="8"/>
  <c r="D288" i="8" s="1"/>
  <c r="B288" i="8"/>
  <c r="A288" i="8"/>
  <c r="E287" i="8"/>
  <c r="C287" i="8"/>
  <c r="D287" i="8" s="1"/>
  <c r="B287" i="8"/>
  <c r="A287" i="8"/>
  <c r="E286" i="8"/>
  <c r="C286" i="8"/>
  <c r="D286" i="8" s="1"/>
  <c r="B286" i="8"/>
  <c r="A286" i="8"/>
  <c r="E285" i="8"/>
  <c r="C285" i="8"/>
  <c r="D285" i="8" s="1"/>
  <c r="B285" i="8"/>
  <c r="A285" i="8"/>
  <c r="E284" i="8"/>
  <c r="C284" i="8"/>
  <c r="D284" i="8" s="1"/>
  <c r="B284" i="8"/>
  <c r="A284" i="8"/>
  <c r="E283" i="8"/>
  <c r="C283" i="8"/>
  <c r="D283" i="8" s="1"/>
  <c r="B283" i="8"/>
  <c r="A283" i="8"/>
  <c r="E282" i="8"/>
  <c r="C282" i="8"/>
  <c r="D282" i="8" s="1"/>
  <c r="B282" i="8"/>
  <c r="A282" i="8"/>
  <c r="E281" i="8"/>
  <c r="C281" i="8"/>
  <c r="D281" i="8" s="1"/>
  <c r="B281" i="8"/>
  <c r="A281" i="8"/>
  <c r="E280" i="8"/>
  <c r="C280" i="8"/>
  <c r="D280" i="8" s="1"/>
  <c r="B280" i="8"/>
  <c r="A280" i="8"/>
  <c r="E279" i="8"/>
  <c r="C279" i="8"/>
  <c r="D279" i="8" s="1"/>
  <c r="B279" i="8"/>
  <c r="A279" i="8"/>
  <c r="E278" i="8"/>
  <c r="C278" i="8"/>
  <c r="D278" i="8" s="1"/>
  <c r="B278" i="8"/>
  <c r="A278" i="8"/>
  <c r="E277" i="8"/>
  <c r="C277" i="8"/>
  <c r="D277" i="8" s="1"/>
  <c r="B277" i="8"/>
  <c r="A277" i="8"/>
  <c r="E276" i="8"/>
  <c r="C276" i="8"/>
  <c r="D276" i="8" s="1"/>
  <c r="B276" i="8"/>
  <c r="A276" i="8"/>
  <c r="E275" i="8"/>
  <c r="C275" i="8"/>
  <c r="D275" i="8" s="1"/>
  <c r="B275" i="8"/>
  <c r="A275" i="8"/>
  <c r="E274" i="8"/>
  <c r="C274" i="8"/>
  <c r="D274" i="8" s="1"/>
  <c r="B274" i="8"/>
  <c r="A274" i="8"/>
  <c r="E271" i="8"/>
  <c r="C271" i="8"/>
  <c r="D271" i="8" s="1"/>
  <c r="B271" i="8"/>
  <c r="A271" i="8"/>
  <c r="E270" i="8"/>
  <c r="C270" i="8"/>
  <c r="D270" i="8" s="1"/>
  <c r="B270" i="8"/>
  <c r="A270" i="8"/>
  <c r="E269" i="8"/>
  <c r="C269" i="8"/>
  <c r="D269" i="8" s="1"/>
  <c r="B269" i="8"/>
  <c r="A269" i="8"/>
  <c r="E268" i="8"/>
  <c r="C268" i="8"/>
  <c r="D268" i="8" s="1"/>
  <c r="B268" i="8"/>
  <c r="A268" i="8"/>
  <c r="E267" i="8"/>
  <c r="C267" i="8"/>
  <c r="D267" i="8" s="1"/>
  <c r="B267" i="8"/>
  <c r="A267" i="8"/>
  <c r="E266" i="8"/>
  <c r="C266" i="8"/>
  <c r="D266" i="8" s="1"/>
  <c r="B266" i="8"/>
  <c r="A266" i="8"/>
  <c r="E265" i="8"/>
  <c r="C265" i="8"/>
  <c r="D265" i="8" s="1"/>
  <c r="B265" i="8"/>
  <c r="A265" i="8"/>
  <c r="E264" i="8"/>
  <c r="C264" i="8"/>
  <c r="D264" i="8" s="1"/>
  <c r="B264" i="8"/>
  <c r="A264" i="8"/>
  <c r="E263" i="8"/>
  <c r="C263" i="8"/>
  <c r="D263" i="8" s="1"/>
  <c r="B263" i="8"/>
  <c r="A263" i="8"/>
  <c r="E262" i="8"/>
  <c r="C262" i="8"/>
  <c r="D262" i="8" s="1"/>
  <c r="B262" i="8"/>
  <c r="A262" i="8"/>
  <c r="E261" i="8"/>
  <c r="C261" i="8"/>
  <c r="D261" i="8" s="1"/>
  <c r="B261" i="8"/>
  <c r="A261" i="8"/>
  <c r="E260" i="8"/>
  <c r="C260" i="8"/>
  <c r="D260" i="8" s="1"/>
  <c r="B260" i="8"/>
  <c r="A260" i="8"/>
  <c r="E259" i="8"/>
  <c r="C259" i="8"/>
  <c r="D259" i="8" s="1"/>
  <c r="B259" i="8"/>
  <c r="A259" i="8"/>
  <c r="E256" i="8"/>
  <c r="D256" i="8"/>
  <c r="B256" i="8"/>
  <c r="A256" i="8"/>
  <c r="E255" i="8"/>
  <c r="D255" i="8"/>
  <c r="B255" i="8"/>
  <c r="A255" i="8"/>
  <c r="E254" i="8"/>
  <c r="D254" i="8"/>
  <c r="B254" i="8"/>
  <c r="A254" i="8"/>
  <c r="E253" i="8"/>
  <c r="D253" i="8"/>
  <c r="B253" i="8"/>
  <c r="A253" i="8"/>
  <c r="E252" i="8"/>
  <c r="C252" i="8"/>
  <c r="D252" i="8" s="1"/>
  <c r="B252" i="8"/>
  <c r="A252" i="8"/>
  <c r="G92" i="3"/>
  <c r="H92" i="3"/>
  <c r="I92" i="3"/>
  <c r="J92" i="3"/>
  <c r="K92" i="3"/>
  <c r="L92" i="3"/>
  <c r="G90" i="3"/>
  <c r="H90" i="3"/>
  <c r="I90" i="3"/>
  <c r="J90" i="3"/>
  <c r="K90" i="3"/>
  <c r="L90" i="3"/>
  <c r="G83" i="3"/>
  <c r="H83" i="3"/>
  <c r="I83" i="3"/>
  <c r="J83" i="3"/>
  <c r="K83" i="3"/>
  <c r="L83" i="3"/>
  <c r="G81" i="3"/>
  <c r="H81" i="3"/>
  <c r="I81" i="3"/>
  <c r="J81" i="3"/>
  <c r="K81" i="3"/>
  <c r="L81" i="3"/>
  <c r="G77" i="3"/>
  <c r="H77" i="3"/>
  <c r="I77" i="3"/>
  <c r="J77" i="3"/>
  <c r="K77" i="3"/>
  <c r="L77" i="3"/>
  <c r="G75" i="3"/>
  <c r="H75" i="3"/>
  <c r="I75" i="3"/>
  <c r="J75" i="3"/>
  <c r="K75" i="3"/>
  <c r="L75" i="3"/>
  <c r="G73" i="3"/>
  <c r="H73" i="3"/>
  <c r="I73" i="3"/>
  <c r="J73" i="3"/>
  <c r="K73" i="3"/>
  <c r="L73" i="3"/>
  <c r="G71" i="3"/>
  <c r="H71" i="3"/>
  <c r="I71" i="3"/>
  <c r="J71" i="3"/>
  <c r="K71" i="3"/>
  <c r="L71" i="3"/>
  <c r="G96" i="3"/>
  <c r="G99" i="3"/>
  <c r="G74" i="3"/>
  <c r="G76" i="3"/>
  <c r="G38" i="3"/>
  <c r="G80" i="3"/>
  <c r="G82" i="3"/>
  <c r="H96" i="3"/>
  <c r="H99" i="3"/>
  <c r="H74" i="3"/>
  <c r="H76" i="3"/>
  <c r="H38" i="3"/>
  <c r="H80" i="3"/>
  <c r="H82" i="3"/>
  <c r="I96" i="3"/>
  <c r="I99" i="3"/>
  <c r="I74" i="3"/>
  <c r="I76" i="3"/>
  <c r="I38" i="3"/>
  <c r="I80" i="3"/>
  <c r="I82" i="3"/>
  <c r="J96" i="3"/>
  <c r="J99" i="3"/>
  <c r="J74" i="3"/>
  <c r="J76" i="3"/>
  <c r="J38" i="3"/>
  <c r="J80" i="3"/>
  <c r="J82" i="3"/>
  <c r="K96" i="3"/>
  <c r="K99" i="3"/>
  <c r="K74" i="3"/>
  <c r="K76" i="3"/>
  <c r="K38" i="3"/>
  <c r="K80" i="3"/>
  <c r="K82" i="3"/>
  <c r="L96" i="3"/>
  <c r="L99" i="3"/>
  <c r="L74" i="3"/>
  <c r="L76" i="3"/>
  <c r="L38" i="3"/>
  <c r="L80" i="3"/>
  <c r="L82" i="3"/>
  <c r="A134" i="8"/>
  <c r="A135" i="8"/>
  <c r="A136" i="8"/>
  <c r="A137" i="8"/>
  <c r="A138" i="8"/>
  <c r="A139" i="8"/>
  <c r="A140" i="8"/>
  <c r="B134" i="8"/>
  <c r="B135" i="8"/>
  <c r="B136" i="8"/>
  <c r="B137" i="8"/>
  <c r="B138" i="8"/>
  <c r="B139" i="8"/>
  <c r="B140" i="8"/>
  <c r="C134" i="8"/>
  <c r="D134" i="8" s="1"/>
  <c r="C135" i="8"/>
  <c r="D135" i="8" s="1"/>
  <c r="C136" i="8"/>
  <c r="D136" i="8" s="1"/>
  <c r="C137" i="8"/>
  <c r="D137" i="8" s="1"/>
  <c r="C138" i="8"/>
  <c r="D138" i="8" s="1"/>
  <c r="C139" i="8"/>
  <c r="D139" i="8" s="1"/>
  <c r="C140" i="8"/>
  <c r="D140" i="8" s="1"/>
  <c r="E134" i="8"/>
  <c r="E135" i="8"/>
  <c r="E136" i="8"/>
  <c r="E137" i="8"/>
  <c r="E138" i="8"/>
  <c r="E139" i="8"/>
  <c r="E140" i="8"/>
  <c r="A141" i="8"/>
  <c r="A142" i="8"/>
  <c r="A143" i="8"/>
  <c r="A144" i="8"/>
  <c r="A145" i="8"/>
  <c r="A146" i="8"/>
  <c r="A147" i="8"/>
  <c r="B141" i="8"/>
  <c r="B142" i="8"/>
  <c r="B143" i="8"/>
  <c r="B144" i="8"/>
  <c r="B145" i="8"/>
  <c r="B146" i="8"/>
  <c r="B147" i="8"/>
  <c r="C141" i="8"/>
  <c r="D141" i="8" s="1"/>
  <c r="C142" i="8"/>
  <c r="D142" i="8" s="1"/>
  <c r="C143" i="8"/>
  <c r="D143" i="8" s="1"/>
  <c r="C144" i="8"/>
  <c r="D144" i="8" s="1"/>
  <c r="C145" i="8"/>
  <c r="D145" i="8" s="1"/>
  <c r="C146" i="8"/>
  <c r="D146" i="8" s="1"/>
  <c r="C147" i="8"/>
  <c r="D147" i="8" s="1"/>
  <c r="E141" i="8"/>
  <c r="E142" i="8"/>
  <c r="E143" i="8"/>
  <c r="E144" i="8"/>
  <c r="E145" i="8"/>
  <c r="E146" i="8"/>
  <c r="E147" i="8"/>
  <c r="A92" i="8"/>
  <c r="A93" i="8"/>
  <c r="A94" i="8"/>
  <c r="A95" i="8"/>
  <c r="A96" i="8"/>
  <c r="A97" i="8"/>
  <c r="A98" i="8"/>
  <c r="A99" i="8"/>
  <c r="A100" i="8"/>
  <c r="A101" i="8"/>
  <c r="A102" i="8"/>
  <c r="A103" i="8"/>
  <c r="A104" i="8"/>
  <c r="B92" i="8"/>
  <c r="B93" i="8"/>
  <c r="B94" i="8"/>
  <c r="B95" i="8"/>
  <c r="B96" i="8"/>
  <c r="B97" i="8"/>
  <c r="B98" i="8"/>
  <c r="B99" i="8"/>
  <c r="B100" i="8"/>
  <c r="B101" i="8"/>
  <c r="B102" i="8"/>
  <c r="B103" i="8"/>
  <c r="B104" i="8"/>
  <c r="C92" i="8"/>
  <c r="D92" i="8" s="1"/>
  <c r="C93" i="8"/>
  <c r="D93" i="8" s="1"/>
  <c r="C94" i="8"/>
  <c r="D94" i="8" s="1"/>
  <c r="C95" i="8"/>
  <c r="D95" i="8" s="1"/>
  <c r="C96" i="8"/>
  <c r="D96" i="8" s="1"/>
  <c r="C97" i="8"/>
  <c r="D97" i="8" s="1"/>
  <c r="C98" i="8"/>
  <c r="D98" i="8" s="1"/>
  <c r="C99" i="8"/>
  <c r="D99" i="8" s="1"/>
  <c r="C100" i="8"/>
  <c r="D100" i="8" s="1"/>
  <c r="C101" i="8"/>
  <c r="D101" i="8" s="1"/>
  <c r="C102" i="8"/>
  <c r="D102" i="8" s="1"/>
  <c r="C103" i="8"/>
  <c r="D103" i="8" s="1"/>
  <c r="C104" i="8"/>
  <c r="D104" i="8" s="1"/>
  <c r="E92" i="8"/>
  <c r="E93" i="8"/>
  <c r="E94" i="8"/>
  <c r="E95" i="8"/>
  <c r="E96" i="8"/>
  <c r="E97" i="8"/>
  <c r="E98" i="8"/>
  <c r="E99" i="8"/>
  <c r="E100" i="8"/>
  <c r="E101" i="8"/>
  <c r="E102" i="8"/>
  <c r="E103" i="8"/>
  <c r="E104" i="8"/>
  <c r="A105" i="8"/>
  <c r="A106" i="8"/>
  <c r="A107" i="8"/>
  <c r="A108" i="8"/>
  <c r="A109" i="8"/>
  <c r="A110" i="8"/>
  <c r="A111" i="8"/>
  <c r="A112" i="8"/>
  <c r="A113" i="8"/>
  <c r="A114" i="8"/>
  <c r="A115" i="8"/>
  <c r="A116" i="8"/>
  <c r="B105" i="8"/>
  <c r="B106" i="8"/>
  <c r="B107" i="8"/>
  <c r="B108" i="8"/>
  <c r="B109" i="8"/>
  <c r="B110" i="8"/>
  <c r="B111" i="8"/>
  <c r="B112" i="8"/>
  <c r="B113" i="8"/>
  <c r="B114" i="8"/>
  <c r="B115" i="8"/>
  <c r="B116" i="8"/>
  <c r="C105" i="8"/>
  <c r="D105" i="8" s="1"/>
  <c r="C106" i="8"/>
  <c r="D106" i="8" s="1"/>
  <c r="C107" i="8"/>
  <c r="D107" i="8" s="1"/>
  <c r="C108" i="8"/>
  <c r="D108" i="8" s="1"/>
  <c r="C109" i="8"/>
  <c r="D109" i="8" s="1"/>
  <c r="C110" i="8"/>
  <c r="D110" i="8" s="1"/>
  <c r="C111" i="8"/>
  <c r="D111" i="8" s="1"/>
  <c r="C112" i="8"/>
  <c r="D112" i="8" s="1"/>
  <c r="C113" i="8"/>
  <c r="D113" i="8" s="1"/>
  <c r="C114" i="8"/>
  <c r="D114" i="8" s="1"/>
  <c r="C115" i="8"/>
  <c r="D115" i="8" s="1"/>
  <c r="C116" i="8"/>
  <c r="D116" i="8" s="1"/>
  <c r="E105" i="8"/>
  <c r="E106" i="8"/>
  <c r="E107" i="8"/>
  <c r="E108" i="8"/>
  <c r="E109" i="8"/>
  <c r="E110" i="8"/>
  <c r="E111" i="8"/>
  <c r="E112" i="8"/>
  <c r="E113" i="8"/>
  <c r="E114" i="8"/>
  <c r="E115" i="8"/>
  <c r="E116" i="8"/>
  <c r="A69" i="8"/>
  <c r="A70" i="8"/>
  <c r="A71" i="8"/>
  <c r="A72" i="8"/>
  <c r="A73" i="8"/>
  <c r="A74" i="8"/>
  <c r="B69" i="8"/>
  <c r="B70" i="8"/>
  <c r="B71" i="8"/>
  <c r="B72" i="8"/>
  <c r="B73" i="8"/>
  <c r="B74" i="8"/>
  <c r="C69" i="8"/>
  <c r="D69" i="8" s="1"/>
  <c r="C70" i="8"/>
  <c r="D70" i="8" s="1"/>
  <c r="C71" i="8"/>
  <c r="D71" i="8" s="1"/>
  <c r="C72" i="8"/>
  <c r="D72" i="8" s="1"/>
  <c r="C73" i="8"/>
  <c r="D73" i="8" s="1"/>
  <c r="C74" i="8"/>
  <c r="D74" i="8" s="1"/>
  <c r="E69" i="8"/>
  <c r="E70" i="8"/>
  <c r="E71" i="8"/>
  <c r="E72" i="8"/>
  <c r="E73" i="8"/>
  <c r="E74" i="8"/>
  <c r="A64" i="8"/>
  <c r="A65" i="8"/>
  <c r="A66" i="8"/>
  <c r="B64" i="8"/>
  <c r="B65" i="8"/>
  <c r="B66" i="8"/>
  <c r="C64" i="8"/>
  <c r="D64" i="8" s="1"/>
  <c r="C65" i="8"/>
  <c r="D65" i="8" s="1"/>
  <c r="C66" i="8"/>
  <c r="D66" i="8" s="1"/>
  <c r="E64" i="8"/>
  <c r="E65" i="8"/>
  <c r="E66" i="8"/>
  <c r="A67" i="8"/>
  <c r="A68" i="8"/>
  <c r="A75" i="8"/>
  <c r="B67" i="8"/>
  <c r="B68" i="8"/>
  <c r="B75" i="8"/>
  <c r="C67" i="8"/>
  <c r="D67" i="8" s="1"/>
  <c r="C68" i="8"/>
  <c r="D68" i="8" s="1"/>
  <c r="C75" i="8"/>
  <c r="D75" i="8" s="1"/>
  <c r="E67" i="8"/>
  <c r="E68" i="8"/>
  <c r="E75" i="8"/>
  <c r="A76" i="8"/>
  <c r="A77" i="8"/>
  <c r="A78" i="8"/>
  <c r="B76" i="8"/>
  <c r="B77" i="8"/>
  <c r="B78" i="8"/>
  <c r="C76" i="8"/>
  <c r="D76" i="8" s="1"/>
  <c r="C77" i="8"/>
  <c r="D77" i="8" s="1"/>
  <c r="C78" i="8"/>
  <c r="D78" i="8" s="1"/>
  <c r="E76" i="8"/>
  <c r="E77" i="8"/>
  <c r="E78" i="8"/>
  <c r="A79" i="8"/>
  <c r="A80" i="8"/>
  <c r="A81" i="8"/>
  <c r="B79" i="8"/>
  <c r="B80" i="8"/>
  <c r="B81" i="8"/>
  <c r="C79" i="8"/>
  <c r="D79" i="8" s="1"/>
  <c r="C80" i="8"/>
  <c r="D80" i="8" s="1"/>
  <c r="C81" i="8"/>
  <c r="D81" i="8" s="1"/>
  <c r="E79" i="8"/>
  <c r="E80" i="8"/>
  <c r="E81" i="8"/>
  <c r="A28" i="8"/>
  <c r="A29" i="8"/>
  <c r="A30" i="8"/>
  <c r="A31" i="8"/>
  <c r="A32" i="8"/>
  <c r="A33" i="8"/>
  <c r="B28" i="8"/>
  <c r="B29" i="8"/>
  <c r="B30" i="8"/>
  <c r="B31" i="8"/>
  <c r="B32" i="8"/>
  <c r="B33" i="8"/>
  <c r="C28" i="8"/>
  <c r="D28" i="8" s="1"/>
  <c r="C29" i="8"/>
  <c r="D29" i="8" s="1"/>
  <c r="C30" i="8"/>
  <c r="D30" i="8" s="1"/>
  <c r="C31" i="8"/>
  <c r="D31" i="8" s="1"/>
  <c r="C32" i="8"/>
  <c r="D32" i="8" s="1"/>
  <c r="C33" i="8"/>
  <c r="D33" i="8" s="1"/>
  <c r="E28" i="8"/>
  <c r="E29" i="8"/>
  <c r="E30" i="8"/>
  <c r="E31" i="8"/>
  <c r="E32" i="8"/>
  <c r="E33" i="8"/>
  <c r="A17" i="8"/>
  <c r="A18" i="8"/>
  <c r="A19" i="8"/>
  <c r="A20" i="8"/>
  <c r="A21" i="8"/>
  <c r="A22" i="8"/>
  <c r="A23" i="8"/>
  <c r="A24" i="8"/>
  <c r="A25" i="8"/>
  <c r="A26" i="8"/>
  <c r="A27" i="8"/>
  <c r="B17" i="8"/>
  <c r="B18" i="8"/>
  <c r="B19" i="8"/>
  <c r="B20" i="8"/>
  <c r="B21" i="8"/>
  <c r="B22" i="8"/>
  <c r="B23" i="8"/>
  <c r="B24" i="8"/>
  <c r="B25" i="8"/>
  <c r="B26" i="8"/>
  <c r="B27" i="8"/>
  <c r="C17" i="8"/>
  <c r="D17" i="8" s="1"/>
  <c r="C18" i="8"/>
  <c r="D18" i="8" s="1"/>
  <c r="C19" i="8"/>
  <c r="D19" i="8" s="1"/>
  <c r="C20" i="8"/>
  <c r="D20" i="8" s="1"/>
  <c r="C21" i="8"/>
  <c r="D21" i="8" s="1"/>
  <c r="C22" i="8"/>
  <c r="D22" i="8" s="1"/>
  <c r="C23" i="8"/>
  <c r="D23" i="8" s="1"/>
  <c r="C24" i="8"/>
  <c r="D24" i="8" s="1"/>
  <c r="C25" i="8"/>
  <c r="D25" i="8" s="1"/>
  <c r="C26" i="8"/>
  <c r="D26" i="8" s="1"/>
  <c r="C27" i="8"/>
  <c r="D27" i="8" s="1"/>
  <c r="E17" i="8"/>
  <c r="E18" i="8"/>
  <c r="E19" i="8"/>
  <c r="E20" i="8"/>
  <c r="E21" i="8"/>
  <c r="E22" i="8"/>
  <c r="E23" i="8"/>
  <c r="E24" i="8"/>
  <c r="E25" i="8"/>
  <c r="E26" i="8"/>
  <c r="E27" i="8"/>
  <c r="G105" i="3"/>
  <c r="G109" i="3"/>
  <c r="H105" i="3"/>
  <c r="H109" i="3"/>
  <c r="I105" i="3"/>
  <c r="I109" i="3"/>
  <c r="J105" i="3"/>
  <c r="J109" i="3"/>
  <c r="K105" i="3"/>
  <c r="K109" i="3"/>
  <c r="L105" i="3"/>
  <c r="L109" i="3"/>
  <c r="B8" i="16"/>
  <c r="L17" i="16"/>
  <c r="G6" i="16"/>
  <c r="L6" i="16"/>
  <c r="A15" i="16" s="1"/>
  <c r="G67" i="3"/>
  <c r="H67" i="3"/>
  <c r="I67" i="3"/>
  <c r="J67" i="3"/>
  <c r="K67" i="3"/>
  <c r="L67" i="3"/>
  <c r="G66" i="3"/>
  <c r="H66" i="3"/>
  <c r="I66" i="3"/>
  <c r="J66" i="3"/>
  <c r="K66" i="3"/>
  <c r="L66" i="3"/>
  <c r="G120" i="3"/>
  <c r="G106" i="3"/>
  <c r="G107" i="3"/>
  <c r="G108" i="3"/>
  <c r="G110" i="3"/>
  <c r="G68" i="3"/>
  <c r="G9" i="3"/>
  <c r="G78" i="3"/>
  <c r="G13" i="3"/>
  <c r="G84" i="3"/>
  <c r="G87" i="3"/>
  <c r="H120" i="3"/>
  <c r="H106" i="3"/>
  <c r="H107" i="3"/>
  <c r="H108" i="3"/>
  <c r="H110" i="3"/>
  <c r="H68" i="3"/>
  <c r="H9" i="3"/>
  <c r="H78" i="3"/>
  <c r="H13" i="3"/>
  <c r="H84" i="3"/>
  <c r="H87" i="3"/>
  <c r="I120" i="3"/>
  <c r="I106" i="3"/>
  <c r="I107" i="3"/>
  <c r="I108" i="3"/>
  <c r="I110" i="3"/>
  <c r="I68" i="3"/>
  <c r="I9" i="3"/>
  <c r="I78" i="3"/>
  <c r="I13" i="3"/>
  <c r="I84" i="3"/>
  <c r="I87" i="3"/>
  <c r="J120" i="3"/>
  <c r="J106" i="3"/>
  <c r="J107" i="3"/>
  <c r="J108" i="3"/>
  <c r="J110" i="3"/>
  <c r="J68" i="3"/>
  <c r="J9" i="3"/>
  <c r="J78" i="3"/>
  <c r="J13" i="3"/>
  <c r="J84" i="3"/>
  <c r="J87" i="3"/>
  <c r="K120" i="3"/>
  <c r="K106" i="3"/>
  <c r="K107" i="3"/>
  <c r="K108" i="3"/>
  <c r="K110" i="3"/>
  <c r="K68" i="3"/>
  <c r="K9" i="3"/>
  <c r="K78" i="3"/>
  <c r="K13" i="3"/>
  <c r="K84" i="3"/>
  <c r="K87" i="3"/>
  <c r="L120" i="3"/>
  <c r="L106" i="3"/>
  <c r="L107" i="3"/>
  <c r="L108" i="3"/>
  <c r="L110" i="3"/>
  <c r="L68" i="3"/>
  <c r="L9" i="3"/>
  <c r="L78" i="3"/>
  <c r="L13" i="3"/>
  <c r="L84" i="3"/>
  <c r="L87" i="3"/>
  <c r="C241" i="8"/>
  <c r="D241" i="8" s="1"/>
  <c r="C242" i="8"/>
  <c r="D242" i="8" s="1"/>
  <c r="C243" i="8"/>
  <c r="D243" i="8" s="1"/>
  <c r="C244" i="8"/>
  <c r="D244" i="8" s="1"/>
  <c r="C245" i="8"/>
  <c r="D245" i="8" s="1"/>
  <c r="C246" i="8"/>
  <c r="D246" i="8" s="1"/>
  <c r="C247" i="8"/>
  <c r="D247" i="8" s="1"/>
  <c r="C248" i="8"/>
  <c r="D248" i="8" s="1"/>
  <c r="C228" i="8"/>
  <c r="D228" i="8" s="1"/>
  <c r="C229" i="8"/>
  <c r="D229" i="8" s="1"/>
  <c r="C230" i="8"/>
  <c r="D230" i="8" s="1"/>
  <c r="C231" i="8"/>
  <c r="D231" i="8" s="1"/>
  <c r="C232" i="8"/>
  <c r="D232" i="8" s="1"/>
  <c r="C233" i="8"/>
  <c r="D233" i="8" s="1"/>
  <c r="C234" i="8"/>
  <c r="D234" i="8" s="1"/>
  <c r="C235" i="8"/>
  <c r="D235" i="8" s="1"/>
  <c r="C236" i="8"/>
  <c r="D236" i="8" s="1"/>
  <c r="C237" i="8"/>
  <c r="D237" i="8" s="1"/>
  <c r="C212" i="8"/>
  <c r="D212" i="8" s="1"/>
  <c r="C213" i="8"/>
  <c r="D213" i="8" s="1"/>
  <c r="C214" i="8"/>
  <c r="D214" i="8" s="1"/>
  <c r="C215" i="8"/>
  <c r="D215" i="8" s="1"/>
  <c r="C216" i="8"/>
  <c r="D216" i="8" s="1"/>
  <c r="C217" i="8"/>
  <c r="D217" i="8" s="1"/>
  <c r="C218" i="8"/>
  <c r="D218" i="8" s="1"/>
  <c r="C219" i="8"/>
  <c r="D219" i="8" s="1"/>
  <c r="C220" i="8"/>
  <c r="D220" i="8" s="1"/>
  <c r="C221" i="8"/>
  <c r="D221" i="8" s="1"/>
  <c r="C222" i="8"/>
  <c r="D222" i="8" s="1"/>
  <c r="C223" i="8"/>
  <c r="D223" i="8" s="1"/>
  <c r="C224" i="8"/>
  <c r="D224" i="8" s="1"/>
  <c r="C198" i="8"/>
  <c r="D198" i="8" s="1"/>
  <c r="C199" i="8"/>
  <c r="D199" i="8" s="1"/>
  <c r="C200" i="8"/>
  <c r="D200" i="8" s="1"/>
  <c r="C201" i="8"/>
  <c r="D201" i="8" s="1"/>
  <c r="C202" i="8"/>
  <c r="D202" i="8" s="1"/>
  <c r="C203" i="8"/>
  <c r="D203" i="8" s="1"/>
  <c r="C204" i="8"/>
  <c r="D204" i="8" s="1"/>
  <c r="C205" i="8"/>
  <c r="D205" i="8" s="1"/>
  <c r="C206" i="8"/>
  <c r="D206" i="8" s="1"/>
  <c r="C207" i="8"/>
  <c r="D207" i="8" s="1"/>
  <c r="C208" i="8"/>
  <c r="D208" i="8" s="1"/>
  <c r="D191" i="8"/>
  <c r="D192" i="8"/>
  <c r="D193" i="8"/>
  <c r="D194" i="8"/>
  <c r="C175" i="8"/>
  <c r="D175" i="8" s="1"/>
  <c r="C176" i="8"/>
  <c r="D176" i="8" s="1"/>
  <c r="C177" i="8"/>
  <c r="D177" i="8" s="1"/>
  <c r="C178" i="8"/>
  <c r="D178" i="8" s="1"/>
  <c r="C179" i="8"/>
  <c r="D179" i="8" s="1"/>
  <c r="C180" i="8"/>
  <c r="D180" i="8" s="1"/>
  <c r="C181" i="8"/>
  <c r="D181" i="8" s="1"/>
  <c r="C182" i="8"/>
  <c r="D182" i="8" s="1"/>
  <c r="C183" i="8"/>
  <c r="D183" i="8" s="1"/>
  <c r="C184" i="8"/>
  <c r="D184" i="8" s="1"/>
  <c r="C185" i="8"/>
  <c r="D185" i="8" s="1"/>
  <c r="C186" i="8"/>
  <c r="D186" i="8" s="1"/>
  <c r="C166" i="8"/>
  <c r="D166" i="8" s="1"/>
  <c r="C167" i="8"/>
  <c r="D167" i="8" s="1"/>
  <c r="C168" i="8"/>
  <c r="D168" i="8" s="1"/>
  <c r="C169" i="8"/>
  <c r="D169" i="8" s="1"/>
  <c r="C170" i="8"/>
  <c r="D170" i="8" s="1"/>
  <c r="C171" i="8"/>
  <c r="D171" i="8" s="1"/>
  <c r="C157" i="8"/>
  <c r="D157" i="8" s="1"/>
  <c r="C158" i="8"/>
  <c r="D158" i="8" s="1"/>
  <c r="C159" i="8"/>
  <c r="D159" i="8" s="1"/>
  <c r="C160" i="8"/>
  <c r="D160" i="8" s="1"/>
  <c r="C161" i="8"/>
  <c r="D161" i="8" s="1"/>
  <c r="C162" i="8"/>
  <c r="D162"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33" i="8"/>
  <c r="D133" i="8" s="1"/>
  <c r="C148" i="8"/>
  <c r="D148" i="8" s="1"/>
  <c r="C149" i="8"/>
  <c r="D149" i="8" s="1"/>
  <c r="C150" i="8"/>
  <c r="D150" i="8" s="1"/>
  <c r="C151" i="8"/>
  <c r="D151" i="8" s="1"/>
  <c r="C152" i="8"/>
  <c r="D152" i="8" s="1"/>
  <c r="C86" i="8"/>
  <c r="D86" i="8" s="1"/>
  <c r="C87" i="8"/>
  <c r="D87" i="8" s="1"/>
  <c r="C88" i="8"/>
  <c r="D88" i="8" s="1"/>
  <c r="C89" i="8"/>
  <c r="D89" i="8" s="1"/>
  <c r="C90" i="8"/>
  <c r="D90" i="8" s="1"/>
  <c r="C91" i="8"/>
  <c r="D91"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82" i="8"/>
  <c r="D82" i="8" s="1"/>
  <c r="C11" i="8"/>
  <c r="D11" i="8" s="1"/>
  <c r="C12" i="8"/>
  <c r="D12" i="8" s="1"/>
  <c r="C13" i="8"/>
  <c r="D13" i="8" s="1"/>
  <c r="C14" i="8"/>
  <c r="D14" i="8" s="1"/>
  <c r="C15" i="8"/>
  <c r="D15" i="8" s="1"/>
  <c r="C16" i="8"/>
  <c r="D16" i="8" s="1"/>
  <c r="C34" i="8"/>
  <c r="D34" i="8" s="1"/>
  <c r="C35" i="8"/>
  <c r="D35" i="8" s="1"/>
  <c r="C36" i="8"/>
  <c r="D36" i="8" s="1"/>
  <c r="C37" i="8"/>
  <c r="D37" i="8" s="1"/>
  <c r="C38" i="8"/>
  <c r="D38" i="8" s="1"/>
  <c r="C39" i="8"/>
  <c r="D39" i="8" s="1"/>
  <c r="C40" i="8"/>
  <c r="D40" i="8" s="1"/>
  <c r="C41" i="8"/>
  <c r="D41" i="8" s="1"/>
  <c r="C42" i="8"/>
  <c r="D42" i="8" s="1"/>
  <c r="C240" i="8"/>
  <c r="D240" i="8" s="1"/>
  <c r="C227" i="8"/>
  <c r="D227" i="8" s="1"/>
  <c r="C211" i="8"/>
  <c r="D211" i="8" s="1"/>
  <c r="C197" i="8"/>
  <c r="D197" i="8" s="1"/>
  <c r="C190" i="8"/>
  <c r="D190" i="8" s="1"/>
  <c r="C174" i="8"/>
  <c r="D174" i="8" s="1"/>
  <c r="C165" i="8"/>
  <c r="D165" i="8" s="1"/>
  <c r="C156" i="8"/>
  <c r="D156" i="8" s="1"/>
  <c r="C119" i="8"/>
  <c r="D119" i="8" s="1"/>
  <c r="C85" i="8"/>
  <c r="D85" i="8" s="1"/>
  <c r="C45" i="8"/>
  <c r="D45" i="8" s="1"/>
  <c r="C10" i="8"/>
  <c r="D10" i="8" s="1"/>
  <c r="D4" i="8"/>
  <c r="D5" i="8"/>
  <c r="D6" i="8"/>
  <c r="D7" i="8"/>
  <c r="C3" i="8"/>
  <c r="D3" i="8" s="1"/>
  <c r="E248" i="8"/>
  <c r="B248" i="8"/>
  <c r="A248" i="8"/>
  <c r="E247" i="8"/>
  <c r="B247" i="8"/>
  <c r="A247" i="8"/>
  <c r="E246" i="8"/>
  <c r="B246" i="8"/>
  <c r="A246" i="8"/>
  <c r="E245" i="8"/>
  <c r="B245" i="8"/>
  <c r="A245" i="8"/>
  <c r="E244" i="8"/>
  <c r="B244" i="8"/>
  <c r="A244" i="8"/>
  <c r="E243" i="8"/>
  <c r="B243" i="8"/>
  <c r="A243" i="8"/>
  <c r="E242" i="8"/>
  <c r="B242" i="8"/>
  <c r="A242" i="8"/>
  <c r="E241" i="8"/>
  <c r="B241" i="8"/>
  <c r="A241" i="8"/>
  <c r="E240" i="8"/>
  <c r="B240" i="8"/>
  <c r="A240" i="8"/>
  <c r="AB19" i="3" s="1"/>
  <c r="E237" i="8"/>
  <c r="B237" i="8"/>
  <c r="A237" i="8"/>
  <c r="E236" i="8"/>
  <c r="B236" i="8"/>
  <c r="A236" i="8"/>
  <c r="E235" i="8"/>
  <c r="B235" i="8"/>
  <c r="A235" i="8"/>
  <c r="E234" i="8"/>
  <c r="B234" i="8"/>
  <c r="A234" i="8"/>
  <c r="E233" i="8"/>
  <c r="B233" i="8"/>
  <c r="A233" i="8"/>
  <c r="E232" i="8"/>
  <c r="B232" i="8"/>
  <c r="A232" i="8"/>
  <c r="E231" i="8"/>
  <c r="B231" i="8"/>
  <c r="A231" i="8"/>
  <c r="E230" i="8"/>
  <c r="B230" i="8"/>
  <c r="A230" i="8"/>
  <c r="E229" i="8"/>
  <c r="B229" i="8"/>
  <c r="A229" i="8"/>
  <c r="E228" i="8"/>
  <c r="B228" i="8"/>
  <c r="A228" i="8"/>
  <c r="E227" i="8"/>
  <c r="B227" i="8"/>
  <c r="A227" i="8"/>
  <c r="E224" i="8"/>
  <c r="B224" i="8"/>
  <c r="A224" i="8"/>
  <c r="E223" i="8"/>
  <c r="B223" i="8"/>
  <c r="A223" i="8"/>
  <c r="E222" i="8"/>
  <c r="B222" i="8"/>
  <c r="A222" i="8"/>
  <c r="E221" i="8"/>
  <c r="B221" i="8"/>
  <c r="A221" i="8"/>
  <c r="E220" i="8"/>
  <c r="B220" i="8"/>
  <c r="A220" i="8"/>
  <c r="E219" i="8"/>
  <c r="B219" i="8"/>
  <c r="A219" i="8"/>
  <c r="E218" i="8"/>
  <c r="B218" i="8"/>
  <c r="A218" i="8"/>
  <c r="E217" i="8"/>
  <c r="B217" i="8"/>
  <c r="A217" i="8"/>
  <c r="E216" i="8"/>
  <c r="B216" i="8"/>
  <c r="A216" i="8"/>
  <c r="E215" i="8"/>
  <c r="B215" i="8"/>
  <c r="A215" i="8"/>
  <c r="E214" i="8"/>
  <c r="B214" i="8"/>
  <c r="A214" i="8"/>
  <c r="E213" i="8"/>
  <c r="B213" i="8"/>
  <c r="A213" i="8"/>
  <c r="E212" i="8"/>
  <c r="B212" i="8"/>
  <c r="A212" i="8"/>
  <c r="E211" i="8"/>
  <c r="B211" i="8"/>
  <c r="A211" i="8"/>
  <c r="E208" i="8"/>
  <c r="B208" i="8"/>
  <c r="A208" i="8"/>
  <c r="E207" i="8"/>
  <c r="B207" i="8"/>
  <c r="A207" i="8"/>
  <c r="E206" i="8"/>
  <c r="B206" i="8"/>
  <c r="A206" i="8"/>
  <c r="E205" i="8"/>
  <c r="B205" i="8"/>
  <c r="A205" i="8"/>
  <c r="E204" i="8"/>
  <c r="B204" i="8"/>
  <c r="A204" i="8"/>
  <c r="E203" i="8"/>
  <c r="B203" i="8"/>
  <c r="A203" i="8"/>
  <c r="E202" i="8"/>
  <c r="B202" i="8"/>
  <c r="A202" i="8"/>
  <c r="E201" i="8"/>
  <c r="B201" i="8"/>
  <c r="A201" i="8"/>
  <c r="E200" i="8"/>
  <c r="B200" i="8"/>
  <c r="A200" i="8"/>
  <c r="E199" i="8"/>
  <c r="B199" i="8"/>
  <c r="A199" i="8"/>
  <c r="E198" i="8"/>
  <c r="B198" i="8"/>
  <c r="A198" i="8"/>
  <c r="E197" i="8"/>
  <c r="B197" i="8"/>
  <c r="A197" i="8"/>
  <c r="Y1" i="3"/>
  <c r="Z1" i="3"/>
  <c r="AA1" i="3"/>
  <c r="AB1" i="3"/>
  <c r="AC1" i="3"/>
  <c r="AD1" i="3"/>
  <c r="AE1" i="3"/>
  <c r="R1" i="3"/>
  <c r="L18" i="16"/>
  <c r="K18" i="16"/>
  <c r="J18" i="16"/>
  <c r="I18" i="16"/>
  <c r="H18" i="16"/>
  <c r="H17" i="16"/>
  <c r="G7" i="16"/>
  <c r="L5" i="16"/>
  <c r="G5" i="16"/>
  <c r="L4" i="3"/>
  <c r="L5" i="3"/>
  <c r="L6" i="3"/>
  <c r="L7" i="3"/>
  <c r="L8" i="3"/>
  <c r="L11" i="3"/>
  <c r="L12" i="3"/>
  <c r="L15" i="3"/>
  <c r="L16" i="3"/>
  <c r="L17" i="3"/>
  <c r="L18" i="3"/>
  <c r="L19" i="3"/>
  <c r="L20" i="3"/>
  <c r="L21" i="3"/>
  <c r="L22" i="3"/>
  <c r="L23" i="3"/>
  <c r="L24" i="3"/>
  <c r="L25" i="3"/>
  <c r="L26" i="3"/>
  <c r="L27" i="3"/>
  <c r="L28" i="3"/>
  <c r="L29" i="3"/>
  <c r="L30" i="3"/>
  <c r="L31" i="3"/>
  <c r="L32" i="3"/>
  <c r="L33" i="3"/>
  <c r="L34" i="3"/>
  <c r="L35" i="3"/>
  <c r="L36" i="3"/>
  <c r="L37" i="3"/>
  <c r="L39" i="3"/>
  <c r="L40" i="3"/>
  <c r="L41" i="3"/>
  <c r="L42" i="3"/>
  <c r="L43" i="3"/>
  <c r="L44" i="3"/>
  <c r="L45" i="3"/>
  <c r="L46" i="3"/>
  <c r="L47" i="3"/>
  <c r="L48" i="3"/>
  <c r="L49" i="3"/>
  <c r="L50" i="3"/>
  <c r="L51" i="3"/>
  <c r="L52" i="3"/>
  <c r="L53" i="3"/>
  <c r="L54" i="3"/>
  <c r="L55" i="3"/>
  <c r="L56" i="3"/>
  <c r="L57" i="3"/>
  <c r="L58" i="3"/>
  <c r="L59" i="3"/>
  <c r="L60" i="3"/>
  <c r="L61" i="3"/>
  <c r="L62" i="3"/>
  <c r="L63" i="3"/>
  <c r="L64" i="3"/>
  <c r="L65" i="3"/>
  <c r="L70" i="3"/>
  <c r="L72" i="3"/>
  <c r="L86" i="3"/>
  <c r="L89" i="3"/>
  <c r="L91" i="3"/>
  <c r="L93" i="3"/>
  <c r="L95" i="3"/>
  <c r="L97" i="3"/>
  <c r="L100" i="3"/>
  <c r="L102" i="3"/>
  <c r="L104" i="3"/>
  <c r="L111" i="3"/>
  <c r="L112" i="3"/>
  <c r="L113" i="3"/>
  <c r="L114" i="3"/>
  <c r="L115" i="3"/>
  <c r="L116" i="3"/>
  <c r="L117" i="3"/>
  <c r="L118" i="3"/>
  <c r="L119" i="3"/>
  <c r="L121" i="3"/>
  <c r="L122" i="3"/>
  <c r="L123" i="3"/>
  <c r="L124" i="3"/>
  <c r="L125" i="3"/>
  <c r="L126" i="3"/>
  <c r="L127" i="3"/>
  <c r="L128" i="3"/>
  <c r="L129" i="3"/>
  <c r="L3" i="3"/>
  <c r="K4" i="3"/>
  <c r="K5" i="3"/>
  <c r="K6" i="3"/>
  <c r="K7" i="3"/>
  <c r="K8" i="3"/>
  <c r="K11" i="3"/>
  <c r="K12" i="3"/>
  <c r="K15" i="3"/>
  <c r="K16" i="3"/>
  <c r="K17" i="3"/>
  <c r="K18" i="3"/>
  <c r="K19" i="3"/>
  <c r="K20" i="3"/>
  <c r="K21" i="3"/>
  <c r="K22" i="3"/>
  <c r="K23" i="3"/>
  <c r="K24" i="3"/>
  <c r="K25" i="3"/>
  <c r="K26" i="3"/>
  <c r="K27" i="3"/>
  <c r="K28" i="3"/>
  <c r="K29" i="3"/>
  <c r="K30" i="3"/>
  <c r="K31" i="3"/>
  <c r="K32" i="3"/>
  <c r="K33" i="3"/>
  <c r="K34" i="3"/>
  <c r="K35" i="3"/>
  <c r="K36" i="3"/>
  <c r="K37" i="3"/>
  <c r="K39" i="3"/>
  <c r="K40" i="3"/>
  <c r="K41" i="3"/>
  <c r="K42" i="3"/>
  <c r="K43" i="3"/>
  <c r="K44" i="3"/>
  <c r="K45" i="3"/>
  <c r="K46" i="3"/>
  <c r="K47" i="3"/>
  <c r="K48" i="3"/>
  <c r="K49" i="3"/>
  <c r="K50" i="3"/>
  <c r="K51" i="3"/>
  <c r="K52" i="3"/>
  <c r="K53" i="3"/>
  <c r="K54" i="3"/>
  <c r="K55" i="3"/>
  <c r="K56" i="3"/>
  <c r="K57" i="3"/>
  <c r="K58" i="3"/>
  <c r="K59" i="3"/>
  <c r="K60" i="3"/>
  <c r="K61" i="3"/>
  <c r="K62" i="3"/>
  <c r="K63" i="3"/>
  <c r="K64" i="3"/>
  <c r="K65" i="3"/>
  <c r="K70" i="3"/>
  <c r="K72" i="3"/>
  <c r="K86" i="3"/>
  <c r="K89" i="3"/>
  <c r="K91" i="3"/>
  <c r="K93" i="3"/>
  <c r="K95" i="3"/>
  <c r="K97" i="3"/>
  <c r="K100" i="3"/>
  <c r="K102" i="3"/>
  <c r="K104" i="3"/>
  <c r="K111" i="3"/>
  <c r="K112" i="3"/>
  <c r="K113" i="3"/>
  <c r="K114" i="3"/>
  <c r="K115" i="3"/>
  <c r="K116" i="3"/>
  <c r="K117" i="3"/>
  <c r="K118" i="3"/>
  <c r="K119" i="3"/>
  <c r="K121" i="3"/>
  <c r="K122" i="3"/>
  <c r="K123" i="3"/>
  <c r="K124" i="3"/>
  <c r="K125" i="3"/>
  <c r="K126" i="3"/>
  <c r="K127" i="3"/>
  <c r="K128" i="3"/>
  <c r="K129" i="3"/>
  <c r="K3" i="3"/>
  <c r="J4" i="3"/>
  <c r="J5" i="3"/>
  <c r="J6" i="3"/>
  <c r="J7" i="3"/>
  <c r="J8" i="3"/>
  <c r="J11" i="3"/>
  <c r="J12" i="3"/>
  <c r="J15" i="3"/>
  <c r="J16" i="3"/>
  <c r="J17" i="3"/>
  <c r="J18" i="3"/>
  <c r="J19" i="3"/>
  <c r="J20" i="3"/>
  <c r="J21" i="3"/>
  <c r="J22" i="3"/>
  <c r="J23" i="3"/>
  <c r="J24" i="3"/>
  <c r="J25" i="3"/>
  <c r="J26" i="3"/>
  <c r="J27" i="3"/>
  <c r="J28" i="3"/>
  <c r="J29" i="3"/>
  <c r="J30" i="3"/>
  <c r="J31" i="3"/>
  <c r="J32" i="3"/>
  <c r="J33" i="3"/>
  <c r="J34" i="3"/>
  <c r="J35" i="3"/>
  <c r="J36" i="3"/>
  <c r="J37" i="3"/>
  <c r="J39" i="3"/>
  <c r="J40" i="3"/>
  <c r="J41" i="3"/>
  <c r="J42" i="3"/>
  <c r="J43" i="3"/>
  <c r="J44" i="3"/>
  <c r="J45" i="3"/>
  <c r="J46" i="3"/>
  <c r="J47" i="3"/>
  <c r="J48" i="3"/>
  <c r="J49" i="3"/>
  <c r="J50" i="3"/>
  <c r="J51" i="3"/>
  <c r="J52" i="3"/>
  <c r="J53" i="3"/>
  <c r="J54" i="3"/>
  <c r="J55" i="3"/>
  <c r="J56" i="3"/>
  <c r="J57" i="3"/>
  <c r="J58" i="3"/>
  <c r="J59" i="3"/>
  <c r="J60" i="3"/>
  <c r="J61" i="3"/>
  <c r="J62" i="3"/>
  <c r="J63" i="3"/>
  <c r="J64" i="3"/>
  <c r="J65" i="3"/>
  <c r="J70" i="3"/>
  <c r="J72" i="3"/>
  <c r="J86" i="3"/>
  <c r="J89" i="3"/>
  <c r="J91" i="3"/>
  <c r="J93" i="3"/>
  <c r="J95" i="3"/>
  <c r="J97" i="3"/>
  <c r="J100" i="3"/>
  <c r="J102" i="3"/>
  <c r="J104" i="3"/>
  <c r="J111" i="3"/>
  <c r="J112" i="3"/>
  <c r="J113" i="3"/>
  <c r="J114" i="3"/>
  <c r="J115" i="3"/>
  <c r="J116" i="3"/>
  <c r="J117" i="3"/>
  <c r="J118" i="3"/>
  <c r="J119" i="3"/>
  <c r="J121" i="3"/>
  <c r="J122" i="3"/>
  <c r="J123" i="3"/>
  <c r="J124" i="3"/>
  <c r="J125" i="3"/>
  <c r="J126" i="3"/>
  <c r="J127" i="3"/>
  <c r="J128" i="3"/>
  <c r="J129" i="3"/>
  <c r="J3" i="3"/>
  <c r="I4" i="3"/>
  <c r="I5" i="3"/>
  <c r="I6" i="3"/>
  <c r="I7" i="3"/>
  <c r="I8" i="3"/>
  <c r="I11" i="3"/>
  <c r="I12" i="3"/>
  <c r="I15" i="3"/>
  <c r="I16" i="3"/>
  <c r="I17" i="3"/>
  <c r="I18" i="3"/>
  <c r="I19" i="3"/>
  <c r="I20" i="3"/>
  <c r="I21" i="3"/>
  <c r="I22" i="3"/>
  <c r="I23" i="3"/>
  <c r="I24" i="3"/>
  <c r="I25" i="3"/>
  <c r="I26" i="3"/>
  <c r="I27" i="3"/>
  <c r="I28" i="3"/>
  <c r="I29" i="3"/>
  <c r="I30" i="3"/>
  <c r="I31" i="3"/>
  <c r="I32" i="3"/>
  <c r="I33" i="3"/>
  <c r="I34" i="3"/>
  <c r="I35" i="3"/>
  <c r="I36" i="3"/>
  <c r="I37" i="3"/>
  <c r="I39" i="3"/>
  <c r="I40" i="3"/>
  <c r="I41" i="3"/>
  <c r="I42" i="3"/>
  <c r="I43" i="3"/>
  <c r="I44" i="3"/>
  <c r="I45" i="3"/>
  <c r="I46" i="3"/>
  <c r="I47" i="3"/>
  <c r="I48" i="3"/>
  <c r="I49" i="3"/>
  <c r="I50" i="3"/>
  <c r="I51" i="3"/>
  <c r="I52" i="3"/>
  <c r="I53" i="3"/>
  <c r="I54" i="3"/>
  <c r="I55" i="3"/>
  <c r="I56" i="3"/>
  <c r="I57" i="3"/>
  <c r="I58" i="3"/>
  <c r="I59" i="3"/>
  <c r="I60" i="3"/>
  <c r="I61" i="3"/>
  <c r="I62" i="3"/>
  <c r="I63" i="3"/>
  <c r="I64" i="3"/>
  <c r="I65" i="3"/>
  <c r="I70" i="3"/>
  <c r="I72" i="3"/>
  <c r="I86" i="3"/>
  <c r="I89" i="3"/>
  <c r="I91" i="3"/>
  <c r="I93" i="3"/>
  <c r="I95" i="3"/>
  <c r="I97" i="3"/>
  <c r="I100" i="3"/>
  <c r="I102" i="3"/>
  <c r="I104" i="3"/>
  <c r="I111" i="3"/>
  <c r="I112" i="3"/>
  <c r="I113" i="3"/>
  <c r="I114" i="3"/>
  <c r="I115" i="3"/>
  <c r="I116" i="3"/>
  <c r="I117" i="3"/>
  <c r="I118" i="3"/>
  <c r="I119" i="3"/>
  <c r="I121" i="3"/>
  <c r="I122" i="3"/>
  <c r="I123" i="3"/>
  <c r="I124" i="3"/>
  <c r="I125" i="3"/>
  <c r="I126" i="3"/>
  <c r="I127" i="3"/>
  <c r="I128" i="3"/>
  <c r="I129" i="3"/>
  <c r="I3" i="3"/>
  <c r="H3" i="3"/>
  <c r="H4" i="3"/>
  <c r="H5" i="3"/>
  <c r="H6" i="3"/>
  <c r="H7" i="3"/>
  <c r="H8" i="3"/>
  <c r="H11" i="3"/>
  <c r="H12" i="3"/>
  <c r="H15" i="3"/>
  <c r="H16" i="3"/>
  <c r="H17" i="3"/>
  <c r="H18" i="3"/>
  <c r="H19" i="3"/>
  <c r="H20" i="3"/>
  <c r="H21" i="3"/>
  <c r="H22" i="3"/>
  <c r="H23" i="3"/>
  <c r="H24" i="3"/>
  <c r="H25" i="3"/>
  <c r="H26" i="3"/>
  <c r="H27" i="3"/>
  <c r="H28" i="3"/>
  <c r="H29" i="3"/>
  <c r="H30" i="3"/>
  <c r="H31" i="3"/>
  <c r="H32" i="3"/>
  <c r="H33" i="3"/>
  <c r="H34" i="3"/>
  <c r="H35" i="3"/>
  <c r="H36" i="3"/>
  <c r="H37" i="3"/>
  <c r="H39" i="3"/>
  <c r="H40" i="3"/>
  <c r="H41" i="3"/>
  <c r="H42" i="3"/>
  <c r="H43" i="3"/>
  <c r="H44" i="3"/>
  <c r="H45" i="3"/>
  <c r="H46" i="3"/>
  <c r="H47" i="3"/>
  <c r="H48" i="3"/>
  <c r="H49" i="3"/>
  <c r="H50" i="3"/>
  <c r="H51" i="3"/>
  <c r="H52" i="3"/>
  <c r="H53" i="3"/>
  <c r="H54" i="3"/>
  <c r="H55" i="3"/>
  <c r="H56" i="3"/>
  <c r="H57" i="3"/>
  <c r="H58" i="3"/>
  <c r="H59" i="3"/>
  <c r="H60" i="3"/>
  <c r="H61" i="3"/>
  <c r="H62" i="3"/>
  <c r="H63" i="3"/>
  <c r="H64" i="3"/>
  <c r="H65" i="3"/>
  <c r="H70" i="3"/>
  <c r="H72" i="3"/>
  <c r="H86" i="3"/>
  <c r="H89" i="3"/>
  <c r="H91" i="3"/>
  <c r="H93" i="3"/>
  <c r="H95" i="3"/>
  <c r="H97" i="3"/>
  <c r="H100" i="3"/>
  <c r="H102" i="3"/>
  <c r="H104" i="3"/>
  <c r="H111" i="3"/>
  <c r="H112" i="3"/>
  <c r="H113" i="3"/>
  <c r="H114" i="3"/>
  <c r="H115" i="3"/>
  <c r="H116" i="3"/>
  <c r="H117" i="3"/>
  <c r="H118" i="3"/>
  <c r="H119" i="3"/>
  <c r="H121" i="3"/>
  <c r="H122" i="3"/>
  <c r="H123" i="3"/>
  <c r="H124" i="3"/>
  <c r="H125" i="3"/>
  <c r="H126" i="3"/>
  <c r="H127" i="3"/>
  <c r="H128" i="3"/>
  <c r="H129" i="3"/>
  <c r="G4" i="3"/>
  <c r="G5" i="3"/>
  <c r="G6" i="3"/>
  <c r="G7" i="3"/>
  <c r="G8" i="3"/>
  <c r="G11" i="3"/>
  <c r="G12" i="3"/>
  <c r="G15" i="3"/>
  <c r="G16" i="3"/>
  <c r="G17" i="3"/>
  <c r="G18" i="3"/>
  <c r="G19" i="3"/>
  <c r="G20" i="3"/>
  <c r="G21" i="3"/>
  <c r="G22" i="3"/>
  <c r="G23" i="3"/>
  <c r="G24" i="3"/>
  <c r="G25" i="3"/>
  <c r="G26" i="3"/>
  <c r="G27" i="3"/>
  <c r="G28" i="3"/>
  <c r="G29" i="3"/>
  <c r="G30" i="3"/>
  <c r="G31" i="3"/>
  <c r="G32" i="3"/>
  <c r="G33" i="3"/>
  <c r="G34" i="3"/>
  <c r="G35" i="3"/>
  <c r="G36" i="3"/>
  <c r="G37" i="3"/>
  <c r="G39" i="3"/>
  <c r="G40" i="3"/>
  <c r="G41" i="3"/>
  <c r="G42" i="3"/>
  <c r="G43" i="3"/>
  <c r="G44" i="3"/>
  <c r="G45" i="3"/>
  <c r="G46" i="3"/>
  <c r="G47" i="3"/>
  <c r="G48" i="3"/>
  <c r="G49" i="3"/>
  <c r="G50" i="3"/>
  <c r="G51" i="3"/>
  <c r="G52" i="3"/>
  <c r="G53" i="3"/>
  <c r="G54" i="3"/>
  <c r="G55" i="3"/>
  <c r="G56" i="3"/>
  <c r="G57" i="3"/>
  <c r="G58" i="3"/>
  <c r="G59" i="3"/>
  <c r="G60" i="3"/>
  <c r="G61" i="3"/>
  <c r="G62" i="3"/>
  <c r="G63" i="3"/>
  <c r="G64" i="3"/>
  <c r="G65" i="3"/>
  <c r="G70" i="3"/>
  <c r="G72" i="3"/>
  <c r="G86" i="3"/>
  <c r="G89" i="3"/>
  <c r="G91" i="3"/>
  <c r="G93" i="3"/>
  <c r="G95" i="3"/>
  <c r="G97" i="3"/>
  <c r="G100" i="3"/>
  <c r="G102" i="3"/>
  <c r="G104" i="3"/>
  <c r="G111" i="3"/>
  <c r="G112" i="3"/>
  <c r="G113" i="3"/>
  <c r="G114" i="3"/>
  <c r="G115" i="3"/>
  <c r="G116" i="3"/>
  <c r="G117" i="3"/>
  <c r="G118" i="3"/>
  <c r="G119" i="3"/>
  <c r="G121" i="3"/>
  <c r="G122" i="3"/>
  <c r="G123" i="3"/>
  <c r="G124" i="3"/>
  <c r="G125" i="3"/>
  <c r="G126" i="3"/>
  <c r="G127" i="3"/>
  <c r="G128" i="3"/>
  <c r="G129" i="3"/>
  <c r="G3" i="3"/>
  <c r="A25" i="17" l="1"/>
  <c r="A26" i="17"/>
  <c r="A27" i="17"/>
  <c r="K27" i="17" s="1"/>
  <c r="A28" i="17"/>
  <c r="A29" i="17"/>
  <c r="A30" i="17"/>
  <c r="B30" i="17" s="1"/>
  <c r="A31" i="17"/>
  <c r="I31" i="17" s="1"/>
  <c r="A33" i="17"/>
  <c r="A34" i="17"/>
  <c r="A38" i="17"/>
  <c r="K38" i="17" s="1"/>
  <c r="A32" i="17"/>
  <c r="A35" i="17"/>
  <c r="K35" i="17" s="1"/>
  <c r="A36" i="17"/>
  <c r="A37" i="17"/>
  <c r="A40" i="17"/>
  <c r="A18" i="17"/>
  <c r="F18" i="17" s="1"/>
  <c r="A20" i="17"/>
  <c r="A14" i="17"/>
  <c r="A15" i="17"/>
  <c r="A17" i="17"/>
  <c r="K17" i="17" s="1"/>
  <c r="A21" i="17"/>
  <c r="A12" i="17"/>
  <c r="F27" i="17"/>
  <c r="Y71" i="3"/>
  <c r="AB38" i="3"/>
  <c r="Y92" i="3"/>
  <c r="Y73" i="3"/>
  <c r="Z90" i="3"/>
  <c r="Z92" i="3"/>
  <c r="AA75" i="3"/>
  <c r="AB75" i="3"/>
  <c r="AB76" i="3"/>
  <c r="AA73" i="3"/>
  <c r="AB80" i="3"/>
  <c r="Z76" i="3"/>
  <c r="Z73" i="3"/>
  <c r="Y90" i="3"/>
  <c r="AB92" i="3"/>
  <c r="AA92" i="3"/>
  <c r="AB99" i="3"/>
  <c r="Y82" i="3"/>
  <c r="Y75" i="3"/>
  <c r="AB77" i="3"/>
  <c r="AB74" i="3"/>
  <c r="Z75" i="3"/>
  <c r="AB96" i="3"/>
  <c r="Y80" i="3"/>
  <c r="AA77" i="3"/>
  <c r="Z96" i="3"/>
  <c r="AA82" i="3"/>
  <c r="Y38" i="3"/>
  <c r="Z77" i="3"/>
  <c r="AA80" i="3"/>
  <c r="Y76" i="3"/>
  <c r="Y77" i="3"/>
  <c r="AB81" i="3"/>
  <c r="AA38" i="3"/>
  <c r="Y74" i="3"/>
  <c r="AA81" i="3"/>
  <c r="AA76" i="3"/>
  <c r="Y99" i="3"/>
  <c r="Z81" i="3"/>
  <c r="AA74" i="3"/>
  <c r="Y96" i="3"/>
  <c r="Y81" i="3"/>
  <c r="AB83" i="3"/>
  <c r="AA99" i="3"/>
  <c r="AB71" i="3"/>
  <c r="AA83" i="3"/>
  <c r="AA96" i="3"/>
  <c r="AA71" i="3"/>
  <c r="Z83" i="3"/>
  <c r="Z74" i="3"/>
  <c r="Z99" i="3"/>
  <c r="Z82" i="3"/>
  <c r="Z71" i="3"/>
  <c r="Y83" i="3"/>
  <c r="AB90" i="3"/>
  <c r="Z80" i="3"/>
  <c r="AB73" i="3"/>
  <c r="AA90" i="3"/>
  <c r="AB82" i="3"/>
  <c r="Z38" i="3"/>
  <c r="AA109" i="3"/>
  <c r="Z109" i="3"/>
  <c r="Z105" i="3"/>
  <c r="Y105" i="3"/>
  <c r="AA105" i="3"/>
  <c r="Y109" i="3"/>
  <c r="AB109" i="3"/>
  <c r="AB105" i="3"/>
  <c r="AB120" i="3"/>
  <c r="AB113" i="3"/>
  <c r="AB55" i="3"/>
  <c r="AB70" i="3"/>
  <c r="AB51" i="3"/>
  <c r="AB18" i="3"/>
  <c r="AB129" i="3"/>
  <c r="AB33" i="3"/>
  <c r="AB17" i="3"/>
  <c r="AB128" i="3"/>
  <c r="AB111" i="3"/>
  <c r="AB65" i="3"/>
  <c r="AB49" i="3"/>
  <c r="AB32" i="3"/>
  <c r="AB34" i="3"/>
  <c r="AB67" i="3"/>
  <c r="AB112" i="3"/>
  <c r="AB50" i="3"/>
  <c r="AB66" i="3"/>
  <c r="AB127" i="3"/>
  <c r="AB104" i="3"/>
  <c r="AB64" i="3"/>
  <c r="AB48" i="3"/>
  <c r="AB31" i="3"/>
  <c r="AB16" i="3"/>
  <c r="AB102" i="3"/>
  <c r="AB30" i="3"/>
  <c r="AB15" i="3"/>
  <c r="AB125" i="3"/>
  <c r="AB100" i="3"/>
  <c r="AB62" i="3"/>
  <c r="AB46" i="3"/>
  <c r="AB29" i="3"/>
  <c r="AB12" i="3"/>
  <c r="AB87" i="3"/>
  <c r="AB124" i="3"/>
  <c r="AB97" i="3"/>
  <c r="AB61" i="3"/>
  <c r="AB45" i="3"/>
  <c r="AB28" i="3"/>
  <c r="AB11" i="3"/>
  <c r="AB126" i="3"/>
  <c r="AB84" i="3"/>
  <c r="AB123" i="3"/>
  <c r="AB95" i="3"/>
  <c r="AB60" i="3"/>
  <c r="AB44" i="3"/>
  <c r="AB27" i="3"/>
  <c r="AB8" i="3"/>
  <c r="AB13" i="3"/>
  <c r="AB122" i="3"/>
  <c r="AB93" i="3"/>
  <c r="AB59" i="3"/>
  <c r="AB43" i="3"/>
  <c r="AB26" i="3"/>
  <c r="AB7" i="3"/>
  <c r="AB47" i="3"/>
  <c r="AB78" i="3"/>
  <c r="AB121" i="3"/>
  <c r="AB91" i="3"/>
  <c r="AB58" i="3"/>
  <c r="AB42" i="3"/>
  <c r="AB25" i="3"/>
  <c r="AB6" i="3"/>
  <c r="AB9" i="3"/>
  <c r="AB119" i="3"/>
  <c r="AB89" i="3"/>
  <c r="AB57" i="3"/>
  <c r="AB41" i="3"/>
  <c r="AB24" i="3"/>
  <c r="AB63" i="3"/>
  <c r="AB68" i="3"/>
  <c r="AB118" i="3"/>
  <c r="AB56" i="3"/>
  <c r="AB40" i="3"/>
  <c r="AB23" i="3"/>
  <c r="AB5" i="3"/>
  <c r="AB117" i="3"/>
  <c r="AB86" i="3"/>
  <c r="AB22" i="3"/>
  <c r="AB4" i="3"/>
  <c r="AB108" i="3"/>
  <c r="AB54" i="3"/>
  <c r="AB37" i="3"/>
  <c r="AB21" i="3"/>
  <c r="AB3" i="3"/>
  <c r="AB110" i="3"/>
  <c r="AB39" i="3"/>
  <c r="AB116" i="3"/>
  <c r="AB107" i="3"/>
  <c r="AB115" i="3"/>
  <c r="AB53" i="3"/>
  <c r="AB36" i="3"/>
  <c r="AB20" i="3"/>
  <c r="AB106" i="3"/>
  <c r="AB114" i="3"/>
  <c r="AB72" i="3"/>
  <c r="AB52" i="3"/>
  <c r="AB35" i="3"/>
  <c r="AA122" i="3"/>
  <c r="AA100" i="3"/>
  <c r="AA6" i="3"/>
  <c r="AA9" i="3"/>
  <c r="AA119" i="3"/>
  <c r="AA89" i="3"/>
  <c r="AA57" i="3"/>
  <c r="AA41" i="3"/>
  <c r="AA24" i="3"/>
  <c r="AA66" i="3"/>
  <c r="AA67" i="3"/>
  <c r="AA68" i="3"/>
  <c r="AA118" i="3"/>
  <c r="AA56" i="3"/>
  <c r="AA40" i="3"/>
  <c r="AA23" i="3"/>
  <c r="AA5" i="3"/>
  <c r="AA110" i="3"/>
  <c r="AA117" i="3"/>
  <c r="AA86" i="3"/>
  <c r="AA55" i="3"/>
  <c r="AA39" i="3"/>
  <c r="AA22" i="3"/>
  <c r="AA4" i="3"/>
  <c r="AA116" i="3"/>
  <c r="AA54" i="3"/>
  <c r="AA37" i="3"/>
  <c r="AA21" i="3"/>
  <c r="AA3" i="3"/>
  <c r="AA107" i="3"/>
  <c r="AA115" i="3"/>
  <c r="AA53" i="3"/>
  <c r="AA36" i="3"/>
  <c r="AA20" i="3"/>
  <c r="AA106" i="3"/>
  <c r="AA114" i="3"/>
  <c r="AA72" i="3"/>
  <c r="AA52" i="3"/>
  <c r="AA35" i="3"/>
  <c r="AA19" i="3"/>
  <c r="AA120" i="3"/>
  <c r="AA113" i="3"/>
  <c r="AA70" i="3"/>
  <c r="AA51" i="3"/>
  <c r="AA34" i="3"/>
  <c r="AA18" i="3"/>
  <c r="AA129" i="3"/>
  <c r="AA112" i="3"/>
  <c r="AA50" i="3"/>
  <c r="AA33" i="3"/>
  <c r="AA17" i="3"/>
  <c r="AA128" i="3"/>
  <c r="AA111" i="3"/>
  <c r="AA65" i="3"/>
  <c r="AA49" i="3"/>
  <c r="AA32" i="3"/>
  <c r="AA108" i="3"/>
  <c r="AA127" i="3"/>
  <c r="AA104" i="3"/>
  <c r="AA64" i="3"/>
  <c r="AA48" i="3"/>
  <c r="AA31" i="3"/>
  <c r="AA16" i="3"/>
  <c r="AA126" i="3"/>
  <c r="AA102" i="3"/>
  <c r="AA63" i="3"/>
  <c r="AA47" i="3"/>
  <c r="AA30" i="3"/>
  <c r="AA15" i="3"/>
  <c r="AA125" i="3"/>
  <c r="AA46" i="3"/>
  <c r="AA29" i="3"/>
  <c r="AA12" i="3"/>
  <c r="AA62" i="3"/>
  <c r="AA87" i="3"/>
  <c r="AA124" i="3"/>
  <c r="AA97" i="3"/>
  <c r="AA61" i="3"/>
  <c r="AA45" i="3"/>
  <c r="AA28" i="3"/>
  <c r="AA11" i="3"/>
  <c r="AA84" i="3"/>
  <c r="AA123" i="3"/>
  <c r="AA95" i="3"/>
  <c r="AA60" i="3"/>
  <c r="AA44" i="3"/>
  <c r="AA27" i="3"/>
  <c r="AA8" i="3"/>
  <c r="AA13" i="3"/>
  <c r="AA93" i="3"/>
  <c r="AA59" i="3"/>
  <c r="AA43" i="3"/>
  <c r="AA26" i="3"/>
  <c r="AA7" i="3"/>
  <c r="AA78" i="3"/>
  <c r="AA121" i="3"/>
  <c r="AA91" i="3"/>
  <c r="AA58" i="3"/>
  <c r="AA42" i="3"/>
  <c r="AA25" i="3"/>
  <c r="Z66" i="3"/>
  <c r="Z70" i="3"/>
  <c r="Z126" i="3"/>
  <c r="Z102" i="3"/>
  <c r="Z63" i="3"/>
  <c r="Z47" i="3"/>
  <c r="Z30" i="3"/>
  <c r="Z15" i="3"/>
  <c r="Z67" i="3"/>
  <c r="Z125" i="3"/>
  <c r="Z100" i="3"/>
  <c r="Z62" i="3"/>
  <c r="Z46" i="3"/>
  <c r="Z29" i="3"/>
  <c r="Z12" i="3"/>
  <c r="Z87" i="3"/>
  <c r="Z124" i="3"/>
  <c r="Z97" i="3"/>
  <c r="Z61" i="3"/>
  <c r="Z45" i="3"/>
  <c r="Z28" i="3"/>
  <c r="Z11" i="3"/>
  <c r="Z84" i="3"/>
  <c r="Z123" i="3"/>
  <c r="Z95" i="3"/>
  <c r="Z60" i="3"/>
  <c r="Z44" i="3"/>
  <c r="Z27" i="3"/>
  <c r="Z8" i="3"/>
  <c r="Z122" i="3"/>
  <c r="Z93" i="3"/>
  <c r="Z59" i="3"/>
  <c r="Z43" i="3"/>
  <c r="Z26" i="3"/>
  <c r="Z7" i="3"/>
  <c r="Z78" i="3"/>
  <c r="Z121" i="3"/>
  <c r="Z91" i="3"/>
  <c r="Z58" i="3"/>
  <c r="Z42" i="3"/>
  <c r="Z25" i="3"/>
  <c r="Z6" i="3"/>
  <c r="Z9" i="3"/>
  <c r="Z119" i="3"/>
  <c r="Z89" i="3"/>
  <c r="Z57" i="3"/>
  <c r="Z41" i="3"/>
  <c r="Z24" i="3"/>
  <c r="Z68" i="3"/>
  <c r="Z118" i="3"/>
  <c r="Z56" i="3"/>
  <c r="Z40" i="3"/>
  <c r="Z23" i="3"/>
  <c r="Z5" i="3"/>
  <c r="Z110" i="3"/>
  <c r="Z117" i="3"/>
  <c r="Z86" i="3"/>
  <c r="Z55" i="3"/>
  <c r="Z39" i="3"/>
  <c r="Z22" i="3"/>
  <c r="Z4" i="3"/>
  <c r="Z13" i="3"/>
  <c r="Z108" i="3"/>
  <c r="Z116" i="3"/>
  <c r="Z54" i="3"/>
  <c r="Z37" i="3"/>
  <c r="Z21" i="3"/>
  <c r="Z3" i="3"/>
  <c r="Z107" i="3"/>
  <c r="Z115" i="3"/>
  <c r="Z53" i="3"/>
  <c r="Z36" i="3"/>
  <c r="Z20" i="3"/>
  <c r="Z106" i="3"/>
  <c r="Z114" i="3"/>
  <c r="Z72" i="3"/>
  <c r="Z52" i="3"/>
  <c r="Z35" i="3"/>
  <c r="Z19" i="3"/>
  <c r="Z120" i="3"/>
  <c r="Z113" i="3"/>
  <c r="Z51" i="3"/>
  <c r="Z34" i="3"/>
  <c r="Z18" i="3"/>
  <c r="Z129" i="3"/>
  <c r="Z112" i="3"/>
  <c r="Z50" i="3"/>
  <c r="Z33" i="3"/>
  <c r="Z17" i="3"/>
  <c r="Z128" i="3"/>
  <c r="Z111" i="3"/>
  <c r="Z65" i="3"/>
  <c r="Z49" i="3"/>
  <c r="Z32" i="3"/>
  <c r="Z127" i="3"/>
  <c r="Z104" i="3"/>
  <c r="Z64" i="3"/>
  <c r="Z48" i="3"/>
  <c r="Z31" i="3"/>
  <c r="Z16" i="3"/>
  <c r="Y3" i="3"/>
  <c r="Y114" i="3"/>
  <c r="Y33" i="3"/>
  <c r="Y52" i="3"/>
  <c r="Y107" i="3"/>
  <c r="Y115" i="3"/>
  <c r="Y53" i="3"/>
  <c r="Y36" i="3"/>
  <c r="Y20" i="3"/>
  <c r="Y67" i="3"/>
  <c r="Y120" i="3"/>
  <c r="Y113" i="3"/>
  <c r="Y70" i="3"/>
  <c r="Y51" i="3"/>
  <c r="Y34" i="3"/>
  <c r="Y18" i="3"/>
  <c r="Y106" i="3"/>
  <c r="Y17" i="3"/>
  <c r="Y128" i="3"/>
  <c r="Y111" i="3"/>
  <c r="Y65" i="3"/>
  <c r="Y49" i="3"/>
  <c r="Y32" i="3"/>
  <c r="Y127" i="3"/>
  <c r="Y104" i="3"/>
  <c r="Y64" i="3"/>
  <c r="Y48" i="3"/>
  <c r="Y31" i="3"/>
  <c r="Y16" i="3"/>
  <c r="Y126" i="3"/>
  <c r="Y102" i="3"/>
  <c r="Y63" i="3"/>
  <c r="Y47" i="3"/>
  <c r="Y30" i="3"/>
  <c r="Y15" i="3"/>
  <c r="Y125" i="3"/>
  <c r="Y100" i="3"/>
  <c r="Y62" i="3"/>
  <c r="Y46" i="3"/>
  <c r="Y29" i="3"/>
  <c r="Y12" i="3"/>
  <c r="Y72" i="3"/>
  <c r="Y129" i="3"/>
  <c r="Y87" i="3"/>
  <c r="Y124" i="3"/>
  <c r="Y97" i="3"/>
  <c r="Y61" i="3"/>
  <c r="Y45" i="3"/>
  <c r="Y28" i="3"/>
  <c r="Y11" i="3"/>
  <c r="Y84" i="3"/>
  <c r="Y123" i="3"/>
  <c r="Y95" i="3"/>
  <c r="Y60" i="3"/>
  <c r="Y44" i="3"/>
  <c r="Y27" i="3"/>
  <c r="Y8" i="3"/>
  <c r="Y35" i="3"/>
  <c r="Y13" i="3"/>
  <c r="Y122" i="3"/>
  <c r="Y93" i="3"/>
  <c r="Y59" i="3"/>
  <c r="Y43" i="3"/>
  <c r="Y26" i="3"/>
  <c r="Y7" i="3"/>
  <c r="Y19" i="3"/>
  <c r="Y78" i="3"/>
  <c r="Y121" i="3"/>
  <c r="Y91" i="3"/>
  <c r="Y58" i="3"/>
  <c r="Y42" i="3"/>
  <c r="Y25" i="3"/>
  <c r="Y6" i="3"/>
  <c r="Y112" i="3"/>
  <c r="Y9" i="3"/>
  <c r="Y119" i="3"/>
  <c r="Y89" i="3"/>
  <c r="Y57" i="3"/>
  <c r="Y41" i="3"/>
  <c r="Y24" i="3"/>
  <c r="Y68" i="3"/>
  <c r="Y118" i="3"/>
  <c r="Y56" i="3"/>
  <c r="Y40" i="3"/>
  <c r="Y23" i="3"/>
  <c r="Y5" i="3"/>
  <c r="Y50" i="3"/>
  <c r="Y110" i="3"/>
  <c r="Y117" i="3"/>
  <c r="Y86" i="3"/>
  <c r="Y55" i="3"/>
  <c r="Y39" i="3"/>
  <c r="Y22" i="3"/>
  <c r="Y4" i="3"/>
  <c r="Y66" i="3"/>
  <c r="Y108" i="3"/>
  <c r="Y116" i="3"/>
  <c r="Y54" i="3"/>
  <c r="Y37" i="3"/>
  <c r="Y21" i="3"/>
  <c r="A31" i="16"/>
  <c r="F31" i="16" s="1"/>
  <c r="A32" i="16"/>
  <c r="A19" i="16"/>
  <c r="A20" i="16"/>
  <c r="I20" i="16" s="1"/>
  <c r="A21" i="16"/>
  <c r="A22" i="16"/>
  <c r="A23" i="16"/>
  <c r="K23" i="16" s="1"/>
  <c r="A24" i="16"/>
  <c r="A25" i="16"/>
  <c r="A26" i="16"/>
  <c r="A27" i="16"/>
  <c r="A28" i="16"/>
  <c r="I28" i="16" s="1"/>
  <c r="A29" i="16"/>
  <c r="A30" i="16"/>
  <c r="A11" i="16"/>
  <c r="J11" i="16" s="1"/>
  <c r="A12" i="16"/>
  <c r="A14" i="16"/>
  <c r="J14" i="16" s="1"/>
  <c r="B15" i="16"/>
  <c r="J27" i="17" l="1"/>
  <c r="B27" i="17"/>
  <c r="C27" i="17"/>
  <c r="H30" i="17"/>
  <c r="H35" i="17"/>
  <c r="D30" i="17"/>
  <c r="K31" i="17"/>
  <c r="B18" i="17"/>
  <c r="B31" i="17"/>
  <c r="D18" i="17"/>
  <c r="H18" i="17"/>
  <c r="I35" i="17"/>
  <c r="I30" i="17"/>
  <c r="I18" i="17"/>
  <c r="C18" i="17"/>
  <c r="G30" i="17"/>
  <c r="K30" i="17"/>
  <c r="C30" i="17"/>
  <c r="G18" i="17"/>
  <c r="J18" i="17"/>
  <c r="K18" i="17"/>
  <c r="J35" i="17"/>
  <c r="J30" i="17"/>
  <c r="C31" i="17"/>
  <c r="F31" i="17"/>
  <c r="G35" i="17"/>
  <c r="F30" i="17"/>
  <c r="I27" i="17"/>
  <c r="G27" i="17"/>
  <c r="D35" i="17"/>
  <c r="D27" i="17"/>
  <c r="D38" i="17"/>
  <c r="B35" i="17"/>
  <c r="H27" i="17"/>
  <c r="F35" i="17"/>
  <c r="C35" i="17"/>
  <c r="I38" i="17"/>
  <c r="J38" i="17"/>
  <c r="G38" i="17"/>
  <c r="F38" i="17"/>
  <c r="H38" i="17"/>
  <c r="C38" i="17"/>
  <c r="B17" i="17"/>
  <c r="H17" i="17"/>
  <c r="B38" i="17"/>
  <c r="I17" i="17"/>
  <c r="J17" i="17"/>
  <c r="F17" i="17"/>
  <c r="G17" i="17"/>
  <c r="D17" i="17"/>
  <c r="E17" i="17"/>
  <c r="E18" i="17" s="1"/>
  <c r="D31" i="17"/>
  <c r="J31" i="17"/>
  <c r="H31" i="17"/>
  <c r="G31" i="17"/>
  <c r="C17" i="17"/>
  <c r="G26" i="17"/>
  <c r="F26" i="17"/>
  <c r="D26" i="17"/>
  <c r="C26" i="17"/>
  <c r="B26" i="17"/>
  <c r="I26" i="17"/>
  <c r="K26" i="17"/>
  <c r="J26" i="17"/>
  <c r="H26" i="17"/>
  <c r="K40" i="17"/>
  <c r="J40" i="17"/>
  <c r="I40" i="17"/>
  <c r="H40" i="17"/>
  <c r="G40" i="17"/>
  <c r="F40" i="17"/>
  <c r="D40" i="17"/>
  <c r="C40" i="17"/>
  <c r="B40" i="17"/>
  <c r="I29" i="17"/>
  <c r="H29" i="17"/>
  <c r="G29" i="17"/>
  <c r="F29" i="17"/>
  <c r="D29" i="17"/>
  <c r="C29" i="17"/>
  <c r="B29" i="17"/>
  <c r="K29" i="17"/>
  <c r="J29" i="17"/>
  <c r="K32" i="17"/>
  <c r="J32" i="17"/>
  <c r="I32" i="17"/>
  <c r="H32" i="17"/>
  <c r="G32" i="17"/>
  <c r="F32" i="17"/>
  <c r="D32" i="17"/>
  <c r="C32" i="17"/>
  <c r="B32" i="17"/>
  <c r="I37" i="17"/>
  <c r="H37" i="17"/>
  <c r="G37" i="17"/>
  <c r="F37" i="17"/>
  <c r="D37" i="17"/>
  <c r="C37" i="17"/>
  <c r="B37" i="17"/>
  <c r="K37" i="17"/>
  <c r="J37" i="17"/>
  <c r="K33" i="17"/>
  <c r="J33" i="17"/>
  <c r="I33" i="17"/>
  <c r="H33" i="17"/>
  <c r="G33" i="17"/>
  <c r="F33" i="17"/>
  <c r="D33" i="17"/>
  <c r="B33" i="17"/>
  <c r="C33" i="17"/>
  <c r="K12" i="17"/>
  <c r="J12" i="17"/>
  <c r="I12" i="17"/>
  <c r="H12" i="17"/>
  <c r="G12" i="17"/>
  <c r="B12" i="17"/>
  <c r="F12" i="17"/>
  <c r="D12" i="17"/>
  <c r="C12" i="17"/>
  <c r="K21" i="17"/>
  <c r="J21" i="17"/>
  <c r="I21" i="17"/>
  <c r="H21" i="17"/>
  <c r="G21" i="17"/>
  <c r="F21" i="17"/>
  <c r="D21" i="17"/>
  <c r="C21" i="17"/>
  <c r="B21" i="17"/>
  <c r="K25" i="17"/>
  <c r="J25" i="17"/>
  <c r="F25" i="17"/>
  <c r="I25" i="17"/>
  <c r="B25" i="17"/>
  <c r="H25" i="17"/>
  <c r="G25" i="17"/>
  <c r="D25" i="17"/>
  <c r="C25" i="17"/>
  <c r="F20" i="17"/>
  <c r="C20" i="17"/>
  <c r="E20" i="17"/>
  <c r="E21" i="17" s="1"/>
  <c r="D20" i="17"/>
  <c r="B20" i="17"/>
  <c r="K20" i="17"/>
  <c r="J20" i="17"/>
  <c r="I20" i="17"/>
  <c r="G20" i="17"/>
  <c r="H20" i="17"/>
  <c r="G15" i="17"/>
  <c r="F15" i="17"/>
  <c r="D15" i="17"/>
  <c r="C15" i="17"/>
  <c r="B15" i="17"/>
  <c r="J15" i="17"/>
  <c r="K15" i="17"/>
  <c r="H15" i="17"/>
  <c r="I15" i="17"/>
  <c r="G34" i="17"/>
  <c r="F34" i="17"/>
  <c r="D34" i="17"/>
  <c r="C34" i="17"/>
  <c r="B34" i="17"/>
  <c r="K34" i="17"/>
  <c r="I34" i="17"/>
  <c r="J34" i="17"/>
  <c r="H34" i="17"/>
  <c r="B14" i="17"/>
  <c r="D14" i="17"/>
  <c r="K14" i="17"/>
  <c r="J14" i="17"/>
  <c r="I14" i="17"/>
  <c r="H14" i="17"/>
  <c r="G14" i="17"/>
  <c r="F14" i="17"/>
  <c r="E14" i="17"/>
  <c r="E15" i="17" s="1"/>
  <c r="C14" i="17"/>
  <c r="B36" i="17"/>
  <c r="K36" i="17"/>
  <c r="J36" i="17"/>
  <c r="I36" i="17"/>
  <c r="H36" i="17"/>
  <c r="G36" i="17"/>
  <c r="F36" i="17"/>
  <c r="D36" i="17"/>
  <c r="C36" i="17"/>
  <c r="H11" i="17"/>
  <c r="G11" i="17"/>
  <c r="F11" i="17"/>
  <c r="E11" i="17"/>
  <c r="E12" i="17" s="1"/>
  <c r="D11" i="17"/>
  <c r="C11" i="17"/>
  <c r="B11" i="17"/>
  <c r="J11" i="17"/>
  <c r="K11" i="17"/>
  <c r="I11" i="17"/>
  <c r="B28" i="17"/>
  <c r="H28" i="17"/>
  <c r="K28" i="17"/>
  <c r="J28" i="17"/>
  <c r="D28" i="17"/>
  <c r="I28" i="17"/>
  <c r="G28" i="17"/>
  <c r="F28" i="17"/>
  <c r="C28" i="17"/>
  <c r="D39" i="17"/>
  <c r="C39" i="17"/>
  <c r="B39" i="17"/>
  <c r="K39" i="17"/>
  <c r="J39" i="17"/>
  <c r="G39" i="17"/>
  <c r="I39" i="17"/>
  <c r="H39" i="17"/>
  <c r="F39" i="17"/>
  <c r="B31" i="16"/>
  <c r="B11" i="16"/>
  <c r="B23" i="16"/>
  <c r="J23" i="16"/>
  <c r="F11" i="16"/>
  <c r="G20" i="16"/>
  <c r="F20" i="16"/>
  <c r="D20" i="16"/>
  <c r="K20" i="16"/>
  <c r="J20" i="16"/>
  <c r="H20" i="16"/>
  <c r="B20" i="16"/>
  <c r="I23" i="16"/>
  <c r="B14" i="16"/>
  <c r="H28" i="16"/>
  <c r="D28" i="16"/>
  <c r="G28" i="16"/>
  <c r="C28" i="16"/>
  <c r="J28" i="16"/>
  <c r="K11" i="16"/>
  <c r="C20" i="16"/>
  <c r="H31" i="16"/>
  <c r="E11" i="16"/>
  <c r="E12" i="16" s="1"/>
  <c r="K28" i="16"/>
  <c r="F28" i="16"/>
  <c r="G11" i="16"/>
  <c r="C11" i="16"/>
  <c r="I11" i="16"/>
  <c r="E14" i="16"/>
  <c r="E15" i="16" s="1"/>
  <c r="F14" i="16"/>
  <c r="H14" i="16"/>
  <c r="D15" i="16"/>
  <c r="I15" i="16"/>
  <c r="C15" i="16"/>
  <c r="J15" i="16"/>
  <c r="H15" i="16"/>
  <c r="K15" i="16"/>
  <c r="I31" i="16"/>
  <c r="H23" i="16"/>
  <c r="D11" i="16"/>
  <c r="J31" i="16"/>
  <c r="F23" i="16"/>
  <c r="H11" i="16"/>
  <c r="G31" i="16"/>
  <c r="G15" i="16"/>
  <c r="I14" i="16"/>
  <c r="G14" i="16"/>
  <c r="C14" i="16"/>
  <c r="C23" i="16"/>
  <c r="D14" i="16"/>
  <c r="G23" i="16"/>
  <c r="D23" i="16"/>
  <c r="C31" i="16"/>
  <c r="D31" i="16"/>
  <c r="K31" i="16"/>
  <c r="B28" i="16"/>
  <c r="F15" i="16"/>
  <c r="K14" i="16"/>
  <c r="G24" i="16"/>
  <c r="F24" i="16"/>
  <c r="D24" i="16"/>
  <c r="C24" i="16"/>
  <c r="B24" i="16"/>
  <c r="H24" i="16"/>
  <c r="K24" i="16"/>
  <c r="J24" i="16"/>
  <c r="I24" i="16"/>
  <c r="K25" i="16"/>
  <c r="J25" i="16"/>
  <c r="I25" i="16"/>
  <c r="G25" i="16"/>
  <c r="H25" i="16"/>
  <c r="F25" i="16"/>
  <c r="D25" i="16"/>
  <c r="C25" i="16"/>
  <c r="B25" i="16"/>
  <c r="B26" i="16"/>
  <c r="C26" i="16"/>
  <c r="D26" i="16"/>
  <c r="K26" i="16"/>
  <c r="J26" i="16"/>
  <c r="I26" i="16"/>
  <c r="H26" i="16"/>
  <c r="G26" i="16"/>
  <c r="F26" i="16"/>
  <c r="D21" i="16"/>
  <c r="C21" i="16"/>
  <c r="B21" i="16"/>
  <c r="F21" i="16"/>
  <c r="K21" i="16"/>
  <c r="J21" i="16"/>
  <c r="I21" i="16"/>
  <c r="H21" i="16"/>
  <c r="G21" i="16"/>
  <c r="K30" i="16"/>
  <c r="J30" i="16"/>
  <c r="I30" i="16"/>
  <c r="D30" i="16"/>
  <c r="H30" i="16"/>
  <c r="G30" i="16"/>
  <c r="F30" i="16"/>
  <c r="C30" i="16"/>
  <c r="B30" i="16"/>
  <c r="K22" i="16"/>
  <c r="J22" i="16"/>
  <c r="I22" i="16"/>
  <c r="H22" i="16"/>
  <c r="D22" i="16"/>
  <c r="G22" i="16"/>
  <c r="F22" i="16"/>
  <c r="C22" i="16"/>
  <c r="B22" i="16"/>
  <c r="I27" i="16"/>
  <c r="J27" i="16"/>
  <c r="H27" i="16"/>
  <c r="G27" i="16"/>
  <c r="F27" i="16"/>
  <c r="B27" i="16"/>
  <c r="D27" i="16"/>
  <c r="C27" i="16"/>
  <c r="K27" i="16"/>
  <c r="I19" i="16"/>
  <c r="H19" i="16"/>
  <c r="G19" i="16"/>
  <c r="F19" i="16"/>
  <c r="B19" i="16"/>
  <c r="J19" i="16"/>
  <c r="D19" i="16"/>
  <c r="C19" i="16"/>
  <c r="K19" i="16"/>
  <c r="D29" i="16"/>
  <c r="C29" i="16"/>
  <c r="B29" i="16"/>
  <c r="F29" i="16"/>
  <c r="K29" i="16"/>
  <c r="J29" i="16"/>
  <c r="I29" i="16"/>
  <c r="H29" i="16"/>
  <c r="G29" i="16"/>
  <c r="D12" i="16"/>
  <c r="F12" i="16"/>
  <c r="G12" i="16"/>
  <c r="C12" i="16"/>
  <c r="B12" i="16"/>
  <c r="K12" i="16"/>
  <c r="J12" i="16"/>
  <c r="H12" i="16"/>
  <c r="I12" i="16"/>
  <c r="G32" i="16"/>
  <c r="F32" i="16"/>
  <c r="D32" i="16"/>
  <c r="C32" i="16"/>
  <c r="B32" i="16"/>
  <c r="K32" i="16"/>
  <c r="J32" i="16"/>
  <c r="I32" i="16"/>
  <c r="H32" i="16"/>
  <c r="E194" i="8"/>
  <c r="B194" i="8"/>
  <c r="A194" i="8"/>
  <c r="E193" i="8"/>
  <c r="B193" i="8"/>
  <c r="A193" i="8"/>
  <c r="E192" i="8"/>
  <c r="B192" i="8"/>
  <c r="A192" i="8"/>
  <c r="E191" i="8"/>
  <c r="B191" i="8"/>
  <c r="A191" i="8"/>
  <c r="E190" i="8"/>
  <c r="B190" i="8"/>
  <c r="A190" i="8"/>
  <c r="X71" i="3" l="1"/>
  <c r="X74" i="3"/>
  <c r="X83" i="3"/>
  <c r="X76" i="3"/>
  <c r="X38" i="3"/>
  <c r="X90" i="3"/>
  <c r="X80" i="3"/>
  <c r="X81" i="3"/>
  <c r="X82" i="3"/>
  <c r="X73" i="3"/>
  <c r="X96" i="3"/>
  <c r="X77" i="3"/>
  <c r="X75" i="3"/>
  <c r="X92" i="3"/>
  <c r="X99" i="3"/>
  <c r="X105" i="3"/>
  <c r="X109" i="3"/>
  <c r="X120" i="3"/>
  <c r="X106" i="3"/>
  <c r="X66" i="3"/>
  <c r="X107" i="3"/>
  <c r="X108" i="3"/>
  <c r="X110" i="3"/>
  <c r="X68" i="3"/>
  <c r="X9" i="3"/>
  <c r="X78" i="3"/>
  <c r="X13" i="3"/>
  <c r="X84" i="3"/>
  <c r="X87" i="3"/>
  <c r="X67" i="3"/>
  <c r="X11" i="3"/>
  <c r="X28" i="3"/>
  <c r="X45" i="3"/>
  <c r="X61" i="3"/>
  <c r="X97" i="3"/>
  <c r="X124" i="3"/>
  <c r="X111" i="3"/>
  <c r="X12" i="3"/>
  <c r="X29" i="3"/>
  <c r="X46" i="3"/>
  <c r="X62" i="3"/>
  <c r="X100" i="3"/>
  <c r="X125" i="3"/>
  <c r="X128" i="3"/>
  <c r="X15" i="3"/>
  <c r="X30" i="3"/>
  <c r="X47" i="3"/>
  <c r="X63" i="3"/>
  <c r="X102" i="3"/>
  <c r="X126" i="3"/>
  <c r="X49" i="3"/>
  <c r="X112" i="3"/>
  <c r="X16" i="3"/>
  <c r="X31" i="3"/>
  <c r="X48" i="3"/>
  <c r="X64" i="3"/>
  <c r="X104" i="3"/>
  <c r="X127" i="3"/>
  <c r="X32" i="3"/>
  <c r="X65" i="3"/>
  <c r="X17" i="3"/>
  <c r="X33" i="3"/>
  <c r="X50" i="3"/>
  <c r="X129" i="3"/>
  <c r="X18" i="3"/>
  <c r="X34" i="3"/>
  <c r="X51" i="3"/>
  <c r="X70" i="3"/>
  <c r="X113" i="3"/>
  <c r="X89" i="3"/>
  <c r="X19" i="3"/>
  <c r="X35" i="3"/>
  <c r="X52" i="3"/>
  <c r="X72" i="3"/>
  <c r="X114" i="3"/>
  <c r="X121" i="3"/>
  <c r="X20" i="3"/>
  <c r="X36" i="3"/>
  <c r="X53" i="3"/>
  <c r="X115" i="3"/>
  <c r="X3" i="3"/>
  <c r="X21" i="3"/>
  <c r="X37" i="3"/>
  <c r="X54" i="3"/>
  <c r="X116" i="3"/>
  <c r="X4" i="3"/>
  <c r="X22" i="3"/>
  <c r="X39" i="3"/>
  <c r="X55" i="3"/>
  <c r="X86" i="3"/>
  <c r="X117" i="3"/>
  <c r="X41" i="3"/>
  <c r="X119" i="3"/>
  <c r="X5" i="3"/>
  <c r="X23" i="3"/>
  <c r="X40" i="3"/>
  <c r="X56" i="3"/>
  <c r="X118" i="3"/>
  <c r="X24" i="3"/>
  <c r="X57" i="3"/>
  <c r="X6" i="3"/>
  <c r="X25" i="3"/>
  <c r="X42" i="3"/>
  <c r="X58" i="3"/>
  <c r="X91" i="3"/>
  <c r="X7" i="3"/>
  <c r="X26" i="3"/>
  <c r="X43" i="3"/>
  <c r="X59" i="3"/>
  <c r="X93" i="3"/>
  <c r="X122" i="3"/>
  <c r="X8" i="3"/>
  <c r="X27" i="3"/>
  <c r="X44" i="3"/>
  <c r="X60" i="3"/>
  <c r="X95" i="3"/>
  <c r="X123" i="3"/>
  <c r="B7" i="11"/>
  <c r="N27" i="15"/>
  <c r="A41" i="15" s="1"/>
  <c r="G6" i="15"/>
  <c r="N5" i="15"/>
  <c r="A9" i="15" s="1"/>
  <c r="G5" i="15"/>
  <c r="N5" i="11"/>
  <c r="A11" i="11" s="1"/>
  <c r="B8" i="12"/>
  <c r="L5" i="12"/>
  <c r="E186" i="8"/>
  <c r="B186" i="8"/>
  <c r="A186" i="8"/>
  <c r="E185" i="8"/>
  <c r="B185" i="8"/>
  <c r="A185" i="8"/>
  <c r="E184" i="8"/>
  <c r="B184" i="8"/>
  <c r="A184" i="8"/>
  <c r="E183" i="8"/>
  <c r="B183" i="8"/>
  <c r="A183" i="8"/>
  <c r="E182" i="8"/>
  <c r="B182" i="8"/>
  <c r="A182" i="8"/>
  <c r="E181" i="8"/>
  <c r="B181" i="8"/>
  <c r="A181" i="8"/>
  <c r="E180" i="8"/>
  <c r="B180" i="8"/>
  <c r="A180" i="8"/>
  <c r="E179" i="8"/>
  <c r="B179" i="8"/>
  <c r="A179" i="8"/>
  <c r="E178" i="8"/>
  <c r="B178" i="8"/>
  <c r="A178" i="8"/>
  <c r="E177" i="8"/>
  <c r="B177" i="8"/>
  <c r="A177" i="8"/>
  <c r="E176" i="8"/>
  <c r="B176" i="8"/>
  <c r="A176" i="8"/>
  <c r="E175" i="8"/>
  <c r="B175" i="8"/>
  <c r="A175" i="8"/>
  <c r="E174" i="8"/>
  <c r="B174" i="8"/>
  <c r="A174" i="8"/>
  <c r="E171" i="8"/>
  <c r="B171" i="8"/>
  <c r="A171" i="8"/>
  <c r="E170" i="8"/>
  <c r="B170" i="8"/>
  <c r="A170" i="8"/>
  <c r="E169" i="8"/>
  <c r="B169" i="8"/>
  <c r="A169" i="8"/>
  <c r="E168" i="8"/>
  <c r="B168" i="8"/>
  <c r="A168" i="8"/>
  <c r="E167" i="8"/>
  <c r="B167" i="8"/>
  <c r="A167" i="8"/>
  <c r="E166" i="8"/>
  <c r="B166" i="8"/>
  <c r="A166" i="8"/>
  <c r="E165" i="8"/>
  <c r="B165" i="8"/>
  <c r="A165" i="8"/>
  <c r="G6" i="11"/>
  <c r="E162" i="8"/>
  <c r="B162" i="8"/>
  <c r="A162" i="8"/>
  <c r="E161" i="8"/>
  <c r="B161" i="8"/>
  <c r="A161" i="8"/>
  <c r="E160" i="8"/>
  <c r="B160" i="8"/>
  <c r="A160" i="8"/>
  <c r="E159" i="8"/>
  <c r="B159" i="8"/>
  <c r="A159" i="8"/>
  <c r="E158" i="8"/>
  <c r="B158" i="8"/>
  <c r="A158" i="8"/>
  <c r="E157" i="8"/>
  <c r="B157" i="8"/>
  <c r="A157" i="8"/>
  <c r="E156" i="8"/>
  <c r="B156" i="8"/>
  <c r="A156" i="8"/>
  <c r="H45" i="12"/>
  <c r="H35" i="12"/>
  <c r="L46" i="12"/>
  <c r="K46" i="12"/>
  <c r="J46" i="12"/>
  <c r="I46" i="12"/>
  <c r="H46" i="12"/>
  <c r="L36" i="12"/>
  <c r="K36" i="12"/>
  <c r="J36" i="12"/>
  <c r="I36" i="12"/>
  <c r="H36" i="12"/>
  <c r="L22" i="12"/>
  <c r="K22" i="12"/>
  <c r="J22" i="12"/>
  <c r="I22" i="12"/>
  <c r="H22" i="12"/>
  <c r="L35" i="12"/>
  <c r="G7" i="12"/>
  <c r="L6" i="12"/>
  <c r="G6" i="12"/>
  <c r="G5" i="12"/>
  <c r="B1" i="3"/>
  <c r="C1" i="3"/>
  <c r="D1" i="3"/>
  <c r="E1" i="3"/>
  <c r="F1" i="3"/>
  <c r="G1" i="3"/>
  <c r="H1" i="3"/>
  <c r="I1" i="3"/>
  <c r="J1" i="3"/>
  <c r="K1" i="3"/>
  <c r="L1" i="3"/>
  <c r="M1" i="3"/>
  <c r="N1" i="3"/>
  <c r="O1" i="3"/>
  <c r="P1" i="3"/>
  <c r="Q1" i="3"/>
  <c r="A1" i="3"/>
  <c r="E152" i="8"/>
  <c r="B152" i="8"/>
  <c r="A152" i="8"/>
  <c r="E151" i="8"/>
  <c r="B151" i="8"/>
  <c r="A151" i="8"/>
  <c r="E150" i="8"/>
  <c r="B150" i="8"/>
  <c r="A150" i="8"/>
  <c r="E149" i="8"/>
  <c r="B149" i="8"/>
  <c r="A149" i="8"/>
  <c r="E148" i="8"/>
  <c r="B148" i="8"/>
  <c r="A148" i="8"/>
  <c r="E133" i="8"/>
  <c r="B133" i="8"/>
  <c r="A133" i="8"/>
  <c r="E132" i="8"/>
  <c r="B132" i="8"/>
  <c r="A132" i="8"/>
  <c r="E131" i="8"/>
  <c r="B131" i="8"/>
  <c r="A131" i="8"/>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91" i="8"/>
  <c r="B91" i="8"/>
  <c r="A91" i="8"/>
  <c r="E90" i="8"/>
  <c r="B90" i="8"/>
  <c r="A90" i="8"/>
  <c r="E89" i="8"/>
  <c r="B89" i="8"/>
  <c r="A89" i="8"/>
  <c r="E88" i="8"/>
  <c r="B88" i="8"/>
  <c r="A88" i="8"/>
  <c r="E87" i="8"/>
  <c r="B87" i="8"/>
  <c r="A87" i="8"/>
  <c r="E86" i="8"/>
  <c r="B86" i="8"/>
  <c r="A86" i="8"/>
  <c r="E85" i="8"/>
  <c r="B85" i="8"/>
  <c r="A85" i="8"/>
  <c r="E82" i="8"/>
  <c r="B82" i="8"/>
  <c r="A82" i="8"/>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A13" i="8"/>
  <c r="A14" i="8"/>
  <c r="A15" i="8"/>
  <c r="A16" i="8"/>
  <c r="A34" i="8"/>
  <c r="A35" i="8"/>
  <c r="A36" i="8"/>
  <c r="A37" i="8"/>
  <c r="A38" i="8"/>
  <c r="A39" i="8"/>
  <c r="A40" i="8"/>
  <c r="B13" i="8"/>
  <c r="B14" i="8"/>
  <c r="B15" i="8"/>
  <c r="B16" i="8"/>
  <c r="B34" i="8"/>
  <c r="B35" i="8"/>
  <c r="B36" i="8"/>
  <c r="B37" i="8"/>
  <c r="B38" i="8"/>
  <c r="B39" i="8"/>
  <c r="B40" i="8"/>
  <c r="E13" i="8"/>
  <c r="E14" i="8"/>
  <c r="E15" i="8"/>
  <c r="E16" i="8"/>
  <c r="E34" i="8"/>
  <c r="E35" i="8"/>
  <c r="E36" i="8"/>
  <c r="E37" i="8"/>
  <c r="E38" i="8"/>
  <c r="E39" i="8"/>
  <c r="E40" i="8"/>
  <c r="E42" i="8"/>
  <c r="B42" i="8"/>
  <c r="A42" i="8"/>
  <c r="E41" i="8"/>
  <c r="B41" i="8"/>
  <c r="A41" i="8"/>
  <c r="E12" i="8"/>
  <c r="B12" i="8"/>
  <c r="A12" i="8"/>
  <c r="E11" i="8"/>
  <c r="B11" i="8"/>
  <c r="A11" i="8"/>
  <c r="E10" i="8"/>
  <c r="B10" i="8"/>
  <c r="A10" i="8"/>
  <c r="E7" i="8"/>
  <c r="B7" i="8"/>
  <c r="A7" i="8"/>
  <c r="E6" i="8"/>
  <c r="B6" i="8"/>
  <c r="A6" i="8"/>
  <c r="E5" i="8"/>
  <c r="B5" i="8"/>
  <c r="A5" i="8"/>
  <c r="E4" i="8"/>
  <c r="B4" i="8"/>
  <c r="A4" i="8"/>
  <c r="E3" i="8"/>
  <c r="B3" i="8"/>
  <c r="A3" i="8"/>
  <c r="N28" i="11"/>
  <c r="A44" i="11" s="1"/>
  <c r="G5" i="11"/>
  <c r="AD103" i="3" l="1"/>
  <c r="AD69" i="3"/>
  <c r="AD10" i="3"/>
  <c r="AD79" i="3"/>
  <c r="AD14" i="3"/>
  <c r="AD85" i="3"/>
  <c r="AD101" i="3"/>
  <c r="AD88" i="3"/>
  <c r="AD94" i="3"/>
  <c r="AD98" i="3"/>
  <c r="AC94" i="3"/>
  <c r="AC98" i="3"/>
  <c r="AC101" i="3"/>
  <c r="AC103" i="3"/>
  <c r="AC69" i="3"/>
  <c r="AC10" i="3"/>
  <c r="AC79" i="3"/>
  <c r="AC14" i="3"/>
  <c r="AC85" i="3"/>
  <c r="AC88" i="3"/>
  <c r="O14" i="3"/>
  <c r="O85" i="3"/>
  <c r="O69" i="3"/>
  <c r="O10" i="3"/>
  <c r="O88" i="3"/>
  <c r="O79" i="3"/>
  <c r="O94" i="3"/>
  <c r="O98" i="3"/>
  <c r="O101" i="3"/>
  <c r="O103" i="3"/>
  <c r="N10" i="3"/>
  <c r="N79" i="3"/>
  <c r="N14" i="3"/>
  <c r="N85" i="3"/>
  <c r="N88" i="3"/>
  <c r="N103" i="3"/>
  <c r="N94" i="3"/>
  <c r="N98" i="3"/>
  <c r="N101" i="3"/>
  <c r="N69" i="3"/>
  <c r="AD75" i="3"/>
  <c r="AD92" i="3"/>
  <c r="AD73" i="3"/>
  <c r="AD90" i="3"/>
  <c r="AD77" i="3"/>
  <c r="AD71" i="3"/>
  <c r="AD38" i="3"/>
  <c r="AD83" i="3"/>
  <c r="AD80" i="3"/>
  <c r="AD96" i="3"/>
  <c r="AD99" i="3"/>
  <c r="AD81" i="3"/>
  <c r="AD74" i="3"/>
  <c r="AD76" i="3"/>
  <c r="AD82" i="3"/>
  <c r="AE99" i="3"/>
  <c r="AE75" i="3"/>
  <c r="AE74" i="3"/>
  <c r="AE92" i="3"/>
  <c r="AE76" i="3"/>
  <c r="AE38" i="3"/>
  <c r="AE73" i="3"/>
  <c r="AE80" i="3"/>
  <c r="AE90" i="3"/>
  <c r="AE82" i="3"/>
  <c r="AE71" i="3"/>
  <c r="AE83" i="3"/>
  <c r="AE81" i="3"/>
  <c r="AE96" i="3"/>
  <c r="AE77" i="3"/>
  <c r="O81" i="3"/>
  <c r="O77" i="3"/>
  <c r="O83" i="3"/>
  <c r="O75" i="3"/>
  <c r="O92" i="3"/>
  <c r="O73" i="3"/>
  <c r="O90" i="3"/>
  <c r="O71" i="3"/>
  <c r="P81" i="3"/>
  <c r="P38" i="3"/>
  <c r="P77" i="3"/>
  <c r="P71" i="3"/>
  <c r="P80" i="3"/>
  <c r="P83" i="3"/>
  <c r="P75" i="3"/>
  <c r="P76" i="3"/>
  <c r="P92" i="3"/>
  <c r="P96" i="3"/>
  <c r="P73" i="3"/>
  <c r="P99" i="3"/>
  <c r="P90" i="3"/>
  <c r="P74" i="3"/>
  <c r="P82" i="3"/>
  <c r="AC92" i="3"/>
  <c r="AC96" i="3"/>
  <c r="AC73" i="3"/>
  <c r="AC99" i="3"/>
  <c r="AC90" i="3"/>
  <c r="AC74" i="3"/>
  <c r="AC76" i="3"/>
  <c r="AC71" i="3"/>
  <c r="AC38" i="3"/>
  <c r="AC83" i="3"/>
  <c r="AC80" i="3"/>
  <c r="AC82" i="3"/>
  <c r="AC81" i="3"/>
  <c r="AC77" i="3"/>
  <c r="AC75" i="3"/>
  <c r="N77" i="3"/>
  <c r="N96" i="3"/>
  <c r="N99" i="3"/>
  <c r="N74" i="3"/>
  <c r="N75" i="3"/>
  <c r="N76" i="3"/>
  <c r="N92" i="3"/>
  <c r="N38" i="3"/>
  <c r="N80" i="3"/>
  <c r="N73" i="3"/>
  <c r="N82" i="3"/>
  <c r="N90" i="3"/>
  <c r="N83" i="3"/>
  <c r="N71" i="3"/>
  <c r="N81" i="3"/>
  <c r="Q96" i="3"/>
  <c r="Q99" i="3"/>
  <c r="Q81" i="3"/>
  <c r="Q74" i="3"/>
  <c r="Q76" i="3"/>
  <c r="Q38" i="3"/>
  <c r="Q71" i="3"/>
  <c r="Q77" i="3"/>
  <c r="Q80" i="3"/>
  <c r="Q82" i="3"/>
  <c r="Q75" i="3"/>
  <c r="Q92" i="3"/>
  <c r="Q73" i="3"/>
  <c r="Q90" i="3"/>
  <c r="Q83" i="3"/>
  <c r="R83" i="3"/>
  <c r="R81" i="3"/>
  <c r="R82" i="3"/>
  <c r="R77" i="3"/>
  <c r="R96" i="3"/>
  <c r="R99" i="3"/>
  <c r="R75" i="3"/>
  <c r="R74" i="3"/>
  <c r="R92" i="3"/>
  <c r="R76" i="3"/>
  <c r="R80" i="3"/>
  <c r="R90" i="3"/>
  <c r="R38" i="3"/>
  <c r="R73" i="3"/>
  <c r="R71" i="3"/>
  <c r="A74" i="12"/>
  <c r="A73" i="12"/>
  <c r="A72" i="12"/>
  <c r="A71" i="12"/>
  <c r="O96" i="3"/>
  <c r="O99" i="3"/>
  <c r="O74" i="3"/>
  <c r="O76" i="3"/>
  <c r="O38" i="3"/>
  <c r="O80" i="3"/>
  <c r="O82" i="3"/>
  <c r="R108" i="3"/>
  <c r="R66" i="3"/>
  <c r="R110" i="3"/>
  <c r="R68" i="3"/>
  <c r="R9" i="3"/>
  <c r="R78" i="3"/>
  <c r="R67" i="3"/>
  <c r="R13" i="3"/>
  <c r="R84" i="3"/>
  <c r="R105" i="3"/>
  <c r="R87" i="3"/>
  <c r="R109" i="3"/>
  <c r="R106" i="3"/>
  <c r="R120" i="3"/>
  <c r="R107" i="3"/>
  <c r="AD66" i="3"/>
  <c r="AD120" i="3"/>
  <c r="AD106" i="3"/>
  <c r="AD105" i="3"/>
  <c r="AD107" i="3"/>
  <c r="AD109" i="3"/>
  <c r="AD108" i="3"/>
  <c r="AD67" i="3"/>
  <c r="AD110" i="3"/>
  <c r="AD68" i="3"/>
  <c r="AD9" i="3"/>
  <c r="AD78" i="3"/>
  <c r="AD13" i="3"/>
  <c r="AD84" i="3"/>
  <c r="AD87" i="3"/>
  <c r="P84" i="3"/>
  <c r="P87" i="3"/>
  <c r="P105" i="3"/>
  <c r="P67" i="3"/>
  <c r="P109" i="3"/>
  <c r="P78" i="3"/>
  <c r="P120" i="3"/>
  <c r="P106" i="3"/>
  <c r="P107" i="3"/>
  <c r="P108" i="3"/>
  <c r="P110" i="3"/>
  <c r="P68" i="3"/>
  <c r="P9" i="3"/>
  <c r="P66" i="3"/>
  <c r="P13" i="3"/>
  <c r="AE107" i="3"/>
  <c r="AE108" i="3"/>
  <c r="AE110" i="3"/>
  <c r="AE68" i="3"/>
  <c r="AE66" i="3"/>
  <c r="AE9" i="3"/>
  <c r="AE78" i="3"/>
  <c r="AE13" i="3"/>
  <c r="AE105" i="3"/>
  <c r="AE84" i="3"/>
  <c r="AE109" i="3"/>
  <c r="AE67" i="3"/>
  <c r="AE87" i="3"/>
  <c r="AE120" i="3"/>
  <c r="AE106" i="3"/>
  <c r="AC13" i="3"/>
  <c r="AC84" i="3"/>
  <c r="AC66" i="3"/>
  <c r="AC87" i="3"/>
  <c r="AC105" i="3"/>
  <c r="AC109" i="3"/>
  <c r="AC67" i="3"/>
  <c r="AC120" i="3"/>
  <c r="AC106" i="3"/>
  <c r="AC107" i="3"/>
  <c r="AC108" i="3"/>
  <c r="AC9" i="3"/>
  <c r="AC110" i="3"/>
  <c r="AC68" i="3"/>
  <c r="AC78" i="3"/>
  <c r="Q66" i="3"/>
  <c r="Q120" i="3"/>
  <c r="Q106" i="3"/>
  <c r="Q67" i="3"/>
  <c r="Q107" i="3"/>
  <c r="Q105" i="3"/>
  <c r="Q108" i="3"/>
  <c r="Q109" i="3"/>
  <c r="Q110" i="3"/>
  <c r="Q68" i="3"/>
  <c r="Q9" i="3"/>
  <c r="Q78" i="3"/>
  <c r="Q13" i="3"/>
  <c r="Q84" i="3"/>
  <c r="Q87" i="3"/>
  <c r="O68" i="3"/>
  <c r="O9" i="3"/>
  <c r="O66" i="3"/>
  <c r="O78" i="3"/>
  <c r="O105" i="3"/>
  <c r="O13" i="3"/>
  <c r="O109" i="3"/>
  <c r="O84" i="3"/>
  <c r="O67" i="3"/>
  <c r="O87" i="3"/>
  <c r="O108" i="3"/>
  <c r="O120" i="3"/>
  <c r="O107" i="3"/>
  <c r="O106" i="3"/>
  <c r="O110" i="3"/>
  <c r="N67" i="3"/>
  <c r="N13" i="3"/>
  <c r="N68" i="3"/>
  <c r="N84" i="3"/>
  <c r="N87" i="3"/>
  <c r="N106" i="3"/>
  <c r="N120" i="3"/>
  <c r="N110" i="3"/>
  <c r="N107" i="3"/>
  <c r="N108" i="3"/>
  <c r="N105" i="3"/>
  <c r="N109" i="3"/>
  <c r="N66" i="3"/>
  <c r="N9" i="3"/>
  <c r="N78" i="3"/>
  <c r="AC114" i="3"/>
  <c r="AE22" i="3"/>
  <c r="R45" i="3"/>
  <c r="AD7" i="3"/>
  <c r="N39" i="3"/>
  <c r="R11" i="3"/>
  <c r="R123" i="3"/>
  <c r="R46" i="3"/>
  <c r="AC41" i="3"/>
  <c r="AD15" i="3"/>
  <c r="AD46" i="3"/>
  <c r="R15" i="3"/>
  <c r="AD11" i="3"/>
  <c r="AE41" i="3"/>
  <c r="P86" i="3"/>
  <c r="AE114" i="3"/>
  <c r="AE61" i="3"/>
  <c r="P39" i="3"/>
  <c r="AC19" i="3"/>
  <c r="AD123" i="3"/>
  <c r="AE23" i="3"/>
  <c r="O40" i="3"/>
  <c r="Q15" i="3"/>
  <c r="O44" i="3"/>
  <c r="P42" i="3"/>
  <c r="O43" i="3"/>
  <c r="R39" i="3"/>
  <c r="R122" i="3"/>
  <c r="R36" i="3"/>
  <c r="R8" i="3"/>
  <c r="AC86" i="3"/>
  <c r="AC113" i="3"/>
  <c r="AC60" i="3"/>
  <c r="AC22" i="3"/>
  <c r="AD39" i="3"/>
  <c r="AD122" i="3"/>
  <c r="AD36" i="3"/>
  <c r="AD8" i="3"/>
  <c r="AE86" i="3"/>
  <c r="AE113" i="3"/>
  <c r="AE60" i="3"/>
  <c r="Q17" i="3"/>
  <c r="Q95" i="3"/>
  <c r="Q72" i="3"/>
  <c r="Q104" i="3"/>
  <c r="Q6" i="3"/>
  <c r="Q70" i="3"/>
  <c r="Q50" i="3"/>
  <c r="Q51" i="3"/>
  <c r="Q55" i="3"/>
  <c r="Q91" i="3"/>
  <c r="Q53" i="3"/>
  <c r="Q31" i="3"/>
  <c r="Q35" i="3"/>
  <c r="Q37" i="3"/>
  <c r="Q30" i="3"/>
  <c r="Q32" i="3"/>
  <c r="Q52" i="3"/>
  <c r="Q33" i="3"/>
  <c r="Q54" i="3"/>
  <c r="Q34" i="3"/>
  <c r="Q89" i="3"/>
  <c r="AE104" i="3"/>
  <c r="AE6" i="3"/>
  <c r="AE70" i="3"/>
  <c r="AE17" i="3"/>
  <c r="AE72" i="3"/>
  <c r="AE95" i="3"/>
  <c r="AE33" i="3"/>
  <c r="AE31" i="3"/>
  <c r="AE89" i="3"/>
  <c r="AE30" i="3"/>
  <c r="AE32" i="3"/>
  <c r="AE34" i="3"/>
  <c r="AE35" i="3"/>
  <c r="AE51" i="3"/>
  <c r="AE91" i="3"/>
  <c r="AE37" i="3"/>
  <c r="AE53" i="3"/>
  <c r="AE55" i="3"/>
  <c r="AE52" i="3"/>
  <c r="AE50" i="3"/>
  <c r="AE54" i="3"/>
  <c r="P40" i="3"/>
  <c r="O41" i="3"/>
  <c r="R42" i="3"/>
  <c r="R121" i="3"/>
  <c r="R29" i="3"/>
  <c r="R7" i="3"/>
  <c r="AC129" i="3"/>
  <c r="AC112" i="3"/>
  <c r="AC59" i="3"/>
  <c r="AC21" i="3"/>
  <c r="AD42" i="3"/>
  <c r="AD121" i="3"/>
  <c r="AD29" i="3"/>
  <c r="AE129" i="3"/>
  <c r="AE112" i="3"/>
  <c r="AE59" i="3"/>
  <c r="AE21" i="3"/>
  <c r="AD104" i="3"/>
  <c r="AD6" i="3"/>
  <c r="AD70" i="3"/>
  <c r="AD95" i="3"/>
  <c r="AD72" i="3"/>
  <c r="AD17" i="3"/>
  <c r="AD55" i="3"/>
  <c r="AD89" i="3"/>
  <c r="AD52" i="3"/>
  <c r="AD34" i="3"/>
  <c r="AD54" i="3"/>
  <c r="AD31" i="3"/>
  <c r="AD33" i="3"/>
  <c r="AD51" i="3"/>
  <c r="AD53" i="3"/>
  <c r="AD30" i="3"/>
  <c r="AD91" i="3"/>
  <c r="AD32" i="3"/>
  <c r="AD50" i="3"/>
  <c r="AD35" i="3"/>
  <c r="AD37" i="3"/>
  <c r="Q16" i="3"/>
  <c r="P49" i="3"/>
  <c r="O86" i="3"/>
  <c r="R40" i="3"/>
  <c r="R119" i="3"/>
  <c r="R28" i="3"/>
  <c r="AC128" i="3"/>
  <c r="AC111" i="3"/>
  <c r="AC58" i="3"/>
  <c r="AC20" i="3"/>
  <c r="AD40" i="3"/>
  <c r="AD119" i="3"/>
  <c r="AD28" i="3"/>
  <c r="AE128" i="3"/>
  <c r="AE111" i="3"/>
  <c r="AE58" i="3"/>
  <c r="AE20" i="3"/>
  <c r="P45" i="3"/>
  <c r="N16" i="3"/>
  <c r="R49" i="3"/>
  <c r="R118" i="3"/>
  <c r="R65" i="3"/>
  <c r="R27" i="3"/>
  <c r="R5" i="3"/>
  <c r="AC127" i="3"/>
  <c r="AC102" i="3"/>
  <c r="AC57" i="3"/>
  <c r="AD49" i="3"/>
  <c r="AD118" i="3"/>
  <c r="AD65" i="3"/>
  <c r="AD27" i="3"/>
  <c r="AD5" i="3"/>
  <c r="AE127" i="3"/>
  <c r="AE102" i="3"/>
  <c r="AE57" i="3"/>
  <c r="AE19" i="3"/>
  <c r="AC104" i="3"/>
  <c r="AC6" i="3"/>
  <c r="AC72" i="3"/>
  <c r="AC17" i="3"/>
  <c r="AC95" i="3"/>
  <c r="AC70" i="3"/>
  <c r="AC89" i="3"/>
  <c r="AC33" i="3"/>
  <c r="AC52" i="3"/>
  <c r="AC35" i="3"/>
  <c r="AC37" i="3"/>
  <c r="AC34" i="3"/>
  <c r="AC53" i="3"/>
  <c r="AC54" i="3"/>
  <c r="AC50" i="3"/>
  <c r="AC51" i="3"/>
  <c r="AC55" i="3"/>
  <c r="AC91" i="3"/>
  <c r="AC30" i="3"/>
  <c r="AC31" i="3"/>
  <c r="AC32" i="3"/>
  <c r="Q39" i="3"/>
  <c r="P44" i="3"/>
  <c r="N15" i="3"/>
  <c r="R117" i="3"/>
  <c r="R64" i="3"/>
  <c r="R26" i="3"/>
  <c r="R4" i="3"/>
  <c r="AC126" i="3"/>
  <c r="AC100" i="3"/>
  <c r="AC56" i="3"/>
  <c r="AC18" i="3"/>
  <c r="AD45" i="3"/>
  <c r="AD117" i="3"/>
  <c r="AD64" i="3"/>
  <c r="AD26" i="3"/>
  <c r="AD4" i="3"/>
  <c r="AE126" i="3"/>
  <c r="AE100" i="3"/>
  <c r="AE56" i="3"/>
  <c r="AE18" i="3"/>
  <c r="AC23" i="3"/>
  <c r="Q42" i="3"/>
  <c r="P43" i="3"/>
  <c r="R44" i="3"/>
  <c r="R116" i="3"/>
  <c r="R63" i="3"/>
  <c r="R25" i="3"/>
  <c r="R3" i="3"/>
  <c r="AC125" i="3"/>
  <c r="AC97" i="3"/>
  <c r="AC48" i="3"/>
  <c r="AD44" i="3"/>
  <c r="AD116" i="3"/>
  <c r="AD63" i="3"/>
  <c r="AD25" i="3"/>
  <c r="AD3" i="3"/>
  <c r="AE125" i="3"/>
  <c r="AE97" i="3"/>
  <c r="AE48" i="3"/>
  <c r="N17" i="3"/>
  <c r="N72" i="3"/>
  <c r="N95" i="3"/>
  <c r="N104" i="3"/>
  <c r="N6" i="3"/>
  <c r="N70" i="3"/>
  <c r="N35" i="3"/>
  <c r="N54" i="3"/>
  <c r="N55" i="3"/>
  <c r="N37" i="3"/>
  <c r="N52" i="3"/>
  <c r="N51" i="3"/>
  <c r="N50" i="3"/>
  <c r="N91" i="3"/>
  <c r="N53" i="3"/>
  <c r="N31" i="3"/>
  <c r="N34" i="3"/>
  <c r="N89" i="3"/>
  <c r="N30" i="3"/>
  <c r="N32" i="3"/>
  <c r="N33" i="3"/>
  <c r="Q40" i="3"/>
  <c r="P41" i="3"/>
  <c r="N42" i="3"/>
  <c r="R43" i="3"/>
  <c r="R115" i="3"/>
  <c r="R62" i="3"/>
  <c r="R24" i="3"/>
  <c r="AC16" i="3"/>
  <c r="AC124" i="3"/>
  <c r="AC93" i="3"/>
  <c r="AC47" i="3"/>
  <c r="AC12" i="3"/>
  <c r="AD43" i="3"/>
  <c r="AD115" i="3"/>
  <c r="AD62" i="3"/>
  <c r="AD24" i="3"/>
  <c r="AE16" i="3"/>
  <c r="AE124" i="3"/>
  <c r="AE93" i="3"/>
  <c r="AE47" i="3"/>
  <c r="AE12" i="3"/>
  <c r="Q49" i="3"/>
  <c r="N40" i="3"/>
  <c r="R41" i="3"/>
  <c r="R114" i="3"/>
  <c r="R61" i="3"/>
  <c r="R23" i="3"/>
  <c r="AC15" i="3"/>
  <c r="AC123" i="3"/>
  <c r="AC46" i="3"/>
  <c r="AC11" i="3"/>
  <c r="AD41" i="3"/>
  <c r="AD114" i="3"/>
  <c r="AD61" i="3"/>
  <c r="AD23" i="3"/>
  <c r="AE15" i="3"/>
  <c r="AE123" i="3"/>
  <c r="AE46" i="3"/>
  <c r="AE11" i="3"/>
  <c r="Q45" i="3"/>
  <c r="O16" i="3"/>
  <c r="N49" i="3"/>
  <c r="R86" i="3"/>
  <c r="R113" i="3"/>
  <c r="R60" i="3"/>
  <c r="R22" i="3"/>
  <c r="AC39" i="3"/>
  <c r="AC122" i="3"/>
  <c r="AC36" i="3"/>
  <c r="AC8" i="3"/>
  <c r="AD86" i="3"/>
  <c r="AD113" i="3"/>
  <c r="AD60" i="3"/>
  <c r="AD22" i="3"/>
  <c r="AE39" i="3"/>
  <c r="AE122" i="3"/>
  <c r="AE36" i="3"/>
  <c r="AE8" i="3"/>
  <c r="Q44" i="3"/>
  <c r="O15" i="3"/>
  <c r="N45" i="3"/>
  <c r="R129" i="3"/>
  <c r="R112" i="3"/>
  <c r="R59" i="3"/>
  <c r="R21" i="3"/>
  <c r="AC42" i="3"/>
  <c r="AC121" i="3"/>
  <c r="AC29" i="3"/>
  <c r="AC7" i="3"/>
  <c r="AD129" i="3"/>
  <c r="AD112" i="3"/>
  <c r="AD59" i="3"/>
  <c r="AD21" i="3"/>
  <c r="AE42" i="3"/>
  <c r="AE121" i="3"/>
  <c r="AE29" i="3"/>
  <c r="AE7" i="3"/>
  <c r="Q43" i="3"/>
  <c r="O39" i="3"/>
  <c r="N44" i="3"/>
  <c r="R128" i="3"/>
  <c r="R111" i="3"/>
  <c r="R58" i="3"/>
  <c r="R20" i="3"/>
  <c r="AC40" i="3"/>
  <c r="AC119" i="3"/>
  <c r="AC28" i="3"/>
  <c r="AD128" i="3"/>
  <c r="AD111" i="3"/>
  <c r="AD58" i="3"/>
  <c r="AD20" i="3"/>
  <c r="AE40" i="3"/>
  <c r="AE119" i="3"/>
  <c r="AE28" i="3"/>
  <c r="Q41" i="3"/>
  <c r="O42" i="3"/>
  <c r="N43" i="3"/>
  <c r="R127" i="3"/>
  <c r="R102" i="3"/>
  <c r="R57" i="3"/>
  <c r="R19" i="3"/>
  <c r="AC49" i="3"/>
  <c r="AC118" i="3"/>
  <c r="AC65" i="3"/>
  <c r="AC27" i="3"/>
  <c r="AC5" i="3"/>
  <c r="AD127" i="3"/>
  <c r="AD102" i="3"/>
  <c r="AD57" i="3"/>
  <c r="AD19" i="3"/>
  <c r="AE49" i="3"/>
  <c r="AE118" i="3"/>
  <c r="AE65" i="3"/>
  <c r="AE27" i="3"/>
  <c r="AE5" i="3"/>
  <c r="Q86" i="3"/>
  <c r="N41" i="3"/>
  <c r="R126" i="3"/>
  <c r="R100" i="3"/>
  <c r="R56" i="3"/>
  <c r="R18" i="3"/>
  <c r="AC45" i="3"/>
  <c r="AC117" i="3"/>
  <c r="AC64" i="3"/>
  <c r="AC26" i="3"/>
  <c r="AC4" i="3"/>
  <c r="AD126" i="3"/>
  <c r="AD100" i="3"/>
  <c r="AD56" i="3"/>
  <c r="AD18" i="3"/>
  <c r="AE45" i="3"/>
  <c r="AE117" i="3"/>
  <c r="AE64" i="3"/>
  <c r="AE26" i="3"/>
  <c r="AE4" i="3"/>
  <c r="AC61" i="3"/>
  <c r="O95" i="3"/>
  <c r="O17" i="3"/>
  <c r="O72" i="3"/>
  <c r="O104" i="3"/>
  <c r="O6" i="3"/>
  <c r="O70" i="3"/>
  <c r="O91" i="3"/>
  <c r="O31" i="3"/>
  <c r="O52" i="3"/>
  <c r="O30" i="3"/>
  <c r="O32" i="3"/>
  <c r="O34" i="3"/>
  <c r="O54" i="3"/>
  <c r="O53" i="3"/>
  <c r="O33" i="3"/>
  <c r="O55" i="3"/>
  <c r="O35" i="3"/>
  <c r="O37" i="3"/>
  <c r="O89" i="3"/>
  <c r="O50" i="3"/>
  <c r="O51" i="3"/>
  <c r="P17" i="3"/>
  <c r="P95" i="3"/>
  <c r="P72" i="3"/>
  <c r="P70" i="3"/>
  <c r="P104" i="3"/>
  <c r="P6" i="3"/>
  <c r="P30" i="3"/>
  <c r="P32" i="3"/>
  <c r="P33" i="3"/>
  <c r="P31" i="3"/>
  <c r="P34" i="3"/>
  <c r="P35" i="3"/>
  <c r="P91" i="3"/>
  <c r="P37" i="3"/>
  <c r="P54" i="3"/>
  <c r="P53" i="3"/>
  <c r="P50" i="3"/>
  <c r="P51" i="3"/>
  <c r="P55" i="3"/>
  <c r="P52" i="3"/>
  <c r="P89" i="3"/>
  <c r="P16" i="3"/>
  <c r="O49" i="3"/>
  <c r="N86" i="3"/>
  <c r="R125" i="3"/>
  <c r="R97" i="3"/>
  <c r="R48" i="3"/>
  <c r="AC44" i="3"/>
  <c r="AC116" i="3"/>
  <c r="AC63" i="3"/>
  <c r="AC25" i="3"/>
  <c r="AC3" i="3"/>
  <c r="AD125" i="3"/>
  <c r="AD97" i="3"/>
  <c r="AD48" i="3"/>
  <c r="AE44" i="3"/>
  <c r="AE116" i="3"/>
  <c r="AE63" i="3"/>
  <c r="AE25" i="3"/>
  <c r="AE3" i="3"/>
  <c r="R17" i="3"/>
  <c r="R95" i="3"/>
  <c r="R72" i="3"/>
  <c r="R104" i="3"/>
  <c r="R6" i="3"/>
  <c r="R70" i="3"/>
  <c r="R54" i="3"/>
  <c r="R89" i="3"/>
  <c r="R53" i="3"/>
  <c r="R31" i="3"/>
  <c r="R30" i="3"/>
  <c r="R32" i="3"/>
  <c r="R33" i="3"/>
  <c r="R91" i="3"/>
  <c r="R34" i="3"/>
  <c r="R35" i="3"/>
  <c r="R37" i="3"/>
  <c r="R50" i="3"/>
  <c r="R51" i="3"/>
  <c r="R55" i="3"/>
  <c r="R52" i="3"/>
  <c r="P15" i="3"/>
  <c r="O45" i="3"/>
  <c r="R16" i="3"/>
  <c r="R124" i="3"/>
  <c r="R93" i="3"/>
  <c r="R47" i="3"/>
  <c r="R12" i="3"/>
  <c r="AC43" i="3"/>
  <c r="AC115" i="3"/>
  <c r="AC62" i="3"/>
  <c r="AC24" i="3"/>
  <c r="AD16" i="3"/>
  <c r="AD124" i="3"/>
  <c r="AD93" i="3"/>
  <c r="AD47" i="3"/>
  <c r="AD12" i="3"/>
  <c r="AE43" i="3"/>
  <c r="AE115" i="3"/>
  <c r="AE62" i="3"/>
  <c r="AE24" i="3"/>
  <c r="A77" i="12"/>
  <c r="A76" i="12"/>
  <c r="A75" i="12"/>
  <c r="A67" i="12"/>
  <c r="J67" i="12" s="1"/>
  <c r="A65" i="12"/>
  <c r="A64" i="12"/>
  <c r="A78" i="12"/>
  <c r="A69" i="12"/>
  <c r="A68" i="12"/>
  <c r="A66" i="12"/>
  <c r="A63" i="12"/>
  <c r="A70" i="12"/>
  <c r="A13" i="11"/>
  <c r="E13" i="11" s="1"/>
  <c r="A16" i="11"/>
  <c r="E16" i="11" s="1"/>
  <c r="A20" i="11"/>
  <c r="A22" i="11"/>
  <c r="E22" i="11" s="1"/>
  <c r="A26" i="11"/>
  <c r="A32" i="11"/>
  <c r="A36" i="11"/>
  <c r="D36" i="11" s="1"/>
  <c r="A14" i="11"/>
  <c r="A37" i="11"/>
  <c r="A17" i="11"/>
  <c r="F17" i="11" s="1"/>
  <c r="A39" i="11"/>
  <c r="A38" i="11"/>
  <c r="A19" i="11"/>
  <c r="E19" i="11" s="1"/>
  <c r="A40" i="11"/>
  <c r="A41" i="11"/>
  <c r="B41" i="11" s="1"/>
  <c r="A42" i="11"/>
  <c r="A23" i="11"/>
  <c r="A43" i="11"/>
  <c r="A25" i="11"/>
  <c r="E25" i="11" s="1"/>
  <c r="L44" i="11"/>
  <c r="A30" i="11"/>
  <c r="A31" i="11"/>
  <c r="F31" i="11" s="1"/>
  <c r="A33" i="11"/>
  <c r="C33" i="11" s="1"/>
  <c r="A32" i="15"/>
  <c r="M32" i="15" s="1"/>
  <c r="A34" i="11"/>
  <c r="A35" i="15"/>
  <c r="M35" i="15" s="1"/>
  <c r="A35" i="11"/>
  <c r="G35" i="11" s="1"/>
  <c r="A36" i="15"/>
  <c r="M36" i="15" s="1"/>
  <c r="A15" i="15"/>
  <c r="F15" i="15" s="1"/>
  <c r="A16" i="15"/>
  <c r="M16" i="15" s="1"/>
  <c r="A22" i="15"/>
  <c r="F22" i="15" s="1"/>
  <c r="A24" i="15"/>
  <c r="M24" i="15" s="1"/>
  <c r="A31" i="15"/>
  <c r="M31" i="15" s="1"/>
  <c r="A13" i="15"/>
  <c r="B13" i="15" s="1"/>
  <c r="A39" i="15"/>
  <c r="M39" i="15" s="1"/>
  <c r="A40" i="15"/>
  <c r="M40" i="15" s="1"/>
  <c r="A43" i="15"/>
  <c r="M43" i="15" s="1"/>
  <c r="D41" i="15"/>
  <c r="C41" i="15"/>
  <c r="F41" i="15"/>
  <c r="B41" i="15"/>
  <c r="M41" i="15"/>
  <c r="L41" i="15"/>
  <c r="K41" i="15"/>
  <c r="J41" i="15"/>
  <c r="I41" i="15"/>
  <c r="H41" i="15"/>
  <c r="G41" i="15"/>
  <c r="H9" i="15"/>
  <c r="M9" i="15"/>
  <c r="L9" i="15"/>
  <c r="B9" i="15"/>
  <c r="K9" i="15"/>
  <c r="J9" i="15"/>
  <c r="I9" i="15"/>
  <c r="G9" i="15"/>
  <c r="F9" i="15"/>
  <c r="C9" i="15"/>
  <c r="E9" i="15"/>
  <c r="D9" i="15"/>
  <c r="A21" i="15"/>
  <c r="A30" i="15"/>
  <c r="A34" i="15"/>
  <c r="A38" i="15"/>
  <c r="A42" i="15"/>
  <c r="A12" i="15"/>
  <c r="A19" i="15"/>
  <c r="A10" i="15"/>
  <c r="A29" i="15"/>
  <c r="A33" i="15"/>
  <c r="A37" i="15"/>
  <c r="A18" i="15"/>
  <c r="A25" i="15"/>
  <c r="A10" i="11"/>
  <c r="E10" i="11" s="1"/>
  <c r="P3" i="3"/>
  <c r="Q22" i="3"/>
  <c r="N5" i="3"/>
  <c r="O12" i="3"/>
  <c r="P11" i="3"/>
  <c r="N111" i="3"/>
  <c r="O123" i="3"/>
  <c r="P117" i="3"/>
  <c r="P26" i="3"/>
  <c r="Q129" i="3"/>
  <c r="Q112" i="3"/>
  <c r="Q21" i="3"/>
  <c r="N4" i="3"/>
  <c r="N128" i="3"/>
  <c r="N58" i="3"/>
  <c r="N20" i="3"/>
  <c r="O46" i="3"/>
  <c r="O11" i="3"/>
  <c r="P64" i="3"/>
  <c r="Q59" i="3"/>
  <c r="N127" i="3"/>
  <c r="N102" i="3"/>
  <c r="N57" i="3"/>
  <c r="N19" i="3"/>
  <c r="O122" i="3"/>
  <c r="O36" i="3"/>
  <c r="O8" i="3"/>
  <c r="P116" i="3"/>
  <c r="P63" i="3"/>
  <c r="P25" i="3"/>
  <c r="Q128" i="3"/>
  <c r="Q111" i="3"/>
  <c r="Q58" i="3"/>
  <c r="Q20" i="3"/>
  <c r="N126" i="3"/>
  <c r="N100" i="3"/>
  <c r="N56" i="3"/>
  <c r="N18" i="3"/>
  <c r="O121" i="3"/>
  <c r="O29" i="3"/>
  <c r="O7" i="3"/>
  <c r="P115" i="3"/>
  <c r="P62" i="3"/>
  <c r="P24" i="3"/>
  <c r="Q127" i="3"/>
  <c r="Q102" i="3"/>
  <c r="Q57" i="3"/>
  <c r="Q19" i="3"/>
  <c r="N48" i="3"/>
  <c r="O119" i="3"/>
  <c r="O28" i="3"/>
  <c r="P114" i="3"/>
  <c r="P61" i="3"/>
  <c r="P23" i="3"/>
  <c r="Q126" i="3"/>
  <c r="Q100" i="3"/>
  <c r="Q56" i="3"/>
  <c r="Q18" i="3"/>
  <c r="N124" i="3"/>
  <c r="N93" i="3"/>
  <c r="N47" i="3"/>
  <c r="N12" i="3"/>
  <c r="O118" i="3"/>
  <c r="O65" i="3"/>
  <c r="O27" i="3"/>
  <c r="O3" i="3"/>
  <c r="P113" i="3"/>
  <c r="P60" i="3"/>
  <c r="P22" i="3"/>
  <c r="Q125" i="3"/>
  <c r="Q97" i="3"/>
  <c r="Q48" i="3"/>
  <c r="N123" i="3"/>
  <c r="N46" i="3"/>
  <c r="N11" i="3"/>
  <c r="O117" i="3"/>
  <c r="O64" i="3"/>
  <c r="O26" i="3"/>
  <c r="P129" i="3"/>
  <c r="P112" i="3"/>
  <c r="P59" i="3"/>
  <c r="P21" i="3"/>
  <c r="Q124" i="3"/>
  <c r="Q93" i="3"/>
  <c r="Q47" i="3"/>
  <c r="Q12" i="3"/>
  <c r="N122" i="3"/>
  <c r="N36" i="3"/>
  <c r="N8" i="3"/>
  <c r="O116" i="3"/>
  <c r="O63" i="3"/>
  <c r="O25" i="3"/>
  <c r="P128" i="3"/>
  <c r="P111" i="3"/>
  <c r="P58" i="3"/>
  <c r="P20" i="3"/>
  <c r="Q123" i="3"/>
  <c r="Q46" i="3"/>
  <c r="Q11" i="3"/>
  <c r="N121" i="3"/>
  <c r="N29" i="3"/>
  <c r="N7" i="3"/>
  <c r="O115" i="3"/>
  <c r="O62" i="3"/>
  <c r="O24" i="3"/>
  <c r="P127" i="3"/>
  <c r="P102" i="3"/>
  <c r="P57" i="3"/>
  <c r="P19" i="3"/>
  <c r="Q122" i="3"/>
  <c r="Q36" i="3"/>
  <c r="Q8" i="3"/>
  <c r="N97" i="3"/>
  <c r="N119" i="3"/>
  <c r="N28" i="3"/>
  <c r="O114" i="3"/>
  <c r="O61" i="3"/>
  <c r="O23" i="3"/>
  <c r="P126" i="3"/>
  <c r="P100" i="3"/>
  <c r="P56" i="3"/>
  <c r="P18" i="3"/>
  <c r="Q121" i="3"/>
  <c r="Q29" i="3"/>
  <c r="Q7" i="3"/>
  <c r="N125" i="3"/>
  <c r="N118" i="3"/>
  <c r="N65" i="3"/>
  <c r="N27" i="3"/>
  <c r="N3" i="3"/>
  <c r="O113" i="3"/>
  <c r="O60" i="3"/>
  <c r="O22" i="3"/>
  <c r="P125" i="3"/>
  <c r="P97" i="3"/>
  <c r="P48" i="3"/>
  <c r="Q119" i="3"/>
  <c r="Q28" i="3"/>
  <c r="Q5" i="3"/>
  <c r="N117" i="3"/>
  <c r="N64" i="3"/>
  <c r="N26" i="3"/>
  <c r="O129" i="3"/>
  <c r="O112" i="3"/>
  <c r="O59" i="3"/>
  <c r="O21" i="3"/>
  <c r="P124" i="3"/>
  <c r="P93" i="3"/>
  <c r="P47" i="3"/>
  <c r="P12" i="3"/>
  <c r="Q118" i="3"/>
  <c r="Q65" i="3"/>
  <c r="Q27" i="3"/>
  <c r="Q3" i="3"/>
  <c r="Q4" i="3"/>
  <c r="N116" i="3"/>
  <c r="N63" i="3"/>
  <c r="N25" i="3"/>
  <c r="O128" i="3"/>
  <c r="O111" i="3"/>
  <c r="O58" i="3"/>
  <c r="O20" i="3"/>
  <c r="P123" i="3"/>
  <c r="P46" i="3"/>
  <c r="Q117" i="3"/>
  <c r="Q64" i="3"/>
  <c r="Q26" i="3"/>
  <c r="P5" i="3"/>
  <c r="N115" i="3"/>
  <c r="N62" i="3"/>
  <c r="N24" i="3"/>
  <c r="O127" i="3"/>
  <c r="O102" i="3"/>
  <c r="O57" i="3"/>
  <c r="O19" i="3"/>
  <c r="P122" i="3"/>
  <c r="P36" i="3"/>
  <c r="P8" i="3"/>
  <c r="Q116" i="3"/>
  <c r="Q63" i="3"/>
  <c r="Q25" i="3"/>
  <c r="P4" i="3"/>
  <c r="N114" i="3"/>
  <c r="N61" i="3"/>
  <c r="N23" i="3"/>
  <c r="O126" i="3"/>
  <c r="O100" i="3"/>
  <c r="O56" i="3"/>
  <c r="O18" i="3"/>
  <c r="P121" i="3"/>
  <c r="P29" i="3"/>
  <c r="P7" i="3"/>
  <c r="Q115" i="3"/>
  <c r="Q62" i="3"/>
  <c r="Q24" i="3"/>
  <c r="O5" i="3"/>
  <c r="N113" i="3"/>
  <c r="N60" i="3"/>
  <c r="N22" i="3"/>
  <c r="O125" i="3"/>
  <c r="O97" i="3"/>
  <c r="O48" i="3"/>
  <c r="P119" i="3"/>
  <c r="P28" i="3"/>
  <c r="Q114" i="3"/>
  <c r="Q61" i="3"/>
  <c r="Q23" i="3"/>
  <c r="O4" i="3"/>
  <c r="N129" i="3"/>
  <c r="N112" i="3"/>
  <c r="N59" i="3"/>
  <c r="N21" i="3"/>
  <c r="O124" i="3"/>
  <c r="O93" i="3"/>
  <c r="O47" i="3"/>
  <c r="P118" i="3"/>
  <c r="P65" i="3"/>
  <c r="P27" i="3"/>
  <c r="Q113" i="3"/>
  <c r="Q60" i="3"/>
  <c r="A33" i="12"/>
  <c r="A32" i="12"/>
  <c r="E32" i="12" s="1"/>
  <c r="A30" i="12"/>
  <c r="A29" i="12"/>
  <c r="E29" i="12" s="1"/>
  <c r="A27" i="12"/>
  <c r="A26" i="12"/>
  <c r="E26" i="12" s="1"/>
  <c r="A24" i="12"/>
  <c r="A23" i="12"/>
  <c r="E23" i="12" s="1"/>
  <c r="A61" i="12"/>
  <c r="A60" i="12"/>
  <c r="A59" i="12"/>
  <c r="A58" i="12"/>
  <c r="A47" i="12"/>
  <c r="A49" i="12"/>
  <c r="A48" i="12"/>
  <c r="A50" i="12"/>
  <c r="A52" i="12"/>
  <c r="A53" i="12"/>
  <c r="A51" i="12"/>
  <c r="A54" i="12"/>
  <c r="G54" i="12" s="1"/>
  <c r="A56" i="12"/>
  <c r="A55" i="12"/>
  <c r="A57" i="12"/>
  <c r="A62" i="12"/>
  <c r="A37" i="12"/>
  <c r="A38" i="12"/>
  <c r="A39" i="12"/>
  <c r="K39" i="12" s="1"/>
  <c r="A40" i="12"/>
  <c r="A41" i="12"/>
  <c r="A42" i="12"/>
  <c r="A43" i="12"/>
  <c r="K43" i="12" s="1"/>
  <c r="A11" i="12"/>
  <c r="E11" i="12" s="1"/>
  <c r="A12" i="12"/>
  <c r="A15" i="12"/>
  <c r="A17" i="12"/>
  <c r="E17" i="12" s="1"/>
  <c r="A18" i="12"/>
  <c r="A14" i="12"/>
  <c r="E14" i="12" s="1"/>
  <c r="A20" i="12"/>
  <c r="E20" i="12" s="1"/>
  <c r="A21" i="12"/>
  <c r="M44" i="11"/>
  <c r="J44" i="11"/>
  <c r="H44" i="11"/>
  <c r="I44" i="11"/>
  <c r="K44" i="11"/>
  <c r="C44" i="11"/>
  <c r="I71" i="12" l="1"/>
  <c r="J71" i="12"/>
  <c r="G71" i="12"/>
  <c r="K71" i="12"/>
  <c r="C71" i="12"/>
  <c r="H71" i="12"/>
  <c r="B71" i="12"/>
  <c r="D71" i="12"/>
  <c r="F71" i="12"/>
  <c r="J72" i="12"/>
  <c r="G72" i="12"/>
  <c r="D72" i="12"/>
  <c r="B72" i="12"/>
  <c r="K72" i="12"/>
  <c r="F72" i="12"/>
  <c r="I72" i="12"/>
  <c r="H72" i="12"/>
  <c r="C72" i="12"/>
  <c r="D73" i="12"/>
  <c r="K73" i="12"/>
  <c r="C73" i="12"/>
  <c r="F73" i="12"/>
  <c r="B73" i="12"/>
  <c r="G73" i="12"/>
  <c r="H73" i="12"/>
  <c r="I73" i="12"/>
  <c r="J73" i="12"/>
  <c r="K74" i="12"/>
  <c r="B74" i="12"/>
  <c r="G74" i="12"/>
  <c r="H74" i="12"/>
  <c r="C74" i="12"/>
  <c r="D74" i="12"/>
  <c r="F74" i="12"/>
  <c r="I74" i="12"/>
  <c r="J74" i="12"/>
  <c r="E30" i="12"/>
  <c r="K75" i="12"/>
  <c r="B75" i="12"/>
  <c r="D75" i="12"/>
  <c r="J75" i="12"/>
  <c r="F75" i="12"/>
  <c r="G75" i="12"/>
  <c r="I75" i="12"/>
  <c r="C75" i="12"/>
  <c r="H75" i="12"/>
  <c r="K76" i="12"/>
  <c r="F76" i="12"/>
  <c r="D76" i="12"/>
  <c r="G76" i="12"/>
  <c r="B76" i="12"/>
  <c r="C76" i="12"/>
  <c r="H76" i="12"/>
  <c r="J76" i="12"/>
  <c r="I76" i="12"/>
  <c r="G77" i="12"/>
  <c r="I77" i="12"/>
  <c r="D77" i="12"/>
  <c r="F77" i="12"/>
  <c r="H77" i="12"/>
  <c r="K77" i="12"/>
  <c r="J77" i="12"/>
  <c r="B77" i="12"/>
  <c r="C77" i="12"/>
  <c r="C32" i="15"/>
  <c r="B66" i="12"/>
  <c r="J66" i="12"/>
  <c r="C66" i="12"/>
  <c r="F66" i="12"/>
  <c r="K66" i="12"/>
  <c r="G66" i="12"/>
  <c r="I66" i="12"/>
  <c r="D66" i="12"/>
  <c r="H66" i="12"/>
  <c r="G68" i="12"/>
  <c r="C68" i="12"/>
  <c r="B68" i="12"/>
  <c r="D68" i="12"/>
  <c r="F68" i="12"/>
  <c r="D69" i="12"/>
  <c r="F69" i="12"/>
  <c r="B69" i="12"/>
  <c r="C69" i="12"/>
  <c r="G69" i="12"/>
  <c r="K78" i="12"/>
  <c r="C78" i="12"/>
  <c r="B78" i="12"/>
  <c r="I78" i="12"/>
  <c r="D78" i="12"/>
  <c r="G78" i="12"/>
  <c r="F78" i="12"/>
  <c r="H78" i="12"/>
  <c r="J78" i="12"/>
  <c r="H64" i="12"/>
  <c r="B64" i="12"/>
  <c r="J64" i="12"/>
  <c r="K64" i="12"/>
  <c r="F64" i="12"/>
  <c r="I64" i="12"/>
  <c r="D64" i="12"/>
  <c r="G64" i="12"/>
  <c r="C64" i="12"/>
  <c r="D63" i="12"/>
  <c r="C63" i="12"/>
  <c r="F63" i="12"/>
  <c r="G63" i="12"/>
  <c r="B63" i="12"/>
  <c r="K69" i="12"/>
  <c r="B65" i="12"/>
  <c r="K65" i="12"/>
  <c r="J65" i="12"/>
  <c r="C65" i="12"/>
  <c r="F65" i="12"/>
  <c r="D65" i="12"/>
  <c r="G65" i="12"/>
  <c r="H65" i="12"/>
  <c r="I65" i="12"/>
  <c r="C67" i="12"/>
  <c r="F67" i="12"/>
  <c r="B67" i="12"/>
  <c r="G67" i="12"/>
  <c r="D67" i="12"/>
  <c r="J63" i="12"/>
  <c r="I67" i="12"/>
  <c r="H69" i="12"/>
  <c r="K63" i="12"/>
  <c r="D70" i="12"/>
  <c r="I70" i="12"/>
  <c r="J70" i="12"/>
  <c r="K70" i="12"/>
  <c r="H70" i="12"/>
  <c r="B70" i="12"/>
  <c r="C70" i="12"/>
  <c r="G70" i="12"/>
  <c r="F70" i="12"/>
  <c r="J68" i="12"/>
  <c r="I68" i="12"/>
  <c r="H67" i="12"/>
  <c r="H63" i="12"/>
  <c r="I63" i="12"/>
  <c r="K67" i="12"/>
  <c r="J69" i="12"/>
  <c r="I69" i="12"/>
  <c r="K68" i="12"/>
  <c r="H68" i="12"/>
  <c r="L39" i="15"/>
  <c r="C39" i="15"/>
  <c r="J32" i="15"/>
  <c r="B39" i="15"/>
  <c r="K39" i="15"/>
  <c r="I35" i="15"/>
  <c r="C40" i="15"/>
  <c r="L35" i="15"/>
  <c r="D39" i="15"/>
  <c r="I39" i="15"/>
  <c r="H35" i="15"/>
  <c r="F13" i="15"/>
  <c r="B36" i="15"/>
  <c r="D13" i="15"/>
  <c r="H13" i="15"/>
  <c r="D35" i="15"/>
  <c r="D31" i="15"/>
  <c r="G13" i="15"/>
  <c r="B32" i="15"/>
  <c r="I32" i="15"/>
  <c r="L32" i="15"/>
  <c r="K36" i="15"/>
  <c r="G35" i="15"/>
  <c r="H32" i="15"/>
  <c r="C35" i="15"/>
  <c r="K32" i="15"/>
  <c r="B35" i="15"/>
  <c r="G32" i="15"/>
  <c r="J35" i="15"/>
  <c r="F32" i="15"/>
  <c r="D32" i="15"/>
  <c r="G36" i="15"/>
  <c r="C13" i="15"/>
  <c r="I13" i="15"/>
  <c r="D22" i="15"/>
  <c r="I24" i="15"/>
  <c r="L24" i="15"/>
  <c r="I22" i="15"/>
  <c r="J24" i="15"/>
  <c r="H24" i="15"/>
  <c r="E24" i="15"/>
  <c r="K22" i="15"/>
  <c r="G17" i="11"/>
  <c r="E14" i="11"/>
  <c r="C17" i="11"/>
  <c r="B17" i="11"/>
  <c r="D17" i="11"/>
  <c r="E17" i="11"/>
  <c r="B16" i="15"/>
  <c r="I36" i="15"/>
  <c r="F36" i="15"/>
  <c r="J15" i="15"/>
  <c r="G15" i="15"/>
  <c r="L15" i="15"/>
  <c r="G24" i="15"/>
  <c r="D36" i="15"/>
  <c r="H15" i="15"/>
  <c r="K24" i="15"/>
  <c r="C24" i="15"/>
  <c r="K35" i="15"/>
  <c r="I15" i="15"/>
  <c r="J36" i="15"/>
  <c r="K15" i="15"/>
  <c r="L36" i="15"/>
  <c r="F35" i="15"/>
  <c r="H36" i="15"/>
  <c r="C36" i="15"/>
  <c r="G22" i="15"/>
  <c r="B31" i="15"/>
  <c r="C16" i="15"/>
  <c r="H16" i="15"/>
  <c r="F16" i="15"/>
  <c r="B22" i="15"/>
  <c r="K31" i="15"/>
  <c r="F31" i="15"/>
  <c r="E15" i="15"/>
  <c r="E16" i="15" s="1"/>
  <c r="C15" i="15"/>
  <c r="J22" i="15"/>
  <c r="I31" i="15"/>
  <c r="H22" i="15"/>
  <c r="G31" i="15"/>
  <c r="E22" i="15"/>
  <c r="L16" i="15"/>
  <c r="I16" i="15"/>
  <c r="J16" i="15"/>
  <c r="C31" i="15"/>
  <c r="G16" i="15"/>
  <c r="D16" i="15"/>
  <c r="J31" i="15"/>
  <c r="K16" i="15"/>
  <c r="H31" i="15"/>
  <c r="L40" i="15"/>
  <c r="H39" i="15"/>
  <c r="C43" i="15"/>
  <c r="K43" i="15"/>
  <c r="H40" i="15"/>
  <c r="B24" i="15"/>
  <c r="H43" i="15"/>
  <c r="I40" i="15"/>
  <c r="I43" i="15"/>
  <c r="J40" i="15"/>
  <c r="F39" i="15"/>
  <c r="F24" i="15"/>
  <c r="D24" i="15"/>
  <c r="D40" i="15"/>
  <c r="J43" i="15"/>
  <c r="B43" i="15"/>
  <c r="L43" i="15"/>
  <c r="J39" i="15"/>
  <c r="K40" i="15"/>
  <c r="G40" i="15"/>
  <c r="F43" i="15"/>
  <c r="D43" i="15"/>
  <c r="J13" i="15"/>
  <c r="L13" i="15"/>
  <c r="K13" i="15"/>
  <c r="M13" i="15"/>
  <c r="G43" i="15"/>
  <c r="F40" i="15"/>
  <c r="B40" i="15"/>
  <c r="L22" i="15"/>
  <c r="M22" i="15"/>
  <c r="L31" i="15"/>
  <c r="G39" i="15"/>
  <c r="C22" i="15"/>
  <c r="M15" i="15"/>
  <c r="D15" i="15"/>
  <c r="B15" i="15"/>
  <c r="C18" i="15"/>
  <c r="B18" i="15"/>
  <c r="D18" i="15"/>
  <c r="M18" i="15"/>
  <c r="L18" i="15"/>
  <c r="K18" i="15"/>
  <c r="J18" i="15"/>
  <c r="E18" i="15"/>
  <c r="I18" i="15"/>
  <c r="H18" i="15"/>
  <c r="G18" i="15"/>
  <c r="F18" i="15"/>
  <c r="F19" i="15"/>
  <c r="E19" i="15"/>
  <c r="D19" i="15"/>
  <c r="C19" i="15"/>
  <c r="B19" i="15"/>
  <c r="H19" i="15"/>
  <c r="G19" i="15"/>
  <c r="M19" i="15"/>
  <c r="L19" i="15"/>
  <c r="K19" i="15"/>
  <c r="J19" i="15"/>
  <c r="I19" i="15"/>
  <c r="G12" i="15"/>
  <c r="F12" i="15"/>
  <c r="E12" i="15"/>
  <c r="E13" i="15" s="1"/>
  <c r="D12" i="15"/>
  <c r="I12" i="15"/>
  <c r="C12" i="15"/>
  <c r="B12" i="15"/>
  <c r="H12" i="15"/>
  <c r="M12" i="15"/>
  <c r="L12" i="15"/>
  <c r="K12" i="15"/>
  <c r="J12" i="15"/>
  <c r="I42" i="15"/>
  <c r="H42" i="15"/>
  <c r="G42" i="15"/>
  <c r="F42" i="15"/>
  <c r="D42" i="15"/>
  <c r="C42" i="15"/>
  <c r="B42" i="15"/>
  <c r="M42" i="15"/>
  <c r="L42" i="15"/>
  <c r="J42" i="15"/>
  <c r="K42" i="15"/>
  <c r="I38" i="15"/>
  <c r="H38" i="15"/>
  <c r="G38" i="15"/>
  <c r="J38" i="15"/>
  <c r="F38" i="15"/>
  <c r="D38" i="15"/>
  <c r="C38" i="15"/>
  <c r="B38" i="15"/>
  <c r="M38" i="15"/>
  <c r="L38" i="15"/>
  <c r="K38" i="15"/>
  <c r="B25" i="15"/>
  <c r="C25" i="15"/>
  <c r="M25" i="15"/>
  <c r="L25" i="15"/>
  <c r="K25" i="15"/>
  <c r="J25" i="15"/>
  <c r="I25" i="15"/>
  <c r="H25" i="15"/>
  <c r="G25" i="15"/>
  <c r="F25" i="15"/>
  <c r="E25" i="15"/>
  <c r="D25" i="15"/>
  <c r="D33" i="15"/>
  <c r="C33" i="15"/>
  <c r="F33" i="15"/>
  <c r="B33" i="15"/>
  <c r="M33" i="15"/>
  <c r="L33" i="15"/>
  <c r="K33" i="15"/>
  <c r="J33" i="15"/>
  <c r="I33" i="15"/>
  <c r="H33" i="15"/>
  <c r="G33" i="15"/>
  <c r="D29" i="15"/>
  <c r="C29" i="15"/>
  <c r="B29" i="15"/>
  <c r="F29" i="15"/>
  <c r="M29" i="15"/>
  <c r="L29" i="15"/>
  <c r="K29" i="15"/>
  <c r="J29" i="15"/>
  <c r="I29" i="15"/>
  <c r="H29" i="15"/>
  <c r="G29" i="15"/>
  <c r="I34" i="15"/>
  <c r="H34" i="15"/>
  <c r="J34" i="15"/>
  <c r="G34" i="15"/>
  <c r="F34" i="15"/>
  <c r="D34" i="15"/>
  <c r="C34" i="15"/>
  <c r="B34" i="15"/>
  <c r="M34" i="15"/>
  <c r="L34" i="15"/>
  <c r="K34" i="15"/>
  <c r="D37" i="15"/>
  <c r="C37" i="15"/>
  <c r="B37" i="15"/>
  <c r="F37" i="15"/>
  <c r="M37" i="15"/>
  <c r="L37" i="15"/>
  <c r="K37" i="15"/>
  <c r="J37" i="15"/>
  <c r="I37" i="15"/>
  <c r="H37" i="15"/>
  <c r="G37" i="15"/>
  <c r="I21" i="15"/>
  <c r="K21" i="15"/>
  <c r="H21" i="15"/>
  <c r="G21" i="15"/>
  <c r="F21" i="15"/>
  <c r="E21" i="15"/>
  <c r="J21" i="15"/>
  <c r="D21" i="15"/>
  <c r="C21" i="15"/>
  <c r="B21" i="15"/>
  <c r="M21" i="15"/>
  <c r="L21" i="15"/>
  <c r="I30" i="15"/>
  <c r="H30" i="15"/>
  <c r="J30" i="15"/>
  <c r="G30" i="15"/>
  <c r="F30" i="15"/>
  <c r="D30" i="15"/>
  <c r="C30" i="15"/>
  <c r="B30" i="15"/>
  <c r="M30" i="15"/>
  <c r="L30" i="15"/>
  <c r="K30" i="15"/>
  <c r="D10" i="15"/>
  <c r="C10" i="15"/>
  <c r="B10" i="15"/>
  <c r="F10" i="15"/>
  <c r="M10" i="15"/>
  <c r="K10" i="15"/>
  <c r="L10" i="15"/>
  <c r="E10" i="15"/>
  <c r="J10" i="15"/>
  <c r="I10" i="15"/>
  <c r="H10" i="15"/>
  <c r="G10" i="15"/>
  <c r="E24" i="12"/>
  <c r="E33" i="12"/>
  <c r="E27" i="12"/>
  <c r="B18" i="12"/>
  <c r="E21" i="12"/>
  <c r="I15" i="12"/>
  <c r="K29" i="12"/>
  <c r="B29" i="12"/>
  <c r="J29" i="12"/>
  <c r="I29" i="12"/>
  <c r="F29" i="12"/>
  <c r="C29" i="12"/>
  <c r="G29" i="12"/>
  <c r="H29" i="12"/>
  <c r="D29" i="12"/>
  <c r="I58" i="12"/>
  <c r="K58" i="12"/>
  <c r="H58" i="12"/>
  <c r="D58" i="12"/>
  <c r="F58" i="12"/>
  <c r="G58" i="12"/>
  <c r="B58" i="12"/>
  <c r="C58" i="12"/>
  <c r="J58" i="12"/>
  <c r="K54" i="12"/>
  <c r="G59" i="12"/>
  <c r="D59" i="12"/>
  <c r="H59" i="12"/>
  <c r="B59" i="12"/>
  <c r="C59" i="12"/>
  <c r="I59" i="12"/>
  <c r="J59" i="12"/>
  <c r="K59" i="12"/>
  <c r="F59" i="12"/>
  <c r="D60" i="12"/>
  <c r="F60" i="12"/>
  <c r="I60" i="12"/>
  <c r="G60" i="12"/>
  <c r="K60" i="12"/>
  <c r="J60" i="12"/>
  <c r="H60" i="12"/>
  <c r="B60" i="12"/>
  <c r="C60" i="12"/>
  <c r="K61" i="12"/>
  <c r="B61" i="12"/>
  <c r="D61" i="12"/>
  <c r="H61" i="12"/>
  <c r="G61" i="12"/>
  <c r="J61" i="12"/>
  <c r="C61" i="12"/>
  <c r="F61" i="12"/>
  <c r="I61" i="12"/>
  <c r="K17" i="12"/>
  <c r="E18" i="12"/>
  <c r="J24" i="12"/>
  <c r="J54" i="12"/>
  <c r="F54" i="12"/>
  <c r="I54" i="12"/>
  <c r="H54" i="12"/>
  <c r="D54" i="12"/>
  <c r="B54" i="12"/>
  <c r="C54" i="12"/>
  <c r="I50" i="12"/>
  <c r="H50" i="12"/>
  <c r="G50" i="12"/>
  <c r="B50" i="12"/>
  <c r="F50" i="12"/>
  <c r="D50" i="12"/>
  <c r="C50" i="12"/>
  <c r="J50" i="12"/>
  <c r="K50" i="12"/>
  <c r="K53" i="12"/>
  <c r="J53" i="12"/>
  <c r="I53" i="12"/>
  <c r="H53" i="12"/>
  <c r="G53" i="12"/>
  <c r="F53" i="12"/>
  <c r="D53" i="12"/>
  <c r="C53" i="12"/>
  <c r="B53" i="12"/>
  <c r="K56" i="12"/>
  <c r="J56" i="12"/>
  <c r="I56" i="12"/>
  <c r="H56" i="12"/>
  <c r="G56" i="12"/>
  <c r="F56" i="12"/>
  <c r="D56" i="12"/>
  <c r="C56" i="12"/>
  <c r="B56" i="12"/>
  <c r="B57" i="12"/>
  <c r="K57" i="12"/>
  <c r="J57" i="12"/>
  <c r="I57" i="12"/>
  <c r="H57" i="12"/>
  <c r="G57" i="12"/>
  <c r="F57" i="12"/>
  <c r="D57" i="12"/>
  <c r="C57" i="12"/>
  <c r="K48" i="12"/>
  <c r="J48" i="12"/>
  <c r="G48" i="12"/>
  <c r="I48" i="12"/>
  <c r="H48" i="12"/>
  <c r="F48" i="12"/>
  <c r="D48" i="12"/>
  <c r="C48" i="12"/>
  <c r="B48" i="12"/>
  <c r="I62" i="12"/>
  <c r="H62" i="12"/>
  <c r="G62" i="12"/>
  <c r="F62" i="12"/>
  <c r="D62" i="12"/>
  <c r="C62" i="12"/>
  <c r="B62" i="12"/>
  <c r="J62" i="12"/>
  <c r="K62" i="12"/>
  <c r="B49" i="12"/>
  <c r="K49" i="12"/>
  <c r="J49" i="12"/>
  <c r="I49" i="12"/>
  <c r="H49" i="12"/>
  <c r="G49" i="12"/>
  <c r="C49" i="12"/>
  <c r="F49" i="12"/>
  <c r="D49" i="12"/>
  <c r="D52" i="12"/>
  <c r="C52" i="12"/>
  <c r="B52" i="12"/>
  <c r="K52" i="12"/>
  <c r="J52" i="12"/>
  <c r="I52" i="12"/>
  <c r="G52" i="12"/>
  <c r="F52" i="12"/>
  <c r="H52" i="12"/>
  <c r="G55" i="12"/>
  <c r="F55" i="12"/>
  <c r="D55" i="12"/>
  <c r="C55" i="12"/>
  <c r="B55" i="12"/>
  <c r="K55" i="12"/>
  <c r="J55" i="12"/>
  <c r="I55" i="12"/>
  <c r="H55" i="12"/>
  <c r="K51" i="12"/>
  <c r="I51" i="12"/>
  <c r="J51" i="12"/>
  <c r="H51" i="12"/>
  <c r="G51" i="12"/>
  <c r="F51" i="12"/>
  <c r="D51" i="12"/>
  <c r="C51" i="12"/>
  <c r="B51" i="12"/>
  <c r="G47" i="12"/>
  <c r="F47" i="12"/>
  <c r="D47" i="12"/>
  <c r="C47" i="12"/>
  <c r="B47" i="12"/>
  <c r="K47" i="12"/>
  <c r="H47" i="12"/>
  <c r="J47" i="12"/>
  <c r="I47" i="12"/>
  <c r="C43" i="12"/>
  <c r="J39" i="12"/>
  <c r="J43" i="12"/>
  <c r="H43" i="12"/>
  <c r="G39" i="12"/>
  <c r="K33" i="12"/>
  <c r="J33" i="12"/>
  <c r="I33" i="12"/>
  <c r="H33" i="12"/>
  <c r="G33" i="12"/>
  <c r="F33" i="12"/>
  <c r="D33" i="12"/>
  <c r="C33" i="12"/>
  <c r="B33" i="12"/>
  <c r="J11" i="12"/>
  <c r="B11" i="12"/>
  <c r="I32" i="12"/>
  <c r="H32" i="12"/>
  <c r="G32" i="12"/>
  <c r="F32" i="12"/>
  <c r="D32" i="12"/>
  <c r="C32" i="12"/>
  <c r="B32" i="12"/>
  <c r="J32" i="12"/>
  <c r="K32" i="12"/>
  <c r="D11" i="12"/>
  <c r="C11" i="12"/>
  <c r="E12" i="12"/>
  <c r="I11" i="12"/>
  <c r="K11" i="12"/>
  <c r="G43" i="12"/>
  <c r="F11" i="12"/>
  <c r="G30" i="12"/>
  <c r="F30" i="12"/>
  <c r="D30" i="12"/>
  <c r="C30" i="12"/>
  <c r="B30" i="12"/>
  <c r="K30" i="12"/>
  <c r="J30" i="12"/>
  <c r="G11" i="12"/>
  <c r="I43" i="12"/>
  <c r="H11" i="12"/>
  <c r="F43" i="12"/>
  <c r="H24" i="12"/>
  <c r="I17" i="12"/>
  <c r="C17" i="12"/>
  <c r="H17" i="12"/>
  <c r="H18" i="12"/>
  <c r="J18" i="12"/>
  <c r="D24" i="12"/>
  <c r="D15" i="12"/>
  <c r="F15" i="12"/>
  <c r="C18" i="12"/>
  <c r="C15" i="12"/>
  <c r="K15" i="12"/>
  <c r="G15" i="12"/>
  <c r="K24" i="12"/>
  <c r="I39" i="12"/>
  <c r="G40" i="12"/>
  <c r="D40" i="12"/>
  <c r="D18" i="12"/>
  <c r="C40" i="12"/>
  <c r="I40" i="12"/>
  <c r="J40" i="12"/>
  <c r="H39" i="12"/>
  <c r="H40" i="12"/>
  <c r="B40" i="12"/>
  <c r="C39" i="12"/>
  <c r="G18" i="12"/>
  <c r="F39" i="12"/>
  <c r="D43" i="12"/>
  <c r="B43" i="12"/>
  <c r="J15" i="12"/>
  <c r="D39" i="12"/>
  <c r="B39" i="12"/>
  <c r="H15" i="12"/>
  <c r="D17" i="12"/>
  <c r="B15" i="12"/>
  <c r="J17" i="12"/>
  <c r="F24" i="12"/>
  <c r="C24" i="12"/>
  <c r="I24" i="12"/>
  <c r="I18" i="12"/>
  <c r="B24" i="12"/>
  <c r="G17" i="12"/>
  <c r="F17" i="12"/>
  <c r="F18" i="12"/>
  <c r="G24" i="12"/>
  <c r="B17" i="12"/>
  <c r="K40" i="12"/>
  <c r="F40" i="12"/>
  <c r="K18" i="12"/>
  <c r="I42" i="12"/>
  <c r="H42" i="12"/>
  <c r="G42" i="12"/>
  <c r="F42" i="12"/>
  <c r="D42" i="12"/>
  <c r="C42" i="12"/>
  <c r="B42" i="12"/>
  <c r="K42" i="12"/>
  <c r="J42" i="12"/>
  <c r="I23" i="12"/>
  <c r="H23" i="12"/>
  <c r="G23" i="12"/>
  <c r="F23" i="12"/>
  <c r="D23" i="12"/>
  <c r="C23" i="12"/>
  <c r="B23" i="12"/>
  <c r="K23" i="12"/>
  <c r="J23" i="12"/>
  <c r="I38" i="12"/>
  <c r="H38" i="12"/>
  <c r="G38" i="12"/>
  <c r="F38" i="12"/>
  <c r="D38" i="12"/>
  <c r="C38" i="12"/>
  <c r="B38" i="12"/>
  <c r="K38" i="12"/>
  <c r="J38" i="12"/>
  <c r="D37" i="12"/>
  <c r="C37" i="12"/>
  <c r="B37" i="12"/>
  <c r="K37" i="12"/>
  <c r="J37" i="12"/>
  <c r="I37" i="12"/>
  <c r="H37" i="12"/>
  <c r="F37" i="12"/>
  <c r="G37" i="12"/>
  <c r="K26" i="12"/>
  <c r="J26" i="12"/>
  <c r="D26" i="12"/>
  <c r="I26" i="12"/>
  <c r="H26" i="12"/>
  <c r="G26" i="12"/>
  <c r="F26" i="12"/>
  <c r="C26" i="12"/>
  <c r="B26" i="12"/>
  <c r="D12" i="12"/>
  <c r="C12" i="12"/>
  <c r="B12" i="12"/>
  <c r="K12" i="12"/>
  <c r="J12" i="12"/>
  <c r="H12" i="12"/>
  <c r="G12" i="12"/>
  <c r="I12" i="12"/>
  <c r="F12" i="12"/>
  <c r="G14" i="12"/>
  <c r="F14" i="12"/>
  <c r="E15" i="12"/>
  <c r="D14" i="12"/>
  <c r="C14" i="12"/>
  <c r="K14" i="12"/>
  <c r="B14" i="12"/>
  <c r="J14" i="12"/>
  <c r="H14" i="12"/>
  <c r="I14" i="12"/>
  <c r="F21" i="12"/>
  <c r="D21" i="12"/>
  <c r="C21" i="12"/>
  <c r="B21" i="12"/>
  <c r="K21" i="12"/>
  <c r="J21" i="12"/>
  <c r="I21" i="12"/>
  <c r="H21" i="12"/>
  <c r="G21" i="12"/>
  <c r="D41" i="12"/>
  <c r="C41" i="12"/>
  <c r="B41" i="12"/>
  <c r="K41" i="12"/>
  <c r="J41" i="12"/>
  <c r="I41" i="12"/>
  <c r="H41" i="12"/>
  <c r="F41" i="12"/>
  <c r="G41" i="12"/>
  <c r="C20" i="12"/>
  <c r="B20" i="12"/>
  <c r="H20" i="12"/>
  <c r="K20" i="12"/>
  <c r="J20" i="12"/>
  <c r="I20" i="12"/>
  <c r="G20" i="12"/>
  <c r="F20" i="12"/>
  <c r="D20" i="12"/>
  <c r="B27" i="12"/>
  <c r="K27" i="12"/>
  <c r="J27" i="12"/>
  <c r="I27" i="12"/>
  <c r="G27" i="12"/>
  <c r="H27" i="12"/>
  <c r="F27" i="12"/>
  <c r="C27" i="12"/>
  <c r="D27" i="12"/>
  <c r="M17" i="11"/>
  <c r="L17" i="11"/>
  <c r="E26" i="11"/>
  <c r="E20" i="11"/>
  <c r="E23" i="11"/>
  <c r="M23" i="11"/>
  <c r="L23" i="11"/>
  <c r="B22" i="11"/>
  <c r="L22" i="11"/>
  <c r="M22" i="11"/>
  <c r="M26" i="11"/>
  <c r="L26" i="11"/>
  <c r="M25" i="11"/>
  <c r="L25" i="11"/>
  <c r="B31" i="11"/>
  <c r="G31" i="11"/>
  <c r="C41" i="11"/>
  <c r="F36" i="11"/>
  <c r="B37" i="11"/>
  <c r="M37" i="11"/>
  <c r="K37" i="11"/>
  <c r="J37" i="11"/>
  <c r="I37" i="11"/>
  <c r="L37" i="11"/>
  <c r="H37" i="11"/>
  <c r="M41" i="11"/>
  <c r="K41" i="11"/>
  <c r="I41" i="11"/>
  <c r="J41" i="11"/>
  <c r="L41" i="11"/>
  <c r="H41" i="11"/>
  <c r="M30" i="11"/>
  <c r="L30" i="11"/>
  <c r="L36" i="11"/>
  <c r="M36" i="11"/>
  <c r="B33" i="11"/>
  <c r="M33" i="11"/>
  <c r="K33" i="11"/>
  <c r="J33" i="11"/>
  <c r="I33" i="11"/>
  <c r="L33" i="11"/>
  <c r="H33" i="11"/>
  <c r="M34" i="11"/>
  <c r="L34" i="11"/>
  <c r="D38" i="11"/>
  <c r="H38" i="11"/>
  <c r="M38" i="11"/>
  <c r="K38" i="11"/>
  <c r="L38" i="11"/>
  <c r="J38" i="11"/>
  <c r="I38" i="11"/>
  <c r="F40" i="11"/>
  <c r="L40" i="11"/>
  <c r="K40" i="11"/>
  <c r="I40" i="11"/>
  <c r="H40" i="11"/>
  <c r="J40" i="11"/>
  <c r="M40" i="11"/>
  <c r="C32" i="11"/>
  <c r="L32" i="11"/>
  <c r="M32" i="11"/>
  <c r="J43" i="11"/>
  <c r="I43" i="11"/>
  <c r="M43" i="11"/>
  <c r="H43" i="11"/>
  <c r="L43" i="11"/>
  <c r="K43" i="11"/>
  <c r="B35" i="11"/>
  <c r="M35" i="11"/>
  <c r="L35" i="11"/>
  <c r="B39" i="11"/>
  <c r="J39" i="11"/>
  <c r="I39" i="11"/>
  <c r="M39" i="11"/>
  <c r="H39" i="11"/>
  <c r="L39" i="11"/>
  <c r="K39" i="11"/>
  <c r="H42" i="11"/>
  <c r="M42" i="11"/>
  <c r="L42" i="11"/>
  <c r="K42" i="11"/>
  <c r="J42" i="11"/>
  <c r="I42" i="11"/>
  <c r="M31" i="11"/>
  <c r="L31" i="11"/>
  <c r="D32" i="11"/>
  <c r="B32" i="11"/>
  <c r="F32" i="11"/>
  <c r="F35" i="11"/>
  <c r="M11" i="11"/>
  <c r="L11" i="11"/>
  <c r="M10" i="11"/>
  <c r="L10" i="11"/>
  <c r="C14" i="11"/>
  <c r="M14" i="11"/>
  <c r="L14" i="11"/>
  <c r="L19" i="11"/>
  <c r="M19" i="11"/>
  <c r="M20" i="11"/>
  <c r="L20" i="11"/>
  <c r="M16" i="11"/>
  <c r="L16" i="11"/>
  <c r="M13" i="11"/>
  <c r="L13" i="11"/>
  <c r="C36" i="11"/>
  <c r="C38" i="11"/>
  <c r="F38" i="11"/>
  <c r="B38" i="11"/>
  <c r="G38" i="11"/>
  <c r="C37" i="11"/>
  <c r="D39" i="11"/>
  <c r="C39" i="11"/>
  <c r="C43" i="11"/>
  <c r="D43" i="11"/>
  <c r="G39" i="11"/>
  <c r="C40" i="11"/>
  <c r="G32" i="11"/>
  <c r="D44" i="11"/>
  <c r="G33" i="11"/>
  <c r="D33" i="11"/>
  <c r="F33" i="11"/>
  <c r="D42" i="11"/>
  <c r="C42" i="11"/>
  <c r="G42" i="11"/>
  <c r="F42" i="11"/>
  <c r="B42" i="11"/>
  <c r="F44" i="11"/>
  <c r="G43" i="11"/>
  <c r="D31" i="11"/>
  <c r="C31" i="11"/>
  <c r="G37" i="11"/>
  <c r="F37" i="11"/>
  <c r="D37" i="11"/>
  <c r="G41" i="11"/>
  <c r="F41" i="11"/>
  <c r="D41" i="11"/>
  <c r="F39" i="11"/>
  <c r="B43" i="11"/>
  <c r="B36" i="11"/>
  <c r="G36" i="11"/>
  <c r="D35" i="11"/>
  <c r="C35" i="11"/>
  <c r="G40" i="11"/>
  <c r="B40" i="11"/>
  <c r="D40" i="11"/>
  <c r="G44" i="11"/>
  <c r="B44" i="11"/>
  <c r="F43" i="11"/>
  <c r="D34" i="11"/>
  <c r="F34" i="11"/>
  <c r="C34" i="11"/>
  <c r="B34" i="11"/>
  <c r="G34" i="11"/>
  <c r="D30" i="11"/>
  <c r="G30" i="11"/>
  <c r="F30" i="11"/>
  <c r="C30" i="11"/>
  <c r="B30" i="11"/>
  <c r="F14" i="11"/>
  <c r="C22" i="11"/>
  <c r="D10" i="11"/>
  <c r="C10" i="11"/>
  <c r="E11"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K23" i="11"/>
  <c r="K30" i="11"/>
  <c r="K22" i="11"/>
  <c r="K35" i="11"/>
  <c r="K31" i="11"/>
  <c r="K25" i="11"/>
  <c r="K10" i="11"/>
  <c r="K32" i="11"/>
  <c r="K36" i="11"/>
  <c r="H16" i="11"/>
  <c r="H10" i="11"/>
  <c r="H25" i="11"/>
  <c r="H22" i="11"/>
  <c r="H31" i="11"/>
  <c r="H35" i="11"/>
  <c r="I17" i="11"/>
  <c r="I10" i="11"/>
  <c r="I26" i="11"/>
  <c r="I30" i="11"/>
  <c r="I34" i="11"/>
  <c r="I31" i="11"/>
  <c r="I35" i="11"/>
  <c r="J11" i="11"/>
  <c r="J16" i="11"/>
  <c r="J10" i="11"/>
  <c r="J26" i="11"/>
  <c r="J30" i="11"/>
  <c r="J34" i="11"/>
  <c r="J31" i="11"/>
  <c r="J35" i="11"/>
  <c r="I30" i="12" l="1"/>
  <c r="H17" i="11"/>
  <c r="J14" i="11"/>
  <c r="I11" i="11"/>
  <c r="K11" i="11"/>
  <c r="H14" i="11"/>
  <c r="K17" i="11"/>
  <c r="K13" i="11"/>
  <c r="H11" i="11"/>
  <c r="I13" i="11"/>
  <c r="K14" i="11"/>
  <c r="H13" i="11"/>
  <c r="J13" i="11"/>
  <c r="I16" i="11"/>
  <c r="H19" i="11"/>
  <c r="J17" i="11"/>
  <c r="I14" i="11"/>
  <c r="K16" i="11"/>
  <c r="H30" i="11"/>
  <c r="H26" i="11"/>
  <c r="J22" i="11"/>
  <c r="K26" i="11"/>
  <c r="I22" i="11"/>
  <c r="I19" i="11"/>
  <c r="K34" i="11"/>
  <c r="K20" i="11"/>
  <c r="J19" i="11"/>
  <c r="I25" i="11"/>
  <c r="K19" i="11"/>
  <c r="J25" i="11"/>
  <c r="H34" i="11"/>
  <c r="H32" i="11" l="1"/>
  <c r="H36" i="11"/>
  <c r="I32" i="11"/>
  <c r="I36" i="11"/>
  <c r="J32" i="11"/>
  <c r="J36" i="11"/>
  <c r="H30" i="12" l="1"/>
  <c r="H20" i="11" l="1"/>
  <c r="H23" i="11"/>
  <c r="I20" i="11"/>
  <c r="I23" i="11"/>
  <c r="J23" i="11"/>
  <c r="J20" i="11"/>
</calcChain>
</file>

<file path=xl/sharedStrings.xml><?xml version="1.0" encoding="utf-8"?>
<sst xmlns="http://schemas.openxmlformats.org/spreadsheetml/2006/main" count="3553" uniqueCount="556">
  <si>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</si>
  <si>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</si>
  <si>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</si>
  <si>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</si>
  <si>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</si>
  <si>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</si>
  <si>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</si>
  <si>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</si>
  <si>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</si>
  <si>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Enrolment Planner</t>
  </si>
  <si>
    <t>Course:</t>
  </si>
  <si>
    <t>Master of Arts (OpenUnis)</t>
  </si>
  <si>
    <t>Course version:</t>
  </si>
  <si>
    <t>Major:</t>
  </si>
  <si>
    <t>Creative Writing Major (MArts) (OpenUnis)</t>
  </si>
  <si>
    <t>Major version:</t>
  </si>
  <si>
    <t>Commencing:</t>
  </si>
  <si>
    <t>Study Period 1 (March - June)</t>
  </si>
  <si>
    <t>Credits to Complete:</t>
  </si>
  <si>
    <t>Course Notes:</t>
  </si>
  <si>
    <t>2026 Availabilities</t>
  </si>
  <si>
    <t>Year 1</t>
  </si>
  <si>
    <t>OUA Code</t>
  </si>
  <si>
    <t>Study Period</t>
  </si>
  <si>
    <t>Pre Requisite(s)</t>
  </si>
  <si>
    <t>CP</t>
  </si>
  <si>
    <t>SP1</t>
  </si>
  <si>
    <t>SP2</t>
  </si>
  <si>
    <t>SP3</t>
  </si>
  <si>
    <t>SP4</t>
  </si>
  <si>
    <t>Notes / Progress</t>
  </si>
  <si>
    <t>Year 2</t>
  </si>
  <si>
    <t>Alternate Core Subjects</t>
  </si>
  <si>
    <t>Specified Elective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</si>
  <si>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</si>
  <si>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</si>
  <si>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</si>
  <si>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Certificate in Arts (OpenUnis)</t>
  </si>
  <si>
    <t>Stream:</t>
  </si>
  <si>
    <t>Digital Communications Stream (GradCertA) (OpenUnis)</t>
  </si>
  <si>
    <t>Stream version:</t>
  </si>
  <si>
    <t>Alternate Core and Option Subjects</t>
  </si>
  <si>
    <t>2024 Enrolment Planner</t>
  </si>
  <si>
    <t>Graduate Certificate in Human Rights (OpenUnis)</t>
  </si>
  <si>
    <t>OUA Session 1 (March - June)</t>
  </si>
  <si>
    <t>2024 Availabilities</t>
  </si>
  <si>
    <t>OUA
Sess1</t>
  </si>
  <si>
    <t>OUA
Sess2</t>
  </si>
  <si>
    <t>Alternate Core &amp; Option Subjects</t>
  </si>
  <si>
    <t>Progress</t>
  </si>
  <si>
    <t>Master of Human Rights (OpenUnis)</t>
  </si>
  <si>
    <t>Choose your commencing study period (drop-down list)</t>
  </si>
  <si>
    <t>TableCourses</t>
  </si>
  <si>
    <t>Choose your Course</t>
  </si>
  <si>
    <t>SM Version</t>
  </si>
  <si>
    <t>SM Effective Date</t>
  </si>
  <si>
    <t>Akari Iteration</t>
  </si>
  <si>
    <t>Akari Effective Date</t>
  </si>
  <si>
    <t>Credit Points</t>
  </si>
  <si>
    <t>SM Availabilities</t>
  </si>
  <si>
    <t>OC-ARTS</t>
  </si>
  <si>
    <t>v.1</t>
  </si>
  <si>
    <t>100 credit points required</t>
  </si>
  <si>
    <t>OM-ARTS</t>
  </si>
  <si>
    <t>400 credit points required</t>
  </si>
  <si>
    <t>OC-HRIGHT</t>
  </si>
  <si>
    <t>OUA Sess1, Sess2</t>
  </si>
  <si>
    <t>Graduate Diploma in Human Rights (OpenUnis)</t>
  </si>
  <si>
    <t>OG-HRIGHT</t>
  </si>
  <si>
    <t>200 credit points required</t>
  </si>
  <si>
    <t>SP1, SP2, SP3, SP4</t>
  </si>
  <si>
    <t>OM-HRIGHT</t>
  </si>
  <si>
    <t>v.2</t>
  </si>
  <si>
    <t>300 credit points required</t>
  </si>
  <si>
    <t>TableOMARTSMajors</t>
  </si>
  <si>
    <t>Choose your Major (drop-down list)</t>
  </si>
  <si>
    <t>OUMP-CWRI4</t>
  </si>
  <si>
    <t>Digital Communications Major (MArts) (OpenUnis)</t>
  </si>
  <si>
    <t>OUMP-DGCM1</t>
  </si>
  <si>
    <t>Fine Art Major (MArts) (OpenUnis)</t>
  </si>
  <si>
    <t>OUMP-FINA1</t>
  </si>
  <si>
    <t>Professional Writing and Publishing Major (MArts) (OpenUnis)</t>
  </si>
  <si>
    <t>OUMP-PWRI4</t>
  </si>
  <si>
    <t>OUMP-CWRI1</t>
  </si>
  <si>
    <t>Deactivated</t>
  </si>
  <si>
    <t>OUMP-PWRI1</t>
  </si>
  <si>
    <t>TableOCARTSStreams</t>
  </si>
  <si>
    <t>Choose your Stream (drop-down list)</t>
  </si>
  <si>
    <t>Creative Writing Stream (GCert Arts) (OpenUnis)</t>
  </si>
  <si>
    <t>OUSP-CWRI1</t>
  </si>
  <si>
    <t>OUSP-DGCM1</t>
  </si>
  <si>
    <t>Fine Art Stream (GCert Arts) (OpenUnis)</t>
  </si>
  <si>
    <t>OUSP-FINA1</t>
  </si>
  <si>
    <t>Professional Writing and Publishing Stream (GCertA) (OpenUnis)</t>
  </si>
  <si>
    <t>OUSP-PWRI1</t>
  </si>
  <si>
    <t>TableOMARTSStudyPeriods</t>
  </si>
  <si>
    <t>START</t>
  </si>
  <si>
    <t>Next</t>
  </si>
  <si>
    <t>Next2</t>
  </si>
  <si>
    <t>Next3</t>
  </si>
  <si>
    <t>Study Period 3 (September - November)</t>
  </si>
  <si>
    <t>TableSessionStudyPeriods</t>
  </si>
  <si>
    <t>Sess1</t>
  </si>
  <si>
    <t>Sess2</t>
  </si>
  <si>
    <t>Sess3</t>
  </si>
  <si>
    <t>OUA Session 2 (July - October)</t>
  </si>
  <si>
    <t>RangeCourseNotes</t>
  </si>
  <si>
    <t>This course is 6 months full-time or equivalent part-time study. There are SP1 and SP3 intakes for this course.</t>
  </si>
  <si>
    <t>This fee paying course is only available for part-time study and the minimum completion time is 1 year.</t>
  </si>
  <si>
    <t>This course is one year full-time or equivalent part-time study.</t>
  </si>
  <si>
    <t>This fee-paying course is 18 months full-time or equivalent part-time study. Students can commence study in either February/March or July, but full-time study is only available for students commencing in July. CHRE501 and CHRE502 are recommended first subjects. Students wanting to enrol into HUMN610 must have passed HUMN600 in a prior study period, as it is a pre-requisite. Alternatively, students may choose to complete COMS610 and COMS600.</t>
  </si>
  <si>
    <t>Choose your Human Rights Course (drop-down list)</t>
  </si>
  <si>
    <t>20/02/2025 - Have dumped HRIGHTS structures and started to build Unitsets, however delivery across study periods is a major issue!!</t>
  </si>
  <si>
    <t>RangeUnitsetsOMARTS</t>
  </si>
  <si>
    <t>OUMP-CWRI4SP1</t>
  </si>
  <si>
    <t>OUMP-CWRI4SP3</t>
  </si>
  <si>
    <t>OUMP-DGCM1SP1</t>
  </si>
  <si>
    <t>OUMP-DGCM1SP3</t>
  </si>
  <si>
    <t>OUMP-FINA1SP1</t>
  </si>
  <si>
    <t>OUMP-FINA1SP3</t>
  </si>
  <si>
    <t>OUMP-PWRI4SP1</t>
  </si>
  <si>
    <t>OUMP-PWRI4SP3</t>
  </si>
  <si>
    <t>Y1SP1</t>
  </si>
  <si>
    <t>COMS6007</t>
  </si>
  <si>
    <t>Y1SP3</t>
  </si>
  <si>
    <t>HUMN6004</t>
  </si>
  <si>
    <t>Y1SP2</t>
  </si>
  <si>
    <t>Y1SP4</t>
  </si>
  <si>
    <t>Y2SP1</t>
  </si>
  <si>
    <t>Y2SP3</t>
  </si>
  <si>
    <t>Y2SP2</t>
  </si>
  <si>
    <t>Y2SP4</t>
  </si>
  <si>
    <t>RangeACsOMARTS</t>
  </si>
  <si>
    <t>AC-CWRI4</t>
  </si>
  <si>
    <t>AC-DGCM11</t>
  </si>
  <si>
    <t>AC-FINA11</t>
  </si>
  <si>
    <t>AC-PWRI4</t>
  </si>
  <si>
    <t>NETS5012</t>
  </si>
  <si>
    <t>VISA5018</t>
  </si>
  <si>
    <t>NETS5013</t>
  </si>
  <si>
    <t>VISA5020</t>
  </si>
  <si>
    <t xml:space="preserve"> </t>
  </si>
  <si>
    <t>AC-DGCM12</t>
  </si>
  <si>
    <t>AC-FINA12</t>
  </si>
  <si>
    <t>RangeOptionsOMARTS</t>
  </si>
  <si>
    <t>Opt-DGCM1</t>
  </si>
  <si>
    <t>Opt-FINA1</t>
  </si>
  <si>
    <t>CWRI5020</t>
  </si>
  <si>
    <t>50CP</t>
  </si>
  <si>
    <t>CWRI5028</t>
  </si>
  <si>
    <t>COMS6006</t>
  </si>
  <si>
    <t>CWRI6004</t>
  </si>
  <si>
    <t>CWRI5030</t>
  </si>
  <si>
    <t>HUMN6002</t>
  </si>
  <si>
    <t>LANG5005</t>
  </si>
  <si>
    <t>CWRI5032</t>
  </si>
  <si>
    <t>LANG5007</t>
  </si>
  <si>
    <t>CWRI5034</t>
  </si>
  <si>
    <t>25CP</t>
  </si>
  <si>
    <t>LANG5009</t>
  </si>
  <si>
    <t>CWRI5036</t>
  </si>
  <si>
    <t>INFO5042</t>
  </si>
  <si>
    <t>VISA5015</t>
  </si>
  <si>
    <t>LANG5013</t>
  </si>
  <si>
    <t>CWRI5038</t>
  </si>
  <si>
    <t>VISA5016</t>
  </si>
  <si>
    <t>VISA5017</t>
  </si>
  <si>
    <t>NETS5016</t>
  </si>
  <si>
    <t>NETS5014</t>
  </si>
  <si>
    <t>PWRP5032</t>
  </si>
  <si>
    <t>NETS5015</t>
  </si>
  <si>
    <t>VISA5019</t>
  </si>
  <si>
    <t>PWRP5033</t>
  </si>
  <si>
    <t>LANG5015</t>
  </si>
  <si>
    <t>NETS5017</t>
  </si>
  <si>
    <t>VISA6013</t>
  </si>
  <si>
    <t>NETS5018</t>
  </si>
  <si>
    <t>VISA6014</t>
  </si>
  <si>
    <t>NETS5019</t>
  </si>
  <si>
    <t>VISA6015</t>
  </si>
  <si>
    <t>NETS5020</t>
  </si>
  <si>
    <t>NETS5021</t>
  </si>
  <si>
    <t>LANG5011</t>
  </si>
  <si>
    <t>PWRP5026</t>
  </si>
  <si>
    <t>RangeUnitsetsOCARTS</t>
  </si>
  <si>
    <t>OUSP-CWRI1SP1</t>
  </si>
  <si>
    <t>OUSP-CWRI1SP3</t>
  </si>
  <si>
    <t>OUSP-DGCM1SP1</t>
  </si>
  <si>
    <t>OUSP-DGCM1SP3</t>
  </si>
  <si>
    <t>OUSP-FINA1SP1</t>
  </si>
  <si>
    <t>OUSP-FINA1SP3</t>
  </si>
  <si>
    <t>OUSP-PWRI1SP1</t>
  </si>
  <si>
    <t>OUSP-PWRI1SP3</t>
  </si>
  <si>
    <t>Opt-CWRI1S</t>
  </si>
  <si>
    <t>AC-DGCM1S</t>
  </si>
  <si>
    <t>AC-FINA1S</t>
  </si>
  <si>
    <t>Opt-PWRI1S</t>
  </si>
  <si>
    <t>Opt-DGCM1S</t>
  </si>
  <si>
    <t>Opt-FINA1S</t>
  </si>
  <si>
    <t>COMS5005</t>
  </si>
  <si>
    <t>RangeACOptOCARTS</t>
  </si>
  <si>
    <t>Opt-3</t>
  </si>
  <si>
    <t>CWRI6002</t>
  </si>
  <si>
    <t>CWRI5021</t>
  </si>
  <si>
    <t>PWRP5027</t>
  </si>
  <si>
    <t>CWRI5022</t>
  </si>
  <si>
    <t>AND</t>
  </si>
  <si>
    <t>PWRP5028</t>
  </si>
  <si>
    <t>CWRI5023</t>
  </si>
  <si>
    <t>Opt-2</t>
  </si>
  <si>
    <t>PWRP5029</t>
  </si>
  <si>
    <t>CWRI5024</t>
  </si>
  <si>
    <t>PWRP5030</t>
  </si>
  <si>
    <t>CWRI5025</t>
  </si>
  <si>
    <t>CWRI5026</t>
  </si>
  <si>
    <t>PWRP5025</t>
  </si>
  <si>
    <t>RangeUnitsetsHRIGHTS</t>
  </si>
  <si>
    <t>OC-HRIGHTSess1</t>
  </si>
  <si>
    <t>OC-HRIGHTSess2</t>
  </si>
  <si>
    <t>OUMP-PWRI1SP1</t>
  </si>
  <si>
    <t>OUMP-PWRI1SP3</t>
  </si>
  <si>
    <t>OUASess1</t>
  </si>
  <si>
    <t>HRIG5007</t>
  </si>
  <si>
    <t>HRIG5006</t>
  </si>
  <si>
    <t>Opt-PWRI1</t>
  </si>
  <si>
    <t>HRIG5008</t>
  </si>
  <si>
    <t>OUASess2</t>
  </si>
  <si>
    <t>HRIG5009</t>
  </si>
  <si>
    <t>HRIG5010</t>
  </si>
  <si>
    <t>HRIG5011</t>
  </si>
  <si>
    <t>INTR5007</t>
  </si>
  <si>
    <t>COMS6008</t>
  </si>
  <si>
    <t>AC-PWRI1</t>
  </si>
  <si>
    <t>-</t>
  </si>
  <si>
    <t>RangeOptionsHRIGHTS</t>
  </si>
  <si>
    <t>Title</t>
  </si>
  <si>
    <t>Notes</t>
  </si>
  <si>
    <t>Please note this is a Double (50CP) subject</t>
  </si>
  <si>
    <t>25 Credit Point Subjects</t>
  </si>
  <si>
    <t>50 Credit Point Subjects (Year 2 only)</t>
  </si>
  <si>
    <t>AC-CWRI1</t>
  </si>
  <si>
    <t>Study either COM610 or HUMN610 (see below)</t>
  </si>
  <si>
    <t>See below</t>
  </si>
  <si>
    <t>Study either MIC501 or MIC502 (see below)</t>
  </si>
  <si>
    <t/>
  </si>
  <si>
    <t>Study either VSW515 or VSW525 (see below)</t>
  </si>
  <si>
    <t>AC-HRIGHT1</t>
  </si>
  <si>
    <t>Choose COMS6007 or HUMN6002  in Year 1</t>
  </si>
  <si>
    <t>AC-HRIGHT2</t>
  </si>
  <si>
    <t>Choose HUMN6004 or COMS6006 in Year 2</t>
  </si>
  <si>
    <t>Arts Major</t>
  </si>
  <si>
    <t>Choose a Major</t>
  </si>
  <si>
    <t>COM500</t>
  </si>
  <si>
    <t>Approaches to Arts Research</t>
  </si>
  <si>
    <t>Nil</t>
  </si>
  <si>
    <t>COM600</t>
  </si>
  <si>
    <t>Masters Professional Experience</t>
  </si>
  <si>
    <t>COM610</t>
  </si>
  <si>
    <t>Masters Professional or Creative Project</t>
  </si>
  <si>
    <t>COM605</t>
  </si>
  <si>
    <t>CWG500</t>
  </si>
  <si>
    <t>Graduate Travel Writing</t>
  </si>
  <si>
    <t>CWG505</t>
  </si>
  <si>
    <t>Graduate Writing for Children</t>
  </si>
  <si>
    <t>CWG510</t>
  </si>
  <si>
    <t>Graduate Writing Genre Fiction</t>
  </si>
  <si>
    <t>CWG515</t>
  </si>
  <si>
    <t>Graduate Writing Long Fiction</t>
  </si>
  <si>
    <t>CWG520</t>
  </si>
  <si>
    <t>Graduate Writing Short Fiction</t>
  </si>
  <si>
    <t>CWG525</t>
  </si>
  <si>
    <t>Graduate Experimental Writing</t>
  </si>
  <si>
    <t>CWG530</t>
  </si>
  <si>
    <t>Graduate Writing Poetry</t>
  </si>
  <si>
    <t>CWG600</t>
  </si>
  <si>
    <t>Graduate Engaging Narrative</t>
  </si>
  <si>
    <t>Elective</t>
  </si>
  <si>
    <t>Choose Electives</t>
  </si>
  <si>
    <t>CHRE501</t>
  </si>
  <si>
    <t>Introduction to Human Rights and Social Justice</t>
  </si>
  <si>
    <t>CHRE502</t>
  </si>
  <si>
    <t>Dialogue across Cultures and Religions</t>
  </si>
  <si>
    <t>CHRE506</t>
  </si>
  <si>
    <t>International Human Rights Law and Practice</t>
  </si>
  <si>
    <t>CHRE507</t>
  </si>
  <si>
    <t>Social Justice and Development</t>
  </si>
  <si>
    <t>CHRE512</t>
  </si>
  <si>
    <t>Activism, Advocacy and Change</t>
  </si>
  <si>
    <t>CHRE509</t>
  </si>
  <si>
    <t>Forced Migration and Refugee Rights</t>
  </si>
  <si>
    <t>HUMN600</t>
  </si>
  <si>
    <t>Masters Research Project 1 (* pre requisite to HUMN610)</t>
  </si>
  <si>
    <t>HUMN610</t>
  </si>
  <si>
    <t>Masters Research Project 2 (* must study HUMN600 first)</t>
  </si>
  <si>
    <t>INF510</t>
  </si>
  <si>
    <t>Telling Stories with Data</t>
  </si>
  <si>
    <t>CHRE503</t>
  </si>
  <si>
    <t>Human Rights Education in Practice</t>
  </si>
  <si>
    <t>Graduate Narrative Nonfiction</t>
  </si>
  <si>
    <t>Graduate Editing</t>
  </si>
  <si>
    <t>Graduate Publishing</t>
  </si>
  <si>
    <t>(LANG5007 or PWP510)*</t>
  </si>
  <si>
    <t>Graduate Publishing Studio</t>
  </si>
  <si>
    <t>LANG5009 or PWP525</t>
  </si>
  <si>
    <t>Graduate Introduction to Creative and Professional Writing</t>
  </si>
  <si>
    <t>Graduate Advanced Narrative Nonfiction</t>
  </si>
  <si>
    <t>LANG5005 or PWP520</t>
  </si>
  <si>
    <t>MIC501</t>
  </si>
  <si>
    <t>Graduate Web Communications</t>
  </si>
  <si>
    <t>MIC502</t>
  </si>
  <si>
    <t>Graduate Digital Culture and Everyday Life</t>
  </si>
  <si>
    <t>MIC503</t>
  </si>
  <si>
    <t>Graduate Online Power and Resistance</t>
  </si>
  <si>
    <t>MIC504</t>
  </si>
  <si>
    <t>Graduate Social Media, Communities and Networks</t>
  </si>
  <si>
    <t>MIC505</t>
  </si>
  <si>
    <t>Graduate Writing on the Web</t>
  </si>
  <si>
    <t>MIC506</t>
  </si>
  <si>
    <t>Graduate The Digital Economy</t>
  </si>
  <si>
    <t>MIC507</t>
  </si>
  <si>
    <t>Graduate Technology, Innovation and Societies</t>
  </si>
  <si>
    <t>MIC508</t>
  </si>
  <si>
    <t>Graduate Digital Creation Capstone</t>
  </si>
  <si>
    <t>MIC509</t>
  </si>
  <si>
    <t>Graduate Web Media</t>
  </si>
  <si>
    <t>MIC510</t>
  </si>
  <si>
    <t>Graduate Online Games and Play</t>
  </si>
  <si>
    <t>Study 2 Option subjects from this list</t>
  </si>
  <si>
    <t>Study 3 Option subjects from this list</t>
  </si>
  <si>
    <t>Opt-CWRI1</t>
  </si>
  <si>
    <t>Study a Creative Writing option subject (see below)</t>
  </si>
  <si>
    <t>Study a Year 1 Creative Writing option subject (see below)</t>
  </si>
  <si>
    <t>Study a Year 2 Creative Writing option subject (see below)</t>
  </si>
  <si>
    <t>Study a Digital Communications option subject (see below)</t>
  </si>
  <si>
    <t>Study a Fine Art option subject (see below)</t>
  </si>
  <si>
    <t>Opt-HRIGHT</t>
  </si>
  <si>
    <t>Choose Options</t>
  </si>
  <si>
    <t>Study a Professional Writing and Publishing option subject (see below)</t>
  </si>
  <si>
    <t>Study a Year 1 Professional Writing and Publishing option subject (see below)</t>
  </si>
  <si>
    <t>Study a Year 2 Professional Writing and Publishing option subject (see below)</t>
  </si>
  <si>
    <t>PWP500</t>
  </si>
  <si>
    <t>PWP520</t>
  </si>
  <si>
    <t>PWP505</t>
  </si>
  <si>
    <t>Graduate Advanced Workplace Writing</t>
  </si>
  <si>
    <t>PWP540</t>
  </si>
  <si>
    <t>PWP510</t>
  </si>
  <si>
    <t>PWP515</t>
  </si>
  <si>
    <t>PWP525</t>
  </si>
  <si>
    <t>PWP510*</t>
  </si>
  <si>
    <t>PWRP5031</t>
  </si>
  <si>
    <t>PWP530</t>
  </si>
  <si>
    <t>PWP535</t>
  </si>
  <si>
    <t>Graduate Skills in Professional Writing</t>
  </si>
  <si>
    <t>Graduate Workplace Writing</t>
  </si>
  <si>
    <t>Stream</t>
  </si>
  <si>
    <t>Choose Your Stream</t>
  </si>
  <si>
    <t>VSW500</t>
  </si>
  <si>
    <t>Graduate Drawing</t>
  </si>
  <si>
    <t>VSW505</t>
  </si>
  <si>
    <t>Graduate Fine Art Project</t>
  </si>
  <si>
    <t>VSW510</t>
  </si>
  <si>
    <t>Graduate Fine Art Studio Extension</t>
  </si>
  <si>
    <t>VSW515</t>
  </si>
  <si>
    <t>Graduate Fine Art Studio Materials</t>
  </si>
  <si>
    <t>VSW520</t>
  </si>
  <si>
    <t>Graduate Fine Art Studio Strategies</t>
  </si>
  <si>
    <t>VSW525</t>
  </si>
  <si>
    <t>Graduate Fine Art Studio Methods</t>
  </si>
  <si>
    <t>VSW600</t>
  </si>
  <si>
    <t>Graduate Fine Art Concepts and Contexts</t>
  </si>
  <si>
    <t>VSW605</t>
  </si>
  <si>
    <t>Graduate Fine Art Project Development</t>
  </si>
  <si>
    <t>VSW615</t>
  </si>
  <si>
    <t>Graduate Fine Art Studio Practice</t>
  </si>
  <si>
    <t>Downloaded:</t>
  </si>
  <si>
    <t>V</t>
  </si>
  <si>
    <t>CPs</t>
  </si>
  <si>
    <t>No.</t>
  </si>
  <si>
    <t>Component Type</t>
  </si>
  <si>
    <t>Year Level</t>
  </si>
  <si>
    <t>Study Package Code</t>
  </si>
  <si>
    <t>Structure Line</t>
  </si>
  <si>
    <t>Effective</t>
  </si>
  <si>
    <t>Discont.</t>
  </si>
  <si>
    <t>SPK</t>
  </si>
  <si>
    <t>AltCore</t>
  </si>
  <si>
    <t>NA</t>
  </si>
  <si>
    <t>Option</t>
  </si>
  <si>
    <t>Core</t>
  </si>
  <si>
    <t>COM500 Approaches to Arts Research</t>
  </si>
  <si>
    <t>COM605 Planning an Arts Research Project</t>
  </si>
  <si>
    <t>Choose HUMN6004 or COMS6007</t>
  </si>
  <si>
    <t>COM600 Masters Professional Experience</t>
  </si>
  <si>
    <t>CWG500 Graduate Travel Writing</t>
  </si>
  <si>
    <t>HUMN600 Masters Research Project 1</t>
  </si>
  <si>
    <t>COM610 Masters Professional or Creative Project</t>
  </si>
  <si>
    <t>HUMN610 Masters Research Project 2</t>
  </si>
  <si>
    <t>Choose NETS5012 or NETS5013</t>
  </si>
  <si>
    <t>INF510 Telling Stories with Data</t>
  </si>
  <si>
    <t>MIC501 Graduate Web Communications</t>
  </si>
  <si>
    <t>MIC502 Graduate Digital Culture and Everyday Life</t>
  </si>
  <si>
    <t>MIC503 Graduate Online Power and Resistance</t>
  </si>
  <si>
    <t>MIC504 Graduate Social Media, Communities and Networks</t>
  </si>
  <si>
    <t>MIC505 Graduate Writing on the Web</t>
  </si>
  <si>
    <t>MIC506 Graduate The Digital Economy</t>
  </si>
  <si>
    <t>MIC507 Graduate Technology, Innovation and Societies</t>
  </si>
  <si>
    <t>MIC509 Graduate Web Media</t>
  </si>
  <si>
    <t>MIC510 Graduate Online Games and Play</t>
  </si>
  <si>
    <t>Choose VISA5018 or VISA5020</t>
  </si>
  <si>
    <t>VSW500 Graduate Drawing</t>
  </si>
  <si>
    <t>VSW505 Graduate Fine Art Project</t>
  </si>
  <si>
    <t>VSW510 Graduate Fine Art Studio Extension</t>
  </si>
  <si>
    <t>VSW515 Graduate Fine Art Studio Materials</t>
  </si>
  <si>
    <t>VSW520 Graduate Fine Art Studio Strategies</t>
  </si>
  <si>
    <t>VSW525 Graduate Fine Art Studio Methods</t>
  </si>
  <si>
    <t>VSW600 Graduate Fine Art Concepts and Contexts</t>
  </si>
  <si>
    <t>VSW605 Graduate Fine Art Project Development</t>
  </si>
  <si>
    <t>VSW615 Graduate Fine Art Studio Practice</t>
  </si>
  <si>
    <t>PWP505 Graduate Advanced Workplace Writing</t>
  </si>
  <si>
    <t>PWP535 Graduate Skills in Professional Writing</t>
  </si>
  <si>
    <t>PWP540 Graduate Workplace Writing</t>
  </si>
  <si>
    <t>CHRE502 Dialogue across Cultures and Religions</t>
  </si>
  <si>
    <t>CHRE506 International Human Rights Law and Practice</t>
  </si>
  <si>
    <t>CHRE507 Social Justice and Development</t>
  </si>
  <si>
    <t>CHRE512 Activism, Advocacy and Change</t>
  </si>
  <si>
    <t>CHRE509 Forced Migration and Refugee Rights</t>
  </si>
  <si>
    <t>CHRE503 Human Rights Education in Practice</t>
  </si>
  <si>
    <t>CHRE501 Introduction to Human Rights and Social Justice</t>
  </si>
  <si>
    <t>Row Labels</t>
  </si>
  <si>
    <t>OpenUnis Session 1</t>
  </si>
  <si>
    <t>OpenUnis Session 2</t>
  </si>
  <si>
    <t>OpenUnis SP 1</t>
  </si>
  <si>
    <t>OpenUnis SP 2</t>
  </si>
  <si>
    <t>OpenUnis SP 3</t>
  </si>
  <si>
    <t>OpenUnis SP 4</t>
  </si>
  <si>
    <t>Graduate Diploma in Arts (OpenUnis)</t>
  </si>
  <si>
    <t>OG-ARTS</t>
  </si>
  <si>
    <t>TableOGARTSMajors</t>
  </si>
  <si>
    <t>CWRI5028 Graduate Writing Long Fiction</t>
  </si>
  <si>
    <t>CWRI5030 Graduate Writing for Children</t>
  </si>
  <si>
    <t>CWRI5032 Graduate Writing Genre Fiction</t>
  </si>
  <si>
    <t>CWRI5034 Graduate Writing Poetry</t>
  </si>
  <si>
    <t>CWRI5036 Graduate Experimental Writing</t>
  </si>
  <si>
    <t>CWRI5038 Graduate Writing Short Fiction</t>
  </si>
  <si>
    <t>CWRI6004 Graduate Engaging Narrative</t>
  </si>
  <si>
    <t>Choose NETS5013 or NETS5012</t>
  </si>
  <si>
    <t>LANG5005 Graduate Narrative Nonfiction</t>
  </si>
  <si>
    <t>LANG5007 Graduate Editing</t>
  </si>
  <si>
    <t>LANG5009 Graduate Publishing</t>
  </si>
  <si>
    <t>LANG5013 Graduate Introduction to Creative and Professional Writing</t>
  </si>
  <si>
    <t>OUSP-CWRI1.PO</t>
  </si>
  <si>
    <t>Phasing Out</t>
  </si>
  <si>
    <t>OUSP-PWRI1.PO</t>
  </si>
  <si>
    <t>New Version</t>
  </si>
  <si>
    <t>Choose Options for Year 1</t>
  </si>
  <si>
    <t>Choose Options for Year 2</t>
  </si>
  <si>
    <t>Opt-CWRI41</t>
  </si>
  <si>
    <t>Opt-CWRI42</t>
  </si>
  <si>
    <t>LANG5015 Graduate Advanced Narrative Nonfiction</t>
  </si>
  <si>
    <t>Opt-DGCM11</t>
  </si>
  <si>
    <t>Opt-DGCM12</t>
  </si>
  <si>
    <t>EDUC5026</t>
  </si>
  <si>
    <t>TESOL504 Transcultural Communication</t>
  </si>
  <si>
    <t>MIC508 Graduate Digital Creation Futures</t>
  </si>
  <si>
    <t>Choose Options in Year 1</t>
  </si>
  <si>
    <t>Choose Options in Year 2</t>
  </si>
  <si>
    <t>Opt-FINA11</t>
  </si>
  <si>
    <t>Opt-FINA12</t>
  </si>
  <si>
    <t>Opt-PWRI41</t>
  </si>
  <si>
    <t>Opt-PWRI42</t>
  </si>
  <si>
    <t>LANG5011 Graduate Publishing Studio</t>
  </si>
  <si>
    <t>TESOL504</t>
  </si>
  <si>
    <t>Transcultural Communication</t>
  </si>
  <si>
    <t>CWRI6002.DE</t>
  </si>
  <si>
    <t>Deactivating 31/12/2025</t>
  </si>
  <si>
    <t>OUMP-CWRI1.DE</t>
  </si>
  <si>
    <t>OUMP-DGCM1.PO</t>
  </si>
  <si>
    <t>OUMP-FINA1.PO</t>
  </si>
  <si>
    <t>OUMP-PWRI1.DE</t>
  </si>
  <si>
    <t>Study a Year 1 Digital Communications option subject (see below)</t>
  </si>
  <si>
    <t>Study a Year 2 Digital Communications option subject (see below)</t>
  </si>
  <si>
    <t>Study a Year 1 Fine Art option subject (see below)</t>
  </si>
  <si>
    <t>Study a Year 2 Fine Art option subject (see below)</t>
  </si>
  <si>
    <t>CWRI5021.DE</t>
  </si>
  <si>
    <t>CWRI5022.DE</t>
  </si>
  <si>
    <t>CWRI5023.DE</t>
  </si>
  <si>
    <t>CWRI5024.DE</t>
  </si>
  <si>
    <t>CWRI5025.DE</t>
  </si>
  <si>
    <t>CWRI5026.DE</t>
  </si>
  <si>
    <t>PWRP5029.DE</t>
  </si>
  <si>
    <t>PWRP5027.DE</t>
  </si>
  <si>
    <t>PWRP5030.DE</t>
  </si>
  <si>
    <t>PWRP5031.DE</t>
  </si>
  <si>
    <t>PWRP5028.DE</t>
  </si>
  <si>
    <t>PWRP5025.DE</t>
  </si>
  <si>
    <t>Opt-CWRI41.</t>
  </si>
  <si>
    <t>Study 150CP of Year 1 Creative Writing option subjects</t>
  </si>
  <si>
    <t>Opt-CWRI42.</t>
  </si>
  <si>
    <t>Study 150CP of Year 2 Creative Writing option subjects</t>
  </si>
  <si>
    <t>Opt-DGCM11.</t>
  </si>
  <si>
    <t>Study 125CP of Year 1 Digital Communications option subjects</t>
  </si>
  <si>
    <t>Heading only</t>
  </si>
  <si>
    <t>Opt-DGCM12.</t>
  </si>
  <si>
    <t>Study 150CP of Year 2 Digital Communications option subjects</t>
  </si>
  <si>
    <t>Opt-FINA11.</t>
  </si>
  <si>
    <t>Study 125CP of Year 1 Fine Art option subjects</t>
  </si>
  <si>
    <t>Opt-FINA12.</t>
  </si>
  <si>
    <t>Study 150CP of Year 2 Fine Art option subjects</t>
  </si>
  <si>
    <t>Opt-PWRI41.</t>
  </si>
  <si>
    <t>Study 150CP of Year 1 Professional Writing and Publishing option subjects</t>
  </si>
  <si>
    <t>Opt-PWRI42.</t>
  </si>
  <si>
    <t>Study 150CP of Year 2 Professional Writing and Publishing option subjects</t>
  </si>
  <si>
    <t>Major</t>
  </si>
  <si>
    <t>OUMP-CWRI3</t>
  </si>
  <si>
    <t>Creative Writing Major (GradDipA) (OpenUnis)</t>
  </si>
  <si>
    <t>OUMP-DGCM2</t>
  </si>
  <si>
    <t>Digital Communications Major (GradDipA) (OpenUnis)</t>
  </si>
  <si>
    <t>OUMP-FINA2</t>
  </si>
  <si>
    <t>Fine Art Major (GradDipA) (OpenUnis)</t>
  </si>
  <si>
    <t>OUMP-PWRI3</t>
  </si>
  <si>
    <t>Professional Writing and Publishing Major (GradDipA) (OpenUnis)</t>
  </si>
  <si>
    <t>Opt-CWRI3</t>
  </si>
  <si>
    <t>AC-DGCM2</t>
  </si>
  <si>
    <t>Opt-DGCM2</t>
  </si>
  <si>
    <t>AC-FINA2</t>
  </si>
  <si>
    <t>Opt-FINA2</t>
  </si>
  <si>
    <t>Opt-PWRI3</t>
  </si>
  <si>
    <t>Planning an Arts Research Project</t>
  </si>
  <si>
    <t>RangeUnitsetsOGARTS</t>
  </si>
  <si>
    <t>OUMP-CWRI3SP3</t>
  </si>
  <si>
    <t>OUMP-DGCM2SP1</t>
  </si>
  <si>
    <t>OUMP-DGCM2SP3</t>
  </si>
  <si>
    <t>OUMP-FINA2SP1</t>
  </si>
  <si>
    <t>OUMP-FINA2SP3</t>
  </si>
  <si>
    <t>OUMP-PWRI3SP1</t>
  </si>
  <si>
    <t>OUMP-PWRI3SP3</t>
  </si>
  <si>
    <t>RangeACOptOGARTS</t>
  </si>
  <si>
    <t>OUMP-CWRI3SP1</t>
  </si>
  <si>
    <t>Alternate Core and Specified Elective Subjects</t>
  </si>
  <si>
    <t>Previous</t>
  </si>
  <si>
    <t>Pre-reqs (1/12/2025)</t>
  </si>
  <si>
    <t>Admit OM-ARTS + 200CP inc. COM605</t>
  </si>
  <si>
    <t>PG OUA Arts</t>
  </si>
  <si>
    <t>H Rights</t>
  </si>
  <si>
    <t>SP1; SP3</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</si>
  <si>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</si>
  <si>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</si>
  <si>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</si>
  <si>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</si>
  <si>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</si>
  <si>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</si>
  <si>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</si>
  <si>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</si>
  <si>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</si>
  <si>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This course has intakes in SP1 and SP3.</t>
  </si>
  <si>
    <t>This course has intakes in SP1 and SP3. In Year 2 of the course, you choose to do a 50 credit project or a 100 credit research project. If choosing to do the 100 credit research project, you must first enrol in (HUMN6002) HUMN600 Masters Research Project 1 from the Year 2 Option List, and follow up with (HUMN6004) HUMN610 Masters Research Project 2 in a following study period. (HUMN6002) HUMN600 and (HUMN6004) HUMN610 cannot be taken in the same study period. The following 3 subjects, (HUMN6002) HUMN600 Masters Research Project 1, (COMS6007) COM610 Masters Professional or Creative Project, and COMS6006 COM600 Masters Professional Experience all require completion of 100 credits as a pre-requisite for enrolment.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</si>
</sst>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2"/>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sz val="11"/>
      <color rgb="FFFF0000"/>
      <name val="Calibri"/>
      <family val="2"/>
      <scheme val="minor"/>
    </font>
    <font>
      <b/>
      <i/>
      <sz val="12"/>
      <color theme="0" tint="-0.34998626667073579"/>
      <name val="Calibri"/>
      <family val="2"/>
      <scheme val="minor"/>
    </font>
    <font>
      <b/>
      <sz val="11"/>
      <name val="Segoe UI"/>
      <family val="2"/>
    </font>
    <font>
      <sz val="11"/>
      <color rgb="FF006100"/>
      <name val="Calibri"/>
      <family val="2"/>
      <scheme val="minor"/>
    </font>
    <font>
      <b/>
      <sz val="10"/>
      <color theme="0"/>
      <name val="Arial"/>
      <family val="2"/>
    </font>
    <font>
      <sz val="10"/>
      <color rgb="FF00B050"/>
      <name val="Arial"/>
      <family val="2"/>
    </font>
    <font>
      <sz val="12"/>
      <color rgb="FFFF0000"/>
      <name val="Calibri"/>
      <family val="2"/>
      <scheme val="minor"/>
    </font>
    <font>
      <sz val="8"/>
      <name val="Calibri"/>
      <family val="2"/>
      <scheme val="minor"/>
    </font>
    <font>
      <sz val="10"/>
      <name val="Arial"/>
      <family val="2"/>
    </font>
    <font>
      <b/>
      <i/>
      <sz val="12"/>
      <name val="Calibri"/>
      <family val="2"/>
      <scheme val="minor"/>
    </font>
    <font>
      <b/>
      <sz val="12"/>
      <name val="Calibri"/>
      <family val="2"/>
      <scheme val="minor"/>
    </font>
    <font>
      <b/>
      <i/>
      <sz val="12"/>
      <color rgb="FF00B050"/>
      <name val="Calibri"/>
      <family val="2"/>
      <scheme val="minor"/>
    </font>
    <font>
      <sz val="11"/>
      <color theme="5"/>
      <name val="Calibri"/>
      <family val="2"/>
      <scheme val="minor"/>
    </font>
    <font>
      <sz val="12"/>
      <color rgb="FF00B05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99999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5"/>
        <bgColor indexed="64"/>
      </patternFill>
    </fill>
    <fill>
      <patternFill patternType="solid">
        <fgColor theme="1"/>
        <bgColor rgb="FF000000"/>
      </patternFill>
    </fill>
    <fill>
      <patternFill patternType="solid">
        <fgColor theme="0" tint="-0.14999847407452621"/>
        <bgColor indexed="64"/>
      </patternFill>
    </fill>
    <fill>
      <patternFill patternType="solid">
        <fgColor rgb="FFC6EFCE"/>
      </patternFill>
    </fill>
    <fill>
      <patternFill patternType="solid">
        <fgColor theme="1"/>
        <bgColor theme="1"/>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7999816888943144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999999"/>
      </top>
      <bottom/>
      <diagonal/>
    </border>
    <border>
      <left style="thin">
        <color theme="0" tint="-0.14990691854609822"/>
      </left>
      <right/>
      <top style="thin">
        <color theme="0" tint="-0.14993743705557422"/>
      </top>
      <bottom/>
      <diagonal/>
    </border>
    <border>
      <left/>
      <right/>
      <top style="thin">
        <color theme="0" tint="-0.14993743705557422"/>
      </top>
      <bottom/>
      <diagonal/>
    </border>
    <border>
      <left/>
      <right style="thin">
        <color theme="0" tint="-0.14990691854609822"/>
      </right>
      <top style="thin">
        <color theme="0" tint="-0.14993743705557422"/>
      </top>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2" fillId="0" borderId="0"/>
    <xf numFmtId="0" fontId="1" fillId="0" borderId="0"/>
    <xf numFmtId="0" fontId="41" fillId="12" borderId="0" applyNumberFormat="0" applyBorder="0" applyAlignment="0" applyProtection="0"/>
  </cellStyleXfs>
  <cellXfs count="239">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7" fillId="0" borderId="0" xfId="0" applyFont="1"/>
    <xf numFmtId="0" fontId="10" fillId="0" borderId="0" xfId="0" applyFont="1"/>
    <xf numFmtId="0" fontId="8" fillId="0" borderId="0" xfId="0" applyFont="1"/>
    <xf numFmtId="0" fontId="11" fillId="0" borderId="7" xfId="1" applyFont="1" applyBorder="1" applyAlignment="1">
      <alignment horizontal="center"/>
    </xf>
    <xf numFmtId="0" fontId="11" fillId="0" borderId="8" xfId="1" applyFont="1" applyBorder="1" applyAlignment="1">
      <alignment horizontal="center"/>
    </xf>
    <xf numFmtId="0" fontId="11" fillId="0" borderId="8" xfId="1" applyFont="1" applyBorder="1"/>
    <xf numFmtId="0" fontId="11" fillId="0" borderId="9" xfId="1" applyFont="1" applyBorder="1"/>
    <xf numFmtId="0" fontId="2" fillId="0" borderId="0" xfId="1"/>
    <xf numFmtId="0" fontId="12" fillId="3" borderId="11" xfId="1" applyFont="1" applyFill="1" applyBorder="1" applyAlignment="1">
      <alignment vertical="center"/>
    </xf>
    <xf numFmtId="0" fontId="12" fillId="3" borderId="12" xfId="1" applyFont="1" applyFill="1" applyBorder="1" applyAlignment="1">
      <alignment vertical="center"/>
    </xf>
    <xf numFmtId="0" fontId="12" fillId="3" borderId="12" xfId="1" applyFont="1" applyFill="1" applyBorder="1" applyAlignment="1">
      <alignment horizontal="right" vertical="center"/>
    </xf>
    <xf numFmtId="0" fontId="2" fillId="0" borderId="0" xfId="1" applyAlignment="1">
      <alignment horizontal="center"/>
    </xf>
    <xf numFmtId="0" fontId="13" fillId="2" borderId="0" xfId="1" applyFont="1" applyFill="1" applyAlignment="1">
      <alignment horizontal="right" vertical="center" indent="1"/>
    </xf>
    <xf numFmtId="0" fontId="13" fillId="2" borderId="0" xfId="1" applyFont="1" applyFill="1" applyAlignment="1">
      <alignment vertical="center"/>
    </xf>
    <xf numFmtId="0" fontId="13" fillId="2" borderId="0" xfId="1" applyFont="1" applyFill="1" applyAlignment="1">
      <alignment horizontal="left" vertical="center"/>
    </xf>
    <xf numFmtId="0" fontId="13" fillId="2" borderId="0" xfId="1" applyFont="1" applyFill="1" applyAlignment="1">
      <alignment horizontal="left" vertical="center" indent="1"/>
    </xf>
    <xf numFmtId="0" fontId="2" fillId="0" borderId="0" xfId="1" applyProtection="1">
      <protection locked="0"/>
    </xf>
    <xf numFmtId="0" fontId="16" fillId="2" borderId="0" xfId="1" applyFont="1" applyFill="1" applyAlignment="1" applyProtection="1">
      <alignment vertical="center"/>
      <protection locked="0"/>
    </xf>
    <xf numFmtId="0" fontId="17" fillId="2" borderId="0" xfId="1" applyFont="1" applyFill="1" applyAlignment="1" applyProtection="1">
      <alignment vertical="center"/>
      <protection locked="0"/>
    </xf>
    <xf numFmtId="0" fontId="17" fillId="2" borderId="0" xfId="1" applyFont="1" applyFill="1" applyAlignment="1">
      <alignment vertical="center"/>
    </xf>
    <xf numFmtId="0" fontId="16" fillId="2" borderId="0" xfId="1" applyFont="1" applyFill="1" applyAlignment="1" applyProtection="1">
      <alignment wrapText="1"/>
      <protection locked="0"/>
    </xf>
    <xf numFmtId="0" fontId="17" fillId="2" borderId="0" xfId="1" applyFont="1" applyFill="1" applyAlignment="1" applyProtection="1">
      <alignment wrapText="1"/>
      <protection locked="0"/>
    </xf>
    <xf numFmtId="0" fontId="17" fillId="2" borderId="0" xfId="1" applyFont="1" applyFill="1" applyAlignment="1">
      <alignment wrapText="1"/>
    </xf>
    <xf numFmtId="0" fontId="16" fillId="2" borderId="0" xfId="1" applyFont="1" applyFill="1" applyProtection="1">
      <protection locked="0"/>
    </xf>
    <xf numFmtId="0" fontId="17" fillId="2" borderId="0" xfId="1" applyFont="1" applyFill="1" applyProtection="1">
      <protection locked="0"/>
    </xf>
    <xf numFmtId="0" fontId="17" fillId="2" borderId="0" xfId="1" applyFont="1" applyFill="1"/>
    <xf numFmtId="0" fontId="20" fillId="2" borderId="0" xfId="1" applyFont="1" applyFill="1" applyAlignment="1">
      <alignment vertical="center"/>
    </xf>
    <xf numFmtId="0" fontId="22" fillId="2" borderId="0" xfId="1" applyFont="1" applyFill="1" applyAlignment="1">
      <alignment vertical="center"/>
    </xf>
    <xf numFmtId="0" fontId="23" fillId="2" borderId="0" xfId="1" applyFont="1" applyFill="1" applyProtection="1">
      <protection locked="0"/>
    </xf>
    <xf numFmtId="0" fontId="7" fillId="2" borderId="0" xfId="1" applyFont="1" applyFill="1" applyProtection="1">
      <protection locked="0"/>
    </xf>
    <xf numFmtId="0" fontId="7" fillId="2" borderId="0" xfId="1" applyFont="1" applyFill="1"/>
    <xf numFmtId="0" fontId="20" fillId="2" borderId="0" xfId="1" applyFont="1" applyFill="1" applyAlignment="1">
      <alignment horizontal="left" vertical="center" wrapText="1"/>
    </xf>
    <xf numFmtId="0" fontId="21"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24" fillId="0" borderId="15" xfId="1" applyFont="1" applyBorder="1" applyAlignment="1">
      <alignment vertical="center"/>
    </xf>
    <xf numFmtId="0" fontId="24" fillId="0" borderId="15" xfId="1" applyFont="1" applyBorder="1" applyAlignment="1">
      <alignment horizontal="center" vertical="center" wrapText="1"/>
    </xf>
    <xf numFmtId="0" fontId="25" fillId="4" borderId="17" xfId="1" applyFont="1" applyFill="1" applyBorder="1" applyAlignment="1">
      <alignment horizontal="left" vertical="center"/>
    </xf>
    <xf numFmtId="0" fontId="25" fillId="4" borderId="18" xfId="1" applyFont="1" applyFill="1" applyBorder="1" applyAlignment="1">
      <alignment horizontal="left" vertical="center"/>
    </xf>
    <xf numFmtId="0" fontId="25" fillId="4" borderId="19" xfId="1" applyFont="1" applyFill="1" applyBorder="1" applyAlignment="1">
      <alignment horizontal="left" vertical="center"/>
    </xf>
    <xf numFmtId="0" fontId="22" fillId="2" borderId="0" xfId="1" applyFont="1" applyFill="1" applyAlignment="1">
      <alignment horizontal="right" vertical="center"/>
    </xf>
    <xf numFmtId="0" fontId="11" fillId="0" borderId="0" xfId="0" applyFont="1" applyAlignment="1">
      <alignment horizontal="center"/>
    </xf>
    <xf numFmtId="0" fontId="17" fillId="2" borderId="15" xfId="1" applyFont="1" applyFill="1" applyBorder="1" applyAlignment="1">
      <alignment horizontal="center" vertical="center" wrapText="1"/>
    </xf>
    <xf numFmtId="0" fontId="14" fillId="0" borderId="15"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28" fillId="3" borderId="12" xfId="1" applyFont="1" applyFill="1" applyBorder="1" applyAlignment="1">
      <alignment vertical="center"/>
    </xf>
    <xf numFmtId="0" fontId="14" fillId="0" borderId="0" xfId="1" applyFont="1" applyAlignment="1" applyProtection="1">
      <alignment vertical="top" wrapText="1"/>
      <protection locked="0"/>
    </xf>
    <xf numFmtId="0" fontId="29" fillId="0" borderId="0" xfId="0" applyFont="1"/>
    <xf numFmtId="0" fontId="0" fillId="0" borderId="23" xfId="0" applyBorder="1" applyAlignment="1">
      <alignment horizontal="center"/>
    </xf>
    <xf numFmtId="0" fontId="14" fillId="2" borderId="21"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22" xfId="1" applyFont="1" applyFill="1" applyBorder="1" applyAlignment="1">
      <alignment horizontal="center" vertical="center"/>
    </xf>
    <xf numFmtId="0" fontId="13" fillId="2" borderId="0" xfId="1" applyFont="1" applyFill="1" applyAlignment="1">
      <alignment horizontal="center" vertical="center"/>
    </xf>
    <xf numFmtId="0" fontId="14" fillId="2" borderId="0" xfId="1" applyFont="1" applyFill="1" applyAlignment="1">
      <alignment horizontal="center" vertical="center" wrapText="1"/>
    </xf>
    <xf numFmtId="0" fontId="21" fillId="2" borderId="0" xfId="1" applyFont="1" applyFill="1" applyAlignment="1">
      <alignment horizontal="center" vertical="center" wrapText="1"/>
    </xf>
    <xf numFmtId="0" fontId="25" fillId="4" borderId="18" xfId="1" applyFont="1" applyFill="1" applyBorder="1" applyAlignment="1">
      <alignment horizontal="center" vertical="center"/>
    </xf>
    <xf numFmtId="0" fontId="7" fillId="2" borderId="0" xfId="1" applyFont="1" applyFill="1" applyAlignment="1">
      <alignment horizontal="center" vertical="center"/>
    </xf>
    <xf numFmtId="0" fontId="14" fillId="2" borderId="0" xfId="1" applyFont="1" applyFill="1" applyAlignment="1">
      <alignment horizontal="right" vertical="center" indent="1"/>
    </xf>
    <xf numFmtId="0" fontId="14" fillId="0" borderId="14" xfId="1" applyFont="1" applyBorder="1" applyAlignment="1">
      <alignment horizontal="center" vertical="center" wrapText="1"/>
    </xf>
    <xf numFmtId="0" fontId="14" fillId="0" borderId="15" xfId="1" applyFont="1" applyBorder="1" applyAlignment="1">
      <alignment horizontal="left" vertical="center"/>
    </xf>
    <xf numFmtId="0" fontId="17" fillId="0" borderId="15" xfId="1" applyFont="1" applyBorder="1" applyAlignment="1">
      <alignment horizontal="center" vertical="center" wrapText="1"/>
    </xf>
    <xf numFmtId="0" fontId="26" fillId="9" borderId="0" xfId="1" applyFont="1" applyFill="1" applyAlignment="1">
      <alignment vertical="center" wrapText="1"/>
    </xf>
    <xf numFmtId="0" fontId="15" fillId="8" borderId="0" xfId="1" applyFont="1" applyFill="1" applyAlignment="1">
      <alignment horizontal="center" vertical="center"/>
    </xf>
    <xf numFmtId="0" fontId="15" fillId="8" borderId="0" xfId="1" applyFont="1" applyFill="1" applyAlignment="1">
      <alignment horizontal="left" vertical="center" indent="1"/>
    </xf>
    <xf numFmtId="0" fontId="15" fillId="8" borderId="20" xfId="1" applyFont="1" applyFill="1" applyBorder="1" applyAlignment="1">
      <alignment horizontal="left" vertical="center"/>
    </xf>
    <xf numFmtId="0" fontId="15" fillId="8" borderId="0" xfId="1" applyFont="1" applyFill="1" applyAlignment="1">
      <alignment horizontal="left" vertical="center"/>
    </xf>
    <xf numFmtId="0" fontId="15" fillId="8" borderId="13" xfId="1" applyFont="1" applyFill="1" applyBorder="1" applyAlignment="1">
      <alignment horizontal="left" vertical="center"/>
    </xf>
    <xf numFmtId="0" fontId="15" fillId="8" borderId="0" xfId="1" applyFont="1" applyFill="1" applyAlignment="1" applyProtection="1">
      <alignment vertical="center"/>
      <protection locked="0"/>
    </xf>
    <xf numFmtId="0" fontId="31" fillId="10" borderId="0" xfId="0" applyFont="1" applyFill="1" applyAlignment="1">
      <alignment horizontal="center" vertical="center" wrapText="1"/>
    </xf>
    <xf numFmtId="0" fontId="15" fillId="8" borderId="20" xfId="1" applyFont="1" applyFill="1" applyBorder="1" applyAlignment="1">
      <alignment horizontal="center" vertical="center" wrapText="1"/>
    </xf>
    <xf numFmtId="0" fontId="15" fillId="8" borderId="0" xfId="1" applyFont="1" applyFill="1" applyAlignment="1">
      <alignment horizontal="center" vertical="center" wrapText="1"/>
    </xf>
    <xf numFmtId="0" fontId="15" fillId="8" borderId="13" xfId="1" applyFont="1" applyFill="1" applyBorder="1" applyAlignment="1">
      <alignment horizontal="center" vertical="center" wrapText="1"/>
    </xf>
    <xf numFmtId="0" fontId="15" fillId="8" borderId="0" xfId="1" applyFont="1" applyFill="1" applyAlignment="1" applyProtection="1">
      <alignment horizontal="center" vertical="center"/>
      <protection locked="0"/>
    </xf>
    <xf numFmtId="0" fontId="25" fillId="8" borderId="0" xfId="1" applyFont="1" applyFill="1" applyAlignment="1">
      <alignment horizontal="left" vertical="top" indent="1"/>
    </xf>
    <xf numFmtId="0" fontId="34" fillId="9" borderId="0" xfId="1" applyFont="1" applyFill="1" applyAlignment="1">
      <alignment horizontal="left" vertical="center" readingOrder="1"/>
    </xf>
    <xf numFmtId="0" fontId="25" fillId="9" borderId="0" xfId="1" applyFont="1" applyFill="1" applyAlignment="1">
      <alignment horizontal="left" vertical="center" readingOrder="1"/>
    </xf>
    <xf numFmtId="0" fontId="27" fillId="9" borderId="0" xfId="1" applyFont="1" applyFill="1" applyAlignment="1">
      <alignment horizontal="center" vertical="center"/>
    </xf>
    <xf numFmtId="0" fontId="27" fillId="9" borderId="0" xfId="1" applyFont="1" applyFill="1" applyAlignment="1">
      <alignment horizontal="center" vertical="center" readingOrder="1"/>
    </xf>
    <xf numFmtId="0" fontId="15" fillId="9" borderId="20" xfId="1" applyFont="1" applyFill="1" applyBorder="1" applyAlignment="1">
      <alignment vertical="center" readingOrder="1"/>
    </xf>
    <xf numFmtId="0" fontId="15" fillId="9" borderId="0" xfId="1" applyFont="1" applyFill="1" applyAlignment="1">
      <alignment vertical="center" readingOrder="1"/>
    </xf>
    <xf numFmtId="0" fontId="27" fillId="9" borderId="0" xfId="1" applyFont="1" applyFill="1" applyAlignment="1">
      <alignment vertical="center" readingOrder="1"/>
    </xf>
    <xf numFmtId="0" fontId="27" fillId="9" borderId="13" xfId="1" applyFont="1" applyFill="1" applyBorder="1" applyAlignment="1">
      <alignment vertical="center" readingOrder="1"/>
    </xf>
    <xf numFmtId="0" fontId="35" fillId="3" borderId="12" xfId="1" applyFont="1" applyFill="1" applyBorder="1" applyAlignment="1">
      <alignment horizontal="center" vertical="center"/>
    </xf>
    <xf numFmtId="0" fontId="14" fillId="0" borderId="15" xfId="1" applyFont="1" applyBorder="1" applyAlignment="1">
      <alignment vertical="center" wrapText="1"/>
    </xf>
    <xf numFmtId="0" fontId="26" fillId="9" borderId="0" xfId="1" applyFont="1" applyFill="1" applyAlignment="1">
      <alignment horizontal="center" vertical="center"/>
    </xf>
    <xf numFmtId="0" fontId="14" fillId="0" borderId="16" xfId="1" applyFont="1" applyBorder="1" applyAlignment="1" applyProtection="1">
      <alignment vertical="center" wrapText="1"/>
      <protection locked="0"/>
    </xf>
    <xf numFmtId="0" fontId="14" fillId="0" borderId="16" xfId="1" applyFont="1" applyBorder="1" applyAlignment="1">
      <alignment vertical="center" wrapText="1"/>
    </xf>
    <xf numFmtId="0" fontId="28" fillId="3" borderId="27" xfId="1" applyFont="1" applyFill="1" applyBorder="1" applyAlignment="1">
      <alignment vertical="center"/>
    </xf>
    <xf numFmtId="0" fontId="32" fillId="0" borderId="0" xfId="1" applyFont="1" applyAlignment="1">
      <alignment horizontal="right" vertical="center"/>
    </xf>
    <xf numFmtId="0" fontId="39" fillId="0" borderId="0" xfId="0" applyFont="1" applyAlignment="1">
      <alignment horizontal="right"/>
    </xf>
    <xf numFmtId="0" fontId="16" fillId="2" borderId="0" xfId="1" applyFont="1" applyFill="1" applyAlignment="1" applyProtection="1">
      <alignment horizontal="center" vertical="center"/>
      <protection locked="0"/>
    </xf>
    <xf numFmtId="0" fontId="18" fillId="0" borderId="0" xfId="1" applyFont="1" applyAlignment="1" applyProtection="1">
      <alignment horizontal="center" vertical="center" wrapText="1"/>
      <protection locked="0"/>
    </xf>
    <xf numFmtId="0" fontId="23"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33" fillId="8" borderId="0" xfId="1" applyFont="1" applyFill="1" applyAlignment="1">
      <alignment vertical="center"/>
    </xf>
    <xf numFmtId="0" fontId="38" fillId="9" borderId="0" xfId="1" applyFont="1" applyFill="1" applyAlignment="1">
      <alignment horizontal="right" vertical="center"/>
    </xf>
    <xf numFmtId="0" fontId="24" fillId="0" borderId="14" xfId="1" applyFont="1" applyBorder="1" applyAlignment="1">
      <alignment horizontal="center" vertical="center"/>
    </xf>
    <xf numFmtId="0" fontId="40" fillId="2" borderId="0" xfId="1" applyFont="1" applyFill="1" applyAlignment="1">
      <alignment vertical="center"/>
    </xf>
    <xf numFmtId="0" fontId="4" fillId="0" borderId="0" xfId="1" applyFont="1" applyAlignment="1">
      <alignment horizontal="center" vertical="center"/>
    </xf>
    <xf numFmtId="0" fontId="24" fillId="0" borderId="15" xfId="1" applyFont="1" applyBorder="1" applyAlignment="1">
      <alignment horizontal="center" vertical="center"/>
    </xf>
    <xf numFmtId="0" fontId="39" fillId="0" borderId="0" xfId="0" applyFont="1" applyAlignment="1">
      <alignment horizontal="left"/>
    </xf>
    <xf numFmtId="0" fontId="30" fillId="0" borderId="0" xfId="0" applyFont="1"/>
    <xf numFmtId="0" fontId="0" fillId="0" borderId="0" xfId="0" applyAlignment="1">
      <alignment horizontal="left" textRotation="90"/>
    </xf>
    <xf numFmtId="0" fontId="14" fillId="11" borderId="9" xfId="1" applyFont="1" applyFill="1" applyBorder="1" applyAlignment="1">
      <alignment horizontal="center" vertical="center" wrapText="1"/>
    </xf>
    <xf numFmtId="0" fontId="14" fillId="11" borderId="0" xfId="1" applyFont="1" applyFill="1" applyAlignment="1">
      <alignment horizontal="center" vertical="center" wrapText="1"/>
    </xf>
    <xf numFmtId="0" fontId="14" fillId="11" borderId="0" xfId="1" applyFont="1" applyFill="1" applyAlignment="1">
      <alignment vertical="center" wrapText="1"/>
    </xf>
    <xf numFmtId="0" fontId="17" fillId="11" borderId="0" xfId="1" applyFont="1" applyFill="1" applyAlignment="1">
      <alignment horizontal="left" vertical="center" wrapText="1"/>
    </xf>
    <xf numFmtId="0" fontId="14" fillId="11" borderId="20" xfId="1" applyFont="1" applyFill="1" applyBorder="1" applyAlignment="1">
      <alignment horizontal="center" vertical="center" wrapText="1"/>
    </xf>
    <xf numFmtId="0" fontId="14" fillId="11" borderId="13" xfId="1" applyFont="1" applyFill="1" applyBorder="1" applyAlignment="1">
      <alignment horizontal="center" vertical="center" wrapText="1"/>
    </xf>
    <xf numFmtId="0" fontId="14" fillId="11" borderId="13" xfId="1" applyFont="1" applyFill="1" applyBorder="1" applyAlignment="1" applyProtection="1">
      <alignment vertical="center" wrapText="1"/>
      <protection locked="0"/>
    </xf>
    <xf numFmtId="0" fontId="12" fillId="11" borderId="11" xfId="1" applyFont="1" applyFill="1" applyBorder="1" applyAlignment="1">
      <alignment vertical="center"/>
    </xf>
    <xf numFmtId="0" fontId="12" fillId="11" borderId="12" xfId="1" applyFont="1" applyFill="1" applyBorder="1" applyAlignment="1">
      <alignment vertical="center"/>
    </xf>
    <xf numFmtId="0" fontId="12" fillId="11" borderId="12" xfId="1" applyFont="1" applyFill="1" applyBorder="1" applyAlignment="1">
      <alignment horizontal="right" vertical="center"/>
    </xf>
    <xf numFmtId="0" fontId="35" fillId="11" borderId="12" xfId="1" applyFont="1" applyFill="1" applyBorder="1" applyAlignment="1">
      <alignment horizontal="center" vertical="center"/>
    </xf>
    <xf numFmtId="0" fontId="28" fillId="11" borderId="12" xfId="1" applyFont="1" applyFill="1" applyBorder="1" applyAlignment="1">
      <alignment vertical="center"/>
    </xf>
    <xf numFmtId="0" fontId="15" fillId="8" borderId="28" xfId="1" applyFont="1" applyFill="1" applyBorder="1" applyAlignment="1">
      <alignment horizontal="center" vertical="center" wrapText="1"/>
    </xf>
    <xf numFmtId="0" fontId="15" fillId="8" borderId="29" xfId="1" applyFont="1" applyFill="1" applyBorder="1" applyAlignment="1">
      <alignment horizontal="center" vertical="center" wrapText="1"/>
    </xf>
    <xf numFmtId="0" fontId="15" fillId="8" borderId="30" xfId="1" applyFont="1" applyFill="1" applyBorder="1" applyAlignment="1">
      <alignment horizontal="center" vertical="center" wrapText="1"/>
    </xf>
    <xf numFmtId="14" fontId="41" fillId="12" borderId="0" xfId="3" applyNumberFormat="1" applyAlignment="1">
      <alignment horizontal="center"/>
    </xf>
    <xf numFmtId="14" fontId="30" fillId="0" borderId="0" xfId="0" applyNumberFormat="1" applyFont="1"/>
    <xf numFmtId="0" fontId="42" fillId="13" borderId="0" xfId="0" applyFont="1" applyFill="1"/>
    <xf numFmtId="0" fontId="42" fillId="13" borderId="0" xfId="0" applyFont="1" applyFill="1" applyAlignment="1">
      <alignment horizontal="left"/>
    </xf>
    <xf numFmtId="0" fontId="0" fillId="0" borderId="0" xfId="0" applyAlignment="1">
      <alignment horizontal="left"/>
    </xf>
    <xf numFmtId="0" fontId="0" fillId="6" borderId="0" xfId="0" applyFill="1"/>
    <xf numFmtId="0" fontId="0" fillId="14" borderId="0" xfId="0" applyFill="1" applyAlignment="1">
      <alignment horizontal="center"/>
    </xf>
    <xf numFmtId="0" fontId="0" fillId="5" borderId="0" xfId="0" applyFill="1" applyAlignment="1">
      <alignment horizontal="center"/>
    </xf>
    <xf numFmtId="0" fontId="6" fillId="0" borderId="0" xfId="0" applyFont="1"/>
    <xf numFmtId="0" fontId="6" fillId="0" borderId="1" xfId="0" applyFont="1" applyBorder="1" applyAlignment="1">
      <alignment horizontal="right"/>
    </xf>
    <xf numFmtId="0" fontId="6" fillId="0" borderId="2" xfId="0" applyFont="1" applyBorder="1" applyAlignment="1">
      <alignment horizontal="right"/>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6" fillId="0" borderId="24" xfId="0" applyFont="1" applyBorder="1" applyAlignment="1">
      <alignment horizontal="center"/>
    </xf>
    <xf numFmtId="0" fontId="6" fillId="0" borderId="25" xfId="0" quotePrefix="1"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44" fillId="0" borderId="0" xfId="0" applyFont="1"/>
    <xf numFmtId="0" fontId="44" fillId="0" borderId="0" xfId="0" applyFont="1" applyAlignment="1">
      <alignment horizontal="center"/>
    </xf>
    <xf numFmtId="0" fontId="0" fillId="0" borderId="32" xfId="0" applyBorder="1"/>
    <xf numFmtId="0" fontId="0" fillId="0" borderId="25" xfId="0" applyBorder="1"/>
    <xf numFmtId="0" fontId="0" fillId="0" borderId="26" xfId="0" applyBorder="1"/>
    <xf numFmtId="0" fontId="0" fillId="7" borderId="0" xfId="0" applyFill="1"/>
    <xf numFmtId="0" fontId="13" fillId="15" borderId="33" xfId="1" applyFont="1" applyFill="1" applyBorder="1" applyAlignment="1">
      <alignment horizontal="left" vertical="center"/>
    </xf>
    <xf numFmtId="0" fontId="13" fillId="15" borderId="33" xfId="1" applyFont="1" applyFill="1" applyBorder="1" applyAlignment="1">
      <alignment horizontal="right" vertical="center"/>
    </xf>
    <xf numFmtId="0" fontId="5" fillId="0" borderId="1"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0" fontId="13" fillId="15" borderId="34" xfId="1" applyFont="1" applyFill="1" applyBorder="1" applyAlignment="1">
      <alignment horizontal="centerContinuous" vertical="center" wrapText="1"/>
    </xf>
    <xf numFmtId="0" fontId="14" fillId="15" borderId="34" xfId="1" applyFont="1" applyFill="1" applyBorder="1" applyAlignment="1">
      <alignment horizontal="centerContinuous" vertical="center" wrapText="1"/>
    </xf>
    <xf numFmtId="0" fontId="14" fillId="15" borderId="34" xfId="1" applyFont="1" applyFill="1" applyBorder="1" applyAlignment="1" applyProtection="1">
      <alignment horizontal="centerContinuous" vertical="top" wrapText="1"/>
      <protection locked="0"/>
    </xf>
    <xf numFmtId="0" fontId="32" fillId="15" borderId="35" xfId="1" applyFont="1" applyFill="1" applyBorder="1" applyAlignment="1">
      <alignment horizontal="centerContinuous" vertical="center" wrapText="1"/>
    </xf>
    <xf numFmtId="0" fontId="17" fillId="15" borderId="34" xfId="1" applyFont="1" applyFill="1" applyBorder="1" applyAlignment="1">
      <alignment horizontal="centerContinuous" vertical="center" wrapText="1"/>
    </xf>
    <xf numFmtId="0" fontId="17" fillId="15" borderId="34" xfId="1" applyFont="1" applyFill="1" applyBorder="1" applyAlignment="1" applyProtection="1">
      <alignment horizontal="centerContinuous" vertical="top" wrapText="1"/>
      <protection locked="0"/>
    </xf>
    <xf numFmtId="0" fontId="18" fillId="15" borderId="35" xfId="1" applyFont="1" applyFill="1" applyBorder="1" applyAlignment="1">
      <alignment horizontal="centerContinuous" vertical="center" wrapText="1"/>
    </xf>
    <xf numFmtId="0" fontId="6" fillId="0" borderId="36" xfId="0" applyFont="1" applyBorder="1" applyAlignment="1">
      <alignment horizontal="right"/>
    </xf>
    <xf numFmtId="0" fontId="6" fillId="0" borderId="36" xfId="0" applyFont="1" applyBorder="1" applyAlignment="1">
      <alignment horizontal="center"/>
    </xf>
    <xf numFmtId="0" fontId="6" fillId="0" borderId="37" xfId="0" applyFont="1" applyBorder="1" applyAlignment="1">
      <alignment horizontal="center"/>
    </xf>
    <xf numFmtId="0" fontId="6" fillId="0" borderId="0" xfId="0" quotePrefix="1" applyFont="1" applyAlignment="1">
      <alignment horizontal="center"/>
    </xf>
    <xf numFmtId="0" fontId="47" fillId="0" borderId="0" xfId="0" applyFont="1" applyAlignment="1">
      <alignment horizontal="left"/>
    </xf>
    <xf numFmtId="0" fontId="47" fillId="0" borderId="0" xfId="0" applyFont="1" applyAlignment="1">
      <alignment horizontal="center"/>
    </xf>
    <xf numFmtId="0" fontId="48" fillId="0" borderId="0" xfId="0" applyFont="1" applyAlignment="1">
      <alignment horizontal="right"/>
    </xf>
    <xf numFmtId="14" fontId="48" fillId="0" borderId="0" xfId="0" applyNumberFormat="1" applyFont="1"/>
    <xf numFmtId="0" fontId="0" fillId="14" borderId="3" xfId="0" applyFill="1" applyBorder="1" applyAlignment="1">
      <alignment horizontal="center"/>
    </xf>
    <xf numFmtId="0" fontId="46" fillId="16" borderId="31" xfId="0" applyFont="1" applyFill="1" applyBorder="1" applyAlignment="1">
      <alignment horizontal="center"/>
    </xf>
    <xf numFmtId="14" fontId="46" fillId="16" borderId="31" xfId="0" applyNumberFormat="1" applyFont="1" applyFill="1" applyBorder="1" applyAlignment="1">
      <alignment horizontal="center"/>
    </xf>
    <xf numFmtId="0" fontId="46" fillId="16" borderId="0" xfId="0" applyFont="1" applyFill="1" applyAlignment="1">
      <alignment horizontal="center"/>
    </xf>
    <xf numFmtId="14" fontId="49" fillId="0" borderId="0" xfId="0" applyNumberFormat="1" applyFont="1"/>
    <xf numFmtId="0" fontId="0" fillId="17" borderId="0" xfId="0" applyFill="1"/>
    <xf numFmtId="0" fontId="0" fillId="17" borderId="0" xfId="0" applyFill="1" applyAlignment="1">
      <alignment horizontal="center"/>
    </xf>
    <xf numFmtId="14" fontId="46" fillId="16" borderId="0" xfId="0" applyNumberFormat="1" applyFont="1" applyFill="1" applyAlignment="1">
      <alignment horizontal="center"/>
    </xf>
    <xf numFmtId="0" fontId="46" fillId="0" borderId="0" xfId="0" applyFont="1"/>
    <xf numFmtId="0" fontId="46" fillId="0" borderId="0" xfId="0" applyFont="1" applyAlignment="1">
      <alignment horizontal="center"/>
    </xf>
    <xf numFmtId="14" fontId="46" fillId="0" borderId="0" xfId="0" applyNumberFormat="1" applyFont="1" applyAlignment="1">
      <alignment horizontal="center"/>
    </xf>
    <xf numFmtId="0" fontId="46" fillId="0" borderId="0" xfId="0" applyFont="1" applyAlignment="1">
      <alignment horizontal="left"/>
    </xf>
    <xf numFmtId="0" fontId="46" fillId="0" borderId="0" xfId="0" applyFont="1" applyAlignment="1">
      <alignment horizontal="center" wrapText="1"/>
    </xf>
    <xf numFmtId="0" fontId="43" fillId="0" borderId="0" xfId="0" applyFont="1" applyAlignment="1">
      <alignment horizontal="center"/>
    </xf>
    <xf numFmtId="14" fontId="43" fillId="0" borderId="0" xfId="0" applyNumberFormat="1" applyFont="1" applyAlignment="1">
      <alignment horizontal="center"/>
    </xf>
    <xf numFmtId="0" fontId="46" fillId="0" borderId="31" xfId="0" applyFont="1" applyBorder="1"/>
    <xf numFmtId="0" fontId="46" fillId="0" borderId="31" xfId="0" applyFont="1" applyBorder="1" applyAlignment="1">
      <alignment horizontal="center"/>
    </xf>
    <xf numFmtId="14" fontId="46" fillId="0" borderId="31" xfId="0" applyNumberFormat="1" applyFont="1" applyBorder="1" applyAlignment="1">
      <alignment horizontal="center"/>
    </xf>
    <xf numFmtId="0" fontId="46" fillId="0" borderId="31" xfId="0" applyFont="1" applyBorder="1" applyAlignment="1">
      <alignment horizontal="left"/>
    </xf>
    <xf numFmtId="0" fontId="46" fillId="0" borderId="31" xfId="0" applyFont="1" applyBorder="1" applyAlignment="1">
      <alignment horizontal="center" wrapText="1"/>
    </xf>
    <xf numFmtId="0" fontId="43" fillId="0" borderId="31" xfId="0" applyFont="1" applyBorder="1" applyAlignment="1">
      <alignment horizontal="center"/>
    </xf>
    <xf numFmtId="14" fontId="43" fillId="0" borderId="31" xfId="0" applyNumberFormat="1" applyFont="1" applyBorder="1" applyAlignment="1">
      <alignment horizontal="center"/>
    </xf>
    <xf numFmtId="0" fontId="5" fillId="16" borderId="2" xfId="0" applyFont="1" applyFill="1" applyBorder="1" applyAlignment="1">
      <alignment horizontal="left"/>
    </xf>
    <xf numFmtId="0" fontId="5" fillId="16" borderId="4" xfId="0" applyFont="1" applyFill="1" applyBorder="1" applyAlignment="1">
      <alignment horizontal="left"/>
    </xf>
    <xf numFmtId="0" fontId="43" fillId="0" borderId="4" xfId="0" applyFont="1" applyBorder="1" applyAlignment="1">
      <alignment horizontal="left"/>
    </xf>
    <xf numFmtId="0" fontId="6" fillId="0" borderId="33" xfId="0" applyFont="1" applyBorder="1" applyAlignment="1">
      <alignment horizontal="right"/>
    </xf>
    <xf numFmtId="0" fontId="6" fillId="0" borderId="35" xfId="0" applyFont="1" applyBorder="1" applyAlignment="1">
      <alignment horizontal="right"/>
    </xf>
    <xf numFmtId="0" fontId="43" fillId="0" borderId="5" xfId="0" applyFont="1" applyBorder="1" applyAlignment="1">
      <alignment horizontal="left"/>
    </xf>
    <xf numFmtId="0" fontId="50" fillId="9" borderId="0" xfId="1" applyFont="1" applyFill="1" applyAlignment="1">
      <alignment horizontal="right" vertical="center"/>
    </xf>
    <xf numFmtId="14" fontId="0" fillId="0" borderId="0" xfId="0" applyNumberFormat="1" applyAlignment="1">
      <alignment horizontal="center"/>
    </xf>
    <xf numFmtId="0" fontId="43" fillId="0" borderId="0" xfId="0" applyFont="1" applyAlignment="1">
      <alignment horizontal="center" wrapText="1"/>
    </xf>
    <xf numFmtId="0" fontId="43" fillId="0" borderId="31" xfId="0" applyFont="1" applyBorder="1" applyAlignment="1">
      <alignment horizontal="center" wrapText="1"/>
    </xf>
    <xf numFmtId="0" fontId="47" fillId="16" borderId="0" xfId="0" applyFont="1" applyFill="1" applyAlignment="1">
      <alignment horizontal="center"/>
    </xf>
    <xf numFmtId="14" fontId="47" fillId="16" borderId="0" xfId="0" applyNumberFormat="1" applyFont="1" applyFill="1"/>
    <xf numFmtId="0" fontId="47" fillId="0" borderId="0" xfId="0" applyFont="1"/>
    <xf numFmtId="0" fontId="47" fillId="16" borderId="0" xfId="0" applyFont="1" applyFill="1" applyAlignment="1">
      <alignment horizontal="left"/>
    </xf>
    <xf numFmtId="0" fontId="30" fillId="0" borderId="0" xfId="0" applyFont="1" applyAlignment="1">
      <alignment horizontal="center"/>
    </xf>
    <xf numFmtId="14" fontId="48" fillId="0" borderId="0" xfId="0" applyNumberFormat="1" applyFont="1" applyAlignment="1">
      <alignment horizontal="center"/>
    </xf>
    <xf numFmtId="14" fontId="47" fillId="0" borderId="0" xfId="0" applyNumberFormat="1" applyFont="1"/>
    <xf numFmtId="0" fontId="51" fillId="6" borderId="0" xfId="0" applyFont="1" applyFill="1"/>
    <xf numFmtId="0" fontId="46" fillId="16" borderId="31" xfId="0" applyFont="1" applyFill="1" applyBorder="1" applyAlignment="1">
      <alignment horizontal="center" wrapText="1"/>
    </xf>
    <xf numFmtId="0" fontId="30" fillId="7" borderId="0" xfId="0" applyFont="1" applyFill="1" applyAlignment="1">
      <alignment horizontal="center"/>
    </xf>
    <xf numFmtId="14" fontId="30" fillId="7" borderId="0" xfId="0" applyNumberFormat="1" applyFont="1" applyFill="1" applyAlignment="1">
      <alignment horizontal="center"/>
    </xf>
    <xf numFmtId="0" fontId="25" fillId="0" borderId="0" xfId="1" applyFont="1" applyAlignment="1">
      <alignment horizontal="right" vertical="center"/>
    </xf>
    <xf numFmtId="0" fontId="14" fillId="0" borderId="16" xfId="1" applyFont="1" applyBorder="1" applyAlignment="1" applyProtection="1">
      <alignment horizontal="center" vertical="center" wrapText="1"/>
      <protection locked="0"/>
    </xf>
    <xf numFmtId="0" fontId="14" fillId="11" borderId="13" xfId="1" applyFont="1" applyFill="1" applyBorder="1" applyAlignment="1" applyProtection="1">
      <alignment horizontal="center" vertical="center" wrapText="1"/>
      <protection locked="0"/>
    </xf>
    <xf numFmtId="0" fontId="14" fillId="0" borderId="16" xfId="1" applyFont="1" applyBorder="1" applyAlignment="1">
      <alignment horizontal="center" vertical="center" wrapText="1"/>
    </xf>
    <xf numFmtId="0" fontId="14" fillId="0" borderId="0" xfId="1" applyFont="1" applyAlignment="1">
      <alignment vertical="top" wrapText="1"/>
    </xf>
    <xf numFmtId="0" fontId="14" fillId="15" borderId="34" xfId="1" applyFont="1" applyFill="1" applyBorder="1" applyAlignment="1">
      <alignment horizontal="centerContinuous" vertical="top" wrapText="1"/>
    </xf>
    <xf numFmtId="0" fontId="15" fillId="8" borderId="0" xfId="1" applyFont="1" applyFill="1" applyAlignment="1">
      <alignment vertical="center"/>
    </xf>
    <xf numFmtId="0" fontId="16" fillId="2" borderId="0" xfId="1" applyFont="1" applyFill="1" applyAlignment="1">
      <alignment vertical="center"/>
    </xf>
    <xf numFmtId="0" fontId="18" fillId="0" borderId="0" xfId="1" applyFont="1" applyAlignment="1">
      <alignment horizontal="center" vertical="center" wrapText="1"/>
    </xf>
    <xf numFmtId="0" fontId="16" fillId="2" borderId="0" xfId="1" applyFont="1" applyFill="1" applyAlignment="1">
      <alignment wrapText="1"/>
    </xf>
    <xf numFmtId="0" fontId="16" fillId="2" borderId="0" xfId="1" applyFont="1" applyFill="1"/>
    <xf numFmtId="0" fontId="16" fillId="2" borderId="0" xfId="1" applyFont="1" applyFill="1" applyAlignment="1">
      <alignment horizontal="center" vertical="center"/>
    </xf>
    <xf numFmtId="0" fontId="23" fillId="2" borderId="0" xfId="1" applyFont="1" applyFill="1" applyAlignment="1">
      <alignment horizontal="center" vertical="center"/>
    </xf>
    <xf numFmtId="0" fontId="23" fillId="2" borderId="0" xfId="1" applyFont="1" applyFill="1"/>
    <xf numFmtId="0" fontId="2" fillId="0" borderId="0" xfId="1" applyAlignment="1">
      <alignment horizontal="center" vertical="center"/>
    </xf>
    <xf numFmtId="0" fontId="17" fillId="2" borderId="15" xfId="1" applyFont="1" applyFill="1" applyBorder="1" applyAlignment="1">
      <alignment horizontal="center" vertical="center"/>
    </xf>
    <xf numFmtId="0" fontId="40" fillId="2" borderId="0" xfId="1" applyFont="1" applyFill="1" applyAlignment="1" applyProtection="1">
      <alignment vertical="center"/>
      <protection locked="0"/>
    </xf>
    <xf numFmtId="0" fontId="13" fillId="2" borderId="0" xfId="1" applyFont="1" applyFill="1" applyAlignment="1" applyProtection="1">
      <alignment vertical="center"/>
      <protection locked="0"/>
    </xf>
    <xf numFmtId="0" fontId="36" fillId="9" borderId="10" xfId="1" applyFont="1" applyFill="1" applyBorder="1" applyAlignment="1">
      <alignment horizontal="left" vertical="center" wrapText="1"/>
    </xf>
    <xf numFmtId="0" fontId="26" fillId="9" borderId="10" xfId="1" applyFont="1" applyFill="1" applyBorder="1" applyAlignment="1">
      <alignment horizontal="left" vertical="center" wrapText="1"/>
    </xf>
    <xf numFmtId="0" fontId="19" fillId="2" borderId="0" xfId="1" applyFont="1" applyFill="1" applyAlignment="1">
      <alignment horizontal="center" vertical="center" wrapText="1"/>
    </xf>
  </cellXfs>
  <cellStyles count="4">
    <cellStyle name="Good" xfId="3" builtinId="26"/>
    <cellStyle name="Normal" xfId="0" builtinId="0"/>
    <cellStyle name="Normal 2" xfId="1" xr:uid="{00000000-0005-0000-0000-000001000000}"/>
    <cellStyle name="Normal 2 2" xfId="2" xr:uid="{00000000-0005-0000-0000-000002000000}"/>
  </cellStyles>
  <dxfs count="4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
      <font>
        <b/>
        <i/>
      </font>
      <fill>
        <patternFill>
          <bgColor theme="0" tint="-0.14996795556505021"/>
        </patternFill>
      </fill>
    </dxf>
    <dxf>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728BC548-78C9-49CA-99F9-AFBF2358BF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678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4225772"/>
    <xdr:sp macro="" textlink="">
      <xdr:nvSpPr>
        <xdr:cNvPr id="4" name="TextBox 3">
          <a:extLst>
            <a:ext uri="{FF2B5EF4-FFF2-40B4-BE49-F238E27FC236}">
              <a16:creationId xmlns:a16="http://schemas.microsoft.com/office/drawing/2014/main" id="{9D2858B5-6730-415E-8EBF-2C8AD39F2D54}"/>
            </a:ext>
          </a:extLst>
        </xdr:cNvPr>
        <xdr:cNvSpPr txBox="1"/>
      </xdr:nvSpPr>
      <xdr:spPr>
        <a:xfrm>
          <a:off x="12030075" y="819151"/>
          <a:ext cx="5629275"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Master of Arts (OpenUnis)</a:t>
          </a:r>
          <a:endParaRPr lang="en-AU" sz="1100" b="1" i="0" u="none" strike="noStrike">
            <a:solidFill>
              <a:schemeClr val="dk1"/>
            </a:solidFill>
            <a:effectLst/>
            <a:latin typeface="+mn-lt"/>
            <a:ea typeface="+mn-ea"/>
            <a:cs typeface="+mn-cs"/>
          </a:endParaRP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Masters Research Project Units</a:t>
          </a:r>
        </a:p>
        <a:p>
          <a:r>
            <a:rPr lang="en-AU" sz="1100">
              <a:solidFill>
                <a:schemeClr val="dk1"/>
              </a:solidFill>
              <a:effectLst/>
              <a:latin typeface="+mn-lt"/>
              <a:ea typeface="+mn-ea"/>
              <a:cs typeface="+mn-cs"/>
            </a:rPr>
            <a:t>Students must</a:t>
          </a:r>
          <a:r>
            <a:rPr lang="en-AU" sz="1100" baseline="0">
              <a:solidFill>
                <a:schemeClr val="dk1"/>
              </a:solidFill>
              <a:effectLst/>
              <a:latin typeface="+mn-lt"/>
              <a:ea typeface="+mn-ea"/>
              <a:cs typeface="+mn-cs"/>
            </a:rPr>
            <a:t> study (</a:t>
          </a:r>
          <a:r>
            <a:rPr lang="en-AU" sz="1100" i="1">
              <a:solidFill>
                <a:schemeClr val="dk1"/>
              </a:solidFill>
              <a:effectLst/>
              <a:latin typeface="+mn-lt"/>
              <a:ea typeface="+mn-ea"/>
              <a:cs typeface="+mn-cs"/>
            </a:rPr>
            <a:t>HUMN6001) HUMN600 Masters Research Project 1 </a:t>
          </a:r>
          <a:r>
            <a:rPr lang="en-AU" sz="1100" b="1" i="1" u="none">
              <a:solidFill>
                <a:schemeClr val="dk1"/>
              </a:solidFill>
              <a:effectLst/>
              <a:latin typeface="+mn-lt"/>
              <a:ea typeface="+mn-ea"/>
              <a:cs typeface="+mn-cs"/>
            </a:rPr>
            <a:t>before</a:t>
          </a:r>
          <a:r>
            <a:rPr lang="en-AU" sz="1100" i="0" baseline="0">
              <a:solidFill>
                <a:schemeClr val="dk1"/>
              </a:solidFill>
              <a:effectLst/>
              <a:latin typeface="+mn-lt"/>
              <a:ea typeface="+mn-ea"/>
              <a:cs typeface="+mn-cs"/>
            </a:rPr>
            <a:t> studying (</a:t>
          </a:r>
          <a:r>
            <a:rPr lang="en-AU" sz="1100" i="1">
              <a:solidFill>
                <a:schemeClr val="dk1"/>
              </a:solidFill>
              <a:effectLst/>
              <a:latin typeface="+mn-lt"/>
              <a:ea typeface="+mn-ea"/>
              <a:cs typeface="+mn-cs"/>
            </a:rPr>
            <a:t>HUMN6004)</a:t>
          </a:r>
          <a:r>
            <a:rPr lang="en-AU" sz="1100" i="1" baseline="0">
              <a:solidFill>
                <a:schemeClr val="dk1"/>
              </a:solidFill>
              <a:effectLst/>
              <a:latin typeface="+mn-lt"/>
              <a:ea typeface="+mn-ea"/>
              <a:cs typeface="+mn-cs"/>
            </a:rPr>
            <a:t> </a:t>
          </a:r>
          <a:r>
            <a:rPr lang="en-AU" sz="1100" i="1">
              <a:solidFill>
                <a:schemeClr val="dk1"/>
              </a:solidFill>
              <a:effectLst/>
              <a:latin typeface="+mn-lt"/>
              <a:ea typeface="+mn-ea"/>
              <a:cs typeface="+mn-cs"/>
            </a:rPr>
            <a:t>HUMN610 Masters Research Project 2</a:t>
          </a:r>
          <a:r>
            <a:rPr lang="en-AU" sz="1100">
              <a:solidFill>
                <a:schemeClr val="dk1"/>
              </a:solidFill>
              <a:effectLst/>
              <a:latin typeface="+mn-lt"/>
              <a:ea typeface="+mn-ea"/>
              <a:cs typeface="+mn-cs"/>
            </a:rPr>
            <a:t>.</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6E1F28-63C9-4462-8D59-596F53B4B4F5}"/>
            </a:ext>
          </a:extLst>
        </xdr:cNvPr>
        <xdr:cNvSpPr txBox="1"/>
      </xdr:nvSpPr>
      <xdr:spPr>
        <a:xfrm>
          <a:off x="15011400" y="857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D1881363-8CA7-430D-B4F4-DA587CFB87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658350" y="76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3536866"/>
    <xdr:sp macro="" textlink="">
      <xdr:nvSpPr>
        <xdr:cNvPr id="3" name="TextBox 2">
          <a:extLst>
            <a:ext uri="{FF2B5EF4-FFF2-40B4-BE49-F238E27FC236}">
              <a16:creationId xmlns:a16="http://schemas.microsoft.com/office/drawing/2014/main" id="{BAD0CA7A-145F-4358-83D1-0F6E00E1560A}"/>
            </a:ext>
          </a:extLst>
        </xdr:cNvPr>
        <xdr:cNvSpPr txBox="1"/>
      </xdr:nvSpPr>
      <xdr:spPr>
        <a:xfrm>
          <a:off x="12125325" y="8191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Diploma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79FB8EE-CEDA-4C35-AA84-1FE45D06EB20}"/>
            </a:ext>
          </a:extLst>
        </xdr:cNvPr>
        <xdr:cNvSpPr txBox="1"/>
      </xdr:nvSpPr>
      <xdr:spPr>
        <a:xfrm>
          <a:off x="15144750" y="476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A376A404-7402-4774-9F31-AB60FC2BD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34500" y="457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4</xdr:row>
      <xdr:rowOff>19051</xdr:rowOff>
    </xdr:from>
    <xdr:ext cx="5629275" cy="3536866"/>
    <xdr:sp macro="" textlink="">
      <xdr:nvSpPr>
        <xdr:cNvPr id="3" name="TextBox 2">
          <a:extLst>
            <a:ext uri="{FF2B5EF4-FFF2-40B4-BE49-F238E27FC236}">
              <a16:creationId xmlns:a16="http://schemas.microsoft.com/office/drawing/2014/main" id="{4872EA3A-B46F-4382-AED7-EC9DBCFF0BBE}"/>
            </a:ext>
          </a:extLst>
        </xdr:cNvPr>
        <xdr:cNvSpPr txBox="1"/>
      </xdr:nvSpPr>
      <xdr:spPr>
        <a:xfrm>
          <a:off x="11610975" y="12382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Certificate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3</xdr:row>
      <xdr:rowOff>9525</xdr:rowOff>
    </xdr:from>
    <xdr:to>
      <xdr:col>21</xdr:col>
      <xdr:colOff>371475</xdr:colOff>
      <xdr:row>4</xdr:row>
      <xdr:rowOff>19445</xdr:rowOff>
    </xdr:to>
    <xdr:sp macro="" textlink="">
      <xdr:nvSpPr>
        <xdr:cNvPr id="4" name="TextBox 3">
          <a:hlinkClick xmlns:r="http://schemas.openxmlformats.org/officeDocument/2006/relationships" r:id="rId2"/>
          <a:extLst>
            <a:ext uri="{FF2B5EF4-FFF2-40B4-BE49-F238E27FC236}">
              <a16:creationId xmlns:a16="http://schemas.microsoft.com/office/drawing/2014/main" id="{7DE2ADD3-E17D-4334-95D9-70F2441DC6C8}"/>
            </a:ext>
          </a:extLst>
        </xdr:cNvPr>
        <xdr:cNvSpPr txBox="1"/>
      </xdr:nvSpPr>
      <xdr:spPr>
        <a:xfrm>
          <a:off x="14820900" y="8953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95251</xdr:colOff>
      <xdr:row>7</xdr:row>
      <xdr:rowOff>38101</xdr:rowOff>
    </xdr:from>
    <xdr:ext cx="5629275" cy="78124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87151"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95251</xdr:colOff>
      <xdr:row>6</xdr:row>
      <xdr:rowOff>38101</xdr:rowOff>
    </xdr:from>
    <xdr:ext cx="5629275" cy="781240"/>
    <xdr:sp macro="" textlink="">
      <xdr:nvSpPr>
        <xdr:cNvPr id="2" name="TextBox 1">
          <a:extLst>
            <a:ext uri="{FF2B5EF4-FFF2-40B4-BE49-F238E27FC236}">
              <a16:creationId xmlns:a16="http://schemas.microsoft.com/office/drawing/2014/main" id="{F7ED8688-C8FA-4469-BFCF-37204D34DCF5}"/>
            </a:ext>
          </a:extLst>
        </xdr:cNvPr>
        <xdr:cNvSpPr txBox="1"/>
      </xdr:nvSpPr>
      <xdr:spPr>
        <a:xfrm>
          <a:off x="11763376"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299685DF-4CA5-4EF5-93D1-49359A13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4405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BBB464F-7450-4604-A42F-A54983473EC3}" name="TableOMARTSMajors" displayName="TableOMARTSMajors" ref="A12:H18" totalsRowShown="0" headerRowDxfId="419" dataDxfId="418" tableBorderDxfId="417">
  <autoFilter ref="A12:H18" xr:uid="{1BBB464F-7450-4604-A42F-A54983473EC3}"/>
  <sortState xmlns:xlrd2="http://schemas.microsoft.com/office/spreadsheetml/2017/richdata2" ref="A13:G18">
    <sortCondition ref="A12:A18"/>
  </sortState>
  <tableColumns count="8">
    <tableColumn id="1" xr3:uid="{6B66A372-762D-4CD1-A2F5-0FD5170CB320}" name="Choose your Major (drop-down list)" dataDxfId="416"/>
    <tableColumn id="2" xr3:uid="{AE8BDA95-D086-43A2-B8BD-E6737702B391}" name="UDC" dataDxfId="415"/>
    <tableColumn id="3" xr3:uid="{92A9A092-44C9-40EA-9A56-9857D264E3CF}" name="SM Version" dataDxfId="414"/>
    <tableColumn id="4" xr3:uid="{244634D5-F9E4-4848-A6FB-54BFD4EBAB9D}" name="SM Effective Date" dataDxfId="413"/>
    <tableColumn id="5" xr3:uid="{D016CF87-607C-4F84-87A1-90791F08F386}" name="Akari Iteration" dataDxfId="412"/>
    <tableColumn id="6" xr3:uid="{C1515F3A-EB1F-4CFC-AEBF-FED28131917D}" name="Akari Effective Date" dataDxfId="411"/>
    <tableColumn id="7" xr3:uid="{1094CB9F-239B-45A0-BA6A-9EF032A3AC15}" name="Credit Points" dataDxfId="410"/>
    <tableColumn id="8" xr3:uid="{441D1EFD-6BAE-4F89-8B5E-6F3E054AD19F}" name="Notes" dataDxfId="40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A17017-5656-422F-97F6-ED5F4872AB88}" name="TableOUMPCWRI4" displayName="TableOUMPCWRI4" ref="A9:O42" totalsRowShown="0">
  <autoFilter ref="A9:O42" xr:uid="{1EA17017-5656-422F-97F6-ED5F4872AB88}"/>
  <sortState xmlns:xlrd2="http://schemas.microsoft.com/office/spreadsheetml/2017/richdata2" ref="A10:R41">
    <sortCondition ref="O44:O48"/>
  </sortState>
  <tableColumns count="15">
    <tableColumn id="1" xr3:uid="{CBC5A6F3-1B6F-4B66-A7A6-44243057FDAB}" name="UDC" dataDxfId="320">
      <calculatedColumnFormula>TableOUMPCWRI4[[#This Row],[Study Package Code]]</calculatedColumnFormula>
    </tableColumn>
    <tableColumn id="9" xr3:uid="{48C80A37-912A-422B-A089-C25CEB741F83}" name="V" dataDxfId="319">
      <calculatedColumnFormula>TableOUMPCWRI4[[#This Row],[Ver]]</calculatedColumnFormula>
    </tableColumn>
    <tableColumn id="10" xr3:uid="{8D3BDFB5-53C9-486E-BF70-09F9EEA0BC6E}" name="OUA Code" dataDxfId="318">
      <calculatedColumnFormula>IF(TableOUMPCWRI4[[#This Row],[Ver]]&gt;0,_xlfn.TEXTBEFORE(TableOUMPCWRI4[[#This Row],[Structure Line]]," "),"")</calculatedColumnFormula>
    </tableColumn>
    <tableColumn id="11" xr3:uid="{B3BC4BC4-D61F-49B4-B499-3B773D3854E3}" name="Unit Title" dataDxfId="317">
      <calculatedColumnFormula>IF(TableOUMPCWRI4[[#This Row],[OUA Code]]&lt;&gt;"",_xlfn.TEXTAFTER(TableOUMPCWRI4[[#This Row],[Structure Line]]," "),TableOUMPCWRI4[[#This Row],[Structure Line]])</calculatedColumnFormula>
    </tableColumn>
    <tableColumn id="12" xr3:uid="{CF7661BB-257B-4956-A90E-7C8B8B075BC6}" name="CPs" dataDxfId="316">
      <calculatedColumnFormula>TableOUMPCWRI4[[#This Row],[Credit Points]]</calculatedColumnFormula>
    </tableColumn>
    <tableColumn id="13" xr3:uid="{880A9C74-7764-4AD4-963D-07CBC8A354FB}" name="No." dataDxfId="315"/>
    <tableColumn id="2" xr3:uid="{A3857E58-E8CB-443E-B4BD-E8BB0F916C9C}" name="Component Type" dataDxfId="314"/>
    <tableColumn id="3" xr3:uid="{B6CE5DAD-0889-4B2D-8703-843932ADD975}" name="Year Level" dataDxfId="313"/>
    <tableColumn id="4" xr3:uid="{5C152471-5812-4032-89EF-31BB403FB3EC}" name="Study Period" dataDxfId="312"/>
    <tableColumn id="5" xr3:uid="{EF5B72E7-4A78-4C61-9150-13B3DC2739B3}" name="Study Package Code" dataDxfId="311"/>
    <tableColumn id="6" xr3:uid="{793D4646-F119-464B-8F40-E5A6486146F7}" name="Ver" dataDxfId="310"/>
    <tableColumn id="7" xr3:uid="{FF741D26-CFB2-4AB5-A3FB-FB2EACBBF0A2}" name="Structure Line" dataDxfId="309"/>
    <tableColumn id="8" xr3:uid="{30A30988-03EE-43C3-950C-4CB927CAAF9F}" name="Credit Points" dataDxfId="308"/>
    <tableColumn id="16" xr3:uid="{09BE7AC0-A926-4B56-9C14-5545BB8FB651}" name="Effective" dataDxfId="307"/>
    <tableColumn id="14" xr3:uid="{258B800E-01BA-434B-BCAB-69695245A252}" name="Discont." dataDxfId="30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919D388-4135-408C-B882-A922A7689B91}" name="TableOUMPCWRI4Check" displayName="TableOUMPCWRI4Check" ref="Q9:R42" totalsRowShown="0">
  <autoFilter ref="Q9:R42" xr:uid="{5919D388-4135-408C-B882-A922A7689B91}"/>
  <tableColumns count="2">
    <tableColumn id="5" xr3:uid="{C293C6B1-984B-4DA7-A0EA-732C12574717}" name="SPK"/>
    <tableColumn id="6" xr3:uid="{A4038A92-3E41-4CAD-A6AF-9BC41F5708E9}"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15B3A2E-AB9A-418D-BA4E-27A6B35F8F89}" name="TableOUMPDGCM1" displayName="TableOUMPDGCM1" ref="A44:O82" totalsRowShown="0">
  <autoFilter ref="A44:O82" xr:uid="{415B3A2E-AB9A-418D-BA4E-27A6B35F8F89}"/>
  <sortState xmlns:xlrd2="http://schemas.microsoft.com/office/spreadsheetml/2017/richdata2" ref="A45:R59">
    <sortCondition ref="O44:O48"/>
  </sortState>
  <tableColumns count="15">
    <tableColumn id="1" xr3:uid="{A81FA0F5-2301-4304-B914-DD02AF0A7FCB}" name="UDC" dataDxfId="305">
      <calculatedColumnFormula>TableOUMPDGCM1[[#This Row],[Study Package Code]]</calculatedColumnFormula>
    </tableColumn>
    <tableColumn id="9" xr3:uid="{2FE2F516-F74F-4D4A-84BB-2AC4DBA70A95}" name="V" dataDxfId="304">
      <calculatedColumnFormula>TableOUMPDGCM1[[#This Row],[Ver]]</calculatedColumnFormula>
    </tableColumn>
    <tableColumn id="10" xr3:uid="{1D82D22E-8ACE-43D5-9370-F4D0C6D10DD0}" name="OUA Code" dataDxfId="303">
      <calculatedColumnFormula>IF(TableOUMPDGCM1[[#This Row],[Ver]]&gt;0,_xlfn.TEXTBEFORE(TableOUMPDGCM1[[#This Row],[Structure Line]]," "),"")</calculatedColumnFormula>
    </tableColumn>
    <tableColumn id="11" xr3:uid="{54E328B6-5F4A-477C-BC1F-A9B3ADD62524}" name="Unit Title" dataDxfId="302">
      <calculatedColumnFormula>IF(TableOUMPDGCM1[[#This Row],[OUA Code]]&lt;&gt;"",_xlfn.TEXTAFTER(TableOUMPDGCM1[[#This Row],[Structure Line]]," "),TableOUMPDGCM1[[#This Row],[Structure Line]])</calculatedColumnFormula>
    </tableColumn>
    <tableColumn id="12" xr3:uid="{81F951ED-7452-46BB-B40F-C588B57BE0B0}" name="CPs" dataDxfId="301">
      <calculatedColumnFormula>TableOUMPDGCM1[[#This Row],[Credit Points]]</calculatedColumnFormula>
    </tableColumn>
    <tableColumn id="13" xr3:uid="{BFB3FD79-B93E-4A11-9B4F-39EDF0C23228}" name="No." dataDxfId="300"/>
    <tableColumn id="2" xr3:uid="{A5DF1E11-9C29-4340-BBD8-FDCD9D1E0152}" name="Component Type" dataDxfId="299"/>
    <tableColumn id="3" xr3:uid="{82857A33-D0BE-4A8D-9362-417B325AC094}" name="Year Level" dataDxfId="298"/>
    <tableColumn id="4" xr3:uid="{764B7DA5-CE02-43B9-8E02-F2D0D960F430}" name="Study Period" dataDxfId="297"/>
    <tableColumn id="5" xr3:uid="{96DB780A-7526-43FD-A619-8BDD2EA9C5FE}" name="Study Package Code" dataDxfId="296"/>
    <tableColumn id="6" xr3:uid="{B8D93924-CBE6-4F47-A8FB-B6D4C1ECB916}" name="Ver" dataDxfId="295"/>
    <tableColumn id="7" xr3:uid="{34FA9115-3D8A-4094-9952-30EFFCA350BF}" name="Structure Line" dataDxfId="294"/>
    <tableColumn id="8" xr3:uid="{E2747771-94DF-483A-8AD6-2F1ED92472B6}" name="Credit Points" dataDxfId="293"/>
    <tableColumn id="16" xr3:uid="{DC6CE5F5-0CCF-4D67-A39E-F5D2AB1EEC52}" name="Effective" dataDxfId="292"/>
    <tableColumn id="14" xr3:uid="{055ACD1D-D0C6-4558-AF6E-01518145FEFF}" name="Discont." dataDxfId="29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F1BB58-70E6-4D19-BA26-9734DB210F4D}" name="TableOUMPDGCM1Check" displayName="TableOUMPDGCM1Check" ref="Q44:R82" totalsRowShown="0">
  <autoFilter ref="Q44:R82" xr:uid="{38F1BB58-70E6-4D19-BA26-9734DB210F4D}"/>
  <tableColumns count="2">
    <tableColumn id="5" xr3:uid="{C4A78E60-52CC-41EE-82C9-1B7F2B941C98}" name="SPK"/>
    <tableColumn id="6" xr3:uid="{2A4288D5-6EBD-48A7-932C-DC45210F040E}"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91E7E0-B5FF-48E3-ADE6-7F7116607B16}" name="TableOUMPFINA1" displayName="TableOUMPFINA1" ref="A84:O116" totalsRowShown="0">
  <autoFilter ref="A84:O116" xr:uid="{6491E7E0-B5FF-48E3-ADE6-7F7116607B16}"/>
  <sortState xmlns:xlrd2="http://schemas.microsoft.com/office/spreadsheetml/2017/richdata2" ref="A85:R116">
    <sortCondition ref="O44:O48"/>
  </sortState>
  <tableColumns count="15">
    <tableColumn id="1" xr3:uid="{65DA1B19-367C-4227-B6C3-C34C4E9A615C}" name="UDC" dataDxfId="290">
      <calculatedColumnFormula>TableOUMPFINA1[[#This Row],[Study Package Code]]</calculatedColumnFormula>
    </tableColumn>
    <tableColumn id="9" xr3:uid="{34AB045E-C652-4137-B010-E12282C1E6D2}" name="V" dataDxfId="289">
      <calculatedColumnFormula>TableOUMPFINA1[[#This Row],[Ver]]</calculatedColumnFormula>
    </tableColumn>
    <tableColumn id="10" xr3:uid="{46CC0E58-927B-4F92-8ABF-EC17A433BCC4}" name="OUA Code" dataDxfId="288">
      <calculatedColumnFormula>IF(TableOUMPFINA1[[#This Row],[Ver]]&gt;0,_xlfn.TEXTBEFORE(TableOUMPFINA1[[#This Row],[Structure Line]]," "),"")</calculatedColumnFormula>
    </tableColumn>
    <tableColumn id="11" xr3:uid="{820A4B0A-B271-4620-8C4C-E59836179A23}" name="Unit Title" dataDxfId="287">
      <calculatedColumnFormula>IF(TableOUMPFINA1[[#This Row],[OUA Code]]&lt;&gt;"",_xlfn.TEXTAFTER(TableOUMPFINA1[[#This Row],[Structure Line]]," "),TableOUMPFINA1[[#This Row],[Structure Line]])</calculatedColumnFormula>
    </tableColumn>
    <tableColumn id="12" xr3:uid="{8C3C049A-148B-4238-B5F0-E20E58F176AC}" name="CPs" dataDxfId="286">
      <calculatedColumnFormula>TableOUMPFINA1[[#This Row],[Credit Points]]</calculatedColumnFormula>
    </tableColumn>
    <tableColumn id="13" xr3:uid="{CB7F87A0-A387-4109-83F3-50427DFEDD0F}" name="No." dataDxfId="285"/>
    <tableColumn id="2" xr3:uid="{37C5C991-A63A-49E3-925A-C04D8AC782C8}" name="Component Type" dataDxfId="284"/>
    <tableColumn id="3" xr3:uid="{EBF633E7-3F30-442B-9B7F-3A4B1C509EEF}" name="Year Level" dataDxfId="283"/>
    <tableColumn id="4" xr3:uid="{024B0270-6333-4C09-8CAF-BD432E484F0C}" name="Study Period" dataDxfId="282"/>
    <tableColumn id="5" xr3:uid="{6F77ABCA-C686-4369-9D8F-4CE2A3E4C8C1}" name="Study Package Code" dataDxfId="281"/>
    <tableColumn id="6" xr3:uid="{667E110C-C855-4C19-B0A6-3153030A5687}" name="Ver" dataDxfId="280"/>
    <tableColumn id="7" xr3:uid="{C1F63376-A77D-4A8F-AE0C-710641CDB953}" name="Structure Line" dataDxfId="279"/>
    <tableColumn id="8" xr3:uid="{F65086E3-F424-45E9-A15D-0E01EA935C66}" name="Credit Points" dataDxfId="278"/>
    <tableColumn id="16" xr3:uid="{7201AFCB-2A2B-4AED-9742-C0AF8C9E4D51}" name="Effective" dataDxfId="277"/>
    <tableColumn id="14" xr3:uid="{AE18BF5C-B7B0-4AA3-8A1A-4115F5FFE7DF}" name="Discont." dataDxfId="27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74DE10-234E-42A5-93E8-9B014008889E}" name="TableOUMPFINA1Check" displayName="TableOUMPFINA1Check" ref="Q84:R116" totalsRowShown="0">
  <autoFilter ref="Q84:R116" xr:uid="{F574DE10-234E-42A5-93E8-9B014008889E}"/>
  <tableColumns count="2">
    <tableColumn id="5" xr3:uid="{BBBC1B99-3846-46F1-BC05-B2AE1BCA4D7D}" name="SPK"/>
    <tableColumn id="6" xr3:uid="{BE3A0110-8EEC-4812-94A6-71CB9B6F7B84}" name="Ver"/>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884BBD7-2849-4BDD-B320-7BA274A94230}" name="TableOUMPPWRI4" displayName="TableOUMPPWRI4" ref="A118:O152" totalsRowShown="0">
  <autoFilter ref="A118:O152" xr:uid="{C884BBD7-2849-4BDD-B320-7BA274A94230}"/>
  <sortState xmlns:xlrd2="http://schemas.microsoft.com/office/spreadsheetml/2017/richdata2" ref="A119:R133">
    <sortCondition ref="O44:O48"/>
  </sortState>
  <tableColumns count="15">
    <tableColumn id="1" xr3:uid="{FECBF023-F44B-4FB1-99D1-A2934AADAFBC}" name="UDC" dataDxfId="275">
      <calculatedColumnFormula>TableOUMPPWRI4[[#This Row],[Study Package Code]]</calculatedColumnFormula>
    </tableColumn>
    <tableColumn id="9" xr3:uid="{77752577-F88C-4E36-A4A1-0A4FFAABCF4B}" name="V" dataDxfId="274">
      <calculatedColumnFormula>TableOUMPPWRI4[[#This Row],[Ver]]</calculatedColumnFormula>
    </tableColumn>
    <tableColumn id="10" xr3:uid="{48D25153-4DAE-4FA5-8502-1C0F6C3E86D8}" name="OUA Code" dataDxfId="273">
      <calculatedColumnFormula>IF(TableOUMPPWRI4[[#This Row],[Ver]]&gt;0,_xlfn.TEXTBEFORE(TableOUMPPWRI4[[#This Row],[Structure Line]]," "),"")</calculatedColumnFormula>
    </tableColumn>
    <tableColumn id="11" xr3:uid="{C18F10CE-0EE4-44E1-B345-6FBBC9A59921}" name="Unit Title" dataDxfId="272">
      <calculatedColumnFormula>IF(TableOUMPPWRI4[[#This Row],[OUA Code]]&lt;&gt;"",_xlfn.TEXTAFTER(TableOUMPPWRI4[[#This Row],[Structure Line]]," "),TableOUMPPWRI4[[#This Row],[Structure Line]])</calculatedColumnFormula>
    </tableColumn>
    <tableColumn id="12" xr3:uid="{CE9831A5-A760-4906-A93B-2247EDB4C6B2}" name="CPs" dataDxfId="271">
      <calculatedColumnFormula>TableOUMPPWRI4[[#This Row],[Credit Points]]</calculatedColumnFormula>
    </tableColumn>
    <tableColumn id="13" xr3:uid="{0B7DD3C6-FD1E-4212-9FE6-469C81ACA343}" name="No." dataDxfId="270"/>
    <tableColumn id="2" xr3:uid="{6B8DB9BB-D301-4309-A5E7-E29CA2D66A14}" name="Component Type" dataDxfId="269"/>
    <tableColumn id="3" xr3:uid="{6584C713-2C69-402D-A146-10AC66E4D937}" name="Year Level" dataDxfId="268"/>
    <tableColumn id="4" xr3:uid="{0F924007-8931-44C3-B672-9D2F9BD84C10}" name="Study Period" dataDxfId="267"/>
    <tableColumn id="5" xr3:uid="{1AEC1DD7-75FC-4B19-A869-543F45406C64}" name="Study Package Code" dataDxfId="266"/>
    <tableColumn id="6" xr3:uid="{3E9ECB3F-D1BA-452D-9DAC-F4831FCF7569}" name="Ver" dataDxfId="265"/>
    <tableColumn id="7" xr3:uid="{674B8B61-6667-4CC3-9D2B-245DDF0EFDEE}" name="Structure Line" dataDxfId="264"/>
    <tableColumn id="8" xr3:uid="{6FCE23F5-0C4B-46D9-A46E-7F0669710E07}" name="Credit Points" dataDxfId="263"/>
    <tableColumn id="16" xr3:uid="{2DA27707-41B0-47C2-A2DF-1F41D9E11FF7}" name="Effective" dataDxfId="262"/>
    <tableColumn id="14" xr3:uid="{018B812B-3654-4AC6-B56C-7EB404DE169B}" name="Discont." dataDxfId="26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FC794F7-6C7E-4ED0-BBC2-9D01CAC1026F}" name="TableOUMPPWRI4Check" displayName="TableOUMPPWRI4Check" ref="Q118:R152" totalsRowShown="0">
  <autoFilter ref="Q118:R152" xr:uid="{1FC794F7-6C7E-4ED0-BBC2-9D01CAC1026F}"/>
  <tableColumns count="2">
    <tableColumn id="5" xr3:uid="{A384BB9B-44BC-4715-89F1-10C1688A6777}" name="SPK"/>
    <tableColumn id="6" xr3:uid="{F615D0E6-7C51-469C-BFAF-A2463D3A3188}" name="Ver"/>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9C194F-8E14-4116-90CF-53F52ECC085E}" name="TableOCHRIGHT" displayName="TableOCHRIGHT" ref="A155:O162" totalsRowShown="0">
  <autoFilter ref="A155:O162" xr:uid="{A79C194F-8E14-4116-90CF-53F52ECC085E}"/>
  <sortState xmlns:xlrd2="http://schemas.microsoft.com/office/spreadsheetml/2017/richdata2" ref="A156:R162">
    <sortCondition ref="O44:O48"/>
  </sortState>
  <tableColumns count="15">
    <tableColumn id="1" xr3:uid="{0CBBCBC1-F338-47F5-B1DE-16878B429DAB}" name="UDC" dataDxfId="260">
      <calculatedColumnFormula>TableOCHRIGHT[[#This Row],[Study Package Code]]</calculatedColumnFormula>
    </tableColumn>
    <tableColumn id="9" xr3:uid="{D1686D37-B132-468A-99AD-74899654F064}" name="V" dataDxfId="259">
      <calculatedColumnFormula>TableOCHRIGHT[[#This Row],[Ver]]</calculatedColumnFormula>
    </tableColumn>
    <tableColumn id="10" xr3:uid="{2E872940-24DE-4452-87C0-2CC55E7ABF19}" name="OUA Code" dataDxfId="258">
      <calculatedColumnFormula>IF(TableOCHRIGHT[[#This Row],[Ver]]&gt;0,_xlfn.TEXTBEFORE(TableOCHRIGHT[[#This Row],[Structure Line]]," "),"")</calculatedColumnFormula>
    </tableColumn>
    <tableColumn id="11" xr3:uid="{C5423C07-FAB2-4FE9-8964-670AE5C0D3C2}" name="Unit Title" dataDxfId="257">
      <calculatedColumnFormula>IF(TableOCHRIGHT[[#This Row],[OUA Code]]&lt;&gt;"",_xlfn.TEXTAFTER(TableOCHRIGHT[[#This Row],[Structure Line]]," "),TableOCHRIGHT[[#This Row],[Structure Line]])</calculatedColumnFormula>
    </tableColumn>
    <tableColumn id="12" xr3:uid="{976EBBA0-FB3B-4A8D-85DD-3C4AA9CA2295}" name="CPs" dataDxfId="256">
      <calculatedColumnFormula>TableOCHRIGHT[[#This Row],[Credit Points]]</calculatedColumnFormula>
    </tableColumn>
    <tableColumn id="13" xr3:uid="{53EC1BEB-DC9C-4EA7-A458-7EA5BBF22F1B}" name="No." dataDxfId="255"/>
    <tableColumn id="2" xr3:uid="{770083AB-0E4E-420B-96DE-6A1E3E625780}" name="Component Type" dataDxfId="254"/>
    <tableColumn id="3" xr3:uid="{2699647E-2127-4643-827E-B9CBC939ED4F}" name="Year Level" dataDxfId="253"/>
    <tableColumn id="4" xr3:uid="{F1B6E04A-E20F-4261-8A8E-C2737FF45717}" name="Study Period" dataDxfId="252"/>
    <tableColumn id="5" xr3:uid="{638B6520-3D29-4220-AB1F-A73B15C2EDFE}" name="Study Package Code" dataDxfId="251"/>
    <tableColumn id="6" xr3:uid="{07D94D0F-5ACC-4C86-B588-88E8AAAB1153}" name="Ver" dataDxfId="250"/>
    <tableColumn id="7" xr3:uid="{3AE10043-4387-4423-872C-19FB4638E8FF}" name="Structure Line" dataDxfId="249"/>
    <tableColumn id="8" xr3:uid="{73C449DA-1438-4132-8846-5940BBDA31EA}" name="Credit Points" dataDxfId="248"/>
    <tableColumn id="16" xr3:uid="{DF64E26F-B9E7-4B90-9F6B-952A83C74CD4}" name="Effective" dataDxfId="247"/>
    <tableColumn id="14" xr3:uid="{57EF5F26-D2C4-4771-A618-CD9E9902346E}" name="Discont." dataDxfId="246"/>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5792006-CE81-477E-B437-26F28B24D8BA}" name="TableCheck06" displayName="TableCheck06" ref="Q155:R162" totalsRowShown="0">
  <autoFilter ref="Q155:R162" xr:uid="{75792006-CE81-477E-B437-26F28B24D8BA}"/>
  <tableColumns count="2">
    <tableColumn id="5" xr3:uid="{A7749548-CEFD-498F-BA9A-2737C3BCFBF7}" name="SPK"/>
    <tableColumn id="6" xr3:uid="{1CB525FA-A2CB-4727-B80C-E3BA4FF7CC1C}" name="Ver"/>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OMARTSStudyPeriods" displayName="TableOMARTSStudyPeriods" ref="A35:E37" totalsRowShown="0" dataDxfId="408">
  <autoFilter ref="A35:E37" xr:uid="{00000000-0009-0000-0100-000004000000}"/>
  <tableColumns count="5">
    <tableColumn id="1" xr3:uid="{00000000-0010-0000-0100-000001000000}" name="Choose your commencing study period (drop-down list)" dataDxfId="407"/>
    <tableColumn id="2" xr3:uid="{00000000-0010-0000-0100-000002000000}" name="START" dataDxfId="406"/>
    <tableColumn id="3" xr3:uid="{00000000-0010-0000-0100-000003000000}" name="Next" dataDxfId="405"/>
    <tableColumn id="4" xr3:uid="{00000000-0010-0000-0100-000004000000}" name="Next2" dataDxfId="404"/>
    <tableColumn id="5" xr3:uid="{00000000-0010-0000-0100-000005000000}" name="Next3" dataDxfId="403"/>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65900B-D2DD-40B5-AD15-D77F4D166F80}" name="TableOGHRIGHT" displayName="TableOGHRIGHT" ref="A164:O171" totalsRowShown="0">
  <autoFilter ref="A164:O171" xr:uid="{5265900B-D2DD-40B5-AD15-D77F4D166F80}"/>
  <sortState xmlns:xlrd2="http://schemas.microsoft.com/office/spreadsheetml/2017/richdata2" ref="A165:R171">
    <sortCondition ref="O44:O48"/>
  </sortState>
  <tableColumns count="15">
    <tableColumn id="1" xr3:uid="{52D47E62-E702-46B2-9E00-A5E232AC2B8C}" name="UDC" dataDxfId="245">
      <calculatedColumnFormula>TableOGHRIGHT[[#This Row],[Study Package Code]]</calculatedColumnFormula>
    </tableColumn>
    <tableColumn id="9" xr3:uid="{2BB8D2E7-AF5F-47D8-8C03-E350990F842E}" name="V" dataDxfId="244">
      <calculatedColumnFormula>TableOGHRIGHT[[#This Row],[Ver]]</calculatedColumnFormula>
    </tableColumn>
    <tableColumn id="10" xr3:uid="{3BE56131-2E05-40C8-AFDE-BF1CEFEFB799}" name="OUA Code" dataDxfId="243">
      <calculatedColumnFormula>IF(TableOGHRIGHT[[#This Row],[Ver]]&gt;0,_xlfn.TEXTBEFORE(TableOGHRIGHT[[#This Row],[Structure Line]]," "),"")</calculatedColumnFormula>
    </tableColumn>
    <tableColumn id="11" xr3:uid="{08BD203F-DA57-48BB-B968-94D3A5348C8E}" name="Unit Title" dataDxfId="242">
      <calculatedColumnFormula>IF(TableOGHRIGHT[[#This Row],[OUA Code]]&lt;&gt;"",_xlfn.TEXTAFTER(TableOGHRIGHT[[#This Row],[Structure Line]]," "),TableOGHRIGHT[[#This Row],[Structure Line]])</calculatedColumnFormula>
    </tableColumn>
    <tableColumn id="12" xr3:uid="{92033D01-3837-479D-9A3B-0BB3E344C16D}" name="CPs" dataDxfId="241">
      <calculatedColumnFormula>TableOGHRIGHT[[#This Row],[Credit Points]]</calculatedColumnFormula>
    </tableColumn>
    <tableColumn id="13" xr3:uid="{3DEE559C-BD8F-4EC6-BCD0-2185EA521E21}" name="No." dataDxfId="240"/>
    <tableColumn id="2" xr3:uid="{13A43754-61B7-437E-9CD2-94CE44514C1B}" name="Component Type" dataDxfId="239"/>
    <tableColumn id="3" xr3:uid="{AC34DD92-D470-4272-9D4B-5E51C60226E6}" name="Year Level" dataDxfId="238"/>
    <tableColumn id="4" xr3:uid="{69CB41BD-8352-4D42-92FA-9F429F0DC604}" name="Study Period" dataDxfId="237"/>
    <tableColumn id="5" xr3:uid="{F607BA71-866B-44B0-A4F0-FC2EBCFED123}" name="Study Package Code" dataDxfId="236"/>
    <tableColumn id="6" xr3:uid="{2A320A91-D6EB-4D64-B0DB-F5F38DA9A886}" name="Ver" dataDxfId="235"/>
    <tableColumn id="7" xr3:uid="{A1B24B32-D7F3-49F7-9F11-3B28FCAD1667}" name="Structure Line" dataDxfId="234"/>
    <tableColumn id="8" xr3:uid="{C5C16575-C404-468A-9FAA-8CF911570646}" name="Credit Points" dataDxfId="233"/>
    <tableColumn id="16" xr3:uid="{B3011C4F-CC3B-4BD1-B003-873C4E447237}" name="Effective" dataDxfId="232"/>
    <tableColumn id="14" xr3:uid="{898884CD-7E89-4C79-B7A3-64B5D6F87D87}" name="Discont." dataDxfId="231"/>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183E113-822E-45BF-BEBC-1A620FFBD38B}" name="TableCheck07" displayName="TableCheck07" ref="Q164:R171" totalsRowShown="0">
  <autoFilter ref="Q164:R171" xr:uid="{6183E113-822E-45BF-BEBC-1A620FFBD38B}"/>
  <tableColumns count="2">
    <tableColumn id="5" xr3:uid="{9408B5C7-A5CD-4B39-A534-481B7EFAB12D}" name="SPK"/>
    <tableColumn id="6" xr3:uid="{74B02674-BFE9-465D-B67F-6133B964E8B8}" name="Ver"/>
  </tableColumns>
  <tableStyleInfo name="TableStyleLight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81B68E0-7A64-40CD-8A1B-D49DAC7F03F2}" name="TableOMHRIGHT" displayName="TableOMHRIGHT" ref="A173:O186" totalsRowShown="0">
  <autoFilter ref="A173:O186" xr:uid="{281B68E0-7A64-40CD-8A1B-D49DAC7F03F2}"/>
  <sortState xmlns:xlrd2="http://schemas.microsoft.com/office/spreadsheetml/2017/richdata2" ref="A174:R186">
    <sortCondition ref="O44:O48"/>
  </sortState>
  <tableColumns count="15">
    <tableColumn id="1" xr3:uid="{2D4DB120-1DB0-4CAD-BE2B-A349EE46C445}" name="UDC" dataDxfId="230">
      <calculatedColumnFormula>TableOMHRIGHT[[#This Row],[Study Package Code]]</calculatedColumnFormula>
    </tableColumn>
    <tableColumn id="9" xr3:uid="{8618BDBF-39A0-4257-A62C-41A457AC09BC}" name="V" dataDxfId="229">
      <calculatedColumnFormula>TableOMHRIGHT[[#This Row],[Ver]]</calculatedColumnFormula>
    </tableColumn>
    <tableColumn id="10" xr3:uid="{C00484FB-5238-4084-B013-D1736BA995D0}" name="OUA Code" dataDxfId="228">
      <calculatedColumnFormula>IF(TableOMHRIGHT[[#This Row],[Ver]]&gt;0,_xlfn.TEXTBEFORE(TableOMHRIGHT[[#This Row],[Structure Line]]," "),"")</calculatedColumnFormula>
    </tableColumn>
    <tableColumn id="11" xr3:uid="{D69A4DD1-9555-4B02-9598-DEAA59CD724D}" name="Unit Title" dataDxfId="227">
      <calculatedColumnFormula>IF(TableOMHRIGHT[[#This Row],[OUA Code]]&lt;&gt;"",_xlfn.TEXTAFTER(TableOMHRIGHT[[#This Row],[Structure Line]]," "),TableOMHRIGHT[[#This Row],[Structure Line]])</calculatedColumnFormula>
    </tableColumn>
    <tableColumn id="12" xr3:uid="{91DDB361-5BB5-4831-81F3-131E0224A237}" name="CPs" dataDxfId="226">
      <calculatedColumnFormula>TableOMHRIGHT[[#This Row],[Credit Points]]</calculatedColumnFormula>
    </tableColumn>
    <tableColumn id="13" xr3:uid="{4C41E63D-ADEA-488A-ADC5-686B56ACDB0D}" name="No." dataDxfId="225"/>
    <tableColumn id="2" xr3:uid="{CD685BA0-4A6F-476E-9494-E50C05DA38AA}" name="Component Type" dataDxfId="224"/>
    <tableColumn id="3" xr3:uid="{0D948FAB-D459-43E6-AA1B-F882046FD577}" name="Year Level" dataDxfId="223"/>
    <tableColumn id="4" xr3:uid="{3D1EC16D-EA18-4165-8484-683E615066DE}" name="Study Period" dataDxfId="222"/>
    <tableColumn id="5" xr3:uid="{430BC548-18DF-4D6D-B3C3-23085649932E}" name="Study Package Code" dataDxfId="221"/>
    <tableColumn id="6" xr3:uid="{97003F5E-5093-4F33-A14D-126AC4D2C7A1}" name="Ver" dataDxfId="220"/>
    <tableColumn id="7" xr3:uid="{74D2D3B5-1418-4D0F-868B-6754F5483B10}" name="Structure Line" dataDxfId="219"/>
    <tableColumn id="8" xr3:uid="{9D8D4462-4554-401D-A01B-6364758370ED}" name="Credit Points" dataDxfId="218"/>
    <tableColumn id="16" xr3:uid="{D438C811-60F0-483B-BA86-274EAEDA4C41}" name="Effective" dataDxfId="217"/>
    <tableColumn id="14" xr3:uid="{DBC45180-32F7-4FD4-A096-0519AE1AD02D}" name="Discont." dataDxfId="216"/>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4AE1655-00B9-41BD-A4DC-712F9689BF6E}" name="TableCheck08" displayName="TableCheck08" ref="Q173:R186" totalsRowShown="0">
  <autoFilter ref="Q173:R186" xr:uid="{24AE1655-00B9-41BD-A4DC-712F9689BF6E}"/>
  <tableColumns count="2">
    <tableColumn id="5" xr3:uid="{0DC441BF-B7AF-4FA6-A336-3F7E411B4E48}" name="SPK"/>
    <tableColumn id="6" xr3:uid="{73919ED7-F741-46D1-B607-43127220F3F0}" name="Ver"/>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1FCA5EE-CE4A-4D74-9317-074266C4A76A}" name="TableOCARTS" displayName="TableOCARTS" ref="A189:O194" totalsRowShown="0">
  <autoFilter ref="A189:O194" xr:uid="{A1FCA5EE-CE4A-4D74-9317-074266C4A76A}"/>
  <sortState xmlns:xlrd2="http://schemas.microsoft.com/office/spreadsheetml/2017/richdata2" ref="A190:R194">
    <sortCondition ref="O44:O48"/>
  </sortState>
  <tableColumns count="15">
    <tableColumn id="1" xr3:uid="{E7EC2D0F-B291-458D-8862-E81958AF3657}" name="UDC" dataDxfId="215">
      <calculatedColumnFormula>TableOCARTS[[#This Row],[Study Package Code]]</calculatedColumnFormula>
    </tableColumn>
    <tableColumn id="9" xr3:uid="{EC01C427-ECE5-42C9-98F8-E4C827AD8DB3}" name="V" dataDxfId="214">
      <calculatedColumnFormula>TableOCARTS[[#This Row],[Ver]]</calculatedColumnFormula>
    </tableColumn>
    <tableColumn id="10" xr3:uid="{4D7FF95E-58BB-4EB7-AA54-8917CE62CA49}" name="OUA Code" dataDxfId="213">
      <calculatedColumnFormula>IF(TableOCARTS[[#This Row],[Ver]]&gt;0,_xlfn.TEXTBEFORE(TableOCARTS[[#This Row],[Structure Line]]," "),"")</calculatedColumnFormula>
    </tableColumn>
    <tableColumn id="11" xr3:uid="{FA74E881-01CC-4C67-84EF-67F2110B13C8}" name="Unit Title" dataDxfId="212">
      <calculatedColumnFormula>IF(TableOCARTS[[#This Row],[OUA Code]]&lt;&gt;"",_xlfn.TEXTAFTER(TableOCARTS[[#This Row],[Structure Line]]," "),TableOCARTS[[#This Row],[Structure Line]])</calculatedColumnFormula>
    </tableColumn>
    <tableColumn id="12" xr3:uid="{4F9866E7-7775-41C5-A94F-22B9D6E75AEB}" name="CPs" dataDxfId="211">
      <calculatedColumnFormula>TableOCARTS[[#This Row],[Credit Points]]</calculatedColumnFormula>
    </tableColumn>
    <tableColumn id="13" xr3:uid="{2B9C7130-1E1B-4267-8479-160901600645}" name="No." dataDxfId="210"/>
    <tableColumn id="2" xr3:uid="{D9D75B8E-2B45-47EA-AE45-CB5C8820E90E}" name="Component Type" dataDxfId="209"/>
    <tableColumn id="3" xr3:uid="{C23DA9DA-E44E-4500-A319-EFDF95B93648}" name="Year Level" dataDxfId="208"/>
    <tableColumn id="4" xr3:uid="{08A1D0D1-C313-4EDE-A407-FE4D05D4373E}" name="Study Period" dataDxfId="207"/>
    <tableColumn id="5" xr3:uid="{3BECDE4A-F229-44B3-BC05-7965EF0C1CC6}" name="Study Package Code" dataDxfId="206"/>
    <tableColumn id="6" xr3:uid="{843B37B6-60D8-4900-B264-0722BC89D1EF}" name="Ver" dataDxfId="205"/>
    <tableColumn id="7" xr3:uid="{350A6326-56B3-42D8-9CAF-575E4E4D04C9}" name="Structure Line" dataDxfId="204"/>
    <tableColumn id="8" xr3:uid="{61E173D0-6727-4DB5-9B48-31A55455C2D7}" name="Credit Points" dataDxfId="203"/>
    <tableColumn id="16" xr3:uid="{BF6087EB-FC8E-40AE-A298-C03B9C7EF9CD}" name="Effective" dataDxfId="202"/>
    <tableColumn id="14" xr3:uid="{E3FC3346-2CB5-4F5A-AD94-631FD4C81A27}" name="Discont." dataDxfId="201"/>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F093F-10F6-42A5-9D80-E1E225025AD0}" name="TableOCARTSCheck" displayName="TableOCARTSCheck" ref="Q189:R194" totalsRowShown="0">
  <autoFilter ref="Q189:R194" xr:uid="{D49F093F-10F6-42A5-9D80-E1E225025AD0}"/>
  <tableColumns count="2">
    <tableColumn id="5" xr3:uid="{93D3FEDB-329C-4768-87F2-37EA440FDE98}" name="SPK"/>
    <tableColumn id="6" xr3:uid="{FB2309FD-1F92-4547-BE96-B520855245BD}" name="Ver"/>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BC54AFA-28AC-4B56-9BA6-C03F15924070}" name="TableOUSPCWRI1" displayName="TableOUSPCWRI1" ref="A196:O208" totalsRowShown="0">
  <autoFilter ref="A196:O208" xr:uid="{9BC54AFA-28AC-4B56-9BA6-C03F15924070}"/>
  <sortState xmlns:xlrd2="http://schemas.microsoft.com/office/spreadsheetml/2017/richdata2" ref="A197:R208">
    <sortCondition ref="O44:O48"/>
  </sortState>
  <tableColumns count="15">
    <tableColumn id="1" xr3:uid="{E068B3DB-8E4C-4406-AAB3-7545878DFA60}" name="UDC" dataDxfId="200">
      <calculatedColumnFormula>TableOUSPCWRI1[[#This Row],[Study Package Code]]</calculatedColumnFormula>
    </tableColumn>
    <tableColumn id="9" xr3:uid="{3A2DB70C-B4FD-407E-8CD5-48DFEA7E5D27}" name="V" dataDxfId="199">
      <calculatedColumnFormula>TableOUSPCWRI1[[#This Row],[Ver]]</calculatedColumnFormula>
    </tableColumn>
    <tableColumn id="10" xr3:uid="{2D5EAF10-EB55-4379-8217-2074AE5D4C45}" name="OUA Code" dataDxfId="198">
      <calculatedColumnFormula>IF(TableOUSPCWRI1[[#This Row],[Ver]]&gt;0,_xlfn.TEXTBEFORE(TableOUSPCWRI1[[#This Row],[Structure Line]]," "),"")</calculatedColumnFormula>
    </tableColumn>
    <tableColumn id="11" xr3:uid="{A0F9E515-B068-4A57-A250-6BAD10D04D8C}" name="Unit Title" dataDxfId="197">
      <calculatedColumnFormula>IF(TableOUSPCWRI1[[#This Row],[OUA Code]]&lt;&gt;"",_xlfn.TEXTAFTER(TableOUSPCWRI1[[#This Row],[Structure Line]]," "),TableOUSPCWRI1[[#This Row],[Structure Line]])</calculatedColumnFormula>
    </tableColumn>
    <tableColumn id="12" xr3:uid="{DE1050D6-B3E0-4ADD-9F48-2087E778A3D4}" name="CPs" dataDxfId="196">
      <calculatedColumnFormula>TableOUSPCWRI1[[#This Row],[Credit Points]]</calculatedColumnFormula>
    </tableColumn>
    <tableColumn id="13" xr3:uid="{AAA16C69-55EC-43F8-B60C-C43C14C8B5A1}" name="No." dataDxfId="195"/>
    <tableColumn id="2" xr3:uid="{47215D5E-A395-4E82-B01A-E55CCCB3FFFA}" name="Component Type" dataDxfId="194"/>
    <tableColumn id="3" xr3:uid="{479D9F76-BCFE-46A9-AC1F-3297729E0985}" name="Year Level" dataDxfId="193"/>
    <tableColumn id="4" xr3:uid="{D860D5DD-004D-4061-AD9C-4712676DAA84}" name="Study Period" dataDxfId="192"/>
    <tableColumn id="5" xr3:uid="{1121C741-FE30-4E11-BBBA-304E3733410B}" name="Study Package Code" dataDxfId="191"/>
    <tableColumn id="6" xr3:uid="{84CAAB7C-87E2-45E7-878E-09D79D114D53}" name="Ver" dataDxfId="190"/>
    <tableColumn id="7" xr3:uid="{D4E85919-8615-48F6-86D9-E7E24B432518}" name="Structure Line" dataDxfId="189"/>
    <tableColumn id="8" xr3:uid="{A4794329-A9B3-49ED-997B-2D31FDFE054F}" name="Credit Points" dataDxfId="188"/>
    <tableColumn id="16" xr3:uid="{2943DB5C-CBFE-4343-9A1C-D8420533A2DA}" name="Effective" dataDxfId="187"/>
    <tableColumn id="14" xr3:uid="{A17E4DE3-716C-4393-857E-9885CA4D21F5}" name="Discont." dataDxfId="186"/>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227525F-D389-4664-B24E-173CF82B2AE4}" name="TableOUSPCWRI1Check" displayName="TableOUSPCWRI1Check" ref="Q196:R208" totalsRowShown="0">
  <autoFilter ref="Q196:R208" xr:uid="{D227525F-D389-4664-B24E-173CF82B2AE4}"/>
  <tableColumns count="2">
    <tableColumn id="5" xr3:uid="{82A291E6-80AC-40E0-8D9B-8A1FFB626C4F}" name="SPK"/>
    <tableColumn id="6" xr3:uid="{D474DAA4-3584-4DAA-98CB-4B3ED34F4AF9}" name="Ver"/>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CCB6961-5281-4CC6-A328-92A5B77F15A1}" name="TableOUSPDGCM1" displayName="TableOUSPDGCM1" ref="A210:O224" totalsRowShown="0">
  <autoFilter ref="A210:O224" xr:uid="{6CCB6961-5281-4CC6-A328-92A5B77F15A1}"/>
  <sortState xmlns:xlrd2="http://schemas.microsoft.com/office/spreadsheetml/2017/richdata2" ref="A211:R224">
    <sortCondition ref="O44:O48"/>
  </sortState>
  <tableColumns count="15">
    <tableColumn id="1" xr3:uid="{94090F2F-D447-4E71-95C3-C6A13ED62112}" name="UDC" dataDxfId="185">
      <calculatedColumnFormula>TableOUSPDGCM1[[#This Row],[Study Package Code]]</calculatedColumnFormula>
    </tableColumn>
    <tableColumn id="9" xr3:uid="{B7654E80-9133-4E47-B905-A7114EE3C4DF}" name="V" dataDxfId="184">
      <calculatedColumnFormula>TableOUSPDGCM1[[#This Row],[Ver]]</calculatedColumnFormula>
    </tableColumn>
    <tableColumn id="10" xr3:uid="{C214DD7D-ABAF-49B5-A3A2-11F644050BA7}" name="OUA Code" dataDxfId="183">
      <calculatedColumnFormula>IF(TableOUSPDGCM1[[#This Row],[Ver]]&gt;0,_xlfn.TEXTBEFORE(TableOUSPDGCM1[[#This Row],[Structure Line]]," "),"")</calculatedColumnFormula>
    </tableColumn>
    <tableColumn id="11" xr3:uid="{8B2DB231-4E14-4012-A852-8CF97C2520D4}" name="Unit Title" dataDxfId="182">
      <calculatedColumnFormula>IF(TableOUSPDGCM1[[#This Row],[OUA Code]]&lt;&gt;"",_xlfn.TEXTAFTER(TableOUSPDGCM1[[#This Row],[Structure Line]]," "),TableOUSPDGCM1[[#This Row],[Structure Line]])</calculatedColumnFormula>
    </tableColumn>
    <tableColumn id="12" xr3:uid="{DA156E32-023D-4250-B9C2-548946030222}" name="CPs" dataDxfId="181">
      <calculatedColumnFormula>TableOUSPDGCM1[[#This Row],[Credit Points]]</calculatedColumnFormula>
    </tableColumn>
    <tableColumn id="13" xr3:uid="{18C65338-80E4-4CC9-9698-565E1F77B1F3}" name="No." dataDxfId="180"/>
    <tableColumn id="2" xr3:uid="{0D611899-E59C-45AF-AD0D-CA8C0067AC55}" name="Component Type" dataDxfId="179"/>
    <tableColumn id="3" xr3:uid="{228808F2-0C35-4C57-AEA0-2109C18AFDB4}" name="Year Level" dataDxfId="178"/>
    <tableColumn id="4" xr3:uid="{4EF11AF0-C488-4E43-949E-6833CDCBC6D1}" name="Study Period" dataDxfId="177"/>
    <tableColumn id="5" xr3:uid="{4A78E134-6BF2-44CC-A850-674A32457333}" name="Study Package Code" dataDxfId="176"/>
    <tableColumn id="6" xr3:uid="{D48A7502-0836-47B1-9693-F56338E2882E}" name="Ver" dataDxfId="175"/>
    <tableColumn id="7" xr3:uid="{B84BF813-5A43-42F0-84D0-BDC161535EED}" name="Structure Line" dataDxfId="174"/>
    <tableColumn id="8" xr3:uid="{45A66AF0-97D2-4F67-87FC-8152C1A85764}" name="Credit Points" dataDxfId="173"/>
    <tableColumn id="16" xr3:uid="{AA5773E9-7A33-4B68-ACA5-A972F1B8AE15}" name="Effective" dataDxfId="172"/>
    <tableColumn id="14" xr3:uid="{D808D9F3-5D50-43AF-9CCB-1147AF7879DF}" name="Discont." dataDxfId="17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FAC8224-74C8-4BFE-8FA2-0CA3C8040403}" name="TableOUSPDGCM1Check" displayName="TableOUSPDGCM1Check" ref="Q210:R224" totalsRowShown="0">
  <autoFilter ref="Q210:R224" xr:uid="{6FAC8224-74C8-4BFE-8FA2-0CA3C8040403}"/>
  <tableColumns count="2">
    <tableColumn id="5" xr3:uid="{77179E59-82FB-41CD-9397-DEBA00DC6C33}" name="SPK"/>
    <tableColumn id="6" xr3:uid="{CAF03A83-4CA3-4AD1-9286-2BCC9AA894AA}" name="Ver"/>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9" totalsRowShown="0" headerRowDxfId="402" dataDxfId="401">
  <autoFilter ref="A3:I9" xr:uid="{00000000-0009-0000-0100-000003000000}"/>
  <tableColumns count="9">
    <tableColumn id="3" xr3:uid="{00000000-0010-0000-0000-000003000000}" name="Choose your Course" dataDxfId="400"/>
    <tableColumn id="1" xr3:uid="{00000000-0010-0000-0000-000001000000}" name="UDC" dataDxfId="399"/>
    <tableColumn id="2" xr3:uid="{00000000-0010-0000-0000-000002000000}" name="SM Version" dataDxfId="398"/>
    <tableColumn id="5" xr3:uid="{00000000-0010-0000-0000-000005000000}" name="SM Effective Date" dataDxfId="397"/>
    <tableColumn id="4" xr3:uid="{00000000-0010-0000-0000-000004000000}" name="Akari Iteration" dataDxfId="396"/>
    <tableColumn id="7" xr3:uid="{00000000-0010-0000-0000-000007000000}" name="Akari Effective Date" dataDxfId="395"/>
    <tableColumn id="8" xr3:uid="{7EF1EF64-2545-4FC9-A243-2A3A96455C44}" name="Credit Points" dataDxfId="394"/>
    <tableColumn id="6" xr3:uid="{00000000-0010-0000-0000-000006000000}" name="SM Availabilities" dataDxfId="393"/>
    <tableColumn id="9" xr3:uid="{BF82D379-0A2B-426E-9820-3A5BFB5F5520}" name="Notes" dataDxfId="39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432DD19-C094-4A4F-A522-A333337834A9}" name="TableOUSPFINA1" displayName="TableOUSPFINA1" ref="A226:O237" totalsRowShown="0">
  <autoFilter ref="A226:O237" xr:uid="{1432DD19-C094-4A4F-A522-A333337834A9}"/>
  <sortState xmlns:xlrd2="http://schemas.microsoft.com/office/spreadsheetml/2017/richdata2" ref="A227:R237">
    <sortCondition ref="O44:O48"/>
  </sortState>
  <tableColumns count="15">
    <tableColumn id="1" xr3:uid="{FAA87A6B-D226-424A-990E-974717BD673B}" name="UDC" dataDxfId="170">
      <calculatedColumnFormula>TableOUSPFINA1[[#This Row],[Study Package Code]]</calculatedColumnFormula>
    </tableColumn>
    <tableColumn id="9" xr3:uid="{CCE11E25-3FAB-4F5A-B838-1BE2CD01C95E}" name="V" dataDxfId="169">
      <calculatedColumnFormula>TableOUSPFINA1[[#This Row],[Ver]]</calculatedColumnFormula>
    </tableColumn>
    <tableColumn id="10" xr3:uid="{DDB82C7F-A2C3-427C-8B72-C56271A10346}" name="OUA Code" dataDxfId="168">
      <calculatedColumnFormula>IF(TableOUSPFINA1[[#This Row],[Ver]]&gt;0,_xlfn.TEXTBEFORE(TableOUSPFINA1[[#This Row],[Structure Line]]," "),"")</calculatedColumnFormula>
    </tableColumn>
    <tableColumn id="11" xr3:uid="{4035C0D1-1384-4808-B475-37D76C2157EB}" name="Unit Title" dataDxfId="167">
      <calculatedColumnFormula>IF(TableOUSPFINA1[[#This Row],[OUA Code]]&lt;&gt;"",_xlfn.TEXTAFTER(TableOUSPFINA1[[#This Row],[Structure Line]]," "),TableOUSPFINA1[[#This Row],[Structure Line]])</calculatedColumnFormula>
    </tableColumn>
    <tableColumn id="12" xr3:uid="{F35BD758-49B4-440A-AA7D-A19C89ECD0E3}" name="CPs" dataDxfId="166">
      <calculatedColumnFormula>TableOUSPFINA1[[#This Row],[Credit Points]]</calculatedColumnFormula>
    </tableColumn>
    <tableColumn id="13" xr3:uid="{A1E3DCE7-DCD5-4AD7-BFC8-8F4DC68837D7}" name="No." dataDxfId="165"/>
    <tableColumn id="2" xr3:uid="{A7E229BB-3FA6-426C-9AEB-B2EC1EF96581}" name="Component Type" dataDxfId="164"/>
    <tableColumn id="3" xr3:uid="{ACCD7886-CC50-4B46-AE5A-25365538F502}" name="Year Level" dataDxfId="163"/>
    <tableColumn id="4" xr3:uid="{81A628DE-8263-41BE-BB8B-88020B4F1A0A}" name="Study Period" dataDxfId="162"/>
    <tableColumn id="5" xr3:uid="{F700C6C9-163A-45A0-AA06-BCE361F96BFF}" name="Study Package Code" dataDxfId="161"/>
    <tableColumn id="6" xr3:uid="{002AEAE0-9D55-41D3-B4D9-C5B096E074ED}" name="Ver" dataDxfId="160"/>
    <tableColumn id="7" xr3:uid="{BA33726E-FD14-467E-89B0-C26C1315A4C3}" name="Structure Line" dataDxfId="159"/>
    <tableColumn id="8" xr3:uid="{99FFF43E-F5E8-4825-9DD9-577B5374C4A8}" name="Credit Points" dataDxfId="158"/>
    <tableColumn id="16" xr3:uid="{27CB919C-300E-4474-A968-020F08A45119}" name="Effective" dataDxfId="157"/>
    <tableColumn id="14" xr3:uid="{9FD138B6-5E26-44E7-A9A0-1553204972AA}" name="Discont." dataDxfId="156"/>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064FC1F-5575-4A24-98E6-601EA3D9B3F9}" name="TableOUSPFINA1Check" displayName="TableOUSPFINA1Check" ref="Q226:R237" totalsRowShown="0">
  <autoFilter ref="Q226:R237" xr:uid="{D064FC1F-5575-4A24-98E6-601EA3D9B3F9}"/>
  <tableColumns count="2">
    <tableColumn id="5" xr3:uid="{333BDA90-14A2-4AB9-A185-41B78FEDFFA3}" name="SPK"/>
    <tableColumn id="6" xr3:uid="{5761B304-66ED-4007-8C5F-BF5081EB5509}" name="Ver"/>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14CECB8-E5BA-4E3E-B806-F35A6AD59820}" name="TableOUSPPWRI1" displayName="TableOUSPPWRI1" ref="A239:O248" totalsRowShown="0">
  <autoFilter ref="A239:O248" xr:uid="{114CECB8-E5BA-4E3E-B806-F35A6AD59820}"/>
  <sortState xmlns:xlrd2="http://schemas.microsoft.com/office/spreadsheetml/2017/richdata2" ref="A240:R248">
    <sortCondition ref="O44:O48"/>
  </sortState>
  <tableColumns count="15">
    <tableColumn id="1" xr3:uid="{5032CAA4-CCE0-46F8-8650-2B56DCA6F41E}" name="UDC" dataDxfId="155">
      <calculatedColumnFormula>TableOUSPPWRI1[[#This Row],[Study Package Code]]</calculatedColumnFormula>
    </tableColumn>
    <tableColumn id="9" xr3:uid="{34871A8F-6A22-4DCE-90D2-3BCB8FBBD451}" name="V" dataDxfId="154">
      <calculatedColumnFormula>TableOUSPPWRI1[[#This Row],[Ver]]</calculatedColumnFormula>
    </tableColumn>
    <tableColumn id="10" xr3:uid="{EB8A4A7E-81EB-4197-8FC3-1657F5629D0C}" name="OUA Code" dataDxfId="153">
      <calculatedColumnFormula>IF(TableOUSPPWRI1[[#This Row],[Ver]]&gt;0,_xlfn.TEXTBEFORE(TableOUSPPWRI1[[#This Row],[Structure Line]]," "),"")</calculatedColumnFormula>
    </tableColumn>
    <tableColumn id="11" xr3:uid="{949AE456-A6F8-447C-991B-9CA73C7ECF89}" name="Unit Title" dataDxfId="152">
      <calculatedColumnFormula>IF(TableOUSPPWRI1[[#This Row],[OUA Code]]&lt;&gt;"",_xlfn.TEXTAFTER(TableOUSPPWRI1[[#This Row],[Structure Line]]," "),TableOUSPPWRI1[[#This Row],[Structure Line]])</calculatedColumnFormula>
    </tableColumn>
    <tableColumn id="12" xr3:uid="{B4D29669-2EE5-4F0E-8304-E37352856188}" name="CPs" dataDxfId="151">
      <calculatedColumnFormula>TableOUSPPWRI1[[#This Row],[Credit Points]]</calculatedColumnFormula>
    </tableColumn>
    <tableColumn id="13" xr3:uid="{C1D8224A-A18C-4AF7-A710-B3A5733D6183}" name="No." dataDxfId="150"/>
    <tableColumn id="2" xr3:uid="{A127158F-B524-4407-ACD0-7273149DCD79}" name="Component Type" dataDxfId="149"/>
    <tableColumn id="3" xr3:uid="{3331284C-1EEB-4B91-B03C-B721FB3852CB}" name="Year Level" dataDxfId="148"/>
    <tableColumn id="4" xr3:uid="{F4C82337-41C4-4EF1-ABB9-C9F775E2ECFB}" name="Study Period" dataDxfId="147"/>
    <tableColumn id="5" xr3:uid="{E9317FE1-DE53-4CE1-8593-9E174BC6C084}" name="Study Package Code" dataDxfId="146"/>
    <tableColumn id="6" xr3:uid="{C74BA792-1619-49A2-8658-CE25831BB7F0}" name="Ver" dataDxfId="145"/>
    <tableColumn id="7" xr3:uid="{5DB13650-DCBA-4ED8-9CB3-F705578C80C3}" name="Structure Line" dataDxfId="144"/>
    <tableColumn id="8" xr3:uid="{9603D267-455B-45C0-82B3-D5B75F0FDADE}" name="Credit Points" dataDxfId="143"/>
    <tableColumn id="16" xr3:uid="{86077CA8-F47E-4037-8449-4196A271FD0C}" name="Effective" dataDxfId="142"/>
    <tableColumn id="14" xr3:uid="{399E38E5-E32D-48E8-A8A1-A072EC45B315}" name="Discont." dataDxfId="141"/>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E4207AE-179A-4278-9FF2-EAFDD355A4A6}" name="TableOUSPPWRI1Check" displayName="TableOUSPPWRI1Check" ref="Q239:R248" totalsRowShown="0">
  <autoFilter ref="Q239:R248" xr:uid="{8E4207AE-179A-4278-9FF2-EAFDD355A4A6}"/>
  <tableColumns count="2">
    <tableColumn id="5" xr3:uid="{6849957D-2B48-4584-B152-09C44487DED0}" name="SPK"/>
    <tableColumn id="6" xr3:uid="{7AC090CD-A700-4241-A622-860B685B54E1}" name="Ver"/>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464E519-2127-4D24-B090-F83B6B1FD5D5}" name="TableOGARTS" displayName="TableOGARTS" ref="A251:O256" totalsRowShown="0">
  <autoFilter ref="A251:O256" xr:uid="{5464E519-2127-4D24-B090-F83B6B1FD5D5}"/>
  <sortState xmlns:xlrd2="http://schemas.microsoft.com/office/spreadsheetml/2017/richdata2" ref="A252:R255">
    <sortCondition ref="O25:O29"/>
  </sortState>
  <tableColumns count="15">
    <tableColumn id="1" xr3:uid="{71049E94-DA20-4C6C-8817-3C4EEB25DD4E}" name="UDC" dataDxfId="140">
      <calculatedColumnFormula>TableOGARTS[[#This Row],[Study Package Code]]</calculatedColumnFormula>
    </tableColumn>
    <tableColumn id="9" xr3:uid="{7D6410D0-039E-4EBF-9F8D-7E745678EF52}" name="V" dataDxfId="139">
      <calculatedColumnFormula>TableOGARTS[[#This Row],[Ver]]</calculatedColumnFormula>
    </tableColumn>
    <tableColumn id="10" xr3:uid="{E32286F3-CB9C-44F5-8BED-9D38803BA3DF}" name="OUA Code" dataDxfId="138">
      <calculatedColumnFormula>IF(TableOGARTS[[#This Row],[Ver]]&gt;0,_xlfn.TEXTBEFORE(TableOGARTS[[#This Row],[Structure Line]]," "),"")</calculatedColumnFormula>
    </tableColumn>
    <tableColumn id="11" xr3:uid="{8CA29CB3-DB69-4CCE-B4CF-DB59DA36E720}" name="Unit Title" dataDxfId="137">
      <calculatedColumnFormula>IF(TableOGARTS[[#This Row],[OUA Code]]&lt;&gt;"",_xlfn.TEXTAFTER(TableOGARTS[[#This Row],[Structure Line]]," "),TableOGARTS[[#This Row],[Structure Line]])</calculatedColumnFormula>
    </tableColumn>
    <tableColumn id="12" xr3:uid="{3076ACAA-0222-49DE-8F5E-F6FF06A1D887}" name="CPs" dataDxfId="136">
      <calculatedColumnFormula>TableOGARTS[[#This Row],[Credit Points]]</calculatedColumnFormula>
    </tableColumn>
    <tableColumn id="13" xr3:uid="{E705081D-C30B-4CBF-B32B-D0E436449CB4}" name="No." dataDxfId="135"/>
    <tableColumn id="2" xr3:uid="{54BC14B8-3609-4E1A-9664-987FF3CC69B7}" name="Component Type" dataDxfId="134"/>
    <tableColumn id="3" xr3:uid="{F19049A3-D42B-495D-A6E0-CD7636E03B4C}" name="Year Level" dataDxfId="133"/>
    <tableColumn id="4" xr3:uid="{F21D8CCE-5502-43E9-AFD2-2B2279AF387C}" name="Study Period" dataDxfId="132"/>
    <tableColumn id="5" xr3:uid="{53DEADBE-A96B-423B-ABAF-2933F8A8FDD0}" name="Study Package Code" dataDxfId="131"/>
    <tableColumn id="6" xr3:uid="{34DC4AA8-77EC-4055-8137-B93E6AB9038B}" name="Ver" dataDxfId="130"/>
    <tableColumn id="7" xr3:uid="{6EED0C32-CD68-40F5-9FB7-FA537629E604}" name="Structure Line" dataDxfId="129"/>
    <tableColumn id="8" xr3:uid="{125F25E1-3768-4983-8DD6-445A30AC019D}" name="Credit Points" dataDxfId="128"/>
    <tableColumn id="16" xr3:uid="{16AA38A3-74FC-461D-A006-D3CDABC7085B}" name="Effective" dataDxfId="127"/>
    <tableColumn id="14" xr3:uid="{28D06160-9288-4917-9715-E9D46125C126}" name="Discont." dataDxfId="126"/>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9639332-9F8A-474A-B713-2D42ED5343EB}" name="TableOGARTSCheck" displayName="TableOGARTSCheck" ref="Q251:R256" totalsRowShown="0">
  <autoFilter ref="Q251:R256" xr:uid="{99639332-9F8A-474A-B713-2D42ED5343EB}"/>
  <tableColumns count="2">
    <tableColumn id="5" xr3:uid="{87D4C1F6-FC02-4BF2-ACBE-03E8AF81BA2E}" name="SPK"/>
    <tableColumn id="6" xr3:uid="{05F9F001-628E-4872-8A3F-85AE54055C3E}" name="Ver"/>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A24CAB-563F-4C1F-B81E-C64599D825F8}" name="TableOUMPCWRI3" displayName="TableOUMPCWRI3" ref="A258:O271" totalsRowShown="0">
  <autoFilter ref="A258:O271" xr:uid="{EAA24CAB-563F-4C1F-B81E-C64599D825F8}"/>
  <sortState xmlns:xlrd2="http://schemas.microsoft.com/office/spreadsheetml/2017/richdata2" ref="A259:R271">
    <sortCondition ref="O44:O48"/>
  </sortState>
  <tableColumns count="15">
    <tableColumn id="1" xr3:uid="{CABC93E6-DD57-47E6-8C0C-990B79C85872}" name="UDC" dataDxfId="125">
      <calculatedColumnFormula>TableOUMPCWRI3[[#This Row],[Study Package Code]]</calculatedColumnFormula>
    </tableColumn>
    <tableColumn id="9" xr3:uid="{C0E67500-9ACA-40ED-916C-4A13CC725A01}" name="V" dataDxfId="124">
      <calculatedColumnFormula>TableOUMPCWRI3[[#This Row],[Ver]]</calculatedColumnFormula>
    </tableColumn>
    <tableColumn id="10" xr3:uid="{6E31AD4F-6BEC-499D-9596-D5D6B5E605C0}" name="OUA Code" dataDxfId="123">
      <calculatedColumnFormula>IF(TableOUMPCWRI3[[#This Row],[Ver]]&gt;0,_xlfn.TEXTBEFORE(TableOUMPCWRI3[[#This Row],[Structure Line]]," "),"")</calculatedColumnFormula>
    </tableColumn>
    <tableColumn id="11" xr3:uid="{8F49385F-093A-4D02-98D4-A2A9ACEC8315}" name="Unit Title" dataDxfId="122">
      <calculatedColumnFormula>IF(TableOUMPCWRI3[[#This Row],[OUA Code]]&lt;&gt;"",_xlfn.TEXTAFTER(TableOUMPCWRI3[[#This Row],[Structure Line]]," "),TableOUMPCWRI3[[#This Row],[Structure Line]])</calculatedColumnFormula>
    </tableColumn>
    <tableColumn id="12" xr3:uid="{DBB6CD22-5052-4DB0-BDCE-6B97F27884DA}" name="CPs" dataDxfId="121">
      <calculatedColumnFormula>TableOUMPCWRI3[[#This Row],[Credit Points]]</calculatedColumnFormula>
    </tableColumn>
    <tableColumn id="13" xr3:uid="{A3F2BA38-CEEB-4961-9306-980C4E4641EC}" name="No." dataDxfId="120"/>
    <tableColumn id="2" xr3:uid="{3D374329-D5ED-47EF-B5B7-7B18932ACF16}" name="Component Type" dataDxfId="119"/>
    <tableColumn id="3" xr3:uid="{865D6A47-5DA0-4DCB-8024-77452BDB867F}" name="Year Level" dataDxfId="118"/>
    <tableColumn id="4" xr3:uid="{06932B72-699E-44C7-85EB-20372495DFF9}" name="Study Period" dataDxfId="117"/>
    <tableColumn id="5" xr3:uid="{9616986C-49AA-4962-88BD-4A757165BC31}" name="Study Package Code" dataDxfId="116"/>
    <tableColumn id="6" xr3:uid="{333ACC42-3E5E-4A5B-B219-89CC7591277A}" name="Ver" dataDxfId="115"/>
    <tableColumn id="7" xr3:uid="{E975DB7D-B709-4622-BDFF-5CACF93DBA57}" name="Structure Line" dataDxfId="114"/>
    <tableColumn id="8" xr3:uid="{A523481B-D3FC-496B-A99A-1B8D1A6F24D3}" name="Credit Points" dataDxfId="113"/>
    <tableColumn id="16" xr3:uid="{1A48CEE2-E9A2-4905-A940-4B438D0C69A7}" name="Effective" dataDxfId="112"/>
    <tableColumn id="14" xr3:uid="{16732BB7-0BB6-49FD-851A-712600751E71}" name="Discont." dataDxfId="111"/>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1CF45F4-61F4-4CC2-8A67-F74EEB598CEC}" name="TableOUMPCWRI3Check" displayName="TableOUMPCWRI3Check" ref="Q258:R271" totalsRowShown="0">
  <autoFilter ref="Q258:R271" xr:uid="{21CF45F4-61F4-4CC2-8A67-F74EEB598CEC}"/>
  <tableColumns count="2">
    <tableColumn id="5" xr3:uid="{F4703FD9-FD2E-4C5A-A527-D8C5C174A4DB}" name="SPK"/>
    <tableColumn id="6" xr3:uid="{FC1973E7-E15F-43A4-A143-2D36D6DE4A99}" name="Ver"/>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60FC728-5297-4229-B12A-9BD52C733250}" name="TableOUMPDGCM2" displayName="TableOUMPDGCM2" ref="A273:O290" totalsRowShown="0">
  <autoFilter ref="A273:O290" xr:uid="{860FC728-5297-4229-B12A-9BD52C733250}"/>
  <sortState xmlns:xlrd2="http://schemas.microsoft.com/office/spreadsheetml/2017/richdata2" ref="A274:R288">
    <sortCondition ref="O44:O48"/>
  </sortState>
  <tableColumns count="15">
    <tableColumn id="1" xr3:uid="{9FB64544-D15D-4165-9263-C09DD49208C6}" name="UDC" dataDxfId="110">
      <calculatedColumnFormula>TableOUMPDGCM2[[#This Row],[Study Package Code]]</calculatedColumnFormula>
    </tableColumn>
    <tableColumn id="9" xr3:uid="{E1A0A179-5845-4DD3-899B-E180D3B80AEC}" name="V" dataDxfId="109">
      <calculatedColumnFormula>TableOUMPDGCM2[[#This Row],[Ver]]</calculatedColumnFormula>
    </tableColumn>
    <tableColumn id="10" xr3:uid="{6B6EC964-23F2-4A8F-875A-A04FCC8CC04F}" name="OUA Code" dataDxfId="108">
      <calculatedColumnFormula>IF(TableOUMPDGCM2[[#This Row],[Ver]]&gt;0,_xlfn.TEXTBEFORE(TableOUMPDGCM2[[#This Row],[Structure Line]]," "),"")</calculatedColumnFormula>
    </tableColumn>
    <tableColumn id="11" xr3:uid="{AEF8F29D-E9F9-480D-835B-154DF769652E}" name="Unit Title" dataDxfId="107">
      <calculatedColumnFormula>IF(TableOUMPDGCM2[[#This Row],[OUA Code]]&lt;&gt;"",_xlfn.TEXTAFTER(TableOUMPDGCM2[[#This Row],[Structure Line]]," "),TableOUMPDGCM2[[#This Row],[Structure Line]])</calculatedColumnFormula>
    </tableColumn>
    <tableColumn id="12" xr3:uid="{A97AD803-5ACD-4B0A-9F34-A483E5A3129F}" name="CPs" dataDxfId="106">
      <calculatedColumnFormula>TableOUMPDGCM2[[#This Row],[Credit Points]]</calculatedColumnFormula>
    </tableColumn>
    <tableColumn id="13" xr3:uid="{3E3619CE-BEF8-4D35-B62E-9096748E792B}" name="No." dataDxfId="105"/>
    <tableColumn id="2" xr3:uid="{6582C867-F7D8-499F-82D1-F3B622F32E2C}" name="Component Type" dataDxfId="104"/>
    <tableColumn id="3" xr3:uid="{9257F7BD-BECE-4F21-B78B-EF870FEE36C0}" name="Year Level" dataDxfId="103"/>
    <tableColumn id="4" xr3:uid="{3EA9B7CE-7012-4F2A-967C-A70978D96CEF}" name="Study Period" dataDxfId="102"/>
    <tableColumn id="5" xr3:uid="{AF46C240-73DC-4910-9ACE-9D2FED817097}" name="Study Package Code" dataDxfId="101"/>
    <tableColumn id="6" xr3:uid="{06E52F08-7D45-432C-A7D0-6998B5D0ADB8}" name="Ver" dataDxfId="100"/>
    <tableColumn id="7" xr3:uid="{6C42C310-CD75-4599-B7B4-E1F68EBD81AA}" name="Structure Line" dataDxfId="99"/>
    <tableColumn id="8" xr3:uid="{253F8918-4968-4A82-9D66-51050CA4E2FF}" name="Credit Points" dataDxfId="98"/>
    <tableColumn id="16" xr3:uid="{AFC4CA4E-0D1B-4D6E-B41B-A9A6D5D36FC2}" name="Effective" dataDxfId="97"/>
    <tableColumn id="14" xr3:uid="{7A6DA2AB-2DBE-4A2A-B544-C5EFC5F10D0B}" name="Discont." dataDxfId="96"/>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3CC3DE1-8B7A-4EE4-8E26-5E7D95BA278A}" name="TableOUMPDGCM2Check" displayName="TableOUMPDGCM2Check" ref="Q273:R290" totalsRowShown="0">
  <autoFilter ref="Q273:R290" xr:uid="{63CC3DE1-8B7A-4EE4-8E26-5E7D95BA278A}"/>
  <tableColumns count="2">
    <tableColumn id="5" xr3:uid="{A515FDA9-613D-4E94-B769-4936B5B09061}" name="SPK"/>
    <tableColumn id="6" xr3:uid="{C6E612D5-872A-4ACA-B642-AEEB70B0641C}" name="Ver"/>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409193E-E05E-49DA-9164-01A7E5506167}" name="TableSessionStudyPeriods" displayName="TableSessionStudyPeriods" ref="A40:D42" totalsRowShown="0" dataDxfId="391">
  <autoFilter ref="A40:D42" xr:uid="{2409193E-E05E-49DA-9164-01A7E5506167}"/>
  <tableColumns count="4">
    <tableColumn id="1" xr3:uid="{5F2A8A3F-03E9-456D-9619-9C94433186E2}" name="Choose your commencing study period (drop-down list)" dataDxfId="390"/>
    <tableColumn id="2" xr3:uid="{C9F3F134-AFF6-4815-B969-5E0C34AEB1F4}" name="START" dataDxfId="389"/>
    <tableColumn id="3" xr3:uid="{BAE227B5-D9A3-4F6C-A81E-4E70B1C044C3}" name="Next" dataDxfId="388"/>
    <tableColumn id="5" xr3:uid="{12613E0F-8E10-4681-A724-3EE104D222E5}" name="Next3" dataDxfId="387"/>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73C6799-4A62-435D-9C22-D809A52FDF36}" name="TableOUMPFINA2" displayName="TableOUMPFINA2" ref="A292:O304" totalsRowShown="0">
  <autoFilter ref="A292:O304" xr:uid="{073C6799-4A62-435D-9C22-D809A52FDF36}"/>
  <sortState xmlns:xlrd2="http://schemas.microsoft.com/office/spreadsheetml/2017/richdata2" ref="A293:R304">
    <sortCondition ref="O44:O48"/>
  </sortState>
  <tableColumns count="15">
    <tableColumn id="1" xr3:uid="{D98FC46E-B801-496A-94B5-9FC44DB86E8B}" name="UDC" dataDxfId="95">
      <calculatedColumnFormula>TableOUMPFINA2[[#This Row],[Study Package Code]]</calculatedColumnFormula>
    </tableColumn>
    <tableColumn id="9" xr3:uid="{A566D1EA-1E31-4219-823E-50837D8B18D5}" name="V" dataDxfId="94">
      <calculatedColumnFormula>TableOUMPFINA2[[#This Row],[Ver]]</calculatedColumnFormula>
    </tableColumn>
    <tableColumn id="10" xr3:uid="{E9CDC9DA-E02A-479F-B30F-AB3A439AC4C8}" name="OUA Code" dataDxfId="93">
      <calculatedColumnFormula>IF(TableOUMPFINA2[[#This Row],[Ver]]&gt;0,_xlfn.TEXTBEFORE(TableOUMPFINA2[[#This Row],[Structure Line]]," "),"")</calculatedColumnFormula>
    </tableColumn>
    <tableColumn id="11" xr3:uid="{33E6636D-A715-4B94-B110-DD04AD21EBB9}" name="Unit Title" dataDxfId="92">
      <calculatedColumnFormula>IF(TableOUMPFINA2[[#This Row],[OUA Code]]&lt;&gt;"",_xlfn.TEXTAFTER(TableOUMPFINA2[[#This Row],[Structure Line]]," "),TableOUMPFINA2[[#This Row],[Structure Line]])</calculatedColumnFormula>
    </tableColumn>
    <tableColumn id="12" xr3:uid="{1493C38A-CC29-4E8A-A547-DB5A68542ECF}" name="CPs" dataDxfId="91">
      <calculatedColumnFormula>TableOUMPFINA2[[#This Row],[Credit Points]]</calculatedColumnFormula>
    </tableColumn>
    <tableColumn id="13" xr3:uid="{BC949B45-9ACC-44BF-9077-87A80561D256}" name="No." dataDxfId="90"/>
    <tableColumn id="2" xr3:uid="{41433DF8-26B9-43FB-AE6C-8C3225BB82A2}" name="Component Type" dataDxfId="89"/>
    <tableColumn id="3" xr3:uid="{6C13CCCF-4E02-4DB8-B722-44985600BFC0}" name="Year Level" dataDxfId="88"/>
    <tableColumn id="4" xr3:uid="{5A7BB4D8-DEC8-4A1F-A0F0-F9752BAEFC23}" name="Study Period" dataDxfId="87"/>
    <tableColumn id="5" xr3:uid="{1BCFCBEA-AB13-4482-B17F-4E6A4FD19792}" name="Study Package Code" dataDxfId="86"/>
    <tableColumn id="6" xr3:uid="{2F7047D5-DF2F-4FA9-9973-285B74900155}" name="Ver" dataDxfId="85"/>
    <tableColumn id="7" xr3:uid="{C7F38A74-29E8-473C-9F7B-47897CD702D9}" name="Structure Line" dataDxfId="84"/>
    <tableColumn id="8" xr3:uid="{C1BCBF6C-CB9C-4F8A-87DA-001AC7FF0339}" name="Credit Points" dataDxfId="83"/>
    <tableColumn id="16" xr3:uid="{B01F5B0C-D4BE-4B03-949F-678072799CE7}" name="Effective" dataDxfId="82"/>
    <tableColumn id="14" xr3:uid="{79000C8E-9EE0-458C-8074-05ECFDDEEFF0}" name="Discont." dataDxfId="8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2503408-6A7F-456C-B0C9-31459FCB8ABC}" name="TableOUMPFINA2Check" displayName="TableOUMPFINA2Check" ref="Q292:R304" totalsRowShown="0">
  <autoFilter ref="Q292:R304" xr:uid="{72503408-6A7F-456C-B0C9-31459FCB8ABC}"/>
  <tableColumns count="2">
    <tableColumn id="5" xr3:uid="{6CD4D254-278A-4064-BA2A-E3FF44C9B44C}" name="SPK"/>
    <tableColumn id="6" xr3:uid="{D8285248-1822-4CD7-9D88-503D728C4CEC}" name="Ver"/>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9B79700-9EA2-4951-AF92-C841BFF1E086}" name="TableOUMPPWRI3" displayName="TableOUMPPWRI3" ref="A306:O318" totalsRowShown="0">
  <autoFilter ref="A306:O318" xr:uid="{39B79700-9EA2-4951-AF92-C841BFF1E086}"/>
  <sortState xmlns:xlrd2="http://schemas.microsoft.com/office/spreadsheetml/2017/richdata2" ref="A307:R318">
    <sortCondition ref="O44:O48"/>
  </sortState>
  <tableColumns count="15">
    <tableColumn id="1" xr3:uid="{4E68A3A4-842A-4C36-9F5A-032A82BC73C5}" name="UDC" dataDxfId="80">
      <calculatedColumnFormula>TableOUMPPWRI3[[#This Row],[Study Package Code]]</calculatedColumnFormula>
    </tableColumn>
    <tableColumn id="9" xr3:uid="{DCC8247E-1E7D-49AB-B619-1E93CD100273}" name="V" dataDxfId="79">
      <calculatedColumnFormula>TableOUMPPWRI3[[#This Row],[Ver]]</calculatedColumnFormula>
    </tableColumn>
    <tableColumn id="10" xr3:uid="{35BFEBDC-4BCF-4414-BC8F-40BD2D1E64B8}" name="OUA Code" dataDxfId="78">
      <calculatedColumnFormula>IF(TableOUMPPWRI3[[#This Row],[Ver]]&gt;0,_xlfn.TEXTBEFORE(TableOUMPPWRI3[[#This Row],[Structure Line]]," "),"")</calculatedColumnFormula>
    </tableColumn>
    <tableColumn id="11" xr3:uid="{A4875F2D-F416-4248-AE5E-C7A5E9DBB2A9}" name="Unit Title" dataDxfId="77">
      <calculatedColumnFormula>IF(TableOUMPPWRI3[[#This Row],[OUA Code]]&lt;&gt;"",_xlfn.TEXTAFTER(TableOUMPPWRI3[[#This Row],[Structure Line]]," "),TableOUMPPWRI3[[#This Row],[Structure Line]])</calculatedColumnFormula>
    </tableColumn>
    <tableColumn id="12" xr3:uid="{668DF212-D386-452F-A2D9-C9BB86D2D31D}" name="CPs" dataDxfId="76">
      <calculatedColumnFormula>TableOUMPPWRI3[[#This Row],[Credit Points]]</calculatedColumnFormula>
    </tableColumn>
    <tableColumn id="13" xr3:uid="{696705B0-9B37-4D9A-A552-67A49BD42840}" name="No." dataDxfId="75"/>
    <tableColumn id="2" xr3:uid="{A0B24FF0-39E4-496F-A104-B8055DD35DDD}" name="Component Type" dataDxfId="74"/>
    <tableColumn id="3" xr3:uid="{51A70532-CA6F-44C6-B233-D471429B256A}" name="Year Level" dataDxfId="73"/>
    <tableColumn id="4" xr3:uid="{CDB8BED4-C3AC-4645-9015-2FBAD1795CB0}" name="Study Period" dataDxfId="72"/>
    <tableColumn id="5" xr3:uid="{79B448F1-E5F2-45F7-AF8F-FE54E0E98C8D}" name="Study Package Code" dataDxfId="71"/>
    <tableColumn id="6" xr3:uid="{9E405D03-8129-4238-9422-18AC3A8BCD0A}" name="Ver" dataDxfId="70"/>
    <tableColumn id="7" xr3:uid="{02808FA0-2328-4A44-A117-BCAF52339F19}" name="Structure Line" dataDxfId="69"/>
    <tableColumn id="8" xr3:uid="{C5876049-FD51-4B5E-9042-3B8DA8AE90B5}" name="Credit Points" dataDxfId="68"/>
    <tableColumn id="16" xr3:uid="{CFFAB35E-184E-468B-8B90-492B56D9ADB9}" name="Effective" dataDxfId="67"/>
    <tableColumn id="14" xr3:uid="{F0F9F2C4-99C1-4116-9D68-D06FACA5461F}" name="Discont." dataDxfId="66"/>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35E5F66-F285-4FF2-9B49-7CDE455D4BB4}" name="TableOUMPPWRI3Check" displayName="TableOUMPPWRI3Check" ref="Q306:R318" totalsRowShown="0">
  <autoFilter ref="Q306:R318" xr:uid="{735E5F66-F285-4FF2-9B49-7CDE455D4BB4}"/>
  <tableColumns count="2">
    <tableColumn id="5" xr3:uid="{90241DD5-6074-43E5-8190-B47AA20369E5}" name="SPK"/>
    <tableColumn id="6" xr3:uid="{E07C1CEB-73F9-4E86-BC90-A37BC06DF386}" name="Ver"/>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Availabilities" displayName="TableAvailabilities" ref="A3:G56" totalsRowShown="0">
  <autoFilter ref="A3:G56" xr:uid="{00000000-0009-0000-0100-00000D000000}"/>
  <sortState xmlns:xlrd2="http://schemas.microsoft.com/office/spreadsheetml/2017/richdata2" ref="A4:G10">
    <sortCondition ref="A3:A10"/>
  </sortState>
  <tableColumns count="7">
    <tableColumn id="1" xr3:uid="{00000000-0010-0000-1000-000001000000}" name="Row Labels"/>
    <tableColumn id="2" xr3:uid="{00000000-0010-0000-1000-000002000000}" name="OpenUnis Session 1" dataDxfId="65"/>
    <tableColumn id="3" xr3:uid="{00000000-0010-0000-1000-000003000000}" name="OpenUnis Session 2" dataDxfId="64"/>
    <tableColumn id="4" xr3:uid="{00000000-0010-0000-1000-000004000000}" name="OpenUnis SP 1" dataDxfId="63"/>
    <tableColumn id="5" xr3:uid="{00000000-0010-0000-1000-000005000000}" name="OpenUnis SP 2" dataDxfId="62"/>
    <tableColumn id="6" xr3:uid="{00000000-0010-0000-1000-000006000000}" name="OpenUnis SP 3" dataDxfId="61"/>
    <tableColumn id="7" xr3:uid="{00000000-0010-0000-1000-000007000000}" name="OpenUnis SP 4" dataDxfId="60"/>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438336A-EB03-4489-B16F-A646D5DBB70D}" name="TableOCARTSStreams" displayName="TableOCARTSStreams" ref="A28:H32" totalsRowShown="0" headerRowDxfId="386" dataDxfId="385" tableBorderDxfId="384">
  <autoFilter ref="A28:H32" xr:uid="{0438336A-EB03-4489-B16F-A646D5DBB70D}"/>
  <tableColumns count="8">
    <tableColumn id="1" xr3:uid="{B34BDA31-E127-4B8E-9A9C-4602E9AFC4AC}" name="Choose your Stream (drop-down list)" dataDxfId="383"/>
    <tableColumn id="2" xr3:uid="{D85F2A4C-0891-4375-B625-ECF63AD502A9}" name="UDC" dataDxfId="382"/>
    <tableColumn id="3" xr3:uid="{CC8D9C7A-4F97-4B31-9A0F-910D17967464}" name="SM Version" dataDxfId="381"/>
    <tableColumn id="4" xr3:uid="{8F8F005F-6184-4086-BA2F-8791997AB0C3}" name="SM Effective Date" dataDxfId="380"/>
    <tableColumn id="5" xr3:uid="{6CE092FD-DD94-4D1B-A32B-DCDA60E17C87}" name="Akari Iteration" dataDxfId="379"/>
    <tableColumn id="6" xr3:uid="{0F67239E-BBB9-440E-9A3F-91626E250BA7}" name="Akari Effective Date" dataDxfId="378"/>
    <tableColumn id="7" xr3:uid="{C9E72322-151E-46CA-9454-6BCB410F74BD}" name="Credit Points" dataDxfId="377"/>
    <tableColumn id="8" xr3:uid="{649ADD20-1793-4207-8A21-7BCD3CF0DD77}" name="Notes" dataDxfId="37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94079F2-ABEB-4B98-BBD1-84494F7674A8}" name="TableOGARTSMajors" displayName="TableOGARTSMajors" ref="A21:H25" totalsRowShown="0" headerRowDxfId="375" dataDxfId="374" tableBorderDxfId="373">
  <autoFilter ref="A21:H25" xr:uid="{094079F2-ABEB-4B98-BBD1-84494F7674A8}"/>
  <sortState xmlns:xlrd2="http://schemas.microsoft.com/office/spreadsheetml/2017/richdata2" ref="A22:G25">
    <sortCondition ref="A12:A18"/>
  </sortState>
  <tableColumns count="8">
    <tableColumn id="1" xr3:uid="{7BBDBA67-A12C-472B-AEF1-85D7C663F4F0}" name="Choose your Major (drop-down list)" dataDxfId="372"/>
    <tableColumn id="2" xr3:uid="{2740EA0F-37B1-411E-AF49-59EE61C05133}" name="UDC" dataDxfId="371"/>
    <tableColumn id="3" xr3:uid="{19DC0B68-4E16-4949-BC0A-4D26753CDE79}" name="SM Version" dataDxfId="370"/>
    <tableColumn id="4" xr3:uid="{1A18AC38-A510-4700-A035-CAD7A05B7D52}" name="SM Effective Date" dataDxfId="369"/>
    <tableColumn id="5" xr3:uid="{D46328AF-51EC-4936-85E2-428049969AC2}" name="Akari Iteration" dataDxfId="368"/>
    <tableColumn id="6" xr3:uid="{BA130398-67E5-496C-86A7-6DD3B46EFD58}" name="Akari Effective Date" dataDxfId="367"/>
    <tableColumn id="7" xr3:uid="{87EF0568-B123-433B-B692-681DB80EBCD5}" name="Credit Points" dataDxfId="366"/>
    <tableColumn id="8" xr3:uid="{EDB3E592-DB77-47D3-9982-EE63B53C4B06}" name="Notes" dataDxfId="365"/>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AE129" totalsRowShown="0" headerRowDxfId="364">
  <autoFilter ref="A2:AE129" xr:uid="{00000000-0009-0000-0100-000002000000}"/>
  <sortState xmlns:xlrd2="http://schemas.microsoft.com/office/spreadsheetml/2017/richdata2" ref="A3:AE129">
    <sortCondition ref="A2:A129"/>
  </sortState>
  <tableColumns count="31">
    <tableColumn id="1" xr3:uid="{00000000-0010-0000-0300-000001000000}" name="UDC"/>
    <tableColumn id="2" xr3:uid="{00000000-0010-0000-0300-000002000000}" name="Ver" dataDxfId="363"/>
    <tableColumn id="3" xr3:uid="{00000000-0010-0000-0300-000003000000}" name="OUA Cd" dataDxfId="362"/>
    <tableColumn id="4" xr3:uid="{00000000-0010-0000-0300-000004000000}" name="Title"/>
    <tableColumn id="5" xr3:uid="{00000000-0010-0000-0300-000005000000}" name="Credits" dataDxfId="361"/>
    <tableColumn id="6" xr3:uid="{00000000-0010-0000-0300-000006000000}" name="Pre-reqs (1/12/2025)" dataDxfId="360"/>
    <tableColumn id="12" xr3:uid="{00000000-0010-0000-0300-00000C000000}" name="OUASess1" dataDxfId="359">
      <calculatedColumnFormula>IFERROR(IF(_xlfn.XLOOKUP(TableHandbook[[#This Row],[UDC]],TableAvailabilities[Row Labels],TableAvailabilities[OpenUnis Session 1])&gt;0,"Y",""),"")</calculatedColumnFormula>
    </tableColumn>
    <tableColumn id="13" xr3:uid="{00000000-0010-0000-0300-00000D000000}" name="OUASess2" dataDxfId="358">
      <calculatedColumnFormula>IFERROR(IF(_xlfn.XLOOKUP(TableHandbook[[#This Row],[UDC]],TableAvailabilities[Row Labels],TableAvailabilities[OpenUnis Session 2])&gt;0,"Y",""),"")</calculatedColumnFormula>
    </tableColumn>
    <tableColumn id="14" xr3:uid="{00000000-0010-0000-0300-00000E000000}" name="SP1" dataDxfId="357">
      <calculatedColumnFormula>IFERROR(IF(_xlfn.XLOOKUP(TableHandbook[[#This Row],[UDC]],TableAvailabilities[Row Labels],TableAvailabilities[OpenUnis SP 1])&gt;0,"Y",""),"")</calculatedColumnFormula>
    </tableColumn>
    <tableColumn id="18" xr3:uid="{00000000-0010-0000-0300-000012000000}" name="SP2" dataDxfId="356">
      <calculatedColumnFormula>IFERROR(IF(_xlfn.XLOOKUP(TableHandbook[[#This Row],[UDC]],TableAvailabilities[Row Labels],TableAvailabilities[OpenUnis SP 2])&gt;0,"Y",""),"")</calculatedColumnFormula>
    </tableColumn>
    <tableColumn id="17" xr3:uid="{00000000-0010-0000-0300-000011000000}" name="SP3" dataDxfId="355">
      <calculatedColumnFormula>IFERROR(IF(_xlfn.XLOOKUP(TableHandbook[[#This Row],[UDC]],TableAvailabilities[Row Labels],TableAvailabilities[OpenUnis SP 3])&gt;0,"Y",""),"")</calculatedColumnFormula>
    </tableColumn>
    <tableColumn id="15" xr3:uid="{00000000-0010-0000-0300-00000F000000}" name="SP4" dataDxfId="354">
      <calculatedColumnFormula>IFERROR(IF(_xlfn.XLOOKUP(TableHandbook[[#This Row],[UDC]],TableAvailabilities[Row Labels],TableAvailabilities[OpenUnis SP 4])&gt;0,"Y",""),"")</calculatedColumnFormula>
    </tableColumn>
    <tableColumn id="16" xr3:uid="{00000000-0010-0000-0300-000010000000}" name="Notes"/>
    <tableColumn id="8" xr3:uid="{00000000-0010-0000-0300-000008000000}" name="OM-ARTS" dataDxfId="353">
      <calculatedColumnFormula>IFERROR(VLOOKUP(TableHandbook[[#This Row],[UDC]],TableOMARTS[],7,FALSE),"")</calculatedColumnFormula>
    </tableColumn>
    <tableColumn id="9" xr3:uid="{00000000-0010-0000-0300-000009000000}" name="OUMP-CWRI1" dataDxfId="352">
      <calculatedColumnFormula>IFERROR(VLOOKUP(TableHandbook[[#This Row],[UDC]],TableOUMPCWRI4[],7,FALSE),"")</calculatedColumnFormula>
    </tableColumn>
    <tableColumn id="11" xr3:uid="{00000000-0010-0000-0300-00000B000000}" name="OUMP-DGCM1" dataDxfId="351">
      <calculatedColumnFormula>IFERROR(VLOOKUP(TableHandbook[[#This Row],[UDC]],TableOUMPDGCM1[],7,FALSE),"")</calculatedColumnFormula>
    </tableColumn>
    <tableColumn id="10" xr3:uid="{00000000-0010-0000-0300-00000A000000}" name="OUMP-FINA1" dataDxfId="350">
      <calculatedColumnFormula>IFERROR(VLOOKUP(TableHandbook[[#This Row],[UDC]],TableOUMPFINA1[],7,FALSE),"")</calculatedColumnFormula>
    </tableColumn>
    <tableColumn id="7" xr3:uid="{8B47975C-702C-4014-AE8E-8602DDF0E49E}" name="OUMP-PWRI1" dataDxfId="349">
      <calculatedColumnFormula>IFERROR(VLOOKUP(TableHandbook[[#This Row],[UDC]],TableOUMPPWRI4[],7,FALSE),"")</calculatedColumnFormula>
    </tableColumn>
    <tableColumn id="27" xr3:uid="{ABC096C1-09D4-47E1-80A9-33DE538F4685}" name="OG-ARTS" dataDxfId="348">
      <calculatedColumnFormula>IFERROR(VLOOKUP(TableHandbook[[#This Row],[UDC]],TableOGARTS[],7,FALSE),"")</calculatedColumnFormula>
    </tableColumn>
    <tableColumn id="28" xr3:uid="{96CF03AA-E7C7-45A6-BD30-E4E2B89E97F6}" name="OUMP-CWRI3" dataDxfId="347">
      <calculatedColumnFormula>IFERROR(VLOOKUP(TableHandbook[[#This Row],[UDC]],TableOUMPCWRI3[],7,FALSE),"")</calculatedColumnFormula>
    </tableColumn>
    <tableColumn id="29" xr3:uid="{6BE8D72C-0647-48B4-8DE0-1E69B944EB53}" name="OUMP-DGCM2" dataDxfId="346">
      <calculatedColumnFormula>IFERROR(VLOOKUP(TableHandbook[[#This Row],[UDC]],TableOUMPDGCM2[],7,FALSE),"")</calculatedColumnFormula>
    </tableColumn>
    <tableColumn id="30" xr3:uid="{B2ADB0F5-30E4-47DD-8597-E9D041BFBAE8}" name="OUMP-FINA2" dataDxfId="345">
      <calculatedColumnFormula>IFERROR(VLOOKUP(TableHandbook[[#This Row],[UDC]],TableOUMPFINA2[],7,FALSE),"")</calculatedColumnFormula>
    </tableColumn>
    <tableColumn id="31" xr3:uid="{BD333268-01BD-4068-844F-4553437DB920}" name="OUMP-PWRI3" dataDxfId="344">
      <calculatedColumnFormula>IFERROR(VLOOKUP(TableHandbook[[#This Row],[UDC]],TableOUMPPWRI3[],7,FALSE),"")</calculatedColumnFormula>
    </tableColumn>
    <tableColumn id="22" xr3:uid="{B4317962-FBE5-4C41-98E4-2106AD302F0B}" name="OC-ARTS" dataDxfId="343">
      <calculatedColumnFormula>IFERROR(VLOOKUP(TableHandbook[[#This Row],[UDC]],TableOCARTS[],7,FALSE),"")</calculatedColumnFormula>
    </tableColumn>
    <tableColumn id="23" xr3:uid="{A277439B-38FC-4086-9962-74C64DC4E86F}" name="OUSP-CWRI1" dataDxfId="342">
      <calculatedColumnFormula>IFERROR(VLOOKUP(TableHandbook[[#This Row],[UDC]],TableOUSPCWRI1[],7,FALSE),"")</calculatedColumnFormula>
    </tableColumn>
    <tableColumn id="24" xr3:uid="{F23D3224-05BA-47C2-BD74-765C0AC1BFE3}" name="OUSP-DGCM1" dataDxfId="341">
      <calculatedColumnFormula>IFERROR(VLOOKUP(TableHandbook[[#This Row],[UDC]],TableOUSPDGCM1[],7,FALSE),"")</calculatedColumnFormula>
    </tableColumn>
    <tableColumn id="25" xr3:uid="{827D1541-70EC-4C41-BCFF-C5036BFB7A41}" name="OUSP-FINA1" dataDxfId="340">
      <calculatedColumnFormula>IFERROR(VLOOKUP(TableHandbook[[#This Row],[UDC]],TableOUSPFINA1[],7,FALSE),"")</calculatedColumnFormula>
    </tableColumn>
    <tableColumn id="26" xr3:uid="{08F3A860-3596-4957-8CA4-D93BB6D50BF5}" name="OUSP-PWRI1" dataDxfId="339">
      <calculatedColumnFormula>IFERROR(VLOOKUP(TableHandbook[[#This Row],[UDC]],TableOUSPPWRI1[],7,FALSE),"")</calculatedColumnFormula>
    </tableColumn>
    <tableColumn id="20" xr3:uid="{02E91AFB-0EA7-4E18-984A-37470EFB5F47}" name="OC-HRIGHT" dataDxfId="338">
      <calculatedColumnFormula>IFERROR(VLOOKUP(TableHandbook[[#This Row],[UDC]],TableOCHRIGHT[],7,FALSE),"")</calculatedColumnFormula>
    </tableColumn>
    <tableColumn id="21" xr3:uid="{2B2D1416-3831-4381-A256-2FA93800CEE1}" name="OG-HRIGHT" dataDxfId="337">
      <calculatedColumnFormula>IFERROR(VLOOKUP(TableHandbook[[#This Row],[UDC]],TableOGHRIGHT[],7,FALSE),"")</calculatedColumnFormula>
    </tableColumn>
    <tableColumn id="19" xr3:uid="{00000000-0010-0000-0300-000013000000}" name="OM-HRIGHT" dataDxfId="336">
      <calculatedColumnFormula>IFERROR(VLOOKUP(TableHandbook[[#This Row],[UDC]],TableOMHRIGHT[],7,FALSE),"")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93F745-9188-44FB-9D41-BE6300C1563A}" name="TableOMARTS" displayName="TableOMARTS" ref="A2:O7" totalsRowShown="0">
  <autoFilter ref="A2:O7" xr:uid="{B093F745-9188-44FB-9D41-BE6300C1563A}"/>
  <sortState xmlns:xlrd2="http://schemas.microsoft.com/office/spreadsheetml/2017/richdata2" ref="A3:R6">
    <sortCondition ref="O25:O29"/>
  </sortState>
  <tableColumns count="15">
    <tableColumn id="1" xr3:uid="{5F842B79-9A33-458E-8BDC-A898CFADCD10}" name="UDC" dataDxfId="335">
      <calculatedColumnFormula>TableOMARTS[[#This Row],[Study Package Code]]</calculatedColumnFormula>
    </tableColumn>
    <tableColumn id="9" xr3:uid="{5005BD5E-17EF-4468-BDE7-77297A46AF05}" name="V" dataDxfId="334">
      <calculatedColumnFormula>TableOMARTS[[#This Row],[Ver]]</calculatedColumnFormula>
    </tableColumn>
    <tableColumn id="10" xr3:uid="{70D34B5E-37AC-4924-AF08-EE3DB78A918F}" name="OUA Code" dataDxfId="333">
      <calculatedColumnFormula>IF(TableOMARTS[[#This Row],[Ver]]&gt;0,_xlfn.TEXTBEFORE(TableOMARTS[[#This Row],[Structure Line]]," "),"")</calculatedColumnFormula>
    </tableColumn>
    <tableColumn id="11" xr3:uid="{0D03DE15-6E03-4DF6-B6BF-CFA126EA23E4}" name="Unit Title" dataDxfId="332">
      <calculatedColumnFormula>IF(TableOMARTS[[#This Row],[OUA Code]]&lt;&gt;"",_xlfn.TEXTAFTER(TableOMARTS[[#This Row],[Structure Line]]," "),TableOMARTS[[#This Row],[Structure Line]])</calculatedColumnFormula>
    </tableColumn>
    <tableColumn id="12" xr3:uid="{40B3A64E-9F28-4464-BBE5-08B47DC66FCA}" name="CPs" dataDxfId="331">
      <calculatedColumnFormula>TableOMARTS[[#This Row],[Credit Points]]</calculatedColumnFormula>
    </tableColumn>
    <tableColumn id="13" xr3:uid="{89D93341-12BF-47A3-AD1A-7400F3742023}" name="No." dataDxfId="330"/>
    <tableColumn id="2" xr3:uid="{03412CFB-B52E-4C64-B087-2B2169472DDB}" name="Component Type" dataDxfId="329"/>
    <tableColumn id="3" xr3:uid="{BA80E9B0-C67D-4A98-800F-AB18DF63A0F7}" name="Year Level" dataDxfId="328"/>
    <tableColumn id="4" xr3:uid="{690F41FF-4156-4A99-B2EB-9E0060936CF6}" name="Study Period" dataDxfId="327"/>
    <tableColumn id="5" xr3:uid="{BC67E1BF-0AD8-4EB6-B409-F47D4D00D1AE}" name="Study Package Code" dataDxfId="326"/>
    <tableColumn id="6" xr3:uid="{373E89FA-DCDD-4C40-A5F4-DFCFABAC00DA}" name="Ver" dataDxfId="325"/>
    <tableColumn id="7" xr3:uid="{6EEE0AFB-EF2A-4046-BD28-C6D15BA3F0B7}" name="Structure Line" dataDxfId="324"/>
    <tableColumn id="8" xr3:uid="{041D3C55-3239-488D-BBE1-24886CE6ACD7}" name="Credit Points" dataDxfId="323"/>
    <tableColumn id="16" xr3:uid="{857EFE1F-D61D-4F37-9115-37492B8A8F0C}" name="Effective" dataDxfId="322"/>
    <tableColumn id="14" xr3:uid="{7B3B0621-B929-437F-A45C-2DA51478BF0C}" name="Discont." dataDxfId="32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E294B5-766B-4EE3-8562-AE3204634AD6}" name="TableOMARTSCheck" displayName="TableOMARTSCheck" ref="Q2:R7" totalsRowShown="0">
  <autoFilter ref="Q2:R7" xr:uid="{39E294B5-766B-4EE3-8562-AE3204634AD6}"/>
  <tableColumns count="2">
    <tableColumn id="5" xr3:uid="{96AAAAB0-84B2-44A3-9ABB-8AF7F7E705D0}" name="SPK"/>
    <tableColumn id="6" xr3:uid="{AE2B619C-7F7E-4E21-A82D-FD61D99AFABA}"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9.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F3A-36EE-4B6E-AD3C-33AE566619AF}">
  <sheetPr>
    <pageSetUpPr fitToPage="1"/>
  </sheetPr>
  <dimension ref="A1:P82"/>
  <sheetViews>
    <sheetView showGridLines="0" tabSelected="1"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57.375" style="15" bestFit="1" customWidth="1"/>
    <col min="5" max="5" width="7.375" style="19" customWidth="1"/>
    <col min="6" max="6" width="25.7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16" hidden="1" x14ac:dyDescent="0.25">
      <c r="A1" s="11" t="s">
        <v>0</v>
      </c>
      <c r="B1" s="12" t="s">
        <v>1</v>
      </c>
      <c r="C1" s="12" t="s">
        <v>2</v>
      </c>
      <c r="D1" s="13" t="s">
        <v>3</v>
      </c>
      <c r="E1" s="12"/>
      <c r="F1" s="13" t="s">
        <v>4</v>
      </c>
      <c r="G1" s="13" t="s">
        <v>5</v>
      </c>
      <c r="H1" s="14" t="s">
        <v>6</v>
      </c>
      <c r="I1" s="14"/>
      <c r="J1" s="13"/>
      <c r="K1" s="13"/>
      <c r="L1" s="13" t="s">
        <v>7</v>
      </c>
    </row>
    <row r="2" spans="1:16" hidden="1" x14ac:dyDescent="0.25">
      <c r="A2" s="107"/>
      <c r="B2" s="107">
        <v>2</v>
      </c>
      <c r="C2" s="107">
        <v>3</v>
      </c>
      <c r="D2" s="107">
        <v>4</v>
      </c>
      <c r="E2" s="107"/>
      <c r="F2" s="107">
        <v>6</v>
      </c>
      <c r="G2" s="107">
        <v>5</v>
      </c>
      <c r="H2" s="107">
        <v>9</v>
      </c>
      <c r="I2" s="107">
        <v>10</v>
      </c>
      <c r="J2" s="107">
        <v>11</v>
      </c>
      <c r="K2" s="107">
        <v>12</v>
      </c>
      <c r="L2" s="107"/>
    </row>
    <row r="3" spans="1:16" ht="39.950000000000003" customHeight="1" x14ac:dyDescent="0.25">
      <c r="A3" s="236" t="s">
        <v>8</v>
      </c>
      <c r="B3" s="237"/>
      <c r="C3" s="237"/>
      <c r="D3" s="237"/>
      <c r="E3" s="93"/>
      <c r="F3" s="70"/>
      <c r="G3" s="70"/>
      <c r="H3" s="70"/>
      <c r="I3" s="70"/>
      <c r="J3" s="70"/>
      <c r="K3" s="70"/>
      <c r="L3" s="70"/>
    </row>
    <row r="4" spans="1:16" ht="26.25" x14ac:dyDescent="0.25">
      <c r="A4" s="119"/>
      <c r="B4" s="120"/>
      <c r="C4" s="120"/>
      <c r="D4" s="121"/>
      <c r="E4" s="122" t="s">
        <v>9</v>
      </c>
      <c r="F4" s="120"/>
      <c r="G4" s="123"/>
      <c r="H4" s="123"/>
      <c r="I4" s="123"/>
      <c r="J4" s="123"/>
      <c r="K4" s="123"/>
      <c r="L4" s="123"/>
    </row>
    <row r="5" spans="1:16" ht="20.100000000000001" customHeight="1" x14ac:dyDescent="0.25">
      <c r="B5" s="20"/>
      <c r="C5" s="66" t="s">
        <v>10</v>
      </c>
      <c r="D5" s="106" t="s">
        <v>11</v>
      </c>
      <c r="E5" s="61"/>
      <c r="F5" s="66" t="s">
        <v>12</v>
      </c>
      <c r="G5" s="21" t="str">
        <f>IFERROR(CONCATENATE(VLOOKUP(D5,TableCourses[],2,FALSE)," ",VLOOKUP(D5,TableCourses[],3,FALSE)),"")</f>
        <v>OM-ARTS v.2</v>
      </c>
      <c r="H5" s="21"/>
      <c r="I5" s="21"/>
      <c r="J5" s="21"/>
      <c r="K5" s="21"/>
      <c r="L5" s="218" t="e">
        <f>CONCATENATE(VLOOKUP(D5,TableCourses[],2,FALSE),VLOOKUP(D7,TableOMARTSStudyPeriods[],2,FALSE))</f>
        <v>#N/A</v>
      </c>
    </row>
    <row r="6" spans="1:16" ht="20.100000000000001" customHeight="1" x14ac:dyDescent="0.25">
      <c r="B6" s="20"/>
      <c r="C6" s="66" t="s">
        <v>13</v>
      </c>
      <c r="D6" s="234" t="s">
        <v>75</v>
      </c>
      <c r="E6" s="61"/>
      <c r="F6" s="66" t="s">
        <v>15</v>
      </c>
      <c r="G6" s="21" t="str">
        <f>IFERROR(CONCATENATE(VLOOKUP(D6,TableOMARTSMajors[],2,FALSE)," ",VLOOKUP(D6,TableOMARTSMajors[],3,FALSE)),"")</f>
        <v/>
      </c>
      <c r="H6" s="21"/>
      <c r="I6" s="21"/>
      <c r="J6" s="21"/>
      <c r="K6" s="21"/>
      <c r="L6" s="218" t="e">
        <f>CONCATENATE(VLOOKUP(D6,TableOMARTSMajors[],2,FALSE),VLOOKUP(D7,TableOMARTSStudyPeriods[],2,FALSE))</f>
        <v>#N/A</v>
      </c>
    </row>
    <row r="7" spans="1:16" ht="20.100000000000001" customHeight="1" x14ac:dyDescent="0.25">
      <c r="A7" s="22"/>
      <c r="B7" s="23"/>
      <c r="C7" s="66" t="s">
        <v>16</v>
      </c>
      <c r="D7" s="235" t="s">
        <v>51</v>
      </c>
      <c r="E7" s="62"/>
      <c r="F7" s="66" t="s">
        <v>18</v>
      </c>
      <c r="G7" s="21" t="str">
        <f>IFERROR(VLOOKUP($D$5,TableCourses[],7,FALSE),"")</f>
        <v>400 credit points required</v>
      </c>
      <c r="H7" s="222"/>
      <c r="I7" s="222"/>
      <c r="J7" s="222"/>
      <c r="K7" s="222"/>
      <c r="L7" s="218"/>
    </row>
    <row r="8" spans="1:16" ht="65.25" customHeight="1" x14ac:dyDescent="0.25">
      <c r="A8" s="156" t="s">
        <v>19</v>
      </c>
      <c r="B8" s="164" t="e">
        <f>VLOOKUP($D$6,RangeCourseNotes,2,FALSE)</f>
        <v>#N/A</v>
      </c>
      <c r="C8" s="161"/>
      <c r="D8" s="160"/>
      <c r="E8" s="161"/>
      <c r="F8" s="161"/>
      <c r="G8" s="160"/>
      <c r="H8" s="223"/>
      <c r="I8" s="223"/>
      <c r="J8" s="223"/>
      <c r="K8" s="223"/>
      <c r="L8" s="163"/>
    </row>
    <row r="9" spans="1:16" s="27" customFormat="1" ht="14.1" customHeight="1" x14ac:dyDescent="0.25">
      <c r="A9" s="71"/>
      <c r="B9" s="71"/>
      <c r="C9" s="71"/>
      <c r="D9" s="72"/>
      <c r="E9" s="71"/>
      <c r="F9" s="71"/>
      <c r="G9" s="71"/>
      <c r="H9" s="73" t="s">
        <v>20</v>
      </c>
      <c r="I9" s="74"/>
      <c r="J9" s="74"/>
      <c r="K9" s="75"/>
      <c r="L9" s="224"/>
      <c r="M9" s="225"/>
      <c r="N9" s="225"/>
      <c r="O9" s="225"/>
    </row>
    <row r="10" spans="1:16" s="27" customFormat="1" ht="21" x14ac:dyDescent="0.25">
      <c r="A10" s="71" t="s">
        <v>21</v>
      </c>
      <c r="B10" s="71"/>
      <c r="C10" s="71" t="s">
        <v>22</v>
      </c>
      <c r="D10" s="72" t="s">
        <v>3</v>
      </c>
      <c r="E10" s="77" t="s">
        <v>23</v>
      </c>
      <c r="F10" s="71" t="s">
        <v>24</v>
      </c>
      <c r="G10" s="71" t="s">
        <v>25</v>
      </c>
      <c r="H10" s="78" t="s">
        <v>26</v>
      </c>
      <c r="I10" s="79" t="s">
        <v>27</v>
      </c>
      <c r="J10" s="79" t="s">
        <v>28</v>
      </c>
      <c r="K10" s="80" t="s">
        <v>29</v>
      </c>
      <c r="L10" s="71" t="s">
        <v>30</v>
      </c>
      <c r="M10" s="225"/>
      <c r="N10" s="225"/>
      <c r="O10" s="225"/>
    </row>
    <row r="11" spans="1:16" s="30" customFormat="1" ht="20.100000000000001" customHeight="1" x14ac:dyDescent="0.15">
      <c r="A11" s="67" t="str">
        <f>IFERROR(IF(HLOOKUP($L$6,RangeUnitsetsOMARTS,M11,FALSE)=0,"",HLOOKUP($L$6,RangeUnitsetsOMARTS,M11,FALSE)),"")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219"/>
      <c r="M11" s="226">
        <v>2</v>
      </c>
      <c r="N11" s="227"/>
      <c r="O11" s="227"/>
    </row>
    <row r="12" spans="1:16" s="30" customFormat="1" ht="20.100000000000001" customHeight="1" x14ac:dyDescent="0.15">
      <c r="A12" s="67" t="str">
        <f>IFERROR(IF(HLOOKUP($L$6,RangeUnitsetsOMARTS,M12,FALSE)=0,"",HLOOKUP($L$6,RangeUnitsetsOMARTS,M12,FALSE)),"")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219"/>
      <c r="M12" s="226">
        <v>3</v>
      </c>
      <c r="N12" s="227"/>
      <c r="O12" s="227"/>
    </row>
    <row r="13" spans="1:16" s="30" customFormat="1" ht="5.0999999999999996" customHeight="1" x14ac:dyDescent="0.15">
      <c r="A13" s="112"/>
      <c r="B13" s="113"/>
      <c r="C13" s="113"/>
      <c r="D13" s="114"/>
      <c r="E13" s="113"/>
      <c r="F13" s="115"/>
      <c r="G13" s="113"/>
      <c r="H13" s="116"/>
      <c r="I13" s="113"/>
      <c r="J13" s="113"/>
      <c r="K13" s="117"/>
      <c r="L13" s="220"/>
      <c r="M13" s="226"/>
      <c r="N13" s="227"/>
      <c r="O13" s="227"/>
      <c r="P13" s="227"/>
    </row>
    <row r="14" spans="1:16" s="30" customFormat="1" ht="20.100000000000001" customHeight="1" x14ac:dyDescent="0.15">
      <c r="A14" s="67" t="str">
        <f>IFERROR(IF(HLOOKUP($L$6,RangeUnitsetsOMARTS,M14,FALSE)=0,"",HLOOKUP($L$6,RangeUnitsetsOMARTS,M14,FALSE)),"")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219"/>
      <c r="M14" s="226">
        <v>4</v>
      </c>
      <c r="N14" s="227"/>
      <c r="O14" s="227"/>
    </row>
    <row r="15" spans="1:16" s="33" customFormat="1" ht="19.5" customHeight="1" x14ac:dyDescent="0.15">
      <c r="A15" s="67" t="str">
        <f>IFERROR(IF(HLOOKUP($L$6,RangeUnitsetsOMARTS,M15,FALSE)=0,"",HLOOKUP($L$6,RangeUnitsetsOMARTS,M15,FALSE)),"")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219"/>
      <c r="M15" s="226">
        <v>5</v>
      </c>
      <c r="N15" s="228"/>
      <c r="O15" s="228"/>
    </row>
    <row r="16" spans="1:16" s="30" customFormat="1" ht="5.0999999999999996" customHeight="1" x14ac:dyDescent="0.15">
      <c r="A16" s="112"/>
      <c r="B16" s="113"/>
      <c r="C16" s="113"/>
      <c r="D16" s="114"/>
      <c r="E16" s="113"/>
      <c r="F16" s="115"/>
      <c r="G16" s="113"/>
      <c r="H16" s="116"/>
      <c r="I16" s="113"/>
      <c r="J16" s="113"/>
      <c r="K16" s="117"/>
      <c r="L16" s="220"/>
      <c r="M16" s="226"/>
      <c r="N16" s="227"/>
      <c r="O16" s="227"/>
      <c r="P16" s="227"/>
    </row>
    <row r="17" spans="1:16" s="30" customFormat="1" ht="20.100000000000001" customHeight="1" x14ac:dyDescent="0.15">
      <c r="A17" s="67" t="str">
        <f>IFERROR(IF(HLOOKUP($L$6,RangeUnitsetsOMARTS,M17,FALSE)=0,"",HLOOKUP($L$6,RangeUnitsetsOMARTS,M17,FALSE)),"")</f>
        <v/>
      </c>
      <c r="B17" s="51" t="str">
        <f>IFERROR(IF(VLOOKUP($A17,TableHandbook[],2,FALSE)=0,"",VLOOKUP($A17,TableHandbook[],2,FALSE)),"")</f>
        <v/>
      </c>
      <c r="C17" s="51" t="str">
        <f>IFERROR(IF(VLOOKUP($A17,TableHandbook[],3,FALSE)=0,"",VLOOKUP($A17,TableHandbook[],3,FALSE)),"")</f>
        <v/>
      </c>
      <c r="D17" s="92" t="str">
        <f>IFERROR(IF(VLOOKUP($A17,TableHandbook[],4,FALSE)=0,"",VLOOKUP($A17,TableHandbook[],4,FALSE)),"")</f>
        <v/>
      </c>
      <c r="E17" s="51" t="str">
        <f>IF(A17="","",VLOOKUP($D$7,TableOMARTSStudyPeriods[],4,FALSE))</f>
        <v/>
      </c>
      <c r="F17" s="69" t="str">
        <f>IFERROR(IF(VLOOKUP($A17,TableHandbook[],6,FALSE)=0,"",VLOOKUP($A17,TableHandbook[],6,FALSE)),"")</f>
        <v/>
      </c>
      <c r="G17" s="51" t="str">
        <f>IFERROR(IF(VLOOKUP($A17,TableHandbook[],5,FALSE)=0,"",VLOOKUP($A17,TableHandbook[],5,FALSE)),"")</f>
        <v/>
      </c>
      <c r="H17" s="52" t="str">
        <f>IFERROR(VLOOKUP($A17,TableHandbook[],H$2,FALSE),"")</f>
        <v/>
      </c>
      <c r="I17" s="51" t="str">
        <f>IFERROR(VLOOKUP($A17,TableHandbook[],I$2,FALSE),"")</f>
        <v/>
      </c>
      <c r="J17" s="51" t="str">
        <f>IFERROR(VLOOKUP($A17,TableHandbook[],J$2,FALSE),"")</f>
        <v/>
      </c>
      <c r="K17" s="53" t="str">
        <f>IFERROR(VLOOKUP($A17,TableHandbook[],K$2,FALSE),"")</f>
        <v/>
      </c>
      <c r="L17" s="219"/>
      <c r="M17" s="226">
        <v>6</v>
      </c>
      <c r="N17" s="227"/>
      <c r="O17" s="227"/>
    </row>
    <row r="18" spans="1:16" s="33" customFormat="1" ht="20.100000000000001" customHeight="1" x14ac:dyDescent="0.15">
      <c r="A18" s="67" t="str">
        <f>IFERROR(IF(HLOOKUP($L$6,RangeUnitsetsOMARTS,M18,FALSE)=0,"",HLOOKUP($L$6,RangeUnitsetsOMARTS,M18,FALSE)),"")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IF(OR(A18="",A18="-"),"",E17)</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1" t="str">
        <f>IFERROR(VLOOKUP($A18,TableHandbook[],J$2,FALSE),"")</f>
        <v/>
      </c>
      <c r="K18" s="53" t="str">
        <f>IFERROR(VLOOKUP($A18,TableHandbook[],K$2,FALSE),"")</f>
        <v/>
      </c>
      <c r="L18" s="219"/>
      <c r="M18" s="226">
        <v>7</v>
      </c>
      <c r="N18" s="228"/>
      <c r="O18" s="228"/>
    </row>
    <row r="19" spans="1:16" s="30" customFormat="1" ht="5.0999999999999996" customHeight="1" x14ac:dyDescent="0.15">
      <c r="A19" s="112"/>
      <c r="B19" s="113"/>
      <c r="C19" s="113"/>
      <c r="D19" s="114"/>
      <c r="E19" s="113"/>
      <c r="F19" s="115"/>
      <c r="G19" s="113"/>
      <c r="H19" s="116"/>
      <c r="I19" s="113"/>
      <c r="J19" s="113"/>
      <c r="K19" s="117"/>
      <c r="L19" s="220"/>
      <c r="M19" s="226"/>
      <c r="N19" s="227"/>
      <c r="O19" s="227"/>
      <c r="P19" s="227"/>
    </row>
    <row r="20" spans="1:16" s="30" customFormat="1" ht="20.100000000000001" customHeight="1" x14ac:dyDescent="0.15">
      <c r="A20" s="67" t="str">
        <f>IFERROR(IF(HLOOKUP($L$6,RangeUnitsetsOMARTS,M20,FALSE)=0,"",HLOOKUP($L$6,RangeUnitsetsOMARTS,M20,FALSE)),"")</f>
        <v/>
      </c>
      <c r="B20" s="51" t="str">
        <f>IFERROR(IF(VLOOKUP($A20,TableHandbook[],2,FALSE)=0,"",VLOOKUP($A20,TableHandbook[],2,FALSE)),"")</f>
        <v/>
      </c>
      <c r="C20" s="51" t="str">
        <f>IFERROR(IF(VLOOKUP($A20,TableHandbook[],3,FALSE)=0,"",VLOOKUP($A20,TableHandbook[],3,FALSE)),"")</f>
        <v/>
      </c>
      <c r="D20" s="92" t="str">
        <f>IFERROR(IF(VLOOKUP($A20,TableHandbook[],4,FALSE)=0,"",VLOOKUP($A20,TableHandbook[],4,FALSE)),"")</f>
        <v/>
      </c>
      <c r="E20" s="51" t="str">
        <f>IF(A20="","",VLOOKUP($D$7,TableOMARTSStudyPeriods[],5,FALSE))</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1" t="str">
        <f>IFERROR(VLOOKUP($A20,TableHandbook[],J$2,FALSE),"")</f>
        <v/>
      </c>
      <c r="K20" s="53" t="str">
        <f>IFERROR(VLOOKUP($A20,TableHandbook[],K$2,FALSE),"")</f>
        <v/>
      </c>
      <c r="L20" s="219"/>
      <c r="M20" s="226">
        <v>8</v>
      </c>
      <c r="N20" s="227"/>
      <c r="O20" s="227"/>
    </row>
    <row r="21" spans="1:16" s="33" customFormat="1" ht="20.100000000000001" customHeight="1" x14ac:dyDescent="0.15">
      <c r="A21" s="67" t="str">
        <f>IFERROR(IF(HLOOKUP($L$6,RangeUnitsetsOMARTS,M21,FALSE)=0,"",HLOOKUP($L$6,RangeUnitsetsOMARTS,M21,FALSE)),"")</f>
        <v/>
      </c>
      <c r="B21" s="51" t="str">
        <f>IFERROR(IF(VLOOKUP($A21,TableHandbook[],2,FALSE)=0,"",VLOOKUP($A21,TableHandbook[],2,FALSE)),"")</f>
        <v/>
      </c>
      <c r="C21" s="51" t="str">
        <f>IFERROR(IF(VLOOKUP($A21,TableHandbook[],3,FALSE)=0,"",VLOOKUP($A21,TableHandbook[],3,FALSE)),"")</f>
        <v/>
      </c>
      <c r="D21" s="68" t="str">
        <f>IFERROR(IF(VLOOKUP($A21,TableHandbook[],4,FALSE)=0,"",VLOOKUP($A21,TableHandbook[],4,FALSE)),"")</f>
        <v/>
      </c>
      <c r="E21" s="51" t="str">
        <f>IF(OR(A21="",A21="-"),"",E20)</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1" t="str">
        <f>IFERROR(VLOOKUP($A21,TableHandbook[],J$2,FALSE),"")</f>
        <v/>
      </c>
      <c r="K21" s="53" t="str">
        <f>IFERROR(VLOOKUP($A21,TableHandbook[],K$2,FALSE),"")</f>
        <v/>
      </c>
      <c r="L21" s="219"/>
      <c r="M21" s="226">
        <v>9</v>
      </c>
      <c r="N21" s="228"/>
      <c r="O21" s="228"/>
    </row>
    <row r="22" spans="1:16" s="27" customFormat="1" ht="21" x14ac:dyDescent="0.25">
      <c r="A22" s="71" t="s">
        <v>31</v>
      </c>
      <c r="B22" s="71"/>
      <c r="C22" s="71" t="s">
        <v>22</v>
      </c>
      <c r="D22" s="72" t="s">
        <v>3</v>
      </c>
      <c r="E22" s="77" t="s">
        <v>23</v>
      </c>
      <c r="F22" s="71" t="s">
        <v>24</v>
      </c>
      <c r="G22" s="71" t="s">
        <v>25</v>
      </c>
      <c r="H22" s="78" t="str">
        <f>H$10</f>
        <v>SP1</v>
      </c>
      <c r="I22" s="79" t="str">
        <f t="shared" ref="I22:L22" si="0">I$10</f>
        <v>SP2</v>
      </c>
      <c r="J22" s="125" t="str">
        <f t="shared" si="0"/>
        <v>SP3</v>
      </c>
      <c r="K22" s="126" t="str">
        <f t="shared" si="0"/>
        <v>SP4</v>
      </c>
      <c r="L22" s="71" t="str">
        <f t="shared" si="0"/>
        <v>Notes / Progress</v>
      </c>
      <c r="M22" s="229"/>
      <c r="N22" s="225"/>
      <c r="O22" s="225"/>
    </row>
    <row r="23" spans="1:16" s="30" customFormat="1" ht="20.100000000000001" customHeight="1" x14ac:dyDescent="0.15">
      <c r="A23" s="67" t="str">
        <f>IFERROR(IF(HLOOKUP($L$6,RangeUnitsetsOMARTS,M23,FALSE)=0,"",HLOOKUP($L$6,RangeUnitsetsOMARTS,M23,FALSE)),"")</f>
        <v/>
      </c>
      <c r="B23" s="51" t="str">
        <f>IFERROR(IF(VLOOKUP($A23,TableHandbook[],2,FALSE)=0,"",VLOOKUP($A23,TableHandbook[],2,FALSE)),"")</f>
        <v/>
      </c>
      <c r="C23" s="51" t="str">
        <f>IFERROR(IF(VLOOKUP($A23,TableHandbook[],3,FALSE)=0,"",VLOOKUP($A23,TableHandbook[],3,FALSE)),"")</f>
        <v/>
      </c>
      <c r="D23" s="92" t="str">
        <f>IFERROR(IF(VLOOKUP($A23,TableHandbook[],4,FALSE)=0,"",VLOOKUP($A23,TableHandbook[],4,FALSE)),"")</f>
        <v/>
      </c>
      <c r="E23" s="51" t="str">
        <f>IF(A23="","",VLOOKUP($D$7,TableOMARTSStudyPeriods[],2,FALSE))</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1" t="str">
        <f>IFERROR(VLOOKUP($A23,TableHandbook[],J$2,FALSE),"")</f>
        <v/>
      </c>
      <c r="K23" s="53" t="str">
        <f>IFERROR(VLOOKUP($A23,TableHandbook[],K$2,FALSE),"")</f>
        <v/>
      </c>
      <c r="L23" s="219"/>
      <c r="M23" s="226">
        <v>10</v>
      </c>
      <c r="N23" s="227"/>
      <c r="O23" s="227"/>
    </row>
    <row r="24" spans="1:16" s="30" customFormat="1" ht="20.100000000000001" customHeight="1" x14ac:dyDescent="0.15">
      <c r="A24" s="67" t="str">
        <f>IFERROR(IF(HLOOKUP($L$6,RangeUnitsetsOMARTS,M24,FALSE)=0,"",HLOOKUP($L$6,RangeUnitsetsOMARTS,M24,FALSE)),"")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IF(OR(A24="",A24="-"),"",E23)</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1" t="str">
        <f>IFERROR(VLOOKUP($A24,TableHandbook[],J$2,FALSE),"")</f>
        <v/>
      </c>
      <c r="K24" s="53" t="str">
        <f>IFERROR(VLOOKUP($A24,TableHandbook[],K$2,FALSE),"")</f>
        <v/>
      </c>
      <c r="L24" s="219"/>
      <c r="M24" s="226">
        <v>11</v>
      </c>
      <c r="N24" s="227"/>
      <c r="O24" s="227"/>
    </row>
    <row r="25" spans="1:16" s="30" customFormat="1" ht="5.0999999999999996" customHeight="1" x14ac:dyDescent="0.15">
      <c r="A25" s="112"/>
      <c r="B25" s="113"/>
      <c r="C25" s="113"/>
      <c r="D25" s="114"/>
      <c r="E25" s="113"/>
      <c r="F25" s="115"/>
      <c r="G25" s="113"/>
      <c r="H25" s="116"/>
      <c r="I25" s="113"/>
      <c r="J25" s="113"/>
      <c r="K25" s="117"/>
      <c r="L25" s="220"/>
      <c r="M25" s="226"/>
      <c r="N25" s="227"/>
      <c r="O25" s="227"/>
      <c r="P25" s="227"/>
    </row>
    <row r="26" spans="1:16" s="30" customFormat="1" ht="20.100000000000001" customHeight="1" x14ac:dyDescent="0.15">
      <c r="A26" s="67" t="str">
        <f>IFERROR(IF(HLOOKUP($L$6,RangeUnitsetsOMARTS,M26,FALSE)=0,"",HLOOKUP($L$6,RangeUnitsetsOMARTS,M26,FALSE)),"")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IF(A26="","",VLOOKUP($D$7,TableOMARTSStudyPeriods[],3,FALSE))</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1" t="str">
        <f>IFERROR(VLOOKUP($A26,TableHandbook[],J$2,FALSE),"")</f>
        <v/>
      </c>
      <c r="K26" s="53" t="str">
        <f>IFERROR(VLOOKUP($A26,TableHandbook[],K$2,FALSE),"")</f>
        <v/>
      </c>
      <c r="L26" s="219"/>
      <c r="M26" s="226">
        <v>12</v>
      </c>
      <c r="N26" s="227"/>
      <c r="O26" s="227"/>
    </row>
    <row r="27" spans="1:16" s="30" customFormat="1" ht="20.100000000000001" customHeight="1" x14ac:dyDescent="0.15">
      <c r="A27" s="67" t="str">
        <f>IFERROR(IF(HLOOKUP($L$6,RangeUnitsetsOMARTS,M27,FALSE)=0,"",HLOOKUP($L$6,RangeUnitsetsOMARTS,M27,FALSE)),"")</f>
        <v/>
      </c>
      <c r="B27" s="51" t="str">
        <f>IFERROR(IF(VLOOKUP($A27,TableHandbook[],2,FALSE)=0,"",VLOOKUP($A27,TableHandbook[],2,FALSE)),"")</f>
        <v/>
      </c>
      <c r="C27" s="51" t="str">
        <f>IFERROR(IF(VLOOKUP($A27,TableHandbook[],3,FALSE)=0,"",VLOOKUP($A27,TableHandbook[],3,FALSE)),"")</f>
        <v/>
      </c>
      <c r="D27" s="68" t="str">
        <f>IFERROR(IF(VLOOKUP($A27,TableHandbook[],4,FALSE)=0,"",VLOOKUP($A27,TableHandbook[],4,FALSE)),"")</f>
        <v/>
      </c>
      <c r="E27" s="51" t="str">
        <f>IF(OR(A27="",A27="-"),"",E26)</f>
        <v/>
      </c>
      <c r="F27" s="69" t="str">
        <f>IFERROR(IF(VLOOKUP($A27,TableHandbook[],6,FALSE)=0,"",VLOOKUP($A27,TableHandbook[],6,FALSE)),"")</f>
        <v/>
      </c>
      <c r="G27" s="51" t="str">
        <f>IFERROR(IF(VLOOKUP($A27,TableHandbook[],5,FALSE)=0,"",VLOOKUP($A27,TableHandbook[],5,FALSE)),"")</f>
        <v/>
      </c>
      <c r="H27" s="52" t="str">
        <f>IFERROR(VLOOKUP($A27,TableHandbook[],H$2,FALSE),"")</f>
        <v/>
      </c>
      <c r="I27" s="51" t="str">
        <f>IFERROR(VLOOKUP($A27,TableHandbook[],I$2,FALSE),"")</f>
        <v/>
      </c>
      <c r="J27" s="51" t="str">
        <f>IFERROR(VLOOKUP($A27,TableHandbook[],J$2,FALSE),"")</f>
        <v/>
      </c>
      <c r="K27" s="53" t="str">
        <f>IFERROR(VLOOKUP($A27,TableHandbook[],K$2,FALSE),"")</f>
        <v/>
      </c>
      <c r="L27" s="219"/>
      <c r="M27" s="226">
        <v>13</v>
      </c>
      <c r="N27" s="227"/>
      <c r="O27" s="227"/>
    </row>
    <row r="28" spans="1:16" s="30" customFormat="1" ht="5.0999999999999996" customHeight="1" x14ac:dyDescent="0.15">
      <c r="A28" s="112"/>
      <c r="B28" s="113"/>
      <c r="C28" s="113"/>
      <c r="D28" s="114"/>
      <c r="E28" s="113"/>
      <c r="F28" s="115"/>
      <c r="G28" s="113"/>
      <c r="H28" s="116"/>
      <c r="I28" s="113"/>
      <c r="J28" s="113"/>
      <c r="K28" s="117"/>
      <c r="L28" s="220"/>
      <c r="M28" s="226"/>
      <c r="N28" s="227"/>
      <c r="O28" s="227"/>
      <c r="P28" s="227"/>
    </row>
    <row r="29" spans="1:16" s="30" customFormat="1" ht="20.100000000000001" customHeight="1" x14ac:dyDescent="0.15">
      <c r="A29" s="67" t="str">
        <f>IFERROR(IF(HLOOKUP($L$6,RangeUnitsetsOMARTS,M29,FALSE)=0,"",HLOOKUP($L$6,RangeUnitsetsOMARTS,M29,FALSE)),"")</f>
        <v/>
      </c>
      <c r="B29" s="51" t="str">
        <f>IFERROR(IF(VLOOKUP($A29,TableHandbook[],2,FALSE)=0,"",VLOOKUP($A29,TableHandbook[],2,FALSE)),"")</f>
        <v/>
      </c>
      <c r="C29" s="51" t="str">
        <f>IFERROR(IF(VLOOKUP($A29,TableHandbook[],3,FALSE)=0,"",VLOOKUP($A29,TableHandbook[],3,FALSE)),"")</f>
        <v/>
      </c>
      <c r="D29" s="92" t="str">
        <f>IFERROR(IF(VLOOKUP($A29,TableHandbook[],4,FALSE)=0,"",VLOOKUP($A29,TableHandbook[],4,FALSE)),"")</f>
        <v/>
      </c>
      <c r="E29" s="51" t="str">
        <f>IF(A29="","",VLOOKUP($D$7,TableOMARTSStudyPeriods[],4,FALSE))</f>
        <v/>
      </c>
      <c r="F29" s="69" t="str">
        <f>IFERROR(IF(VLOOKUP($A29,TableHandbook[],6,FALSE)=0,"",VLOOKUP($A29,TableHandbook[],6,FALSE)),"")</f>
        <v/>
      </c>
      <c r="G29" s="51" t="str">
        <f>IFERROR(IF(VLOOKUP($A29,TableHandbook[],5,FALSE)=0,"",VLOOKUP($A29,TableHandbook[],5,FALSE)),"")</f>
        <v/>
      </c>
      <c r="H29" s="52" t="str">
        <f>IFERROR(VLOOKUP($A29,TableHandbook[],H$2,FALSE),"")</f>
        <v/>
      </c>
      <c r="I29" s="51" t="str">
        <f>IFERROR(VLOOKUP($A29,TableHandbook[],I$2,FALSE),"")</f>
        <v/>
      </c>
      <c r="J29" s="51" t="str">
        <f>IFERROR(VLOOKUP($A29,TableHandbook[],J$2,FALSE),"")</f>
        <v/>
      </c>
      <c r="K29" s="53" t="str">
        <f>IFERROR(VLOOKUP($A29,TableHandbook[],K$2,FALSE),"")</f>
        <v/>
      </c>
      <c r="L29" s="219"/>
      <c r="M29" s="226">
        <v>14</v>
      </c>
      <c r="N29" s="227"/>
      <c r="O29" s="227"/>
    </row>
    <row r="30" spans="1:16" s="33" customFormat="1" ht="20.100000000000001" customHeight="1" x14ac:dyDescent="0.15">
      <c r="A30" s="67" t="str">
        <f>IFERROR(IF(HLOOKUP($L$6,RangeUnitsetsOMARTS,M30,FALSE)=0,"",HLOOKUP($L$6,RangeUnitsetsOMARTS,M30,FALSE)),"")</f>
        <v/>
      </c>
      <c r="B30" s="51" t="str">
        <f>IFERROR(IF(VLOOKUP($A30,TableHandbook[],2,FALSE)=0,"",VLOOKUP($A30,TableHandbook[],2,FALSE)),"")</f>
        <v/>
      </c>
      <c r="C30" s="51" t="str">
        <f>IFERROR(IF(VLOOKUP($A30,TableHandbook[],3,FALSE)=0,"",VLOOKUP($A30,TableHandbook[],3,FALSE)),"")</f>
        <v/>
      </c>
      <c r="D30" s="92" t="str">
        <f>IFERROR(IF(VLOOKUP($A30,TableHandbook[],4,FALSE)=0,"",VLOOKUP($A30,TableHandbook[],4,FALSE)),"")</f>
        <v/>
      </c>
      <c r="E30" s="51" t="str">
        <f>IF(OR(A30="",A30="-"),"",E29)</f>
        <v/>
      </c>
      <c r="F30" s="69" t="str">
        <f>IFERROR(IF(VLOOKUP($A30,TableHandbook[],6,FALSE)=0,"",VLOOKUP($A30,TableHandbook[],6,FALSE)),"")</f>
        <v/>
      </c>
      <c r="G30" s="51" t="str">
        <f>IFERROR(IF(VLOOKUP($A30,TableHandbook[],5,FALSE)=0,"",VLOOKUP($A30,TableHandbook[],5,FALSE)),"")</f>
        <v/>
      </c>
      <c r="H30" s="52" t="str">
        <f>IFERROR(VLOOKUP($A30,TableHandbook[],H$2,FALSE),"")</f>
        <v/>
      </c>
      <c r="I30" s="51" t="str">
        <f>IFERROR(VLOOKUP($A30,TableHandbook[],I$2,FALSE),"")</f>
        <v/>
      </c>
      <c r="J30" s="51" t="str">
        <f>IFERROR(VLOOKUP($A30,TableHandbook[],J$2,FALSE),"")</f>
        <v/>
      </c>
      <c r="K30" s="53" t="str">
        <f>IFERROR(VLOOKUP($A30,TableHandbook[],K$2,FALSE),"")</f>
        <v/>
      </c>
      <c r="L30" s="219"/>
      <c r="M30" s="226">
        <v>15</v>
      </c>
      <c r="N30" s="228"/>
      <c r="O30" s="228"/>
    </row>
    <row r="31" spans="1:16" s="30" customFormat="1" ht="5.0999999999999996" customHeight="1" x14ac:dyDescent="0.15">
      <c r="A31" s="112"/>
      <c r="B31" s="113"/>
      <c r="C31" s="113"/>
      <c r="D31" s="114"/>
      <c r="E31" s="113"/>
      <c r="F31" s="115"/>
      <c r="G31" s="113"/>
      <c r="H31" s="116"/>
      <c r="I31" s="113"/>
      <c r="J31" s="113"/>
      <c r="K31" s="117"/>
      <c r="L31" s="220"/>
      <c r="M31" s="226"/>
      <c r="N31" s="227"/>
      <c r="O31" s="227"/>
      <c r="P31" s="227"/>
    </row>
    <row r="32" spans="1:16" s="30" customFormat="1" ht="20.100000000000001" customHeight="1" x14ac:dyDescent="0.15">
      <c r="A32" s="67" t="str">
        <f>IFERROR(IF(HLOOKUP($L$6,RangeUnitsetsOMARTS,M32,FALSE)=0,"",HLOOKUP($L$6,RangeUnitsetsOMARTS,M32,FALSE)),"")</f>
        <v/>
      </c>
      <c r="B32" s="51" t="str">
        <f>IFERROR(IF(VLOOKUP($A32,TableHandbook[],2,FALSE)=0,"",VLOOKUP($A32,TableHandbook[],2,FALSE)),"")</f>
        <v/>
      </c>
      <c r="C32" s="51" t="str">
        <f>IFERROR(IF(VLOOKUP($A32,TableHandbook[],3,FALSE)=0,"",VLOOKUP($A32,TableHandbook[],3,FALSE)),"")</f>
        <v/>
      </c>
      <c r="D32" s="92" t="str">
        <f>IFERROR(IF(VLOOKUP($A32,TableHandbook[],4,FALSE)=0,"",VLOOKUP($A32,TableHandbook[],4,FALSE)),"")</f>
        <v/>
      </c>
      <c r="E32" s="51" t="str">
        <f>IF(A32="","",VLOOKUP($D$7,TableOMARTSStudyPeriods[],5,FALSE))</f>
        <v/>
      </c>
      <c r="F32" s="69" t="str">
        <f>IFERROR(IF(VLOOKUP($A32,TableHandbook[],6,FALSE)=0,"",VLOOKUP($A32,TableHandbook[],6,FALSE)),"")</f>
        <v/>
      </c>
      <c r="G32" s="51" t="str">
        <f>IFERROR(IF(VLOOKUP($A32,TableHandbook[],5,FALSE)=0,"",VLOOKUP($A32,TableHandbook[],5,FALSE)),"")</f>
        <v/>
      </c>
      <c r="H32" s="52" t="str">
        <f>IFERROR(VLOOKUP($A32,TableHandbook[],H$2,FALSE),"")</f>
        <v/>
      </c>
      <c r="I32" s="51" t="str">
        <f>IFERROR(VLOOKUP($A32,TableHandbook[],I$2,FALSE),"")</f>
        <v/>
      </c>
      <c r="J32" s="51" t="str">
        <f>IFERROR(VLOOKUP($A32,TableHandbook[],J$2,FALSE),"")</f>
        <v/>
      </c>
      <c r="K32" s="53" t="str">
        <f>IFERROR(VLOOKUP($A32,TableHandbook[],K$2,FALSE),"")</f>
        <v/>
      </c>
      <c r="L32" s="219"/>
      <c r="M32" s="226">
        <v>16</v>
      </c>
      <c r="N32" s="227"/>
      <c r="O32" s="227"/>
    </row>
    <row r="33" spans="1:15" s="33" customFormat="1" ht="20.100000000000001" customHeight="1" x14ac:dyDescent="0.15">
      <c r="A33" s="67" t="str">
        <f>IFERROR(IF(HLOOKUP($L$6,RangeUnitsetsOMARTS,M33,FALSE)=0,"",HLOOKUP($L$6,RangeUnitsetsOMARTS,M33,FALSE)),"")</f>
        <v/>
      </c>
      <c r="B33" s="51" t="str">
        <f>IFERROR(IF(VLOOKUP($A33,TableHandbook[],2,FALSE)=0,"",VLOOKUP($A33,TableHandbook[],2,FALSE)),"")</f>
        <v/>
      </c>
      <c r="C33" s="51" t="str">
        <f>IFERROR(IF(VLOOKUP($A33,TableHandbook[],3,FALSE)=0,"",VLOOKUP($A33,TableHandbook[],3,FALSE)),"")</f>
        <v/>
      </c>
      <c r="D33" s="68" t="str">
        <f>IFERROR(IF(VLOOKUP($A33,TableHandbook[],4,FALSE)=0,"",VLOOKUP($A33,TableHandbook[],4,FALSE)),"")</f>
        <v/>
      </c>
      <c r="E33" s="51" t="str">
        <f>IF(OR(A33="",A33="-"),"",E32)</f>
        <v/>
      </c>
      <c r="F33" s="69" t="str">
        <f>IFERROR(IF(VLOOKUP($A33,TableHandbook[],6,FALSE)=0,"",VLOOKUP($A33,TableHandbook[],6,FALSE)),"")</f>
        <v/>
      </c>
      <c r="G33" s="51" t="str">
        <f>IFERROR(IF(VLOOKUP($A33,TableHandbook[],5,FALSE)=0,"",VLOOKUP($A33,TableHandbook[],5,FALSE)),"")</f>
        <v/>
      </c>
      <c r="H33" s="52" t="str">
        <f>IFERROR(VLOOKUP($A33,TableHandbook[],H$2,FALSE),"")</f>
        <v/>
      </c>
      <c r="I33" s="51" t="str">
        <f>IFERROR(VLOOKUP($A33,TableHandbook[],I$2,FALSE),"")</f>
        <v/>
      </c>
      <c r="J33" s="51" t="str">
        <f>IFERROR(VLOOKUP($A33,TableHandbook[],J$2,FALSE),"")</f>
        <v/>
      </c>
      <c r="K33" s="53" t="str">
        <f>IFERROR(VLOOKUP($A33,TableHandbook[],K$2,FALSE),"")</f>
        <v/>
      </c>
      <c r="L33" s="219"/>
      <c r="M33" s="226">
        <v>17</v>
      </c>
      <c r="N33" s="228"/>
      <c r="O33" s="228"/>
    </row>
    <row r="34" spans="1:15" s="38" customFormat="1" ht="13.9" customHeight="1" x14ac:dyDescent="0.2">
      <c r="A34" s="39"/>
      <c r="B34" s="39"/>
      <c r="C34" s="39"/>
      <c r="D34" s="40"/>
      <c r="E34" s="63"/>
      <c r="F34" s="35"/>
      <c r="G34" s="35"/>
      <c r="H34" s="35"/>
      <c r="I34" s="35"/>
      <c r="J34" s="35"/>
      <c r="K34" s="35"/>
      <c r="L34" s="35"/>
      <c r="M34" s="230"/>
      <c r="N34" s="231"/>
      <c r="O34" s="231"/>
    </row>
    <row r="35" spans="1:15" ht="16.5" customHeight="1" x14ac:dyDescent="0.25">
      <c r="A35" s="83" t="s">
        <v>32</v>
      </c>
      <c r="B35" s="84"/>
      <c r="C35" s="84"/>
      <c r="D35" s="84"/>
      <c r="E35" s="85"/>
      <c r="F35" s="86"/>
      <c r="G35" s="86"/>
      <c r="H35" s="87" t="str">
        <f>H$9</f>
        <v>2026 Availabilities</v>
      </c>
      <c r="I35" s="88"/>
      <c r="J35" s="89"/>
      <c r="K35" s="90"/>
      <c r="L35" s="203" t="e">
        <f>VLOOKUP(D6,TableOMARTSMajors[],2,FALSE)</f>
        <v>#N/A</v>
      </c>
      <c r="M35" s="232"/>
    </row>
    <row r="36" spans="1:15" s="42" customFormat="1" ht="17.25" x14ac:dyDescent="0.25">
      <c r="A36" s="103"/>
      <c r="B36" s="82"/>
      <c r="C36" s="71" t="s">
        <v>22</v>
      </c>
      <c r="D36" s="72" t="s">
        <v>3</v>
      </c>
      <c r="E36" s="79"/>
      <c r="F36" s="71" t="s">
        <v>24</v>
      </c>
      <c r="G36" s="71" t="s">
        <v>25</v>
      </c>
      <c r="H36" s="78" t="str">
        <f>H$10</f>
        <v>SP1</v>
      </c>
      <c r="I36" s="79" t="str">
        <f t="shared" ref="I36:L36" si="1">I$10</f>
        <v>SP2</v>
      </c>
      <c r="J36" s="79" t="str">
        <f t="shared" si="1"/>
        <v>SP3</v>
      </c>
      <c r="K36" s="80" t="str">
        <f t="shared" si="1"/>
        <v>SP4</v>
      </c>
      <c r="L36" s="71" t="str">
        <f t="shared" si="1"/>
        <v>Notes / Progress</v>
      </c>
      <c r="M36" s="232"/>
    </row>
    <row r="37" spans="1:15" x14ac:dyDescent="0.25">
      <c r="A37" s="105" t="str">
        <f t="shared" ref="A37:A43" si="2">IFERROR(IF(HLOOKUP($L$35,RangeACsOMARTS,M37,FALSE)=0,"",HLOOKUP($L$35,RangeACsOMARTS,M37,FALSE)),"")</f>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60" t="str">
        <f>IFERROR(VLOOKUP($A37,TableHandbook[],K$2,FALSE),"")</f>
        <v/>
      </c>
      <c r="L37" s="219"/>
      <c r="M37" s="226">
        <v>2</v>
      </c>
    </row>
    <row r="38" spans="1:15" x14ac:dyDescent="0.25">
      <c r="A38" s="105" t="str">
        <f t="shared" si="2"/>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60" t="str">
        <f>IFERROR(VLOOKUP($A38,TableHandbook[],K$2,FALSE),"")</f>
        <v/>
      </c>
      <c r="L38" s="219"/>
      <c r="M38" s="226">
        <v>3</v>
      </c>
    </row>
    <row r="39" spans="1:15" x14ac:dyDescent="0.25">
      <c r="A39" s="105" t="str">
        <f t="shared" si="2"/>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60" t="str">
        <f>IFERROR(VLOOKUP($A39,TableHandbook[],K$2,FALSE),"")</f>
        <v/>
      </c>
      <c r="L39" s="219"/>
      <c r="M39" s="226">
        <v>4</v>
      </c>
    </row>
    <row r="40" spans="1:15" x14ac:dyDescent="0.25">
      <c r="A40" s="105" t="str">
        <f t="shared" si="2"/>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60" t="str">
        <f>IFERROR(VLOOKUP($A40,TableHandbook[],K$2,FALSE),"")</f>
        <v/>
      </c>
      <c r="L40" s="219"/>
      <c r="M40" s="226">
        <v>5</v>
      </c>
    </row>
    <row r="41" spans="1:15" x14ac:dyDescent="0.25">
      <c r="A41" s="105" t="str">
        <f t="shared" si="2"/>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60" t="str">
        <f>IFERROR(VLOOKUP($A41,TableHandbook[],K$2,FALSE),"")</f>
        <v/>
      </c>
      <c r="L41" s="219"/>
      <c r="M41" s="226">
        <v>6</v>
      </c>
    </row>
    <row r="42" spans="1:15" x14ac:dyDescent="0.25">
      <c r="A42" s="105" t="str">
        <f t="shared" si="2"/>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60" t="str">
        <f>IFERROR(VLOOKUP($A42,TableHandbook[],K$2,FALSE),"")</f>
        <v/>
      </c>
      <c r="L42" s="219"/>
      <c r="M42" s="226">
        <v>7</v>
      </c>
    </row>
    <row r="43" spans="1:15" x14ac:dyDescent="0.25">
      <c r="A43" s="105" t="str">
        <f t="shared" si="2"/>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60" t="str">
        <f>IFERROR(VLOOKUP($A43,TableHandbook[],K$2,FALSE),"")</f>
        <v/>
      </c>
      <c r="L43" s="219"/>
      <c r="M43" s="226">
        <v>8</v>
      </c>
    </row>
    <row r="44" spans="1:15" s="38" customFormat="1" ht="13.9" customHeight="1" x14ac:dyDescent="0.2">
      <c r="A44" s="39"/>
      <c r="B44" s="39"/>
      <c r="C44" s="39"/>
      <c r="D44" s="40"/>
      <c r="E44" s="63"/>
      <c r="F44" s="35"/>
      <c r="G44" s="35"/>
      <c r="H44" s="35"/>
      <c r="I44" s="35"/>
      <c r="J44" s="35"/>
      <c r="K44" s="35"/>
      <c r="L44" s="35"/>
      <c r="M44" s="230"/>
      <c r="N44" s="231"/>
      <c r="O44" s="231"/>
    </row>
    <row r="45" spans="1:15" ht="16.5" customHeight="1" x14ac:dyDescent="0.25">
      <c r="A45" s="83" t="s">
        <v>33</v>
      </c>
      <c r="B45" s="84"/>
      <c r="C45" s="84"/>
      <c r="D45" s="84"/>
      <c r="E45" s="85"/>
      <c r="F45" s="86"/>
      <c r="G45" s="86"/>
      <c r="H45" s="87" t="str">
        <f>H$9</f>
        <v>2026 Availabilities</v>
      </c>
      <c r="I45" s="88"/>
      <c r="J45" s="89"/>
      <c r="K45" s="90"/>
      <c r="L45" s="104"/>
      <c r="M45" s="232"/>
    </row>
    <row r="46" spans="1:15" s="42" customFormat="1" ht="17.25" x14ac:dyDescent="0.25">
      <c r="A46" s="103"/>
      <c r="B46" s="82"/>
      <c r="C46" s="71" t="s">
        <v>22</v>
      </c>
      <c r="D46" s="72" t="s">
        <v>3</v>
      </c>
      <c r="E46" s="79"/>
      <c r="F46" s="71" t="s">
        <v>24</v>
      </c>
      <c r="G46" s="71" t="s">
        <v>25</v>
      </c>
      <c r="H46" s="78" t="str">
        <f>H$10</f>
        <v>SP1</v>
      </c>
      <c r="I46" s="79" t="str">
        <f t="shared" ref="I46:L46" si="3">I$10</f>
        <v>SP2</v>
      </c>
      <c r="J46" s="79" t="str">
        <f t="shared" si="3"/>
        <v>SP3</v>
      </c>
      <c r="K46" s="80" t="str">
        <f t="shared" si="3"/>
        <v>SP4</v>
      </c>
      <c r="L46" s="71" t="str">
        <f t="shared" si="3"/>
        <v>Notes / Progress</v>
      </c>
      <c r="M46" s="232"/>
    </row>
    <row r="47" spans="1:15" x14ac:dyDescent="0.25">
      <c r="A47" s="105" t="str">
        <f t="shared" ref="A47:A62" si="4">IFERROR(IF(HLOOKUP($L$35,RangeOptionsOMARTS,M47,FALSE)=0,"",HLOOKUP($L$35,RangeOptionsOMARTS,M47,FALSE)),"")</f>
        <v/>
      </c>
      <c r="B47" s="108" t="str">
        <f>IFERROR(IF(VLOOKUP($A47,TableHandbook[],2,FALSE)=0,"",VLOOKUP($A47,TableHandbook[],2,FALSE)),"")</f>
        <v/>
      </c>
      <c r="C47" s="108" t="str">
        <f>IFERROR(IF(VLOOKUP($A47,TableHandbook[],3,FALSE)=0,"",VLOOKUP($A47,TableHandbook[],3,FALSE)),"")</f>
        <v/>
      </c>
      <c r="D47" s="43" t="str">
        <f>IFERROR(IF(VLOOKUP($A47,TableHandbook[],4,FALSE)=0,"",VLOOKUP($A47,TableHandbook[],4,FALSE)),"")</f>
        <v/>
      </c>
      <c r="E47" s="44"/>
      <c r="F47" s="50" t="str">
        <f>IFERROR(IF(VLOOKUP($A47,TableHandbook[],6,FALSE)=0,"",VLOOKUP($A47,TableHandbook[],6,FALSE)),"")</f>
        <v/>
      </c>
      <c r="G47" s="44" t="str">
        <f>IFERROR(IF(VLOOKUP($A47,TableHandbook[],5,FALSE)=0,"",VLOOKUP($A47,TableHandbook[],5,FALSE)),"")</f>
        <v/>
      </c>
      <c r="H47" s="58" t="str">
        <f>IFERROR(VLOOKUP($A47,TableHandbook[],H$2,FALSE),"")</f>
        <v/>
      </c>
      <c r="I47" s="59" t="str">
        <f>IFERROR(VLOOKUP($A47,TableHandbook[],I$2,FALSE),"")</f>
        <v/>
      </c>
      <c r="J47" s="59" t="str">
        <f>IFERROR(VLOOKUP($A47,TableHandbook[],J$2,FALSE),"")</f>
        <v/>
      </c>
      <c r="K47" s="60" t="str">
        <f>IFERROR(VLOOKUP($A47,TableHandbook[],K$2,FALSE),"")</f>
        <v/>
      </c>
      <c r="L47" s="219"/>
      <c r="M47" s="226">
        <v>2</v>
      </c>
    </row>
    <row r="48" spans="1:15" x14ac:dyDescent="0.25">
      <c r="A48" s="105" t="str">
        <f t="shared" si="4"/>
        <v/>
      </c>
      <c r="B48" s="108" t="str">
        <f>IFERROR(IF(VLOOKUP($A48,TableHandbook[],2,FALSE)=0,"",VLOOKUP($A48,TableHandbook[],2,FALSE)),"")</f>
        <v/>
      </c>
      <c r="C48" s="108" t="str">
        <f>IFERROR(IF(VLOOKUP($A48,TableHandbook[],3,FALSE)=0,"",VLOOKUP($A48,TableHandbook[],3,FALSE)),"")</f>
        <v/>
      </c>
      <c r="D48" s="43" t="str">
        <f>IFERROR(IF(VLOOKUP($A48,TableHandbook[],4,FALSE)=0,"",VLOOKUP($A48,TableHandbook[],4,FALSE)),"")</f>
        <v/>
      </c>
      <c r="E48" s="44"/>
      <c r="F48" s="50" t="str">
        <f>IFERROR(IF(VLOOKUP($A48,TableHandbook[],6,FALSE)=0,"",VLOOKUP($A48,TableHandbook[],6,FALSE)),"")</f>
        <v/>
      </c>
      <c r="G48" s="44" t="str">
        <f>IFERROR(IF(VLOOKUP($A48,TableHandbook[],5,FALSE)=0,"",VLOOKUP($A48,TableHandbook[],5,FALSE)),"")</f>
        <v/>
      </c>
      <c r="H48" s="58" t="str">
        <f>IFERROR(VLOOKUP($A48,TableHandbook[],H$2,FALSE),"")</f>
        <v/>
      </c>
      <c r="I48" s="59" t="str">
        <f>IFERROR(VLOOKUP($A48,TableHandbook[],I$2,FALSE),"")</f>
        <v/>
      </c>
      <c r="J48" s="59" t="str">
        <f>IFERROR(VLOOKUP($A48,TableHandbook[],J$2,FALSE),"")</f>
        <v/>
      </c>
      <c r="K48" s="60" t="str">
        <f>IFERROR(VLOOKUP($A48,TableHandbook[],K$2,FALSE),"")</f>
        <v/>
      </c>
      <c r="L48" s="219"/>
      <c r="M48" s="226">
        <v>3</v>
      </c>
    </row>
    <row r="49" spans="1:13" x14ac:dyDescent="0.25">
      <c r="A49" s="105" t="str">
        <f t="shared" si="4"/>
        <v/>
      </c>
      <c r="B49" s="108" t="str">
        <f>IFERROR(IF(VLOOKUP($A49,TableHandbook[],2,FALSE)=0,"",VLOOKUP($A49,TableHandbook[],2,FALSE)),"")</f>
        <v/>
      </c>
      <c r="C49" s="108" t="str">
        <f>IFERROR(IF(VLOOKUP($A49,TableHandbook[],3,FALSE)=0,"",VLOOKUP($A49,TableHandbook[],3,FALSE)),"")</f>
        <v/>
      </c>
      <c r="D49" s="43" t="str">
        <f>IFERROR(IF(VLOOKUP($A49,TableHandbook[],4,FALSE)=0,"",VLOOKUP($A49,TableHandbook[],4,FALSE)),"")</f>
        <v/>
      </c>
      <c r="E49" s="44"/>
      <c r="F49" s="50" t="str">
        <f>IFERROR(IF(VLOOKUP($A49,TableHandbook[],6,FALSE)=0,"",VLOOKUP($A49,TableHandbook[],6,FALSE)),"")</f>
        <v/>
      </c>
      <c r="G49" s="44" t="str">
        <f>IFERROR(IF(VLOOKUP($A49,TableHandbook[],5,FALSE)=0,"",VLOOKUP($A49,TableHandbook[],5,FALSE)),"")</f>
        <v/>
      </c>
      <c r="H49" s="58" t="str">
        <f>IFERROR(VLOOKUP($A49,TableHandbook[],H$2,FALSE),"")</f>
        <v/>
      </c>
      <c r="I49" s="59" t="str">
        <f>IFERROR(VLOOKUP($A49,TableHandbook[],I$2,FALSE),"")</f>
        <v/>
      </c>
      <c r="J49" s="59" t="str">
        <f>IFERROR(VLOOKUP($A49,TableHandbook[],J$2,FALSE),"")</f>
        <v/>
      </c>
      <c r="K49" s="60" t="str">
        <f>IFERROR(VLOOKUP($A49,TableHandbook[],K$2,FALSE),"")</f>
        <v/>
      </c>
      <c r="L49" s="219"/>
      <c r="M49" s="226">
        <v>4</v>
      </c>
    </row>
    <row r="50" spans="1:13" x14ac:dyDescent="0.25">
      <c r="A50" s="105" t="str">
        <f t="shared" si="4"/>
        <v/>
      </c>
      <c r="B50" s="108" t="str">
        <f>IFERROR(IF(VLOOKUP($A50,TableHandbook[],2,FALSE)=0,"",VLOOKUP($A50,TableHandbook[],2,FALSE)),"")</f>
        <v/>
      </c>
      <c r="C50" s="108" t="str">
        <f>IFERROR(IF(VLOOKUP($A50,TableHandbook[],3,FALSE)=0,"",VLOOKUP($A50,TableHandbook[],3,FALSE)),"")</f>
        <v/>
      </c>
      <c r="D50" s="43" t="str">
        <f>IFERROR(IF(VLOOKUP($A50,TableHandbook[],4,FALSE)=0,"",VLOOKUP($A50,TableHandbook[],4,FALSE)),"")</f>
        <v/>
      </c>
      <c r="E50" s="44"/>
      <c r="F50" s="50" t="str">
        <f>IFERROR(IF(VLOOKUP($A50,TableHandbook[],6,FALSE)=0,"",VLOOKUP($A50,TableHandbook[],6,FALSE)),"")</f>
        <v/>
      </c>
      <c r="G50" s="44" t="str">
        <f>IFERROR(IF(VLOOKUP($A50,TableHandbook[],5,FALSE)=0,"",VLOOKUP($A50,TableHandbook[],5,FALSE)),"")</f>
        <v/>
      </c>
      <c r="H50" s="58" t="str">
        <f>IFERROR(VLOOKUP($A50,TableHandbook[],H$2,FALSE),"")</f>
        <v/>
      </c>
      <c r="I50" s="59" t="str">
        <f>IFERROR(VLOOKUP($A50,TableHandbook[],I$2,FALSE),"")</f>
        <v/>
      </c>
      <c r="J50" s="59" t="str">
        <f>IFERROR(VLOOKUP($A50,TableHandbook[],J$2,FALSE),"")</f>
        <v/>
      </c>
      <c r="K50" s="60" t="str">
        <f>IFERROR(VLOOKUP($A50,TableHandbook[],K$2,FALSE),"")</f>
        <v/>
      </c>
      <c r="L50" s="219"/>
      <c r="M50" s="226">
        <v>5</v>
      </c>
    </row>
    <row r="51" spans="1:13" x14ac:dyDescent="0.25">
      <c r="A51" s="105" t="str">
        <f t="shared" si="4"/>
        <v/>
      </c>
      <c r="B51" s="108" t="str">
        <f>IFERROR(IF(VLOOKUP($A51,TableHandbook[],2,FALSE)=0,"",VLOOKUP($A51,TableHandbook[],2,FALSE)),"")</f>
        <v/>
      </c>
      <c r="C51" s="108" t="str">
        <f>IFERROR(IF(VLOOKUP($A51,TableHandbook[],3,FALSE)=0,"",VLOOKUP($A51,TableHandbook[],3,FALSE)),"")</f>
        <v/>
      </c>
      <c r="D51" s="43" t="str">
        <f>IFERROR(IF(VLOOKUP($A51,TableHandbook[],4,FALSE)=0,"",VLOOKUP($A51,TableHandbook[],4,FALSE)),"")</f>
        <v/>
      </c>
      <c r="E51" s="44"/>
      <c r="F51" s="50" t="str">
        <f>IFERROR(IF(VLOOKUP($A51,TableHandbook[],6,FALSE)=0,"",VLOOKUP($A51,TableHandbook[],6,FALSE)),"")</f>
        <v/>
      </c>
      <c r="G51" s="44" t="str">
        <f>IFERROR(IF(VLOOKUP($A51,TableHandbook[],5,FALSE)=0,"",VLOOKUP($A51,TableHandbook[],5,FALSE)),"")</f>
        <v/>
      </c>
      <c r="H51" s="58" t="str">
        <f>IFERROR(VLOOKUP($A51,TableHandbook[],H$2,FALSE),"")</f>
        <v/>
      </c>
      <c r="I51" s="59" t="str">
        <f>IFERROR(VLOOKUP($A51,TableHandbook[],I$2,FALSE),"")</f>
        <v/>
      </c>
      <c r="J51" s="59" t="str">
        <f>IFERROR(VLOOKUP($A51,TableHandbook[],J$2,FALSE),"")</f>
        <v/>
      </c>
      <c r="K51" s="60" t="str">
        <f>IFERROR(VLOOKUP($A51,TableHandbook[],K$2,FALSE),"")</f>
        <v/>
      </c>
      <c r="L51" s="219"/>
      <c r="M51" s="226">
        <v>6</v>
      </c>
    </row>
    <row r="52" spans="1:13" x14ac:dyDescent="0.25">
      <c r="A52" s="105" t="str">
        <f t="shared" si="4"/>
        <v/>
      </c>
      <c r="B52" s="108" t="str">
        <f>IFERROR(IF(VLOOKUP($A52,TableHandbook[],2,FALSE)=0,"",VLOOKUP($A52,TableHandbook[],2,FALSE)),"")</f>
        <v/>
      </c>
      <c r="C52" s="108" t="str">
        <f>IFERROR(IF(VLOOKUP($A52,TableHandbook[],3,FALSE)=0,"",VLOOKUP($A52,TableHandbook[],3,FALSE)),"")</f>
        <v/>
      </c>
      <c r="D52" s="43" t="str">
        <f>IFERROR(IF(VLOOKUP($A52,TableHandbook[],4,FALSE)=0,"",VLOOKUP($A52,TableHandbook[],4,FALSE)),"")</f>
        <v/>
      </c>
      <c r="E52" s="44"/>
      <c r="F52" s="50" t="str">
        <f>IFERROR(IF(VLOOKUP($A52,TableHandbook[],6,FALSE)=0,"",VLOOKUP($A52,TableHandbook[],6,FALSE)),"")</f>
        <v/>
      </c>
      <c r="G52" s="44" t="str">
        <f>IFERROR(IF(VLOOKUP($A52,TableHandbook[],5,FALSE)=0,"",VLOOKUP($A52,TableHandbook[],5,FALSE)),"")</f>
        <v/>
      </c>
      <c r="H52" s="58" t="str">
        <f>IFERROR(VLOOKUP($A52,TableHandbook[],H$2,FALSE),"")</f>
        <v/>
      </c>
      <c r="I52" s="59" t="str">
        <f>IFERROR(VLOOKUP($A52,TableHandbook[],I$2,FALSE),"")</f>
        <v/>
      </c>
      <c r="J52" s="59" t="str">
        <f>IFERROR(VLOOKUP($A52,TableHandbook[],J$2,FALSE),"")</f>
        <v/>
      </c>
      <c r="K52" s="60" t="str">
        <f>IFERROR(VLOOKUP($A52,TableHandbook[],K$2,FALSE),"")</f>
        <v/>
      </c>
      <c r="L52" s="219"/>
      <c r="M52" s="226">
        <v>7</v>
      </c>
    </row>
    <row r="53" spans="1:13" x14ac:dyDescent="0.25">
      <c r="A53" s="105" t="str">
        <f t="shared" si="4"/>
        <v/>
      </c>
      <c r="B53" s="108" t="str">
        <f>IFERROR(IF(VLOOKUP($A53,TableHandbook[],2,FALSE)=0,"",VLOOKUP($A53,TableHandbook[],2,FALSE)),"")</f>
        <v/>
      </c>
      <c r="C53" s="108" t="str">
        <f>IFERROR(IF(VLOOKUP($A53,TableHandbook[],3,FALSE)=0,"",VLOOKUP($A53,TableHandbook[],3,FALSE)),"")</f>
        <v/>
      </c>
      <c r="D53" s="43" t="str">
        <f>IFERROR(IF(VLOOKUP($A53,TableHandbook[],4,FALSE)=0,"",VLOOKUP($A53,TableHandbook[],4,FALSE)),"")</f>
        <v/>
      </c>
      <c r="E53" s="44"/>
      <c r="F53" s="50" t="str">
        <f>IFERROR(IF(VLOOKUP($A53,TableHandbook[],6,FALSE)=0,"",VLOOKUP($A53,TableHandbook[],6,FALSE)),"")</f>
        <v/>
      </c>
      <c r="G53" s="44" t="str">
        <f>IFERROR(IF(VLOOKUP($A53,TableHandbook[],5,FALSE)=0,"",VLOOKUP($A53,TableHandbook[],5,FALSE)),"")</f>
        <v/>
      </c>
      <c r="H53" s="58" t="str">
        <f>IFERROR(VLOOKUP($A53,TableHandbook[],H$2,FALSE),"")</f>
        <v/>
      </c>
      <c r="I53" s="59" t="str">
        <f>IFERROR(VLOOKUP($A53,TableHandbook[],I$2,FALSE),"")</f>
        <v/>
      </c>
      <c r="J53" s="59" t="str">
        <f>IFERROR(VLOOKUP($A53,TableHandbook[],J$2,FALSE),"")</f>
        <v/>
      </c>
      <c r="K53" s="60" t="str">
        <f>IFERROR(VLOOKUP($A53,TableHandbook[],K$2,FALSE),"")</f>
        <v/>
      </c>
      <c r="L53" s="219"/>
      <c r="M53" s="226">
        <v>8</v>
      </c>
    </row>
    <row r="54" spans="1:13" x14ac:dyDescent="0.25">
      <c r="A54" s="105" t="str">
        <f t="shared" si="4"/>
        <v/>
      </c>
      <c r="B54" s="108" t="str">
        <f>IFERROR(IF(VLOOKUP($A54,TableHandbook[],2,FALSE)=0,"",VLOOKUP($A54,TableHandbook[],2,FALSE)),"")</f>
        <v/>
      </c>
      <c r="C54" s="108" t="str">
        <f>IFERROR(IF(VLOOKUP($A54,TableHandbook[],3,FALSE)=0,"",VLOOKUP($A54,TableHandbook[],3,FALSE)),"")</f>
        <v/>
      </c>
      <c r="D54" s="43" t="str">
        <f>IFERROR(IF(VLOOKUP($A54,TableHandbook[],4,FALSE)=0,"",VLOOKUP($A54,TableHandbook[],4,FALSE)),"")</f>
        <v/>
      </c>
      <c r="E54" s="44"/>
      <c r="F54" s="50" t="str">
        <f>IFERROR(IF(VLOOKUP($A54,TableHandbook[],6,FALSE)=0,"",VLOOKUP($A54,TableHandbook[],6,FALSE)),"")</f>
        <v/>
      </c>
      <c r="G54" s="44" t="str">
        <f>IFERROR(IF(VLOOKUP($A54,TableHandbook[],5,FALSE)=0,"",VLOOKUP($A54,TableHandbook[],5,FALSE)),"")</f>
        <v/>
      </c>
      <c r="H54" s="58" t="str">
        <f>IFERROR(VLOOKUP($A54,TableHandbook[],H$2,FALSE),"")</f>
        <v/>
      </c>
      <c r="I54" s="59" t="str">
        <f>IFERROR(VLOOKUP($A54,TableHandbook[],I$2,FALSE),"")</f>
        <v/>
      </c>
      <c r="J54" s="59" t="str">
        <f>IFERROR(VLOOKUP($A54,TableHandbook[],J$2,FALSE),"")</f>
        <v/>
      </c>
      <c r="K54" s="60" t="str">
        <f>IFERROR(VLOOKUP($A54,TableHandbook[],K$2,FALSE),"")</f>
        <v/>
      </c>
      <c r="L54" s="219"/>
      <c r="M54" s="226">
        <v>9</v>
      </c>
    </row>
    <row r="55" spans="1:13" x14ac:dyDescent="0.25">
      <c r="A55" s="105" t="str">
        <f t="shared" si="4"/>
        <v/>
      </c>
      <c r="B55" s="108" t="str">
        <f>IFERROR(IF(VLOOKUP($A55,TableHandbook[],2,FALSE)=0,"",VLOOKUP($A55,TableHandbook[],2,FALSE)),"")</f>
        <v/>
      </c>
      <c r="C55" s="108" t="str">
        <f>IFERROR(IF(VLOOKUP($A55,TableHandbook[],3,FALSE)=0,"",VLOOKUP($A55,TableHandbook[],3,FALSE)),"")</f>
        <v/>
      </c>
      <c r="D55" s="43" t="str">
        <f>IFERROR(IF(VLOOKUP($A55,TableHandbook[],4,FALSE)=0,"",VLOOKUP($A55,TableHandbook[],4,FALSE)),"")</f>
        <v/>
      </c>
      <c r="E55" s="44"/>
      <c r="F55" s="50" t="str">
        <f>IFERROR(IF(VLOOKUP($A55,TableHandbook[],6,FALSE)=0,"",VLOOKUP($A55,TableHandbook[],6,FALSE)),"")</f>
        <v/>
      </c>
      <c r="G55" s="44" t="str">
        <f>IFERROR(IF(VLOOKUP($A55,TableHandbook[],5,FALSE)=0,"",VLOOKUP($A55,TableHandbook[],5,FALSE)),"")</f>
        <v/>
      </c>
      <c r="H55" s="58" t="str">
        <f>IFERROR(VLOOKUP($A55,TableHandbook[],H$2,FALSE),"")</f>
        <v/>
      </c>
      <c r="I55" s="59" t="str">
        <f>IFERROR(VLOOKUP($A55,TableHandbook[],I$2,FALSE),"")</f>
        <v/>
      </c>
      <c r="J55" s="59" t="str">
        <f>IFERROR(VLOOKUP($A55,TableHandbook[],J$2,FALSE),"")</f>
        <v/>
      </c>
      <c r="K55" s="60" t="str">
        <f>IFERROR(VLOOKUP($A55,TableHandbook[],K$2,FALSE),"")</f>
        <v/>
      </c>
      <c r="L55" s="219"/>
      <c r="M55" s="226">
        <v>10</v>
      </c>
    </row>
    <row r="56" spans="1:13" x14ac:dyDescent="0.25">
      <c r="A56" s="105" t="str">
        <f t="shared" si="4"/>
        <v/>
      </c>
      <c r="B56" s="108" t="str">
        <f>IFERROR(IF(VLOOKUP($A56,TableHandbook[],2,FALSE)=0,"",VLOOKUP($A56,TableHandbook[],2,FALSE)),"")</f>
        <v/>
      </c>
      <c r="C56" s="108" t="str">
        <f>IFERROR(IF(VLOOKUP($A56,TableHandbook[],3,FALSE)=0,"",VLOOKUP($A56,TableHandbook[],3,FALSE)),"")</f>
        <v/>
      </c>
      <c r="D56" s="43" t="str">
        <f>IFERROR(IF(VLOOKUP($A56,TableHandbook[],4,FALSE)=0,"",VLOOKUP($A56,TableHandbook[],4,FALSE)),"")</f>
        <v/>
      </c>
      <c r="E56" s="44"/>
      <c r="F56" s="50" t="str">
        <f>IFERROR(IF(VLOOKUP($A56,TableHandbook[],6,FALSE)=0,"",VLOOKUP($A56,TableHandbook[],6,FALSE)),"")</f>
        <v/>
      </c>
      <c r="G56" s="44" t="str">
        <f>IFERROR(IF(VLOOKUP($A56,TableHandbook[],5,FALSE)=0,"",VLOOKUP($A56,TableHandbook[],5,FALSE)),"")</f>
        <v/>
      </c>
      <c r="H56" s="58" t="str">
        <f>IFERROR(VLOOKUP($A56,TableHandbook[],H$2,FALSE),"")</f>
        <v/>
      </c>
      <c r="I56" s="59" t="str">
        <f>IFERROR(VLOOKUP($A56,TableHandbook[],I$2,FALSE),"")</f>
        <v/>
      </c>
      <c r="J56" s="59" t="str">
        <f>IFERROR(VLOOKUP($A56,TableHandbook[],J$2,FALSE),"")</f>
        <v/>
      </c>
      <c r="K56" s="60" t="str">
        <f>IFERROR(VLOOKUP($A56,TableHandbook[],K$2,FALSE),"")</f>
        <v/>
      </c>
      <c r="L56" s="219"/>
      <c r="M56" s="226">
        <v>11</v>
      </c>
    </row>
    <row r="57" spans="1:13" x14ac:dyDescent="0.25">
      <c r="A57" s="105" t="str">
        <f t="shared" si="4"/>
        <v/>
      </c>
      <c r="B57" s="108" t="str">
        <f>IFERROR(IF(VLOOKUP($A57,TableHandbook[],2,FALSE)=0,"",VLOOKUP($A57,TableHandbook[],2,FALSE)),"")</f>
        <v/>
      </c>
      <c r="C57" s="108" t="str">
        <f>IFERROR(IF(VLOOKUP($A57,TableHandbook[],3,FALSE)=0,"",VLOOKUP($A57,TableHandbook[],3,FALSE)),"")</f>
        <v/>
      </c>
      <c r="D57" s="43" t="str">
        <f>IFERROR(IF(VLOOKUP($A57,TableHandbook[],4,FALSE)=0,"",VLOOKUP($A57,TableHandbook[],4,FALSE)),"")</f>
        <v/>
      </c>
      <c r="E57" s="44"/>
      <c r="F57" s="50" t="str">
        <f>IFERROR(IF(VLOOKUP($A57,TableHandbook[],6,FALSE)=0,"",VLOOKUP($A57,TableHandbook[],6,FALSE)),"")</f>
        <v/>
      </c>
      <c r="G57" s="44" t="str">
        <f>IFERROR(IF(VLOOKUP($A57,TableHandbook[],5,FALSE)=0,"",VLOOKUP($A57,TableHandbook[],5,FALSE)),"")</f>
        <v/>
      </c>
      <c r="H57" s="58" t="str">
        <f>IFERROR(VLOOKUP($A57,TableHandbook[],H$2,FALSE),"")</f>
        <v/>
      </c>
      <c r="I57" s="59" t="str">
        <f>IFERROR(VLOOKUP($A57,TableHandbook[],I$2,FALSE),"")</f>
        <v/>
      </c>
      <c r="J57" s="59" t="str">
        <f>IFERROR(VLOOKUP($A57,TableHandbook[],J$2,FALSE),"")</f>
        <v/>
      </c>
      <c r="K57" s="60" t="str">
        <f>IFERROR(VLOOKUP($A57,TableHandbook[],K$2,FALSE),"")</f>
        <v/>
      </c>
      <c r="L57" s="219"/>
      <c r="M57" s="226">
        <v>12</v>
      </c>
    </row>
    <row r="58" spans="1:13" x14ac:dyDescent="0.25">
      <c r="A58" s="105" t="str">
        <f t="shared" ref="A58:A61" si="5">IFERROR(IF(HLOOKUP($L$35,RangeOptionsOMARTS,M58,FALSE)=0,"",HLOOKUP($L$35,RangeOptionsOMARTS,M58,FALSE)),"")</f>
        <v/>
      </c>
      <c r="B58" s="108" t="str">
        <f>IFERROR(IF(VLOOKUP($A58,TableHandbook[],2,FALSE)=0,"",VLOOKUP($A58,TableHandbook[],2,FALSE)),"")</f>
        <v/>
      </c>
      <c r="C58" s="108" t="str">
        <f>IFERROR(IF(VLOOKUP($A58,TableHandbook[],3,FALSE)=0,"",VLOOKUP($A58,TableHandbook[],3,FALSE)),"")</f>
        <v/>
      </c>
      <c r="D58" s="43" t="str">
        <f>IFERROR(IF(VLOOKUP($A58,TableHandbook[],4,FALSE)=0,"",VLOOKUP($A58,TableHandbook[],4,FALSE)),"")</f>
        <v/>
      </c>
      <c r="E58" s="44"/>
      <c r="F58" s="50" t="str">
        <f>IFERROR(IF(VLOOKUP($A58,TableHandbook[],6,FALSE)=0,"",VLOOKUP($A58,TableHandbook[],6,FALSE)),"")</f>
        <v/>
      </c>
      <c r="G58" s="44" t="str">
        <f>IFERROR(IF(VLOOKUP($A58,TableHandbook[],5,FALSE)=0,"",VLOOKUP($A58,TableHandbook[],5,FALSE)),"")</f>
        <v/>
      </c>
      <c r="H58" s="58" t="str">
        <f>IFERROR(VLOOKUP($A58,TableHandbook[],H$2,FALSE),"")</f>
        <v/>
      </c>
      <c r="I58" s="59" t="str">
        <f>IFERROR(VLOOKUP($A58,TableHandbook[],I$2,FALSE),"")</f>
        <v/>
      </c>
      <c r="J58" s="59" t="str">
        <f>IFERROR(VLOOKUP($A58,TableHandbook[],J$2,FALSE),"")</f>
        <v/>
      </c>
      <c r="K58" s="60" t="str">
        <f>IFERROR(VLOOKUP($A58,TableHandbook[],K$2,FALSE),"")</f>
        <v/>
      </c>
      <c r="L58" s="219"/>
      <c r="M58" s="226">
        <v>13</v>
      </c>
    </row>
    <row r="59" spans="1:13" x14ac:dyDescent="0.25">
      <c r="A59" s="105" t="str">
        <f t="shared" si="5"/>
        <v/>
      </c>
      <c r="B59" s="108" t="str">
        <f>IFERROR(IF(VLOOKUP($A59,TableHandbook[],2,FALSE)=0,"",VLOOKUP($A59,TableHandbook[],2,FALSE)),"")</f>
        <v/>
      </c>
      <c r="C59" s="108" t="str">
        <f>IFERROR(IF(VLOOKUP($A59,TableHandbook[],3,FALSE)=0,"",VLOOKUP($A59,TableHandbook[],3,FALSE)),"")</f>
        <v/>
      </c>
      <c r="D59" s="43" t="str">
        <f>IFERROR(IF(VLOOKUP($A59,TableHandbook[],4,FALSE)=0,"",VLOOKUP($A59,TableHandbook[],4,FALSE)),"")</f>
        <v/>
      </c>
      <c r="E59" s="44"/>
      <c r="F59" s="50" t="str">
        <f>IFERROR(IF(VLOOKUP($A59,TableHandbook[],6,FALSE)=0,"",VLOOKUP($A59,TableHandbook[],6,FALSE)),"")</f>
        <v/>
      </c>
      <c r="G59" s="44" t="str">
        <f>IFERROR(IF(VLOOKUP($A59,TableHandbook[],5,FALSE)=0,"",VLOOKUP($A59,TableHandbook[],5,FALSE)),"")</f>
        <v/>
      </c>
      <c r="H59" s="58" t="str">
        <f>IFERROR(VLOOKUP($A59,TableHandbook[],H$2,FALSE),"")</f>
        <v/>
      </c>
      <c r="I59" s="59" t="str">
        <f>IFERROR(VLOOKUP($A59,TableHandbook[],I$2,FALSE),"")</f>
        <v/>
      </c>
      <c r="J59" s="59" t="str">
        <f>IFERROR(VLOOKUP($A59,TableHandbook[],J$2,FALSE),"")</f>
        <v/>
      </c>
      <c r="K59" s="60" t="str">
        <f>IFERROR(VLOOKUP($A59,TableHandbook[],K$2,FALSE),"")</f>
        <v/>
      </c>
      <c r="L59" s="219"/>
      <c r="M59" s="226">
        <v>14</v>
      </c>
    </row>
    <row r="60" spans="1:13" x14ac:dyDescent="0.25">
      <c r="A60" s="105" t="str">
        <f t="shared" si="5"/>
        <v/>
      </c>
      <c r="B60" s="108" t="str">
        <f>IFERROR(IF(VLOOKUP($A60,TableHandbook[],2,FALSE)=0,"",VLOOKUP($A60,TableHandbook[],2,FALSE)),"")</f>
        <v/>
      </c>
      <c r="C60" s="108" t="str">
        <f>IFERROR(IF(VLOOKUP($A60,TableHandbook[],3,FALSE)=0,"",VLOOKUP($A60,TableHandbook[],3,FALSE)),"")</f>
        <v/>
      </c>
      <c r="D60" s="43" t="str">
        <f>IFERROR(IF(VLOOKUP($A60,TableHandbook[],4,FALSE)=0,"",VLOOKUP($A60,TableHandbook[],4,FALSE)),"")</f>
        <v/>
      </c>
      <c r="E60" s="44"/>
      <c r="F60" s="233" t="str">
        <f>IFERROR(IF(VLOOKUP($A60,TableHandbook[],6,FALSE)=0,"",VLOOKUP($A60,TableHandbook[],6,FALSE)),"")</f>
        <v/>
      </c>
      <c r="G60" s="44" t="str">
        <f>IFERROR(IF(VLOOKUP($A60,TableHandbook[],5,FALSE)=0,"",VLOOKUP($A60,TableHandbook[],5,FALSE)),"")</f>
        <v/>
      </c>
      <c r="H60" s="58" t="str">
        <f>IFERROR(VLOOKUP($A60,TableHandbook[],H$2,FALSE),"")</f>
        <v/>
      </c>
      <c r="I60" s="59" t="str">
        <f>IFERROR(VLOOKUP($A60,TableHandbook[],I$2,FALSE),"")</f>
        <v/>
      </c>
      <c r="J60" s="59" t="str">
        <f>IFERROR(VLOOKUP($A60,TableHandbook[],J$2,FALSE),"")</f>
        <v/>
      </c>
      <c r="K60" s="60" t="str">
        <f>IFERROR(VLOOKUP($A60,TableHandbook[],K$2,FALSE),"")</f>
        <v/>
      </c>
      <c r="L60" s="219"/>
      <c r="M60" s="226">
        <v>15</v>
      </c>
    </row>
    <row r="61" spans="1:13" x14ac:dyDescent="0.25">
      <c r="A61" s="105" t="str">
        <f t="shared" si="5"/>
        <v/>
      </c>
      <c r="B61" s="108" t="str">
        <f>IFERROR(IF(VLOOKUP($A61,TableHandbook[],2,FALSE)=0,"",VLOOKUP($A61,TableHandbook[],2,FALSE)),"")</f>
        <v/>
      </c>
      <c r="C61" s="108" t="str">
        <f>IFERROR(IF(VLOOKUP($A61,TableHandbook[],3,FALSE)=0,"",VLOOKUP($A61,TableHandbook[],3,FALSE)),"")</f>
        <v/>
      </c>
      <c r="D61" s="43" t="str">
        <f>IFERROR(IF(VLOOKUP($A61,TableHandbook[],4,FALSE)=0,"",VLOOKUP($A61,TableHandbook[],4,FALSE)),"")</f>
        <v/>
      </c>
      <c r="E61" s="44"/>
      <c r="F61" s="233" t="str">
        <f>IFERROR(IF(VLOOKUP($A61,TableHandbook[],6,FALSE)=0,"",VLOOKUP($A61,TableHandbook[],6,FALSE)),"")</f>
        <v/>
      </c>
      <c r="G61" s="44" t="str">
        <f>IFERROR(IF(VLOOKUP($A61,TableHandbook[],5,FALSE)=0,"",VLOOKUP($A61,TableHandbook[],5,FALSE)),"")</f>
        <v/>
      </c>
      <c r="H61" s="58" t="str">
        <f>IFERROR(VLOOKUP($A61,TableHandbook[],H$2,FALSE),"")</f>
        <v/>
      </c>
      <c r="I61" s="59" t="str">
        <f>IFERROR(VLOOKUP($A61,TableHandbook[],I$2,FALSE),"")</f>
        <v/>
      </c>
      <c r="J61" s="59" t="str">
        <f>IFERROR(VLOOKUP($A61,TableHandbook[],J$2,FALSE),"")</f>
        <v/>
      </c>
      <c r="K61" s="60" t="str">
        <f>IFERROR(VLOOKUP($A61,TableHandbook[],K$2,FALSE),"")</f>
        <v/>
      </c>
      <c r="L61" s="219"/>
      <c r="M61" s="226">
        <v>16</v>
      </c>
    </row>
    <row r="62" spans="1:13" x14ac:dyDescent="0.25">
      <c r="A62" s="105" t="str">
        <f t="shared" si="4"/>
        <v/>
      </c>
      <c r="B62" s="108" t="str">
        <f>IFERROR(IF(VLOOKUP($A62,TableHandbook[],2,FALSE)=0,"",VLOOKUP($A62,TableHandbook[],2,FALSE)),"")</f>
        <v/>
      </c>
      <c r="C62" s="108" t="str">
        <f>IFERROR(IF(VLOOKUP($A62,TableHandbook[],3,FALSE)=0,"",VLOOKUP($A62,TableHandbook[],3,FALSE)),"")</f>
        <v/>
      </c>
      <c r="D62" s="43" t="str">
        <f>IFERROR(IF(VLOOKUP($A62,TableHandbook[],4,FALSE)=0,"",VLOOKUP($A62,TableHandbook[],4,FALSE)),"")</f>
        <v/>
      </c>
      <c r="E62" s="44"/>
      <c r="F62" s="50" t="str">
        <f>IFERROR(IF(VLOOKUP($A62,TableHandbook[],6,FALSE)=0,"",VLOOKUP($A62,TableHandbook[],6,FALSE)),"")</f>
        <v/>
      </c>
      <c r="G62" s="44" t="str">
        <f>IFERROR(IF(VLOOKUP($A62,TableHandbook[],5,FALSE)=0,"",VLOOKUP($A62,TableHandbook[],5,FALSE)),"")</f>
        <v/>
      </c>
      <c r="H62" s="58" t="str">
        <f>IFERROR(VLOOKUP($A62,TableHandbook[],H$2,FALSE),"")</f>
        <v/>
      </c>
      <c r="I62" s="59" t="str">
        <f>IFERROR(VLOOKUP($A62,TableHandbook[],I$2,FALSE),"")</f>
        <v/>
      </c>
      <c r="J62" s="59" t="str">
        <f>IFERROR(VLOOKUP($A62,TableHandbook[],J$2,FALSE),"")</f>
        <v/>
      </c>
      <c r="K62" s="60" t="str">
        <f>IFERROR(VLOOKUP($A62,TableHandbook[],K$2,FALSE),"")</f>
        <v/>
      </c>
      <c r="L62" s="219"/>
      <c r="M62" s="226">
        <v>17</v>
      </c>
    </row>
    <row r="63" spans="1:13" x14ac:dyDescent="0.25">
      <c r="A63" s="105" t="str">
        <f t="shared" ref="A63:A78" si="6">IFERROR(IF(HLOOKUP($L$35,RangeOptionsOMARTS,M63,FALSE)=0,"",HLOOKUP($L$35,RangeOptionsOMARTS,M63,FALSE)),"")</f>
        <v/>
      </c>
      <c r="B63" s="108" t="str">
        <f>IFERROR(IF(VLOOKUP($A63,TableHandbook[],2,FALSE)=0,"",VLOOKUP($A63,TableHandbook[],2,FALSE)),"")</f>
        <v/>
      </c>
      <c r="C63" s="108" t="str">
        <f>IFERROR(IF(VLOOKUP($A63,TableHandbook[],3,FALSE)=0,"",VLOOKUP($A63,TableHandbook[],3,FALSE)),"")</f>
        <v/>
      </c>
      <c r="D63" s="43" t="str">
        <f>IFERROR(IF(VLOOKUP($A63,TableHandbook[],4,FALSE)=0,"",VLOOKUP($A63,TableHandbook[],4,FALSE)),"")</f>
        <v/>
      </c>
      <c r="E63" s="44"/>
      <c r="F63" s="50" t="str">
        <f>IFERROR(IF(VLOOKUP($A63,TableHandbook[],6,FALSE)=0,"",VLOOKUP($A63,TableHandbook[],6,FALSE)),"")</f>
        <v/>
      </c>
      <c r="G63" s="44" t="str">
        <f>IFERROR(IF(VLOOKUP($A63,TableHandbook[],5,FALSE)=0,"",VLOOKUP($A63,TableHandbook[],5,FALSE)),"")</f>
        <v/>
      </c>
      <c r="H63" s="58" t="str">
        <f>IFERROR(VLOOKUP($A63,TableHandbook[],H$2,FALSE),"")</f>
        <v/>
      </c>
      <c r="I63" s="59" t="str">
        <f>IFERROR(VLOOKUP($A63,TableHandbook[],I$2,FALSE),"")</f>
        <v/>
      </c>
      <c r="J63" s="59" t="str">
        <f>IFERROR(VLOOKUP($A63,TableHandbook[],J$2,FALSE),"")</f>
        <v/>
      </c>
      <c r="K63" s="60" t="str">
        <f>IFERROR(VLOOKUP($A63,TableHandbook[],K$2,FALSE),"")</f>
        <v/>
      </c>
      <c r="L63" s="219"/>
      <c r="M63" s="226">
        <v>18</v>
      </c>
    </row>
    <row r="64" spans="1:13" x14ac:dyDescent="0.25">
      <c r="A64" s="105" t="str">
        <f t="shared" si="6"/>
        <v/>
      </c>
      <c r="B64" s="108" t="str">
        <f>IFERROR(IF(VLOOKUP($A64,TableHandbook[],2,FALSE)=0,"",VLOOKUP($A64,TableHandbook[],2,FALSE)),"")</f>
        <v/>
      </c>
      <c r="C64" s="108" t="str">
        <f>IFERROR(IF(VLOOKUP($A64,TableHandbook[],3,FALSE)=0,"",VLOOKUP($A64,TableHandbook[],3,FALSE)),"")</f>
        <v/>
      </c>
      <c r="D64" s="43" t="str">
        <f>IFERROR(IF(VLOOKUP($A64,TableHandbook[],4,FALSE)=0,"",VLOOKUP($A64,TableHandbook[],4,FALSE)),"")</f>
        <v/>
      </c>
      <c r="E64" s="44"/>
      <c r="F64" s="50" t="str">
        <f>IFERROR(IF(VLOOKUP($A64,TableHandbook[],6,FALSE)=0,"",VLOOKUP($A64,TableHandbook[],6,FALSE)),"")</f>
        <v/>
      </c>
      <c r="G64" s="44" t="str">
        <f>IFERROR(IF(VLOOKUP($A64,TableHandbook[],5,FALSE)=0,"",VLOOKUP($A64,TableHandbook[],5,FALSE)),"")</f>
        <v/>
      </c>
      <c r="H64" s="58" t="str">
        <f>IFERROR(VLOOKUP($A64,TableHandbook[],H$2,FALSE),"")</f>
        <v/>
      </c>
      <c r="I64" s="59" t="str">
        <f>IFERROR(VLOOKUP($A64,TableHandbook[],I$2,FALSE),"")</f>
        <v/>
      </c>
      <c r="J64" s="59" t="str">
        <f>IFERROR(VLOOKUP($A64,TableHandbook[],J$2,FALSE),"")</f>
        <v/>
      </c>
      <c r="K64" s="60" t="str">
        <f>IFERROR(VLOOKUP($A64,TableHandbook[],K$2,FALSE),"")</f>
        <v/>
      </c>
      <c r="L64" s="219"/>
      <c r="M64" s="226">
        <v>19</v>
      </c>
    </row>
    <row r="65" spans="1:15" x14ac:dyDescent="0.25">
      <c r="A65" s="105" t="str">
        <f t="shared" si="6"/>
        <v/>
      </c>
      <c r="B65" s="108" t="str">
        <f>IFERROR(IF(VLOOKUP($A65,TableHandbook[],2,FALSE)=0,"",VLOOKUP($A65,TableHandbook[],2,FALSE)),"")</f>
        <v/>
      </c>
      <c r="C65" s="108" t="str">
        <f>IFERROR(IF(VLOOKUP($A65,TableHandbook[],3,FALSE)=0,"",VLOOKUP($A65,TableHandbook[],3,FALSE)),"")</f>
        <v/>
      </c>
      <c r="D65" s="43" t="str">
        <f>IFERROR(IF(VLOOKUP($A65,TableHandbook[],4,FALSE)=0,"",VLOOKUP($A65,TableHandbook[],4,FALSE)),"")</f>
        <v/>
      </c>
      <c r="E65" s="44"/>
      <c r="F65" s="50" t="str">
        <f>IFERROR(IF(VLOOKUP($A65,TableHandbook[],6,FALSE)=0,"",VLOOKUP($A65,TableHandbook[],6,FALSE)),"")</f>
        <v/>
      </c>
      <c r="G65" s="44" t="str">
        <f>IFERROR(IF(VLOOKUP($A65,TableHandbook[],5,FALSE)=0,"",VLOOKUP($A65,TableHandbook[],5,FALSE)),"")</f>
        <v/>
      </c>
      <c r="H65" s="58" t="str">
        <f>IFERROR(VLOOKUP($A65,TableHandbook[],H$2,FALSE),"")</f>
        <v/>
      </c>
      <c r="I65" s="59" t="str">
        <f>IFERROR(VLOOKUP($A65,TableHandbook[],I$2,FALSE),"")</f>
        <v/>
      </c>
      <c r="J65" s="59" t="str">
        <f>IFERROR(VLOOKUP($A65,TableHandbook[],J$2,FALSE),"")</f>
        <v/>
      </c>
      <c r="K65" s="60" t="str">
        <f>IFERROR(VLOOKUP($A65,TableHandbook[],K$2,FALSE),"")</f>
        <v/>
      </c>
      <c r="L65" s="219"/>
      <c r="M65" s="226">
        <v>20</v>
      </c>
    </row>
    <row r="66" spans="1:15" x14ac:dyDescent="0.25">
      <c r="A66" s="105" t="str">
        <f t="shared" si="6"/>
        <v/>
      </c>
      <c r="B66" s="108" t="str">
        <f>IFERROR(IF(VLOOKUP($A66,TableHandbook[],2,FALSE)=0,"",VLOOKUP($A66,TableHandbook[],2,FALSE)),"")</f>
        <v/>
      </c>
      <c r="C66" s="108" t="str">
        <f>IFERROR(IF(VLOOKUP($A66,TableHandbook[],3,FALSE)=0,"",VLOOKUP($A66,TableHandbook[],3,FALSE)),"")</f>
        <v/>
      </c>
      <c r="D66" s="43" t="str">
        <f>IFERROR(IF(VLOOKUP($A66,TableHandbook[],4,FALSE)=0,"",VLOOKUP($A66,TableHandbook[],4,FALSE)),"")</f>
        <v/>
      </c>
      <c r="E66" s="44"/>
      <c r="F66" s="50" t="str">
        <f>IFERROR(IF(VLOOKUP($A66,TableHandbook[],6,FALSE)=0,"",VLOOKUP($A66,TableHandbook[],6,FALSE)),"")</f>
        <v/>
      </c>
      <c r="G66" s="44" t="str">
        <f>IFERROR(IF(VLOOKUP($A66,TableHandbook[],5,FALSE)=0,"",VLOOKUP($A66,TableHandbook[],5,FALSE)),"")</f>
        <v/>
      </c>
      <c r="H66" s="58" t="str">
        <f>IFERROR(VLOOKUP($A66,TableHandbook[],H$2,FALSE),"")</f>
        <v/>
      </c>
      <c r="I66" s="59" t="str">
        <f>IFERROR(VLOOKUP($A66,TableHandbook[],I$2,FALSE),"")</f>
        <v/>
      </c>
      <c r="J66" s="59" t="str">
        <f>IFERROR(VLOOKUP($A66,TableHandbook[],J$2,FALSE),"")</f>
        <v/>
      </c>
      <c r="K66" s="60" t="str">
        <f>IFERROR(VLOOKUP($A66,TableHandbook[],K$2,FALSE),"")</f>
        <v/>
      </c>
      <c r="L66" s="219"/>
      <c r="M66" s="226">
        <v>21</v>
      </c>
    </row>
    <row r="67" spans="1:15" x14ac:dyDescent="0.25">
      <c r="A67" s="105" t="str">
        <f t="shared" si="6"/>
        <v/>
      </c>
      <c r="B67" s="108" t="str">
        <f>IFERROR(IF(VLOOKUP($A67,TableHandbook[],2,FALSE)=0,"",VLOOKUP($A67,TableHandbook[],2,FALSE)),"")</f>
        <v/>
      </c>
      <c r="C67" s="108" t="str">
        <f>IFERROR(IF(VLOOKUP($A67,TableHandbook[],3,FALSE)=0,"",VLOOKUP($A67,TableHandbook[],3,FALSE)),"")</f>
        <v/>
      </c>
      <c r="D67" s="43" t="str">
        <f>IFERROR(IF(VLOOKUP($A67,TableHandbook[],4,FALSE)=0,"",VLOOKUP($A67,TableHandbook[],4,FALSE)),"")</f>
        <v/>
      </c>
      <c r="E67" s="44"/>
      <c r="F67" s="50" t="str">
        <f>IFERROR(IF(VLOOKUP($A67,TableHandbook[],6,FALSE)=0,"",VLOOKUP($A67,TableHandbook[],6,FALSE)),"")</f>
        <v/>
      </c>
      <c r="G67" s="44" t="str">
        <f>IFERROR(IF(VLOOKUP($A67,TableHandbook[],5,FALSE)=0,"",VLOOKUP($A67,TableHandbook[],5,FALSE)),"")</f>
        <v/>
      </c>
      <c r="H67" s="58" t="str">
        <f>IFERROR(VLOOKUP($A67,TableHandbook[],H$2,FALSE),"")</f>
        <v/>
      </c>
      <c r="I67" s="59" t="str">
        <f>IFERROR(VLOOKUP($A67,TableHandbook[],I$2,FALSE),"")</f>
        <v/>
      </c>
      <c r="J67" s="59" t="str">
        <f>IFERROR(VLOOKUP($A67,TableHandbook[],J$2,FALSE),"")</f>
        <v/>
      </c>
      <c r="K67" s="60" t="str">
        <f>IFERROR(VLOOKUP($A67,TableHandbook[],K$2,FALSE),"")</f>
        <v/>
      </c>
      <c r="L67" s="219"/>
      <c r="M67" s="226">
        <v>22</v>
      </c>
    </row>
    <row r="68" spans="1:15" x14ac:dyDescent="0.25">
      <c r="A68" s="105" t="str">
        <f t="shared" si="6"/>
        <v/>
      </c>
      <c r="B68" s="108" t="str">
        <f>IFERROR(IF(VLOOKUP($A68,TableHandbook[],2,FALSE)=0,"",VLOOKUP($A68,TableHandbook[],2,FALSE)),"")</f>
        <v/>
      </c>
      <c r="C68" s="108" t="str">
        <f>IFERROR(IF(VLOOKUP($A68,TableHandbook[],3,FALSE)=0,"",VLOOKUP($A68,TableHandbook[],3,FALSE)),"")</f>
        <v/>
      </c>
      <c r="D68" s="43" t="str">
        <f>IFERROR(IF(VLOOKUP($A68,TableHandbook[],4,FALSE)=0,"",VLOOKUP($A68,TableHandbook[],4,FALSE)),"")</f>
        <v/>
      </c>
      <c r="E68" s="44"/>
      <c r="F68" s="50" t="str">
        <f>IFERROR(IF(VLOOKUP($A68,TableHandbook[],6,FALSE)=0,"",VLOOKUP($A68,TableHandbook[],6,FALSE)),"")</f>
        <v/>
      </c>
      <c r="G68" s="44" t="str">
        <f>IFERROR(IF(VLOOKUP($A68,TableHandbook[],5,FALSE)=0,"",VLOOKUP($A68,TableHandbook[],5,FALSE)),"")</f>
        <v/>
      </c>
      <c r="H68" s="58" t="str">
        <f>IFERROR(VLOOKUP($A68,TableHandbook[],H$2,FALSE),"")</f>
        <v/>
      </c>
      <c r="I68" s="59" t="str">
        <f>IFERROR(VLOOKUP($A68,TableHandbook[],I$2,FALSE),"")</f>
        <v/>
      </c>
      <c r="J68" s="59" t="str">
        <f>IFERROR(VLOOKUP($A68,TableHandbook[],J$2,FALSE),"")</f>
        <v/>
      </c>
      <c r="K68" s="60" t="str">
        <f>IFERROR(VLOOKUP($A68,TableHandbook[],K$2,FALSE),"")</f>
        <v/>
      </c>
      <c r="L68" s="219"/>
      <c r="M68" s="226">
        <v>23</v>
      </c>
    </row>
    <row r="69" spans="1:15" x14ac:dyDescent="0.25">
      <c r="A69" s="105" t="str">
        <f t="shared" si="6"/>
        <v/>
      </c>
      <c r="B69" s="108" t="str">
        <f>IFERROR(IF(VLOOKUP($A69,TableHandbook[],2,FALSE)=0,"",VLOOKUP($A69,TableHandbook[],2,FALSE)),"")</f>
        <v/>
      </c>
      <c r="C69" s="108" t="str">
        <f>IFERROR(IF(VLOOKUP($A69,TableHandbook[],3,FALSE)=0,"",VLOOKUP($A69,TableHandbook[],3,FALSE)),"")</f>
        <v/>
      </c>
      <c r="D69" s="43" t="str">
        <f>IFERROR(IF(VLOOKUP($A69,TableHandbook[],4,FALSE)=0,"",VLOOKUP($A69,TableHandbook[],4,FALSE)),"")</f>
        <v/>
      </c>
      <c r="E69" s="44"/>
      <c r="F69" s="50" t="str">
        <f>IFERROR(IF(VLOOKUP($A69,TableHandbook[],6,FALSE)=0,"",VLOOKUP($A69,TableHandbook[],6,FALSE)),"")</f>
        <v/>
      </c>
      <c r="G69" s="44" t="str">
        <f>IFERROR(IF(VLOOKUP($A69,TableHandbook[],5,FALSE)=0,"",VLOOKUP($A69,TableHandbook[],5,FALSE)),"")</f>
        <v/>
      </c>
      <c r="H69" s="58" t="str">
        <f>IFERROR(VLOOKUP($A69,TableHandbook[],H$2,FALSE),"")</f>
        <v/>
      </c>
      <c r="I69" s="59" t="str">
        <f>IFERROR(VLOOKUP($A69,TableHandbook[],I$2,FALSE),"")</f>
        <v/>
      </c>
      <c r="J69" s="59" t="str">
        <f>IFERROR(VLOOKUP($A69,TableHandbook[],J$2,FALSE),"")</f>
        <v/>
      </c>
      <c r="K69" s="60" t="str">
        <f>IFERROR(VLOOKUP($A69,TableHandbook[],K$2,FALSE),"")</f>
        <v/>
      </c>
      <c r="L69" s="219"/>
      <c r="M69" s="226">
        <v>24</v>
      </c>
    </row>
    <row r="70" spans="1:15" x14ac:dyDescent="0.25">
      <c r="A70" s="105" t="str">
        <f t="shared" si="6"/>
        <v/>
      </c>
      <c r="B70" s="108" t="str">
        <f>IFERROR(IF(VLOOKUP($A70,TableHandbook[],2,FALSE)=0,"",VLOOKUP($A70,TableHandbook[],2,FALSE)),"")</f>
        <v/>
      </c>
      <c r="C70" s="108" t="str">
        <f>IFERROR(IF(VLOOKUP($A70,TableHandbook[],3,FALSE)=0,"",VLOOKUP($A70,TableHandbook[],3,FALSE)),"")</f>
        <v/>
      </c>
      <c r="D70" s="43" t="str">
        <f>IFERROR(IF(VLOOKUP($A70,TableHandbook[],4,FALSE)=0,"",VLOOKUP($A70,TableHandbook[],4,FALSE)),"")</f>
        <v/>
      </c>
      <c r="E70" s="44"/>
      <c r="F70" s="50" t="str">
        <f>IFERROR(IF(VLOOKUP($A70,TableHandbook[],6,FALSE)=0,"",VLOOKUP($A70,TableHandbook[],6,FALSE)),"")</f>
        <v/>
      </c>
      <c r="G70" s="44" t="str">
        <f>IFERROR(IF(VLOOKUP($A70,TableHandbook[],5,FALSE)=0,"",VLOOKUP($A70,TableHandbook[],5,FALSE)),"")</f>
        <v/>
      </c>
      <c r="H70" s="58" t="str">
        <f>IFERROR(VLOOKUP($A70,TableHandbook[],H$2,FALSE),"")</f>
        <v/>
      </c>
      <c r="I70" s="59" t="str">
        <f>IFERROR(VLOOKUP($A70,TableHandbook[],I$2,FALSE),"")</f>
        <v/>
      </c>
      <c r="J70" s="59" t="str">
        <f>IFERROR(VLOOKUP($A70,TableHandbook[],J$2,FALSE),"")</f>
        <v/>
      </c>
      <c r="K70" s="60" t="str">
        <f>IFERROR(VLOOKUP($A70,TableHandbook[],K$2,FALSE),"")</f>
        <v/>
      </c>
      <c r="L70" s="219"/>
      <c r="M70" s="226">
        <v>25</v>
      </c>
    </row>
    <row r="71" spans="1:15" x14ac:dyDescent="0.25">
      <c r="A71" s="105" t="str">
        <f t="shared" ref="A71:A74" si="7">IFERROR(IF(HLOOKUP($L$35,RangeOptionsOMARTS,M71,FALSE)=0,"",HLOOKUP($L$35,RangeOptionsOMARTS,M71,FALSE)),"")</f>
        <v/>
      </c>
      <c r="B71" s="108" t="str">
        <f>IFERROR(IF(VLOOKUP($A71,TableHandbook[],2,FALSE)=0,"",VLOOKUP($A71,TableHandbook[],2,FALSE)),"")</f>
        <v/>
      </c>
      <c r="C71" s="108" t="str">
        <f>IFERROR(IF(VLOOKUP($A71,TableHandbook[],3,FALSE)=0,"",VLOOKUP($A71,TableHandbook[],3,FALSE)),"")</f>
        <v/>
      </c>
      <c r="D71" s="43" t="str">
        <f>IFERROR(IF(VLOOKUP($A71,TableHandbook[],4,FALSE)=0,"",VLOOKUP($A71,TableHandbook[],4,FALSE)),"")</f>
        <v/>
      </c>
      <c r="E71" s="44"/>
      <c r="F71" s="50" t="str">
        <f>IFERROR(IF(VLOOKUP($A71,TableHandbook[],6,FALSE)=0,"",VLOOKUP($A71,TableHandbook[],6,FALSE)),"")</f>
        <v/>
      </c>
      <c r="G71" s="44" t="str">
        <f>IFERROR(IF(VLOOKUP($A71,TableHandbook[],5,FALSE)=0,"",VLOOKUP($A71,TableHandbook[],5,FALSE)),"")</f>
        <v/>
      </c>
      <c r="H71" s="58" t="str">
        <f>IFERROR(VLOOKUP($A71,TableHandbook[],H$2,FALSE),"")</f>
        <v/>
      </c>
      <c r="I71" s="59" t="str">
        <f>IFERROR(VLOOKUP($A71,TableHandbook[],I$2,FALSE),"")</f>
        <v/>
      </c>
      <c r="J71" s="59" t="str">
        <f>IFERROR(VLOOKUP($A71,TableHandbook[],J$2,FALSE),"")</f>
        <v/>
      </c>
      <c r="K71" s="60" t="str">
        <f>IFERROR(VLOOKUP($A71,TableHandbook[],K$2,FALSE),"")</f>
        <v/>
      </c>
      <c r="L71" s="219"/>
      <c r="M71" s="226">
        <v>26</v>
      </c>
    </row>
    <row r="72" spans="1:15" x14ac:dyDescent="0.25">
      <c r="A72" s="105" t="str">
        <f t="shared" si="7"/>
        <v/>
      </c>
      <c r="B72" s="108" t="str">
        <f>IFERROR(IF(VLOOKUP($A72,TableHandbook[],2,FALSE)=0,"",VLOOKUP($A72,TableHandbook[],2,FALSE)),"")</f>
        <v/>
      </c>
      <c r="C72" s="108" t="str">
        <f>IFERROR(IF(VLOOKUP($A72,TableHandbook[],3,FALSE)=0,"",VLOOKUP($A72,TableHandbook[],3,FALSE)),"")</f>
        <v/>
      </c>
      <c r="D72" s="43" t="str">
        <f>IFERROR(IF(VLOOKUP($A72,TableHandbook[],4,FALSE)=0,"",VLOOKUP($A72,TableHandbook[],4,FALSE)),"")</f>
        <v/>
      </c>
      <c r="E72" s="44"/>
      <c r="F72" s="50" t="str">
        <f>IFERROR(IF(VLOOKUP($A72,TableHandbook[],6,FALSE)=0,"",VLOOKUP($A72,TableHandbook[],6,FALSE)),"")</f>
        <v/>
      </c>
      <c r="G72" s="44" t="str">
        <f>IFERROR(IF(VLOOKUP($A72,TableHandbook[],5,FALSE)=0,"",VLOOKUP($A72,TableHandbook[],5,FALSE)),"")</f>
        <v/>
      </c>
      <c r="H72" s="58" t="str">
        <f>IFERROR(VLOOKUP($A72,TableHandbook[],H$2,FALSE),"")</f>
        <v/>
      </c>
      <c r="I72" s="59" t="str">
        <f>IFERROR(VLOOKUP($A72,TableHandbook[],I$2,FALSE),"")</f>
        <v/>
      </c>
      <c r="J72" s="59" t="str">
        <f>IFERROR(VLOOKUP($A72,TableHandbook[],J$2,FALSE),"")</f>
        <v/>
      </c>
      <c r="K72" s="60" t="str">
        <f>IFERROR(VLOOKUP($A72,TableHandbook[],K$2,FALSE),"")</f>
        <v/>
      </c>
      <c r="L72" s="219"/>
      <c r="M72" s="226">
        <v>27</v>
      </c>
    </row>
    <row r="73" spans="1:15" x14ac:dyDescent="0.25">
      <c r="A73" s="105" t="str">
        <f t="shared" si="7"/>
        <v/>
      </c>
      <c r="B73" s="108" t="str">
        <f>IFERROR(IF(VLOOKUP($A73,TableHandbook[],2,FALSE)=0,"",VLOOKUP($A73,TableHandbook[],2,FALSE)),"")</f>
        <v/>
      </c>
      <c r="C73" s="108" t="str">
        <f>IFERROR(IF(VLOOKUP($A73,TableHandbook[],3,FALSE)=0,"",VLOOKUP($A73,TableHandbook[],3,FALSE)),"")</f>
        <v/>
      </c>
      <c r="D73" s="43" t="str">
        <f>IFERROR(IF(VLOOKUP($A73,TableHandbook[],4,FALSE)=0,"",VLOOKUP($A73,TableHandbook[],4,FALSE)),"")</f>
        <v/>
      </c>
      <c r="E73" s="44"/>
      <c r="F73" s="50" t="str">
        <f>IFERROR(IF(VLOOKUP($A73,TableHandbook[],6,FALSE)=0,"",VLOOKUP($A73,TableHandbook[],6,FALSE)),"")</f>
        <v/>
      </c>
      <c r="G73" s="44" t="str">
        <f>IFERROR(IF(VLOOKUP($A73,TableHandbook[],5,FALSE)=0,"",VLOOKUP($A73,TableHandbook[],5,FALSE)),"")</f>
        <v/>
      </c>
      <c r="H73" s="58" t="str">
        <f>IFERROR(VLOOKUP($A73,TableHandbook[],H$2,FALSE),"")</f>
        <v/>
      </c>
      <c r="I73" s="59" t="str">
        <f>IFERROR(VLOOKUP($A73,TableHandbook[],I$2,FALSE),"")</f>
        <v/>
      </c>
      <c r="J73" s="59" t="str">
        <f>IFERROR(VLOOKUP($A73,TableHandbook[],J$2,FALSE),"")</f>
        <v/>
      </c>
      <c r="K73" s="60" t="str">
        <f>IFERROR(VLOOKUP($A73,TableHandbook[],K$2,FALSE),"")</f>
        <v/>
      </c>
      <c r="L73" s="219"/>
      <c r="M73" s="226">
        <v>28</v>
      </c>
    </row>
    <row r="74" spans="1:15" x14ac:dyDescent="0.25">
      <c r="A74" s="105" t="str">
        <f t="shared" si="7"/>
        <v/>
      </c>
      <c r="B74" s="108" t="str">
        <f>IFERROR(IF(VLOOKUP($A74,TableHandbook[],2,FALSE)=0,"",VLOOKUP($A74,TableHandbook[],2,FALSE)),"")</f>
        <v/>
      </c>
      <c r="C74" s="108" t="str">
        <f>IFERROR(IF(VLOOKUP($A74,TableHandbook[],3,FALSE)=0,"",VLOOKUP($A74,TableHandbook[],3,FALSE)),"")</f>
        <v/>
      </c>
      <c r="D74" s="43" t="str">
        <f>IFERROR(IF(VLOOKUP($A74,TableHandbook[],4,FALSE)=0,"",VLOOKUP($A74,TableHandbook[],4,FALSE)),"")</f>
        <v/>
      </c>
      <c r="E74" s="44"/>
      <c r="F74" s="50" t="str">
        <f>IFERROR(IF(VLOOKUP($A74,TableHandbook[],6,FALSE)=0,"",VLOOKUP($A74,TableHandbook[],6,FALSE)),"")</f>
        <v/>
      </c>
      <c r="G74" s="44" t="str">
        <f>IFERROR(IF(VLOOKUP($A74,TableHandbook[],5,FALSE)=0,"",VLOOKUP($A74,TableHandbook[],5,FALSE)),"")</f>
        <v/>
      </c>
      <c r="H74" s="58" t="str">
        <f>IFERROR(VLOOKUP($A74,TableHandbook[],H$2,FALSE),"")</f>
        <v/>
      </c>
      <c r="I74" s="59" t="str">
        <f>IFERROR(VLOOKUP($A74,TableHandbook[],I$2,FALSE),"")</f>
        <v/>
      </c>
      <c r="J74" s="59" t="str">
        <f>IFERROR(VLOOKUP($A74,TableHandbook[],J$2,FALSE),"")</f>
        <v/>
      </c>
      <c r="K74" s="60" t="str">
        <f>IFERROR(VLOOKUP($A74,TableHandbook[],K$2,FALSE),"")</f>
        <v/>
      </c>
      <c r="L74" s="219"/>
      <c r="M74" s="226">
        <v>29</v>
      </c>
    </row>
    <row r="75" spans="1:15" x14ac:dyDescent="0.25">
      <c r="A75" s="105" t="str">
        <f t="shared" ref="A75:A77" si="8">IFERROR(IF(HLOOKUP($L$35,RangeOptionsOMARTS,M75,FALSE)=0,"",HLOOKUP($L$35,RangeOptionsOMARTS,M75,FALSE)),"")</f>
        <v/>
      </c>
      <c r="B75" s="108" t="str">
        <f>IFERROR(IF(VLOOKUP($A75,TableHandbook[],2,FALSE)=0,"",VLOOKUP($A75,TableHandbook[],2,FALSE)),"")</f>
        <v/>
      </c>
      <c r="C75" s="108" t="str">
        <f>IFERROR(IF(VLOOKUP($A75,TableHandbook[],3,FALSE)=0,"",VLOOKUP($A75,TableHandbook[],3,FALSE)),"")</f>
        <v/>
      </c>
      <c r="D75" s="43" t="str">
        <f>IFERROR(IF(VLOOKUP($A75,TableHandbook[],4,FALSE)=0,"",VLOOKUP($A75,TableHandbook[],4,FALSE)),"")</f>
        <v/>
      </c>
      <c r="E75" s="44"/>
      <c r="F75" s="50" t="str">
        <f>IFERROR(IF(VLOOKUP($A75,TableHandbook[],6,FALSE)=0,"",VLOOKUP($A75,TableHandbook[],6,FALSE)),"")</f>
        <v/>
      </c>
      <c r="G75" s="44" t="str">
        <f>IFERROR(IF(VLOOKUP($A75,TableHandbook[],5,FALSE)=0,"",VLOOKUP($A75,TableHandbook[],5,FALSE)),"")</f>
        <v/>
      </c>
      <c r="H75" s="58" t="str">
        <f>IFERROR(VLOOKUP($A75,TableHandbook[],H$2,FALSE),"")</f>
        <v/>
      </c>
      <c r="I75" s="59" t="str">
        <f>IFERROR(VLOOKUP($A75,TableHandbook[],I$2,FALSE),"")</f>
        <v/>
      </c>
      <c r="J75" s="59" t="str">
        <f>IFERROR(VLOOKUP($A75,TableHandbook[],J$2,FALSE),"")</f>
        <v/>
      </c>
      <c r="K75" s="60" t="str">
        <f>IFERROR(VLOOKUP($A75,TableHandbook[],K$2,FALSE),"")</f>
        <v/>
      </c>
      <c r="L75" s="219"/>
      <c r="M75" s="226">
        <v>30</v>
      </c>
    </row>
    <row r="76" spans="1:15" x14ac:dyDescent="0.25">
      <c r="A76" s="105" t="str">
        <f t="shared" si="8"/>
        <v/>
      </c>
      <c r="B76" s="108" t="str">
        <f>IFERROR(IF(VLOOKUP($A76,TableHandbook[],2,FALSE)=0,"",VLOOKUP($A76,TableHandbook[],2,FALSE)),"")</f>
        <v/>
      </c>
      <c r="C76" s="108" t="str">
        <f>IFERROR(IF(VLOOKUP($A76,TableHandbook[],3,FALSE)=0,"",VLOOKUP($A76,TableHandbook[],3,FALSE)),"")</f>
        <v/>
      </c>
      <c r="D76" s="43" t="str">
        <f>IFERROR(IF(VLOOKUP($A76,TableHandbook[],4,FALSE)=0,"",VLOOKUP($A76,TableHandbook[],4,FALSE)),"")</f>
        <v/>
      </c>
      <c r="E76" s="44"/>
      <c r="F76" s="50" t="str">
        <f>IFERROR(IF(VLOOKUP($A76,TableHandbook[],6,FALSE)=0,"",VLOOKUP($A76,TableHandbook[],6,FALSE)),"")</f>
        <v/>
      </c>
      <c r="G76" s="44" t="str">
        <f>IFERROR(IF(VLOOKUP($A76,TableHandbook[],5,FALSE)=0,"",VLOOKUP($A76,TableHandbook[],5,FALSE)),"")</f>
        <v/>
      </c>
      <c r="H76" s="58" t="str">
        <f>IFERROR(VLOOKUP($A76,TableHandbook[],H$2,FALSE),"")</f>
        <v/>
      </c>
      <c r="I76" s="59" t="str">
        <f>IFERROR(VLOOKUP($A76,TableHandbook[],I$2,FALSE),"")</f>
        <v/>
      </c>
      <c r="J76" s="59" t="str">
        <f>IFERROR(VLOOKUP($A76,TableHandbook[],J$2,FALSE),"")</f>
        <v/>
      </c>
      <c r="K76" s="60" t="str">
        <f>IFERROR(VLOOKUP($A76,TableHandbook[],K$2,FALSE),"")</f>
        <v/>
      </c>
      <c r="L76" s="219"/>
      <c r="M76" s="226">
        <v>31</v>
      </c>
    </row>
    <row r="77" spans="1:15" x14ac:dyDescent="0.25">
      <c r="A77" s="105" t="str">
        <f t="shared" si="8"/>
        <v/>
      </c>
      <c r="B77" s="108" t="str">
        <f>IFERROR(IF(VLOOKUP($A77,TableHandbook[],2,FALSE)=0,"",VLOOKUP($A77,TableHandbook[],2,FALSE)),"")</f>
        <v/>
      </c>
      <c r="C77" s="108" t="str">
        <f>IFERROR(IF(VLOOKUP($A77,TableHandbook[],3,FALSE)=0,"",VLOOKUP($A77,TableHandbook[],3,FALSE)),"")</f>
        <v/>
      </c>
      <c r="D77" s="43" t="str">
        <f>IFERROR(IF(VLOOKUP($A77,TableHandbook[],4,FALSE)=0,"",VLOOKUP($A77,TableHandbook[],4,FALSE)),"")</f>
        <v/>
      </c>
      <c r="E77" s="44"/>
      <c r="F77" s="50" t="str">
        <f>IFERROR(IF(VLOOKUP($A77,TableHandbook[],6,FALSE)=0,"",VLOOKUP($A77,TableHandbook[],6,FALSE)),"")</f>
        <v/>
      </c>
      <c r="G77" s="44" t="str">
        <f>IFERROR(IF(VLOOKUP($A77,TableHandbook[],5,FALSE)=0,"",VLOOKUP($A77,TableHandbook[],5,FALSE)),"")</f>
        <v/>
      </c>
      <c r="H77" s="58" t="str">
        <f>IFERROR(VLOOKUP($A77,TableHandbook[],H$2,FALSE),"")</f>
        <v/>
      </c>
      <c r="I77" s="59" t="str">
        <f>IFERROR(VLOOKUP($A77,TableHandbook[],I$2,FALSE),"")</f>
        <v/>
      </c>
      <c r="J77" s="59" t="str">
        <f>IFERROR(VLOOKUP($A77,TableHandbook[],J$2,FALSE),"")</f>
        <v/>
      </c>
      <c r="K77" s="60" t="str">
        <f>IFERROR(VLOOKUP($A77,TableHandbook[],K$2,FALSE),"")</f>
        <v/>
      </c>
      <c r="L77" s="219"/>
      <c r="M77" s="226">
        <v>32</v>
      </c>
    </row>
    <row r="78" spans="1:15" x14ac:dyDescent="0.25">
      <c r="A78" s="105" t="str">
        <f t="shared" si="6"/>
        <v/>
      </c>
      <c r="B78" s="108" t="str">
        <f>IFERROR(IF(VLOOKUP($A78,TableHandbook[],2,FALSE)=0,"",VLOOKUP($A78,TableHandbook[],2,FALSE)),"")</f>
        <v/>
      </c>
      <c r="C78" s="108" t="str">
        <f>IFERROR(IF(VLOOKUP($A78,TableHandbook[],3,FALSE)=0,"",VLOOKUP($A78,TableHandbook[],3,FALSE)),"")</f>
        <v/>
      </c>
      <c r="D78" s="43" t="str">
        <f>IFERROR(IF(VLOOKUP($A78,TableHandbook[],4,FALSE)=0,"",VLOOKUP($A78,TableHandbook[],4,FALSE)),"")</f>
        <v/>
      </c>
      <c r="E78" s="44"/>
      <c r="F78" s="50" t="str">
        <f>IFERROR(IF(VLOOKUP($A78,TableHandbook[],6,FALSE)=0,"",VLOOKUP($A78,TableHandbook[],6,FALSE)),"")</f>
        <v/>
      </c>
      <c r="G78" s="44" t="str">
        <f>IFERROR(IF(VLOOKUP($A78,TableHandbook[],5,FALSE)=0,"",VLOOKUP($A78,TableHandbook[],5,FALSE)),"")</f>
        <v/>
      </c>
      <c r="H78" s="58" t="str">
        <f>IFERROR(VLOOKUP($A78,TableHandbook[],H$2,FALSE),"")</f>
        <v/>
      </c>
      <c r="I78" s="59" t="str">
        <f>IFERROR(VLOOKUP($A78,TableHandbook[],I$2,FALSE),"")</f>
        <v/>
      </c>
      <c r="J78" s="59" t="str">
        <f>IFERROR(VLOOKUP($A78,TableHandbook[],J$2,FALSE),"")</f>
        <v/>
      </c>
      <c r="K78" s="60" t="str">
        <f>IFERROR(VLOOKUP($A78,TableHandbook[],K$2,FALSE),"")</f>
        <v/>
      </c>
      <c r="L78" s="219"/>
      <c r="M78" s="226">
        <v>33</v>
      </c>
    </row>
    <row r="79" spans="1:15" s="38" customFormat="1" ht="13.9" customHeight="1" x14ac:dyDescent="0.2">
      <c r="A79" s="39"/>
      <c r="B79" s="39"/>
      <c r="C79" s="39"/>
      <c r="D79" s="40"/>
      <c r="E79" s="63"/>
      <c r="F79" s="35"/>
      <c r="G79" s="35"/>
      <c r="H79" s="35"/>
      <c r="I79" s="35"/>
      <c r="J79" s="35"/>
      <c r="K79" s="35"/>
      <c r="L79" s="35"/>
      <c r="M79" s="230"/>
      <c r="N79" s="231"/>
      <c r="O79" s="231"/>
    </row>
    <row r="80" spans="1:15" ht="32.25" customHeight="1" x14ac:dyDescent="0.25">
      <c r="A80" s="238" t="s">
        <v>34</v>
      </c>
      <c r="B80" s="238"/>
      <c r="C80" s="238"/>
      <c r="D80" s="238"/>
      <c r="E80" s="238"/>
      <c r="F80" s="238"/>
      <c r="G80" s="238"/>
      <c r="H80" s="238"/>
      <c r="I80" s="238"/>
      <c r="J80" s="238"/>
      <c r="K80" s="238"/>
      <c r="L80" s="238"/>
    </row>
    <row r="81" spans="1:12" x14ac:dyDescent="0.25">
      <c r="A81" s="45"/>
      <c r="B81" s="46"/>
      <c r="C81" s="46"/>
      <c r="D81" s="46"/>
      <c r="E81" s="64"/>
      <c r="F81" s="46"/>
      <c r="G81" s="46"/>
      <c r="H81" s="46"/>
      <c r="I81" s="46"/>
      <c r="J81" s="46"/>
      <c r="K81" s="46"/>
      <c r="L81" s="47"/>
    </row>
    <row r="82" spans="1:12" ht="15" customHeight="1" x14ac:dyDescent="0.25">
      <c r="A82" s="34" t="s">
        <v>35</v>
      </c>
      <c r="B82" s="34"/>
      <c r="C82" s="34"/>
      <c r="D82" s="34"/>
      <c r="E82" s="65"/>
      <c r="F82" s="35"/>
      <c r="G82" s="48"/>
      <c r="H82" s="48"/>
      <c r="I82" s="48"/>
      <c r="J82" s="48"/>
      <c r="K82" s="48"/>
      <c r="L82" s="48" t="s">
        <v>36</v>
      </c>
    </row>
  </sheetData>
  <sheetProtection algorithmName="SHA-512" hashValue="5J0M+SFrgy9EPXrSCAyC35k3WyEdh4SVC40YrwgP7DTm4x6xAITQ5ujbJ1DJ6csQeHIVGCYuWGSlEqQNHd9t2A==" saltValue="9FuHQtRY5o1MVUWBvDGnHw==" spinCount="100000" sheet="1" objects="1" scenarios="1" formatCells="0"/>
  <mergeCells count="2">
    <mergeCell ref="A3:D3"/>
    <mergeCell ref="A80:L80"/>
  </mergeCells>
  <conditionalFormatting sqref="A11:L21 A22:G22 L22 A23:L33 A37:L43 A47:L78">
    <cfRule type="expression" dxfId="59" priority="4">
      <formula>$A11=""</formula>
    </cfRule>
  </conditionalFormatting>
  <conditionalFormatting sqref="A37:L43 A47:L78">
    <cfRule type="expression" dxfId="58" priority="2">
      <formula>OR(LEFT($D37,5)="Study",LEFT($D37,2)="50",LEFT($D37,2)="25")</formula>
    </cfRule>
  </conditionalFormatting>
  <conditionalFormatting sqref="D5:D8">
    <cfRule type="containsText" dxfId="57" priority="3" operator="containsText" text="Choose">
      <formula>NOT(ISERROR(SEARCH("Choose",D5)))</formula>
    </cfRule>
  </conditionalFormatting>
  <conditionalFormatting sqref="H11:K21 H23:K33">
    <cfRule type="expression" dxfId="56" priority="1">
      <formula>$E11=H$10</formula>
    </cfRule>
  </conditionalFormatting>
  <dataValidations count="1">
    <dataValidation type="list" allowBlank="1" showInputMessage="1" showErrorMessage="1" sqref="L16 L13 L19 L25 L28 L31" xr:uid="{7410E8BA-05B3-4E51-8CD5-218608D2E3D3}"/>
  </dataValidations>
  <printOptions horizontalCentered="1"/>
  <pageMargins left="0.31496062992125984" right="0.31496062992125984" top="0.39370078740157483" bottom="0.39370078740157483" header="0.19685039370078741" footer="0.19685039370078741"/>
  <pageSetup paperSize="9" scale="57" orientation="portrait" r:id="rId1"/>
  <rowBreaks count="1" manualBreakCount="1">
    <brk id="33"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6FD07F-1F37-45C8-8DEA-DAC817757BEA}">
          <x14:formula1>
            <xm:f>CourseDetails!$A$35:$A$37</xm:f>
          </x14:formula1>
          <xm:sqref>D7</xm:sqref>
        </x14:dataValidation>
        <x14:dataValidation type="list" allowBlank="1" showInputMessage="1" showErrorMessage="1" xr:uid="{2AE44972-4716-444D-8A99-7E53463ECFFB}">
          <x14:formula1>
            <xm:f>CourseDetails!$A$12:$A$16</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
  <sheetViews>
    <sheetView workbookViewId="0">
      <selection activeCell="E7" sqref="E7"/>
    </sheetView>
  </sheetViews>
  <sheetFormatPr defaultRowHeight="15.75" x14ac:dyDescent="0.25"/>
  <cols>
    <col min="1" max="1" width="12.375" bestFit="1" customWidth="1"/>
    <col min="2" max="7" width="5.375" bestFit="1" customWidth="1"/>
    <col min="8" max="8" width="11.5" bestFit="1" customWidth="1"/>
    <col min="9" max="9" width="11" bestFit="1" customWidth="1"/>
    <col min="10" max="15" width="1.875" bestFit="1" customWidth="1"/>
  </cols>
  <sheetData>
    <row r="1" spans="1:15" x14ac:dyDescent="0.25">
      <c r="A1" s="216" t="s">
        <v>374</v>
      </c>
    </row>
    <row r="2" spans="1:15" x14ac:dyDescent="0.25">
      <c r="A2" s="217">
        <v>46058</v>
      </c>
    </row>
    <row r="3" spans="1:15" ht="103.5" x14ac:dyDescent="0.25">
      <c r="A3" t="s">
        <v>428</v>
      </c>
      <c r="B3" s="111" t="s">
        <v>429</v>
      </c>
      <c r="C3" s="111" t="s">
        <v>430</v>
      </c>
      <c r="D3" s="111" t="s">
        <v>431</v>
      </c>
      <c r="E3" s="111" t="s">
        <v>432</v>
      </c>
      <c r="F3" s="111" t="s">
        <v>433</v>
      </c>
      <c r="G3" s="111" t="s">
        <v>434</v>
      </c>
      <c r="I3" t="s">
        <v>539</v>
      </c>
    </row>
    <row r="4" spans="1:15" x14ac:dyDescent="0.25">
      <c r="A4" s="149" t="s">
        <v>133</v>
      </c>
      <c r="B4" s="150"/>
      <c r="C4" s="150"/>
      <c r="D4" s="150">
        <v>1</v>
      </c>
      <c r="E4" s="150"/>
      <c r="F4" s="150">
        <v>1</v>
      </c>
      <c r="G4" s="150"/>
      <c r="I4" t="s">
        <v>133</v>
      </c>
      <c r="L4">
        <v>1</v>
      </c>
      <c r="N4">
        <v>1</v>
      </c>
    </row>
    <row r="5" spans="1:15" x14ac:dyDescent="0.25">
      <c r="A5" s="149" t="s">
        <v>134</v>
      </c>
      <c r="B5" s="150"/>
      <c r="C5" s="150"/>
      <c r="D5" s="150">
        <v>1</v>
      </c>
      <c r="E5" s="150">
        <v>1</v>
      </c>
      <c r="F5" s="150">
        <v>1</v>
      </c>
      <c r="G5" s="150">
        <v>1</v>
      </c>
      <c r="I5" t="s">
        <v>134</v>
      </c>
      <c r="L5">
        <v>1</v>
      </c>
      <c r="M5">
        <v>1</v>
      </c>
      <c r="N5">
        <v>1</v>
      </c>
      <c r="O5">
        <v>1</v>
      </c>
    </row>
    <row r="6" spans="1:15" x14ac:dyDescent="0.25">
      <c r="A6" s="149" t="s">
        <v>142</v>
      </c>
      <c r="B6" s="150"/>
      <c r="C6" s="150"/>
      <c r="D6" s="150">
        <v>1</v>
      </c>
      <c r="E6" s="150"/>
      <c r="F6" s="150">
        <v>1</v>
      </c>
      <c r="G6" s="150"/>
      <c r="I6" t="s">
        <v>142</v>
      </c>
      <c r="L6">
        <v>1</v>
      </c>
      <c r="N6">
        <v>1</v>
      </c>
    </row>
    <row r="7" spans="1:15" x14ac:dyDescent="0.25">
      <c r="A7" s="149" t="s">
        <v>522</v>
      </c>
      <c r="B7" s="150"/>
      <c r="C7" s="150"/>
      <c r="D7" s="150">
        <v>1</v>
      </c>
      <c r="E7" s="150">
        <v>1</v>
      </c>
      <c r="F7" s="150">
        <v>1</v>
      </c>
      <c r="G7" s="150">
        <v>1</v>
      </c>
      <c r="I7" t="s">
        <v>143</v>
      </c>
      <c r="L7">
        <v>1</v>
      </c>
      <c r="N7">
        <v>1</v>
      </c>
    </row>
    <row r="8" spans="1:15" x14ac:dyDescent="0.25">
      <c r="A8" s="149" t="s">
        <v>143</v>
      </c>
      <c r="B8" s="150"/>
      <c r="C8" s="150"/>
      <c r="D8" s="150">
        <v>1</v>
      </c>
      <c r="E8" s="150"/>
      <c r="F8" s="150">
        <v>1</v>
      </c>
      <c r="G8" s="150"/>
      <c r="I8" t="s">
        <v>136</v>
      </c>
      <c r="L8">
        <v>1</v>
      </c>
      <c r="N8">
        <v>1</v>
      </c>
    </row>
    <row r="9" spans="1:15" x14ac:dyDescent="0.25">
      <c r="A9" s="149" t="s">
        <v>136</v>
      </c>
      <c r="B9" s="150"/>
      <c r="C9" s="150"/>
      <c r="D9" s="150">
        <v>1</v>
      </c>
      <c r="E9" s="150"/>
      <c r="F9" s="150">
        <v>1</v>
      </c>
      <c r="G9" s="150"/>
      <c r="I9" t="s">
        <v>199</v>
      </c>
      <c r="M9">
        <v>1</v>
      </c>
      <c r="O9">
        <v>1</v>
      </c>
    </row>
    <row r="10" spans="1:15" x14ac:dyDescent="0.25">
      <c r="A10" t="s">
        <v>199</v>
      </c>
      <c r="B10" s="1"/>
      <c r="C10" s="1"/>
      <c r="D10" s="1"/>
      <c r="E10" s="1">
        <v>1</v>
      </c>
      <c r="F10" s="1"/>
      <c r="G10" s="1">
        <v>1</v>
      </c>
      <c r="I10" t="s">
        <v>150</v>
      </c>
      <c r="L10">
        <v>1</v>
      </c>
      <c r="N10">
        <v>1</v>
      </c>
    </row>
    <row r="11" spans="1:15" x14ac:dyDescent="0.25">
      <c r="A11" t="s">
        <v>150</v>
      </c>
      <c r="B11" s="1"/>
      <c r="C11" s="1"/>
      <c r="D11" s="1">
        <v>1</v>
      </c>
      <c r="E11" s="1"/>
      <c r="F11" s="1">
        <v>1</v>
      </c>
      <c r="G11" s="1"/>
      <c r="I11" t="s">
        <v>123</v>
      </c>
      <c r="L11">
        <v>1</v>
      </c>
      <c r="N11">
        <v>1</v>
      </c>
    </row>
    <row r="12" spans="1:15" x14ac:dyDescent="0.25">
      <c r="A12" t="s">
        <v>123</v>
      </c>
      <c r="B12" s="1"/>
      <c r="C12" s="1"/>
      <c r="D12" s="1">
        <v>1</v>
      </c>
      <c r="E12" s="1"/>
      <c r="F12" s="1">
        <v>1</v>
      </c>
      <c r="G12" s="1"/>
      <c r="I12" t="s">
        <v>147</v>
      </c>
      <c r="N12">
        <v>1</v>
      </c>
    </row>
    <row r="13" spans="1:15" x14ac:dyDescent="0.25">
      <c r="A13" t="s">
        <v>231</v>
      </c>
      <c r="B13" s="1"/>
      <c r="C13" s="1"/>
      <c r="D13" s="1"/>
      <c r="E13" s="1">
        <v>1</v>
      </c>
      <c r="F13" s="1"/>
      <c r="G13" s="1">
        <v>1</v>
      </c>
      <c r="I13" t="s">
        <v>203</v>
      </c>
      <c r="O13">
        <v>1</v>
      </c>
    </row>
    <row r="14" spans="1:15" x14ac:dyDescent="0.25">
      <c r="A14" t="s">
        <v>147</v>
      </c>
      <c r="B14" s="1"/>
      <c r="C14" s="1"/>
      <c r="D14" s="1">
        <v>1</v>
      </c>
      <c r="E14" s="1"/>
      <c r="F14" s="1">
        <v>1</v>
      </c>
      <c r="G14" s="1"/>
      <c r="I14" t="s">
        <v>214</v>
      </c>
      <c r="N14">
        <v>1</v>
      </c>
    </row>
    <row r="15" spans="1:15" x14ac:dyDescent="0.25">
      <c r="A15" t="s">
        <v>149</v>
      </c>
      <c r="B15" s="1"/>
      <c r="C15" s="1"/>
      <c r="D15" s="1">
        <v>1</v>
      </c>
      <c r="E15" s="1"/>
      <c r="F15" s="1">
        <v>1</v>
      </c>
      <c r="G15" s="1"/>
      <c r="I15" t="s">
        <v>223</v>
      </c>
      <c r="J15">
        <v>1</v>
      </c>
    </row>
    <row r="16" spans="1:15" x14ac:dyDescent="0.25">
      <c r="A16" t="s">
        <v>152</v>
      </c>
      <c r="B16" s="1"/>
      <c r="C16" s="1"/>
      <c r="D16" s="1"/>
      <c r="E16" s="1"/>
      <c r="F16" s="1"/>
      <c r="G16" s="1">
        <v>1</v>
      </c>
      <c r="I16" t="s">
        <v>222</v>
      </c>
      <c r="K16">
        <v>1</v>
      </c>
    </row>
    <row r="17" spans="1:15" x14ac:dyDescent="0.25">
      <c r="A17" t="s">
        <v>155</v>
      </c>
      <c r="B17" s="1"/>
      <c r="C17" s="1"/>
      <c r="D17" s="1"/>
      <c r="E17" s="1"/>
      <c r="F17" s="1"/>
      <c r="G17" s="1">
        <v>1</v>
      </c>
      <c r="I17" t="s">
        <v>225</v>
      </c>
      <c r="K17">
        <v>1</v>
      </c>
    </row>
    <row r="18" spans="1:15" x14ac:dyDescent="0.25">
      <c r="A18" t="s">
        <v>157</v>
      </c>
      <c r="B18" s="1"/>
      <c r="C18" s="1"/>
      <c r="D18" s="1">
        <v>1</v>
      </c>
      <c r="E18" s="1"/>
      <c r="F18" s="1">
        <v>1</v>
      </c>
      <c r="G18" s="1"/>
      <c r="I18" t="s">
        <v>227</v>
      </c>
      <c r="J18">
        <v>1</v>
      </c>
    </row>
    <row r="19" spans="1:15" x14ac:dyDescent="0.25">
      <c r="A19" t="s">
        <v>160</v>
      </c>
      <c r="B19" s="1"/>
      <c r="C19" s="1"/>
      <c r="D19" s="1">
        <v>1</v>
      </c>
      <c r="E19" s="1"/>
      <c r="F19" s="1">
        <v>1</v>
      </c>
      <c r="G19" s="1"/>
      <c r="I19" t="s">
        <v>228</v>
      </c>
      <c r="K19">
        <v>1</v>
      </c>
    </row>
    <row r="20" spans="1:15" x14ac:dyDescent="0.25">
      <c r="A20" t="s">
        <v>164</v>
      </c>
      <c r="B20" s="1"/>
      <c r="C20" s="1"/>
      <c r="D20" s="1"/>
      <c r="E20" s="1">
        <v>1</v>
      </c>
      <c r="F20" s="1"/>
      <c r="G20" s="1"/>
      <c r="I20" t="s">
        <v>153</v>
      </c>
      <c r="L20">
        <v>1</v>
      </c>
      <c r="N20">
        <v>1</v>
      </c>
    </row>
    <row r="21" spans="1:15" x14ac:dyDescent="0.25">
      <c r="A21" t="s">
        <v>151</v>
      </c>
      <c r="B21" s="1"/>
      <c r="C21" s="1"/>
      <c r="D21" s="1"/>
      <c r="E21" s="1"/>
      <c r="F21" s="1">
        <v>1</v>
      </c>
      <c r="G21" s="1"/>
      <c r="I21" t="s">
        <v>125</v>
      </c>
      <c r="L21">
        <v>1</v>
      </c>
      <c r="N21">
        <v>1</v>
      </c>
    </row>
    <row r="22" spans="1:15" x14ac:dyDescent="0.25">
      <c r="A22" t="s">
        <v>461</v>
      </c>
      <c r="B22" s="1"/>
      <c r="C22" s="1"/>
      <c r="D22" s="1"/>
      <c r="E22" s="1">
        <v>1</v>
      </c>
      <c r="F22" s="1"/>
      <c r="G22" s="1">
        <v>1</v>
      </c>
      <c r="I22" t="s">
        <v>161</v>
      </c>
      <c r="L22">
        <v>1</v>
      </c>
      <c r="O22">
        <v>1</v>
      </c>
    </row>
    <row r="23" spans="1:15" x14ac:dyDescent="0.25">
      <c r="A23" t="s">
        <v>223</v>
      </c>
      <c r="B23" s="1">
        <v>1</v>
      </c>
      <c r="C23" s="1"/>
      <c r="D23" s="1"/>
      <c r="E23" s="1"/>
      <c r="F23" s="1"/>
      <c r="G23" s="1"/>
      <c r="I23" t="s">
        <v>230</v>
      </c>
      <c r="K23">
        <v>1</v>
      </c>
    </row>
    <row r="24" spans="1:15" x14ac:dyDescent="0.25">
      <c r="A24" t="s">
        <v>222</v>
      </c>
      <c r="B24" s="1"/>
      <c r="C24" s="1">
        <v>1</v>
      </c>
      <c r="D24" s="1"/>
      <c r="E24" s="1"/>
      <c r="F24" s="1"/>
      <c r="G24" s="1"/>
      <c r="I24" t="s">
        <v>137</v>
      </c>
      <c r="L24">
        <v>1</v>
      </c>
      <c r="M24">
        <v>1</v>
      </c>
      <c r="N24">
        <v>1</v>
      </c>
      <c r="O24">
        <v>1</v>
      </c>
    </row>
    <row r="25" spans="1:15" x14ac:dyDescent="0.25">
      <c r="A25" t="s">
        <v>225</v>
      </c>
      <c r="B25" s="1"/>
      <c r="C25" s="1">
        <v>1</v>
      </c>
      <c r="D25" s="1"/>
      <c r="E25" s="1"/>
      <c r="F25" s="1"/>
      <c r="G25" s="1"/>
      <c r="I25" t="s">
        <v>139</v>
      </c>
      <c r="L25">
        <v>1</v>
      </c>
      <c r="M25">
        <v>1</v>
      </c>
      <c r="N25">
        <v>1</v>
      </c>
      <c r="O25">
        <v>1</v>
      </c>
    </row>
    <row r="26" spans="1:15" x14ac:dyDescent="0.25">
      <c r="A26" t="s">
        <v>227</v>
      </c>
      <c r="B26" s="1">
        <v>1</v>
      </c>
      <c r="C26" s="1"/>
      <c r="D26" s="1"/>
      <c r="E26" s="1"/>
      <c r="F26" s="1"/>
      <c r="G26" s="1"/>
      <c r="I26" t="s">
        <v>168</v>
      </c>
      <c r="N26">
        <v>1</v>
      </c>
    </row>
    <row r="27" spans="1:15" x14ac:dyDescent="0.25">
      <c r="A27" t="s">
        <v>228</v>
      </c>
      <c r="B27" s="1"/>
      <c r="C27" s="1">
        <v>1</v>
      </c>
      <c r="D27" s="1"/>
      <c r="E27" s="1"/>
      <c r="F27" s="1"/>
      <c r="G27" s="1"/>
      <c r="I27" t="s">
        <v>170</v>
      </c>
      <c r="L27">
        <v>1</v>
      </c>
    </row>
    <row r="28" spans="1:15" x14ac:dyDescent="0.25">
      <c r="A28" t="s">
        <v>153</v>
      </c>
      <c r="B28" s="1"/>
      <c r="C28" s="1"/>
      <c r="D28" s="1">
        <v>1</v>
      </c>
      <c r="E28" s="1"/>
      <c r="F28" s="1">
        <v>1</v>
      </c>
      <c r="G28" s="1"/>
      <c r="I28" t="s">
        <v>167</v>
      </c>
      <c r="N28">
        <v>1</v>
      </c>
    </row>
    <row r="29" spans="1:15" x14ac:dyDescent="0.25">
      <c r="A29" t="s">
        <v>125</v>
      </c>
      <c r="B29" s="1"/>
      <c r="C29" s="1"/>
      <c r="D29" s="1">
        <v>1</v>
      </c>
      <c r="E29" s="1"/>
      <c r="F29" s="1">
        <v>1</v>
      </c>
      <c r="G29" s="1"/>
      <c r="I29" t="s">
        <v>174</v>
      </c>
      <c r="M29">
        <v>1</v>
      </c>
      <c r="O29">
        <v>1</v>
      </c>
    </row>
    <row r="30" spans="1:15" x14ac:dyDescent="0.25">
      <c r="A30" t="s">
        <v>161</v>
      </c>
      <c r="B30" s="1"/>
      <c r="C30" s="1"/>
      <c r="D30" s="1">
        <v>1</v>
      </c>
      <c r="E30" s="1"/>
      <c r="F30" s="1"/>
      <c r="G30" s="1">
        <v>1</v>
      </c>
      <c r="I30" t="s">
        <v>176</v>
      </c>
      <c r="M30">
        <v>1</v>
      </c>
    </row>
    <row r="31" spans="1:15" x14ac:dyDescent="0.25">
      <c r="A31" t="s">
        <v>230</v>
      </c>
      <c r="B31" s="1"/>
      <c r="C31" s="1">
        <v>1</v>
      </c>
      <c r="D31" s="1"/>
      <c r="E31" s="1"/>
      <c r="F31" s="1"/>
      <c r="G31" s="1"/>
      <c r="I31" t="s">
        <v>178</v>
      </c>
      <c r="L31">
        <v>1</v>
      </c>
    </row>
    <row r="32" spans="1:15" x14ac:dyDescent="0.25">
      <c r="A32" t="s">
        <v>154</v>
      </c>
      <c r="B32" s="1"/>
      <c r="C32" s="1"/>
      <c r="D32" s="1">
        <v>1</v>
      </c>
      <c r="E32" s="1"/>
      <c r="F32" s="1">
        <v>1</v>
      </c>
      <c r="G32" s="1"/>
      <c r="I32" t="s">
        <v>180</v>
      </c>
      <c r="M32">
        <v>1</v>
      </c>
      <c r="O32">
        <v>1</v>
      </c>
    </row>
    <row r="33" spans="1:15" x14ac:dyDescent="0.25">
      <c r="A33" t="s">
        <v>156</v>
      </c>
      <c r="B33" s="1"/>
      <c r="C33" s="1"/>
      <c r="D33" s="1">
        <v>1</v>
      </c>
      <c r="E33" s="1"/>
      <c r="F33" s="1"/>
      <c r="G33" s="1"/>
      <c r="I33" t="s">
        <v>181</v>
      </c>
      <c r="L33">
        <v>1</v>
      </c>
    </row>
    <row r="34" spans="1:15" x14ac:dyDescent="0.25">
      <c r="A34" t="s">
        <v>159</v>
      </c>
      <c r="B34" s="1"/>
      <c r="C34" s="1"/>
      <c r="D34" s="1"/>
      <c r="E34" s="1">
        <v>1</v>
      </c>
      <c r="F34" s="1"/>
      <c r="G34" s="1"/>
      <c r="I34" t="s">
        <v>210</v>
      </c>
      <c r="N34">
        <v>1</v>
      </c>
    </row>
    <row r="35" spans="1:15" x14ac:dyDescent="0.25">
      <c r="A35" t="s">
        <v>182</v>
      </c>
      <c r="B35" s="1"/>
      <c r="C35" s="1"/>
      <c r="D35" s="1"/>
      <c r="E35" s="1"/>
      <c r="F35" s="1">
        <v>1</v>
      </c>
      <c r="G35" s="1"/>
      <c r="I35" t="s">
        <v>172</v>
      </c>
      <c r="N35">
        <v>1</v>
      </c>
    </row>
    <row r="36" spans="1:15" x14ac:dyDescent="0.25">
      <c r="A36" t="s">
        <v>163</v>
      </c>
      <c r="B36" s="1"/>
      <c r="C36" s="1"/>
      <c r="D36" s="1">
        <v>1</v>
      </c>
      <c r="E36" s="1"/>
      <c r="F36" s="1">
        <v>1</v>
      </c>
      <c r="G36" s="1"/>
      <c r="I36" t="s">
        <v>162</v>
      </c>
      <c r="N36">
        <v>1</v>
      </c>
    </row>
    <row r="37" spans="1:15" x14ac:dyDescent="0.25">
      <c r="A37" t="s">
        <v>137</v>
      </c>
      <c r="B37" s="1"/>
      <c r="C37" s="1"/>
      <c r="D37" s="1">
        <v>1</v>
      </c>
      <c r="E37" s="1">
        <v>1</v>
      </c>
      <c r="F37" s="1">
        <v>1</v>
      </c>
      <c r="G37" s="1">
        <v>1</v>
      </c>
      <c r="I37" t="s">
        <v>138</v>
      </c>
      <c r="N37">
        <v>1</v>
      </c>
    </row>
    <row r="38" spans="1:15" x14ac:dyDescent="0.25">
      <c r="A38" t="s">
        <v>139</v>
      </c>
      <c r="B38" s="1"/>
      <c r="C38" s="1"/>
      <c r="D38" s="1">
        <v>1</v>
      </c>
      <c r="E38" s="1">
        <v>1</v>
      </c>
      <c r="F38" s="1">
        <v>1</v>
      </c>
      <c r="G38" s="1">
        <v>1</v>
      </c>
      <c r="I38" t="s">
        <v>140</v>
      </c>
      <c r="O38">
        <v>1</v>
      </c>
    </row>
    <row r="39" spans="1:15" x14ac:dyDescent="0.25">
      <c r="A39" t="s">
        <v>168</v>
      </c>
      <c r="B39" s="1"/>
      <c r="C39" s="1"/>
      <c r="D39" s="1"/>
      <c r="E39" s="1"/>
      <c r="F39" s="1">
        <v>1</v>
      </c>
      <c r="G39" s="1"/>
    </row>
    <row r="40" spans="1:15" x14ac:dyDescent="0.25">
      <c r="A40" t="s">
        <v>170</v>
      </c>
      <c r="B40" s="1"/>
      <c r="C40" s="1"/>
      <c r="D40" s="1">
        <v>1</v>
      </c>
      <c r="E40" s="1"/>
      <c r="F40" s="1"/>
      <c r="G40" s="1"/>
    </row>
    <row r="41" spans="1:15" x14ac:dyDescent="0.25">
      <c r="A41" t="s">
        <v>167</v>
      </c>
      <c r="B41" s="1"/>
      <c r="C41" s="1"/>
      <c r="D41" s="1"/>
      <c r="E41" s="1"/>
      <c r="F41" s="1">
        <v>1</v>
      </c>
      <c r="G41" s="1"/>
    </row>
    <row r="42" spans="1:15" x14ac:dyDescent="0.25">
      <c r="A42" t="s">
        <v>174</v>
      </c>
      <c r="B42" s="1"/>
      <c r="C42" s="1"/>
      <c r="D42" s="1"/>
      <c r="E42" s="1">
        <v>1</v>
      </c>
      <c r="F42" s="1"/>
      <c r="G42" s="1">
        <v>1</v>
      </c>
    </row>
    <row r="43" spans="1:15" x14ac:dyDescent="0.25">
      <c r="A43" t="s">
        <v>176</v>
      </c>
      <c r="B43" s="1"/>
      <c r="C43" s="1"/>
      <c r="D43" s="1"/>
      <c r="E43" s="1">
        <v>1</v>
      </c>
      <c r="F43" s="1"/>
      <c r="G43" s="1"/>
    </row>
    <row r="44" spans="1:15" x14ac:dyDescent="0.25">
      <c r="A44" t="s">
        <v>178</v>
      </c>
      <c r="B44" s="1"/>
      <c r="C44" s="1"/>
      <c r="D44" s="1">
        <v>1</v>
      </c>
      <c r="E44" s="1"/>
      <c r="F44" s="1"/>
      <c r="G44" s="1"/>
    </row>
    <row r="45" spans="1:15" x14ac:dyDescent="0.25">
      <c r="A45" t="s">
        <v>180</v>
      </c>
      <c r="B45" s="1"/>
      <c r="C45" s="1"/>
      <c r="D45" s="1"/>
      <c r="E45" s="1">
        <v>1</v>
      </c>
      <c r="F45" s="1"/>
      <c r="G45" s="1">
        <v>1</v>
      </c>
    </row>
    <row r="46" spans="1:15" x14ac:dyDescent="0.25">
      <c r="A46" t="s">
        <v>181</v>
      </c>
      <c r="B46" s="1"/>
      <c r="C46" s="1"/>
      <c r="D46" s="1">
        <v>1</v>
      </c>
      <c r="E46" s="1"/>
      <c r="F46" s="1"/>
      <c r="G46" s="1"/>
    </row>
    <row r="47" spans="1:15" x14ac:dyDescent="0.25">
      <c r="A47" t="s">
        <v>169</v>
      </c>
      <c r="B47" s="1"/>
      <c r="C47" s="1"/>
      <c r="D47" s="1">
        <v>1</v>
      </c>
      <c r="E47" s="1"/>
      <c r="F47" s="1"/>
      <c r="G47" s="1"/>
    </row>
    <row r="48" spans="1:15" x14ac:dyDescent="0.25">
      <c r="A48" t="s">
        <v>172</v>
      </c>
      <c r="B48" s="1"/>
      <c r="C48" s="1"/>
      <c r="D48" s="1"/>
      <c r="E48" s="1"/>
      <c r="F48" s="1">
        <v>1</v>
      </c>
      <c r="G48" s="1"/>
    </row>
    <row r="49" spans="1:7" x14ac:dyDescent="0.25">
      <c r="A49" t="s">
        <v>162</v>
      </c>
      <c r="B49" s="1"/>
      <c r="C49" s="1"/>
      <c r="D49" s="1">
        <v>1</v>
      </c>
      <c r="E49" s="1"/>
      <c r="F49" s="1">
        <v>1</v>
      </c>
      <c r="G49" s="1"/>
    </row>
    <row r="50" spans="1:7" x14ac:dyDescent="0.25">
      <c r="A50" t="s">
        <v>165</v>
      </c>
      <c r="B50" s="1"/>
      <c r="C50" s="1"/>
      <c r="D50" s="1"/>
      <c r="E50" s="1"/>
      <c r="F50" s="1"/>
      <c r="G50" s="1">
        <v>1</v>
      </c>
    </row>
    <row r="51" spans="1:7" x14ac:dyDescent="0.25">
      <c r="A51" t="s">
        <v>166</v>
      </c>
      <c r="B51" s="1"/>
      <c r="C51" s="1"/>
      <c r="D51" s="1"/>
      <c r="E51" s="1">
        <v>1</v>
      </c>
      <c r="F51" s="1"/>
      <c r="G51" s="1">
        <v>1</v>
      </c>
    </row>
    <row r="52" spans="1:7" x14ac:dyDescent="0.25">
      <c r="A52" t="s">
        <v>138</v>
      </c>
      <c r="B52" s="1"/>
      <c r="C52" s="1"/>
      <c r="D52" s="1">
        <v>1</v>
      </c>
      <c r="E52" s="1"/>
      <c r="F52" s="1">
        <v>1</v>
      </c>
      <c r="G52" s="1"/>
    </row>
    <row r="53" spans="1:7" x14ac:dyDescent="0.25">
      <c r="A53" t="s">
        <v>171</v>
      </c>
      <c r="B53" s="1"/>
      <c r="C53" s="1"/>
      <c r="D53" s="1">
        <v>1</v>
      </c>
      <c r="E53" s="1"/>
      <c r="F53" s="1">
        <v>1</v>
      </c>
      <c r="G53" s="1"/>
    </row>
    <row r="54" spans="1:7" x14ac:dyDescent="0.25">
      <c r="A54" t="s">
        <v>140</v>
      </c>
      <c r="B54" s="1"/>
      <c r="C54" s="1"/>
      <c r="D54" s="1"/>
      <c r="E54" s="1">
        <v>1</v>
      </c>
      <c r="F54" s="1"/>
      <c r="G54" s="1">
        <v>1</v>
      </c>
    </row>
    <row r="55" spans="1:7" x14ac:dyDescent="0.25">
      <c r="A55" t="s">
        <v>175</v>
      </c>
      <c r="B55" s="1"/>
      <c r="C55" s="1"/>
      <c r="D55" s="1">
        <v>1</v>
      </c>
      <c r="E55" s="1"/>
      <c r="F55" s="1">
        <v>1</v>
      </c>
      <c r="G55" s="1"/>
    </row>
    <row r="56" spans="1:7" x14ac:dyDescent="0.25">
      <c r="A56" t="s">
        <v>179</v>
      </c>
      <c r="B56" s="1"/>
      <c r="C56" s="1"/>
      <c r="D56" s="1"/>
      <c r="E56" s="1"/>
      <c r="F56" s="1">
        <v>1</v>
      </c>
      <c r="G56" s="1"/>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E65E-CFCA-4975-90B4-78731AC19149}">
  <sheetPr>
    <pageSetUpPr fitToPage="1"/>
  </sheetPr>
  <dimension ref="A1:W44"/>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60.625" style="15" bestFit="1" customWidth="1"/>
    <col min="5" max="5" width="7.375" style="19" customWidth="1"/>
    <col min="6" max="6" width="16.12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36" t="s">
        <v>8</v>
      </c>
      <c r="B3" s="237"/>
      <c r="C3" s="237"/>
      <c r="D3" s="237"/>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435</v>
      </c>
      <c r="E5" s="61"/>
      <c r="F5" s="66" t="s">
        <v>12</v>
      </c>
      <c r="G5" s="21" t="str">
        <f>IFERROR(CONCATENATE(VLOOKUP(D5,TableCourses[],2,FALSE)," ",VLOOKUP(D5,TableCourses[],3,FALSE)),"")</f>
        <v>OG-ARTS v.2</v>
      </c>
      <c r="H5" s="21"/>
      <c r="I5" s="21"/>
      <c r="J5" s="21"/>
      <c r="K5" s="21"/>
      <c r="L5" s="218" t="e">
        <f>CONCATENATE(VLOOKUP(D5,TableCourses[],2,FALSE),VLOOKUP(D7,TableOMARTSStudyPeriods[],2,FALSE))</f>
        <v>#N/A</v>
      </c>
    </row>
    <row r="6" spans="1:23" ht="20.100000000000001" customHeight="1" x14ac:dyDescent="0.25">
      <c r="B6" s="20"/>
      <c r="C6" s="66" t="s">
        <v>13</v>
      </c>
      <c r="D6" s="106" t="s">
        <v>75</v>
      </c>
      <c r="E6" s="61"/>
      <c r="F6" s="66" t="s">
        <v>15</v>
      </c>
      <c r="G6" s="21" t="str">
        <f>IFERROR(CONCATENATE(VLOOKUP(D6,TableOGARTSMajors[],2,FALSE)," ",VLOOKUP(D6,TableOGARTSMajors[],3,FALSE)),"")</f>
        <v/>
      </c>
      <c r="H6" s="21"/>
      <c r="I6" s="21"/>
      <c r="J6" s="21"/>
      <c r="K6" s="21"/>
      <c r="L6" s="218" t="e">
        <f>CONCATENATE(VLOOKUP(D6,TableOGARTSMajors[],2,FALSE),VLOOKUP(D7,TableOMARTSStudyPeriods[],2,FALSE))</f>
        <v>#N/A</v>
      </c>
    </row>
    <row r="7" spans="1:23" ht="20.100000000000001" customHeight="1" x14ac:dyDescent="0.25">
      <c r="A7" s="22"/>
      <c r="B7" s="23"/>
      <c r="C7" s="66" t="s">
        <v>16</v>
      </c>
      <c r="D7" s="21" t="s">
        <v>51</v>
      </c>
      <c r="E7" s="62"/>
      <c r="F7" s="66" t="s">
        <v>18</v>
      </c>
      <c r="G7" s="21" t="str">
        <f>IFERROR(VLOOKUP($D$5,TableCourses[],7,FALSE),"")</f>
        <v>200 credit points required</v>
      </c>
      <c r="H7" s="55"/>
      <c r="I7" s="55"/>
      <c r="J7" s="55"/>
      <c r="K7" s="55"/>
      <c r="L7" s="218"/>
      <c r="M7" s="24"/>
      <c r="N7" s="24"/>
      <c r="O7" s="24"/>
      <c r="P7" s="24"/>
      <c r="Q7" s="24"/>
      <c r="R7" s="24"/>
      <c r="S7" s="24"/>
      <c r="T7" s="24"/>
      <c r="U7" s="24"/>
      <c r="V7" s="24"/>
      <c r="W7" s="24"/>
    </row>
    <row r="8" spans="1:23" ht="33" customHeight="1" x14ac:dyDescent="0.25">
      <c r="A8" s="156" t="s">
        <v>19</v>
      </c>
      <c r="B8" s="164" t="str">
        <f>VLOOKUP($D$5,RangeCourseNotes,2,FALSE)</f>
        <v>This course has intakes in SP1 and SP3.</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IFERROR(IF(HLOOKUP($L$6,RangeUnitsetsOGARTS,M11,FALSE)=0,"",HLOOKUP($L$6,RangeUnitsetsOGARTS,M11,FALSE)),"")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219"/>
      <c r="M11" s="100">
        <v>2</v>
      </c>
      <c r="N11" s="28"/>
      <c r="O11" s="28"/>
      <c r="P11" s="29"/>
      <c r="Q11" s="29"/>
      <c r="R11" s="29"/>
      <c r="S11" s="29"/>
      <c r="T11" s="29"/>
      <c r="U11" s="29"/>
      <c r="V11" s="29"/>
      <c r="W11" s="29"/>
    </row>
    <row r="12" spans="1:23" s="30" customFormat="1" ht="20.100000000000001" customHeight="1" x14ac:dyDescent="0.15">
      <c r="A12" s="67" t="str">
        <f>IFERROR(IF(HLOOKUP($L$6,RangeUnitsetsOGARTS,M12,FALSE)=0,"",HLOOKUP($L$6,RangeUnitsetsOGARTS,M12,FALSE)),"")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219"/>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220"/>
      <c r="M13" s="100"/>
      <c r="N13" s="28"/>
      <c r="O13" s="28"/>
      <c r="P13" s="28"/>
      <c r="Q13" s="29"/>
      <c r="R13" s="29"/>
      <c r="S13" s="29"/>
      <c r="T13" s="29"/>
      <c r="U13" s="29"/>
      <c r="V13" s="29"/>
      <c r="W13" s="29"/>
    </row>
    <row r="14" spans="1:23" s="30" customFormat="1" ht="20.100000000000001" customHeight="1" x14ac:dyDescent="0.15">
      <c r="A14" s="67" t="str">
        <f>IFERROR(IF(HLOOKUP($L$6,RangeUnitsetsOGARTS,M14,FALSE)=0,"",HLOOKUP($L$6,RangeUnitsetsOGARTS,M14,FALSE)),"")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219"/>
      <c r="M14" s="100">
        <v>4</v>
      </c>
      <c r="N14" s="28"/>
      <c r="O14" s="28"/>
      <c r="P14" s="29"/>
      <c r="Q14" s="29"/>
      <c r="R14" s="29"/>
      <c r="S14" s="29"/>
      <c r="T14" s="29"/>
      <c r="U14" s="29"/>
      <c r="V14" s="29"/>
      <c r="W14" s="29"/>
    </row>
    <row r="15" spans="1:23" s="33" customFormat="1" ht="19.5" customHeight="1" x14ac:dyDescent="0.15">
      <c r="A15" s="67" t="str">
        <f>IFERROR(IF(HLOOKUP($L$6,RangeUnitsetsOGARTS,M15,FALSE)=0,"",HLOOKUP($L$6,RangeUnitsetsOGARTS,M15,FALSE)),"")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219"/>
      <c r="M15" s="100">
        <v>5</v>
      </c>
      <c r="N15" s="31"/>
      <c r="O15" s="31"/>
      <c r="P15" s="32"/>
      <c r="Q15" s="32"/>
      <c r="R15" s="32"/>
      <c r="S15" s="32"/>
      <c r="T15" s="32"/>
      <c r="U15" s="32"/>
      <c r="V15" s="32"/>
      <c r="W15" s="32"/>
    </row>
    <row r="16" spans="1:23" s="30" customFormat="1" ht="5.0999999999999996" customHeight="1" x14ac:dyDescent="0.15">
      <c r="A16" s="112"/>
      <c r="B16" s="113"/>
      <c r="C16" s="113"/>
      <c r="D16" s="114"/>
      <c r="E16" s="113"/>
      <c r="F16" s="115"/>
      <c r="G16" s="113"/>
      <c r="H16" s="116"/>
      <c r="I16" s="113"/>
      <c r="J16" s="113"/>
      <c r="K16" s="117"/>
      <c r="L16" s="220"/>
      <c r="M16" s="100"/>
      <c r="N16" s="28"/>
      <c r="O16" s="28"/>
      <c r="P16" s="28"/>
      <c r="Q16" s="29"/>
      <c r="R16" s="29"/>
      <c r="S16" s="29"/>
      <c r="T16" s="29"/>
      <c r="U16" s="29"/>
      <c r="V16" s="29"/>
      <c r="W16" s="29"/>
    </row>
    <row r="17" spans="1:23" s="30" customFormat="1" ht="20.100000000000001" customHeight="1" x14ac:dyDescent="0.15">
      <c r="A17" s="67" t="str">
        <f>IFERROR(IF(HLOOKUP($L$6,RangeUnitsetsOGARTS,M17,FALSE)=0,"",HLOOKUP($L$6,RangeUnitsetsOGARTS,M17,FALSE)),"")</f>
        <v/>
      </c>
      <c r="B17" s="51" t="str">
        <f>IFERROR(IF(VLOOKUP($A17,TableHandbook[],2,FALSE)=0,"",VLOOKUP($A17,TableHandbook[],2,FALSE)),"")</f>
        <v/>
      </c>
      <c r="C17" s="51" t="str">
        <f>IFERROR(IF(VLOOKUP($A17,TableHandbook[],3,FALSE)=0,"",VLOOKUP($A17,TableHandbook[],3,FALSE)),"")</f>
        <v/>
      </c>
      <c r="D17" s="92" t="str">
        <f>IFERROR(IF(VLOOKUP($A17,TableHandbook[],4,FALSE)=0,"",VLOOKUP($A17,TableHandbook[],4,FALSE)),"")</f>
        <v/>
      </c>
      <c r="E17" s="51" t="str">
        <f>IF(A17="","",VLOOKUP($D$7,TableOMARTSStudyPeriods[],4,FALSE))</f>
        <v/>
      </c>
      <c r="F17" s="69" t="str">
        <f>IFERROR(IF(VLOOKUP($A17,TableHandbook[],6,FALSE)=0,"",VLOOKUP($A17,TableHandbook[],6,FALSE)),"")</f>
        <v/>
      </c>
      <c r="G17" s="51" t="str">
        <f>IFERROR(IF(VLOOKUP($A17,TableHandbook[],5,FALSE)=0,"",VLOOKUP($A17,TableHandbook[],5,FALSE)),"")</f>
        <v/>
      </c>
      <c r="H17" s="52" t="str">
        <f>IFERROR(VLOOKUP($A17,TableHandbook[],H$2,FALSE),"")</f>
        <v/>
      </c>
      <c r="I17" s="51" t="str">
        <f>IFERROR(VLOOKUP($A17,TableHandbook[],I$2,FALSE),"")</f>
        <v/>
      </c>
      <c r="J17" s="51" t="str">
        <f>IFERROR(VLOOKUP($A17,TableHandbook[],J$2,FALSE),"")</f>
        <v/>
      </c>
      <c r="K17" s="53" t="str">
        <f>IFERROR(VLOOKUP($A17,TableHandbook[],K$2,FALSE),"")</f>
        <v/>
      </c>
      <c r="L17" s="219"/>
      <c r="M17" s="100">
        <v>6</v>
      </c>
      <c r="N17" s="28"/>
      <c r="O17" s="28"/>
      <c r="P17" s="29"/>
      <c r="Q17" s="29"/>
      <c r="R17" s="29"/>
      <c r="S17" s="29"/>
      <c r="T17" s="29"/>
      <c r="U17" s="29"/>
      <c r="V17" s="29"/>
      <c r="W17" s="29"/>
    </row>
    <row r="18" spans="1:23" s="33" customFormat="1" ht="20.100000000000001" customHeight="1" x14ac:dyDescent="0.15">
      <c r="A18" s="67" t="str">
        <f>IFERROR(IF(HLOOKUP($L$6,RangeUnitsetsOGARTS,M18,FALSE)=0,"",HLOOKUP($L$6,RangeUnitsetsOGARTS,M18,FALSE)),"")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IF(OR(A18="",A18="-"),"",E17)</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1" t="str">
        <f>IFERROR(VLOOKUP($A18,TableHandbook[],J$2,FALSE),"")</f>
        <v/>
      </c>
      <c r="K18" s="53" t="str">
        <f>IFERROR(VLOOKUP($A18,TableHandbook[],K$2,FALSE),"")</f>
        <v/>
      </c>
      <c r="L18" s="219"/>
      <c r="M18" s="100">
        <v>7</v>
      </c>
      <c r="N18" s="31"/>
      <c r="O18" s="31"/>
      <c r="P18" s="32"/>
      <c r="Q18" s="32"/>
      <c r="R18" s="32"/>
      <c r="S18" s="32"/>
      <c r="T18" s="32"/>
      <c r="U18" s="32"/>
      <c r="V18" s="32"/>
      <c r="W18" s="32"/>
    </row>
    <row r="19" spans="1:23" s="30" customFormat="1" ht="5.0999999999999996" customHeight="1" x14ac:dyDescent="0.15">
      <c r="A19" s="112"/>
      <c r="B19" s="113"/>
      <c r="C19" s="113"/>
      <c r="D19" s="114"/>
      <c r="E19" s="113"/>
      <c r="F19" s="115"/>
      <c r="G19" s="113"/>
      <c r="H19" s="116"/>
      <c r="I19" s="113"/>
      <c r="J19" s="113"/>
      <c r="K19" s="117"/>
      <c r="L19" s="220"/>
      <c r="M19" s="100"/>
      <c r="N19" s="28"/>
      <c r="O19" s="28"/>
      <c r="P19" s="28"/>
      <c r="Q19" s="29"/>
      <c r="R19" s="29"/>
      <c r="S19" s="29"/>
      <c r="T19" s="29"/>
      <c r="U19" s="29"/>
      <c r="V19" s="29"/>
      <c r="W19" s="29"/>
    </row>
    <row r="20" spans="1:23" s="30" customFormat="1" ht="20.100000000000001" customHeight="1" x14ac:dyDescent="0.15">
      <c r="A20" s="67" t="str">
        <f>IFERROR(IF(HLOOKUP($L$6,RangeUnitsetsOGARTS,M20,FALSE)=0,"",HLOOKUP($L$6,RangeUnitsetsOGARTS,M20,FALSE)),"")</f>
        <v/>
      </c>
      <c r="B20" s="51" t="str">
        <f>IFERROR(IF(VLOOKUP($A20,TableHandbook[],2,FALSE)=0,"",VLOOKUP($A20,TableHandbook[],2,FALSE)),"")</f>
        <v/>
      </c>
      <c r="C20" s="51" t="str">
        <f>IFERROR(IF(VLOOKUP($A20,TableHandbook[],3,FALSE)=0,"",VLOOKUP($A20,TableHandbook[],3,FALSE)),"")</f>
        <v/>
      </c>
      <c r="D20" s="92" t="str">
        <f>IFERROR(IF(VLOOKUP($A20,TableHandbook[],4,FALSE)=0,"",VLOOKUP($A20,TableHandbook[],4,FALSE)),"")</f>
        <v/>
      </c>
      <c r="E20" s="51" t="str">
        <f>IF(A20="","",VLOOKUP($D$7,TableOMARTSStudyPeriods[],5,FALSE))</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1" t="str">
        <f>IFERROR(VLOOKUP($A20,TableHandbook[],J$2,FALSE),"")</f>
        <v/>
      </c>
      <c r="K20" s="53" t="str">
        <f>IFERROR(VLOOKUP($A20,TableHandbook[],K$2,FALSE),"")</f>
        <v/>
      </c>
      <c r="L20" s="219"/>
      <c r="M20" s="100">
        <v>8</v>
      </c>
      <c r="N20" s="28"/>
      <c r="O20" s="28"/>
      <c r="P20" s="29"/>
      <c r="Q20" s="29"/>
      <c r="R20" s="29"/>
      <c r="S20" s="29"/>
      <c r="T20" s="29"/>
      <c r="U20" s="29"/>
      <c r="V20" s="29"/>
      <c r="W20" s="29"/>
    </row>
    <row r="21" spans="1:23" s="33" customFormat="1" ht="20.100000000000001" customHeight="1" x14ac:dyDescent="0.15">
      <c r="A21" s="67" t="str">
        <f>IFERROR(IF(HLOOKUP($L$6,RangeUnitsetsOGARTS,M21,FALSE)=0,"",HLOOKUP($L$6,RangeUnitsetsOGARTS,M21,FALSE)),"")</f>
        <v/>
      </c>
      <c r="B21" s="51" t="str">
        <f>IFERROR(IF(VLOOKUP($A21,TableHandbook[],2,FALSE)=0,"",VLOOKUP($A21,TableHandbook[],2,FALSE)),"")</f>
        <v/>
      </c>
      <c r="C21" s="51" t="str">
        <f>IFERROR(IF(VLOOKUP($A21,TableHandbook[],3,FALSE)=0,"",VLOOKUP($A21,TableHandbook[],3,FALSE)),"")</f>
        <v/>
      </c>
      <c r="D21" s="68" t="str">
        <f>IFERROR(IF(VLOOKUP($A21,TableHandbook[],4,FALSE)=0,"",VLOOKUP($A21,TableHandbook[],4,FALSE)),"")</f>
        <v/>
      </c>
      <c r="E21" s="51" t="str">
        <f>IF(OR(A21="",A21="-"),"",E20)</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1" t="str">
        <f>IFERROR(VLOOKUP($A21,TableHandbook[],J$2,FALSE),"")</f>
        <v/>
      </c>
      <c r="K21" s="53" t="str">
        <f>IFERROR(VLOOKUP($A21,TableHandbook[],K$2,FALSE),"")</f>
        <v/>
      </c>
      <c r="L21" s="219"/>
      <c r="M21" s="100">
        <v>9</v>
      </c>
      <c r="N21" s="31"/>
      <c r="O21" s="31"/>
      <c r="P21" s="32"/>
      <c r="Q21" s="32"/>
      <c r="R21" s="32"/>
      <c r="S21" s="32"/>
      <c r="T21" s="32"/>
      <c r="U21" s="32"/>
      <c r="V21" s="32"/>
      <c r="W21" s="32"/>
    </row>
    <row r="22" spans="1:23" s="38" customFormat="1" ht="13.9" customHeight="1" x14ac:dyDescent="0.2">
      <c r="A22" s="39"/>
      <c r="B22" s="39"/>
      <c r="C22" s="39"/>
      <c r="D22" s="40"/>
      <c r="E22" s="63"/>
      <c r="F22" s="35"/>
      <c r="G22" s="35"/>
      <c r="H22" s="35"/>
      <c r="I22" s="35"/>
      <c r="J22" s="35"/>
      <c r="K22" s="35"/>
      <c r="L22" s="35"/>
      <c r="M22" s="101"/>
      <c r="N22" s="36"/>
      <c r="O22" s="36"/>
      <c r="P22" s="37"/>
      <c r="Q22" s="37"/>
      <c r="R22" s="37"/>
      <c r="S22" s="37"/>
      <c r="T22" s="37"/>
      <c r="U22" s="37"/>
      <c r="V22" s="37"/>
      <c r="W22" s="37"/>
    </row>
    <row r="23" spans="1:23" ht="16.5" customHeight="1" x14ac:dyDescent="0.25">
      <c r="A23" s="83" t="s">
        <v>538</v>
      </c>
      <c r="B23" s="84"/>
      <c r="C23" s="84"/>
      <c r="D23" s="84"/>
      <c r="E23" s="85"/>
      <c r="F23" s="86"/>
      <c r="G23" s="86"/>
      <c r="H23" s="87" t="str">
        <f>H$9</f>
        <v>2026 Availabilities</v>
      </c>
      <c r="I23" s="88"/>
      <c r="J23" s="89"/>
      <c r="K23" s="90"/>
      <c r="L23" s="203" t="e">
        <f>VLOOKUP(D6,TableOGARTSMajors[],2,FALSE)</f>
        <v>#N/A</v>
      </c>
      <c r="M23" s="102"/>
      <c r="N23" s="24"/>
      <c r="O23" s="24"/>
      <c r="P23" s="24"/>
      <c r="Q23" s="24"/>
      <c r="R23" s="24"/>
      <c r="S23" s="24"/>
      <c r="T23" s="24"/>
      <c r="U23" s="24"/>
      <c r="V23" s="24"/>
      <c r="W23" s="24"/>
    </row>
    <row r="24" spans="1:23" s="42" customFormat="1" ht="17.25" x14ac:dyDescent="0.25">
      <c r="A24" s="103"/>
      <c r="B24" s="82"/>
      <c r="C24" s="71" t="s">
        <v>22</v>
      </c>
      <c r="D24" s="72" t="s">
        <v>3</v>
      </c>
      <c r="E24" s="79"/>
      <c r="F24" s="71" t="s">
        <v>24</v>
      </c>
      <c r="G24" s="71" t="s">
        <v>25</v>
      </c>
      <c r="H24" s="78" t="str">
        <f>H$10</f>
        <v>SP1</v>
      </c>
      <c r="I24" s="79" t="str">
        <f t="shared" ref="I24:L24" si="0">I$10</f>
        <v>SP2</v>
      </c>
      <c r="J24" s="79" t="str">
        <f t="shared" si="0"/>
        <v>SP3</v>
      </c>
      <c r="K24" s="80" t="str">
        <f t="shared" si="0"/>
        <v>SP4</v>
      </c>
      <c r="L24" s="81" t="str">
        <f t="shared" si="0"/>
        <v>Notes / Progress</v>
      </c>
      <c r="M24" s="102"/>
      <c r="N24" s="41"/>
      <c r="O24" s="41"/>
      <c r="P24" s="41"/>
      <c r="Q24" s="41"/>
      <c r="R24" s="41"/>
      <c r="S24" s="41"/>
      <c r="T24" s="41"/>
      <c r="U24" s="41"/>
      <c r="V24" s="41"/>
      <c r="W24" s="41"/>
    </row>
    <row r="25" spans="1:23" x14ac:dyDescent="0.25">
      <c r="A25" s="105" t="str">
        <f t="shared" ref="A25:A40" si="1">IFERROR(IF(HLOOKUP($L$23,RangeACOptOGARTS,M25,FALSE)=0,"",HLOOKUP($L$23,RangeACOptOGARTS,M25,FALSE)),"")</f>
        <v/>
      </c>
      <c r="B25" s="108" t="str">
        <f>IFERROR(IF(VLOOKUP($A25,TableHandbook[],2,FALSE)=0,"",VLOOKUP($A25,TableHandbook[],2,FALSE)),"")</f>
        <v/>
      </c>
      <c r="C25" s="108" t="str">
        <f>IFERROR(IF(VLOOKUP($A25,TableHandbook[],3,FALSE)=0,"",VLOOKUP($A25,TableHandbook[],3,FALSE)),"")</f>
        <v/>
      </c>
      <c r="D25" s="43" t="str">
        <f>IFERROR(IF(VLOOKUP($A25,TableHandbook[],4,FALSE)=0,"",VLOOKUP($A25,TableHandbook[],4,FALSE)),"")</f>
        <v/>
      </c>
      <c r="E25" s="44"/>
      <c r="F25" s="50" t="str">
        <f>IFERROR(IF(VLOOKUP($A25,TableHandbook[],6,FALSE)=0,"",VLOOKUP($A25,TableHandbook[],6,FALSE)),"")</f>
        <v/>
      </c>
      <c r="G25" s="44" t="str">
        <f>IFERROR(IF(VLOOKUP($A25,TableHandbook[],5,FALSE)=0,"",VLOOKUP($A25,TableHandbook[],5,FALSE)),"")</f>
        <v/>
      </c>
      <c r="H25" s="58" t="str">
        <f>IFERROR(VLOOKUP($A25,TableHandbook[],H$2,FALSE),"")</f>
        <v/>
      </c>
      <c r="I25" s="59" t="str">
        <f>IFERROR(VLOOKUP($A25,TableHandbook[],I$2,FALSE),"")</f>
        <v/>
      </c>
      <c r="J25" s="59" t="str">
        <f>IFERROR(VLOOKUP($A25,TableHandbook[],J$2,FALSE),"")</f>
        <v/>
      </c>
      <c r="K25" s="60" t="str">
        <f>IFERROR(VLOOKUP($A25,TableHandbook[],K$2,FALSE),"")</f>
        <v/>
      </c>
      <c r="L25" s="221"/>
      <c r="M25" s="100">
        <v>2</v>
      </c>
      <c r="N25" s="24"/>
      <c r="O25" s="24"/>
      <c r="P25" s="24"/>
      <c r="Q25" s="24"/>
      <c r="R25" s="24"/>
      <c r="S25" s="24"/>
      <c r="T25" s="24"/>
      <c r="U25" s="24"/>
      <c r="V25" s="24"/>
      <c r="W25" s="24"/>
    </row>
    <row r="26" spans="1:23" x14ac:dyDescent="0.25">
      <c r="A26" s="105" t="str">
        <f t="shared" si="1"/>
        <v/>
      </c>
      <c r="B26" s="108" t="str">
        <f>IFERROR(IF(VLOOKUP($A26,TableHandbook[],2,FALSE)=0,"",VLOOKUP($A26,TableHandbook[],2,FALSE)),"")</f>
        <v/>
      </c>
      <c r="C26" s="108" t="str">
        <f>IFERROR(IF(VLOOKUP($A26,TableHandbook[],3,FALSE)=0,"",VLOOKUP($A26,TableHandbook[],3,FALSE)),"")</f>
        <v/>
      </c>
      <c r="D26" s="43" t="str">
        <f>IFERROR(IF(VLOOKUP($A26,TableHandbook[],4,FALSE)=0,"",VLOOKUP($A26,TableHandbook[],4,FALSE)),"")</f>
        <v/>
      </c>
      <c r="E26" s="44"/>
      <c r="F26" s="50" t="str">
        <f>IFERROR(IF(VLOOKUP($A26,TableHandbook[],6,FALSE)=0,"",VLOOKUP($A26,TableHandbook[],6,FALSE)),"")</f>
        <v/>
      </c>
      <c r="G26" s="44" t="str">
        <f>IFERROR(IF(VLOOKUP($A26,TableHandbook[],5,FALSE)=0,"",VLOOKUP($A26,TableHandbook[],5,FALSE)),"")</f>
        <v/>
      </c>
      <c r="H26" s="58" t="str">
        <f>IFERROR(VLOOKUP($A26,TableHandbook[],H$2,FALSE),"")</f>
        <v/>
      </c>
      <c r="I26" s="59" t="str">
        <f>IFERROR(VLOOKUP($A26,TableHandbook[],I$2,FALSE),"")</f>
        <v/>
      </c>
      <c r="J26" s="59" t="str">
        <f>IFERROR(VLOOKUP($A26,TableHandbook[],J$2,FALSE),"")</f>
        <v/>
      </c>
      <c r="K26" s="60" t="str">
        <f>IFERROR(VLOOKUP($A26,TableHandbook[],K$2,FALSE),"")</f>
        <v/>
      </c>
      <c r="L26" s="221"/>
      <c r="M26" s="100">
        <v>3</v>
      </c>
      <c r="N26" s="24"/>
      <c r="O26" s="24"/>
      <c r="P26" s="24"/>
      <c r="Q26" s="24"/>
      <c r="R26" s="24"/>
      <c r="S26" s="24"/>
      <c r="T26" s="24"/>
      <c r="U26" s="24"/>
      <c r="V26" s="24"/>
      <c r="W26" s="24"/>
    </row>
    <row r="27" spans="1:23" x14ac:dyDescent="0.25">
      <c r="A27" s="105" t="str">
        <f t="shared" si="1"/>
        <v/>
      </c>
      <c r="B27" s="108" t="str">
        <f>IFERROR(IF(VLOOKUP($A27,TableHandbook[],2,FALSE)=0,"",VLOOKUP($A27,TableHandbook[],2,FALSE)),"")</f>
        <v/>
      </c>
      <c r="C27" s="108" t="str">
        <f>IFERROR(IF(VLOOKUP($A27,TableHandbook[],3,FALSE)=0,"",VLOOKUP($A27,TableHandbook[],3,FALSE)),"")</f>
        <v/>
      </c>
      <c r="D27" s="43" t="str">
        <f>IFERROR(IF(VLOOKUP($A27,TableHandbook[],4,FALSE)=0,"",VLOOKUP($A27,TableHandbook[],4,FALSE)),"")</f>
        <v/>
      </c>
      <c r="E27" s="44"/>
      <c r="F27" s="50" t="str">
        <f>IFERROR(IF(VLOOKUP($A27,TableHandbook[],6,FALSE)=0,"",VLOOKUP($A27,TableHandbook[],6,FALSE)),"")</f>
        <v/>
      </c>
      <c r="G27" s="44" t="str">
        <f>IFERROR(IF(VLOOKUP($A27,TableHandbook[],5,FALSE)=0,"",VLOOKUP($A27,TableHandbook[],5,FALSE)),"")</f>
        <v/>
      </c>
      <c r="H27" s="58" t="str">
        <f>IFERROR(VLOOKUP($A27,TableHandbook[],H$2,FALSE),"")</f>
        <v/>
      </c>
      <c r="I27" s="59" t="str">
        <f>IFERROR(VLOOKUP($A27,TableHandbook[],I$2,FALSE),"")</f>
        <v/>
      </c>
      <c r="J27" s="59" t="str">
        <f>IFERROR(VLOOKUP($A27,TableHandbook[],J$2,FALSE),"")</f>
        <v/>
      </c>
      <c r="K27" s="60" t="str">
        <f>IFERROR(VLOOKUP($A27,TableHandbook[],K$2,FALSE),"")</f>
        <v/>
      </c>
      <c r="L27" s="221"/>
      <c r="M27" s="100">
        <v>4</v>
      </c>
      <c r="N27" s="24"/>
      <c r="O27" s="24"/>
      <c r="P27" s="24"/>
      <c r="Q27" s="24"/>
      <c r="R27" s="24"/>
      <c r="S27" s="24"/>
      <c r="T27" s="24"/>
      <c r="U27" s="24"/>
      <c r="V27" s="24"/>
      <c r="W27" s="24"/>
    </row>
    <row r="28" spans="1:23" x14ac:dyDescent="0.25">
      <c r="A28" s="105" t="str">
        <f t="shared" si="1"/>
        <v/>
      </c>
      <c r="B28" s="108" t="str">
        <f>IFERROR(IF(VLOOKUP($A28,TableHandbook[],2,FALSE)=0,"",VLOOKUP($A28,TableHandbook[],2,FALSE)),"")</f>
        <v/>
      </c>
      <c r="C28" s="108" t="str">
        <f>IFERROR(IF(VLOOKUP($A28,TableHandbook[],3,FALSE)=0,"",VLOOKUP($A28,TableHandbook[],3,FALSE)),"")</f>
        <v/>
      </c>
      <c r="D28" s="43" t="str">
        <f>IFERROR(IF(VLOOKUP($A28,TableHandbook[],4,FALSE)=0,"",VLOOKUP($A28,TableHandbook[],4,FALSE)),"")</f>
        <v/>
      </c>
      <c r="E28" s="44"/>
      <c r="F28" s="50" t="str">
        <f>IFERROR(IF(VLOOKUP($A28,TableHandbook[],6,FALSE)=0,"",VLOOKUP($A28,TableHandbook[],6,FALSE)),"")</f>
        <v/>
      </c>
      <c r="G28" s="44" t="str">
        <f>IFERROR(IF(VLOOKUP($A28,TableHandbook[],5,FALSE)=0,"",VLOOKUP($A28,TableHandbook[],5,FALSE)),"")</f>
        <v/>
      </c>
      <c r="H28" s="58" t="str">
        <f>IFERROR(VLOOKUP($A28,TableHandbook[],H$2,FALSE),"")</f>
        <v/>
      </c>
      <c r="I28" s="59" t="str">
        <f>IFERROR(VLOOKUP($A28,TableHandbook[],I$2,FALSE),"")</f>
        <v/>
      </c>
      <c r="J28" s="59" t="str">
        <f>IFERROR(VLOOKUP($A28,TableHandbook[],J$2,FALSE),"")</f>
        <v/>
      </c>
      <c r="K28" s="60" t="str">
        <f>IFERROR(VLOOKUP($A28,TableHandbook[],K$2,FALSE),"")</f>
        <v/>
      </c>
      <c r="L28" s="221"/>
      <c r="M28" s="100">
        <v>5</v>
      </c>
      <c r="N28" s="24"/>
      <c r="O28" s="24"/>
      <c r="P28" s="24"/>
      <c r="Q28" s="24"/>
      <c r="R28" s="24"/>
      <c r="S28" s="24"/>
      <c r="T28" s="24"/>
      <c r="U28" s="24"/>
      <c r="V28" s="24"/>
      <c r="W28" s="24"/>
    </row>
    <row r="29" spans="1:23" x14ac:dyDescent="0.25">
      <c r="A29" s="105" t="str">
        <f t="shared" si="1"/>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9" t="str">
        <f>IFERROR(VLOOKUP($A29,TableHandbook[],J$2,FALSE),"")</f>
        <v/>
      </c>
      <c r="K29" s="60" t="str">
        <f>IFERROR(VLOOKUP($A29,TableHandbook[],K$2,FALSE),"")</f>
        <v/>
      </c>
      <c r="L29" s="221"/>
      <c r="M29" s="100">
        <v>6</v>
      </c>
      <c r="N29" s="24"/>
      <c r="O29" s="24"/>
      <c r="P29" s="24"/>
      <c r="Q29" s="24"/>
      <c r="R29" s="24"/>
      <c r="S29" s="24"/>
      <c r="T29" s="24"/>
      <c r="U29" s="24"/>
      <c r="V29" s="24"/>
      <c r="W29" s="24"/>
    </row>
    <row r="30" spans="1:23" x14ac:dyDescent="0.25">
      <c r="A30" s="105" t="str">
        <f t="shared" si="1"/>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9" t="str">
        <f>IFERROR(VLOOKUP($A30,TableHandbook[],J$2,FALSE),"")</f>
        <v/>
      </c>
      <c r="K30" s="60" t="str">
        <f>IFERROR(VLOOKUP($A30,TableHandbook[],K$2,FALSE),"")</f>
        <v/>
      </c>
      <c r="L30" s="221"/>
      <c r="M30" s="100">
        <v>7</v>
      </c>
      <c r="N30" s="24"/>
      <c r="O30" s="24"/>
      <c r="P30" s="24"/>
      <c r="Q30" s="24"/>
      <c r="R30" s="24"/>
      <c r="S30" s="24"/>
      <c r="T30" s="24"/>
      <c r="U30" s="24"/>
      <c r="V30" s="24"/>
      <c r="W30" s="24"/>
    </row>
    <row r="31" spans="1:23" x14ac:dyDescent="0.25">
      <c r="A31" s="105" t="str">
        <f t="shared" si="1"/>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9" t="str">
        <f>IFERROR(VLOOKUP($A31,TableHandbook[],J$2,FALSE),"")</f>
        <v/>
      </c>
      <c r="K31" s="60" t="str">
        <f>IFERROR(VLOOKUP($A31,TableHandbook[],K$2,FALSE),"")</f>
        <v/>
      </c>
      <c r="L31" s="221"/>
      <c r="M31" s="100">
        <v>8</v>
      </c>
      <c r="N31" s="24"/>
      <c r="O31" s="24"/>
      <c r="P31" s="24"/>
      <c r="Q31" s="24"/>
      <c r="R31" s="24"/>
      <c r="S31" s="24"/>
      <c r="T31" s="24"/>
      <c r="U31" s="24"/>
      <c r="V31" s="24"/>
      <c r="W31" s="24"/>
    </row>
    <row r="32" spans="1:23" x14ac:dyDescent="0.25">
      <c r="A32" s="105" t="str">
        <f t="shared" si="1"/>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9" t="str">
        <f>IFERROR(VLOOKUP($A32,TableHandbook[],J$2,FALSE),"")</f>
        <v/>
      </c>
      <c r="K32" s="60" t="str">
        <f>IFERROR(VLOOKUP($A32,TableHandbook[],K$2,FALSE),"")</f>
        <v/>
      </c>
      <c r="L32" s="221"/>
      <c r="M32" s="100">
        <v>9</v>
      </c>
      <c r="N32" s="24"/>
      <c r="O32" s="24"/>
      <c r="P32" s="24"/>
      <c r="Q32" s="24"/>
      <c r="R32" s="24"/>
      <c r="S32" s="24"/>
      <c r="T32" s="24"/>
      <c r="U32" s="24"/>
      <c r="V32" s="24"/>
      <c r="W32" s="24"/>
    </row>
    <row r="33" spans="1:23" x14ac:dyDescent="0.25">
      <c r="A33" s="105" t="str">
        <f t="shared" si="1"/>
        <v/>
      </c>
      <c r="B33" s="108" t="str">
        <f>IFERROR(IF(VLOOKUP($A33,TableHandbook[],2,FALSE)=0,"",VLOOKUP($A33,TableHandbook[],2,FALSE)),"")</f>
        <v/>
      </c>
      <c r="C33" s="108" t="str">
        <f>IFERROR(IF(VLOOKUP($A33,TableHandbook[],3,FALSE)=0,"",VLOOKUP($A33,TableHandbook[],3,FALSE)),"")</f>
        <v/>
      </c>
      <c r="D33" s="43" t="str">
        <f>IFERROR(IF(VLOOKUP($A33,TableHandbook[],4,FALSE)=0,"",VLOOKUP($A33,TableHandbook[],4,FALSE)),"")</f>
        <v/>
      </c>
      <c r="E33" s="44"/>
      <c r="F33" s="50" t="str">
        <f>IFERROR(IF(VLOOKUP($A33,TableHandbook[],6,FALSE)=0,"",VLOOKUP($A33,TableHandbook[],6,FALSE)),"")</f>
        <v/>
      </c>
      <c r="G33" s="44" t="str">
        <f>IFERROR(IF(VLOOKUP($A33,TableHandbook[],5,FALSE)=0,"",VLOOKUP($A33,TableHandbook[],5,FALSE)),"")</f>
        <v/>
      </c>
      <c r="H33" s="58" t="str">
        <f>IFERROR(VLOOKUP($A33,TableHandbook[],H$2,FALSE),"")</f>
        <v/>
      </c>
      <c r="I33" s="59" t="str">
        <f>IFERROR(VLOOKUP($A33,TableHandbook[],I$2,FALSE),"")</f>
        <v/>
      </c>
      <c r="J33" s="59" t="str">
        <f>IFERROR(VLOOKUP($A33,TableHandbook[],J$2,FALSE),"")</f>
        <v/>
      </c>
      <c r="K33" s="60" t="str">
        <f>IFERROR(VLOOKUP($A33,TableHandbook[],K$2,FALSE),"")</f>
        <v/>
      </c>
      <c r="L33" s="221"/>
      <c r="M33" s="100">
        <v>10</v>
      </c>
      <c r="N33" s="24"/>
      <c r="O33" s="24"/>
      <c r="P33" s="24"/>
      <c r="Q33" s="24"/>
      <c r="R33" s="24"/>
      <c r="S33" s="24"/>
      <c r="T33" s="24"/>
      <c r="U33" s="24"/>
      <c r="V33" s="24"/>
      <c r="W33" s="24"/>
    </row>
    <row r="34" spans="1:23" x14ac:dyDescent="0.25">
      <c r="A34" s="105" t="str">
        <f t="shared" si="1"/>
        <v/>
      </c>
      <c r="B34" s="108" t="str">
        <f>IFERROR(IF(VLOOKUP($A34,TableHandbook[],2,FALSE)=0,"",VLOOKUP($A34,TableHandbook[],2,FALSE)),"")</f>
        <v/>
      </c>
      <c r="C34" s="108" t="str">
        <f>IFERROR(IF(VLOOKUP($A34,TableHandbook[],3,FALSE)=0,"",VLOOKUP($A34,TableHandbook[],3,FALSE)),"")</f>
        <v/>
      </c>
      <c r="D34" s="43" t="str">
        <f>IFERROR(IF(VLOOKUP($A34,TableHandbook[],4,FALSE)=0,"",VLOOKUP($A34,TableHandbook[],4,FALSE)),"")</f>
        <v/>
      </c>
      <c r="E34" s="44"/>
      <c r="F34" s="50" t="str">
        <f>IFERROR(IF(VLOOKUP($A34,TableHandbook[],6,FALSE)=0,"",VLOOKUP($A34,TableHandbook[],6,FALSE)),"")</f>
        <v/>
      </c>
      <c r="G34" s="44" t="str">
        <f>IFERROR(IF(VLOOKUP($A34,TableHandbook[],5,FALSE)=0,"",VLOOKUP($A34,TableHandbook[],5,FALSE)),"")</f>
        <v/>
      </c>
      <c r="H34" s="58" t="str">
        <f>IFERROR(VLOOKUP($A34,TableHandbook[],H$2,FALSE),"")</f>
        <v/>
      </c>
      <c r="I34" s="59" t="str">
        <f>IFERROR(VLOOKUP($A34,TableHandbook[],I$2,FALSE),"")</f>
        <v/>
      </c>
      <c r="J34" s="59" t="str">
        <f>IFERROR(VLOOKUP($A34,TableHandbook[],J$2,FALSE),"")</f>
        <v/>
      </c>
      <c r="K34" s="60" t="str">
        <f>IFERROR(VLOOKUP($A34,TableHandbook[],K$2,FALSE),"")</f>
        <v/>
      </c>
      <c r="L34" s="221"/>
      <c r="M34" s="100">
        <v>11</v>
      </c>
      <c r="N34" s="24"/>
      <c r="O34" s="24"/>
      <c r="P34" s="24"/>
      <c r="Q34" s="24"/>
      <c r="R34" s="24"/>
      <c r="S34" s="24"/>
      <c r="T34" s="24"/>
      <c r="U34" s="24"/>
      <c r="V34" s="24"/>
      <c r="W34" s="24"/>
    </row>
    <row r="35" spans="1:23" x14ac:dyDescent="0.25">
      <c r="A35" s="105" t="str">
        <f t="shared" si="1"/>
        <v/>
      </c>
      <c r="B35" s="108" t="str">
        <f>IFERROR(IF(VLOOKUP($A35,TableHandbook[],2,FALSE)=0,"",VLOOKUP($A35,TableHandbook[],2,FALSE)),"")</f>
        <v/>
      </c>
      <c r="C35" s="108" t="str">
        <f>IFERROR(IF(VLOOKUP($A35,TableHandbook[],3,FALSE)=0,"",VLOOKUP($A35,TableHandbook[],3,FALSE)),"")</f>
        <v/>
      </c>
      <c r="D35" s="43" t="str">
        <f>IFERROR(IF(VLOOKUP($A35,TableHandbook[],4,FALSE)=0,"",VLOOKUP($A35,TableHandbook[],4,FALSE)),"")</f>
        <v/>
      </c>
      <c r="E35" s="44"/>
      <c r="F35" s="50" t="str">
        <f>IFERROR(IF(VLOOKUP($A35,TableHandbook[],6,FALSE)=0,"",VLOOKUP($A35,TableHandbook[],6,FALSE)),"")</f>
        <v/>
      </c>
      <c r="G35" s="44" t="str">
        <f>IFERROR(IF(VLOOKUP($A35,TableHandbook[],5,FALSE)=0,"",VLOOKUP($A35,TableHandbook[],5,FALSE)),"")</f>
        <v/>
      </c>
      <c r="H35" s="58" t="str">
        <f>IFERROR(VLOOKUP($A35,TableHandbook[],H$2,FALSE),"")</f>
        <v/>
      </c>
      <c r="I35" s="59" t="str">
        <f>IFERROR(VLOOKUP($A35,TableHandbook[],I$2,FALSE),"")</f>
        <v/>
      </c>
      <c r="J35" s="59" t="str">
        <f>IFERROR(VLOOKUP($A35,TableHandbook[],J$2,FALSE),"")</f>
        <v/>
      </c>
      <c r="K35" s="60" t="str">
        <f>IFERROR(VLOOKUP($A35,TableHandbook[],K$2,FALSE),"")</f>
        <v/>
      </c>
      <c r="L35" s="221"/>
      <c r="M35" s="100">
        <v>12</v>
      </c>
      <c r="N35" s="24"/>
      <c r="O35" s="24"/>
      <c r="P35" s="24"/>
      <c r="Q35" s="24"/>
      <c r="R35" s="24"/>
      <c r="S35" s="24"/>
      <c r="T35" s="24"/>
      <c r="U35" s="24"/>
      <c r="V35" s="24"/>
      <c r="W35" s="24"/>
    </row>
    <row r="36" spans="1:23" x14ac:dyDescent="0.25">
      <c r="A36" s="105" t="str">
        <f t="shared" si="1"/>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9" t="str">
        <f>IFERROR(VLOOKUP($A36,TableHandbook[],J$2,FALSE),"")</f>
        <v/>
      </c>
      <c r="K36" s="60" t="str">
        <f>IFERROR(VLOOKUP($A36,TableHandbook[],K$2,FALSE),"")</f>
        <v/>
      </c>
      <c r="L36" s="221"/>
      <c r="M36" s="100">
        <v>13</v>
      </c>
      <c r="N36" s="24"/>
      <c r="O36" s="24"/>
      <c r="P36" s="24"/>
      <c r="Q36" s="24"/>
      <c r="R36" s="24"/>
      <c r="S36" s="24"/>
      <c r="T36" s="24"/>
      <c r="U36" s="24"/>
      <c r="V36" s="24"/>
      <c r="W36" s="24"/>
    </row>
    <row r="37" spans="1:23" x14ac:dyDescent="0.25">
      <c r="A37" s="105" t="str">
        <f t="shared" si="1"/>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60" t="str">
        <f>IFERROR(VLOOKUP($A37,TableHandbook[],K$2,FALSE),"")</f>
        <v/>
      </c>
      <c r="L37" s="221"/>
      <c r="M37" s="100">
        <v>14</v>
      </c>
      <c r="N37" s="24"/>
      <c r="O37" s="24"/>
      <c r="P37" s="24"/>
      <c r="Q37" s="24"/>
      <c r="R37" s="24"/>
      <c r="S37" s="24"/>
      <c r="T37" s="24"/>
      <c r="U37" s="24"/>
      <c r="V37" s="24"/>
      <c r="W37" s="24"/>
    </row>
    <row r="38" spans="1:23" x14ac:dyDescent="0.25">
      <c r="A38" s="105" t="str">
        <f t="shared" si="1"/>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60" t="str">
        <f>IFERROR(VLOOKUP($A38,TableHandbook[],K$2,FALSE),"")</f>
        <v/>
      </c>
      <c r="L38" s="221"/>
      <c r="M38" s="100">
        <v>15</v>
      </c>
      <c r="N38" s="24"/>
      <c r="O38" s="24"/>
      <c r="P38" s="24"/>
      <c r="Q38" s="24"/>
      <c r="R38" s="24"/>
      <c r="S38" s="24"/>
      <c r="T38" s="24"/>
      <c r="U38" s="24"/>
      <c r="V38" s="24"/>
      <c r="W38" s="24"/>
    </row>
    <row r="39" spans="1:23" x14ac:dyDescent="0.25">
      <c r="A39" s="105" t="str">
        <f t="shared" si="1"/>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60" t="str">
        <f>IFERROR(VLOOKUP($A39,TableHandbook[],K$2,FALSE),"")</f>
        <v/>
      </c>
      <c r="L39" s="221"/>
      <c r="M39" s="100">
        <v>16</v>
      </c>
      <c r="N39" s="24"/>
      <c r="O39" s="24"/>
      <c r="P39" s="24"/>
      <c r="Q39" s="24"/>
      <c r="R39" s="24"/>
      <c r="S39" s="24"/>
      <c r="T39" s="24"/>
      <c r="U39" s="24"/>
      <c r="V39" s="24"/>
      <c r="W39" s="24"/>
    </row>
    <row r="40" spans="1:23" x14ac:dyDescent="0.25">
      <c r="A40" s="105" t="str">
        <f t="shared" si="1"/>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60" t="str">
        <f>IFERROR(VLOOKUP($A40,TableHandbook[],K$2,FALSE),"")</f>
        <v/>
      </c>
      <c r="L40" s="221"/>
      <c r="M40" s="100">
        <v>17</v>
      </c>
      <c r="N40" s="24"/>
      <c r="O40" s="24"/>
      <c r="P40" s="24"/>
      <c r="Q40" s="24"/>
      <c r="R40" s="24"/>
      <c r="S40" s="24"/>
      <c r="T40" s="24"/>
      <c r="U40" s="24"/>
      <c r="V40" s="24"/>
      <c r="W40" s="24"/>
    </row>
    <row r="41" spans="1:23" s="38" customFormat="1" ht="13.9" customHeight="1" x14ac:dyDescent="0.2">
      <c r="A41" s="39"/>
      <c r="B41" s="39"/>
      <c r="C41" s="39"/>
      <c r="D41" s="40"/>
      <c r="E41" s="63"/>
      <c r="F41" s="35"/>
      <c r="G41" s="35"/>
      <c r="H41" s="35"/>
      <c r="I41" s="35"/>
      <c r="J41" s="35"/>
      <c r="K41" s="35"/>
      <c r="L41" s="35"/>
      <c r="M41" s="101"/>
      <c r="N41" s="36"/>
      <c r="O41" s="36"/>
      <c r="P41" s="37"/>
      <c r="Q41" s="37"/>
      <c r="R41" s="37"/>
      <c r="S41" s="37"/>
      <c r="T41" s="37"/>
      <c r="U41" s="37"/>
      <c r="V41" s="37"/>
      <c r="W41" s="37"/>
    </row>
    <row r="42" spans="1:23" s="24" customFormat="1" ht="32.25" customHeight="1" x14ac:dyDescent="0.25">
      <c r="A42" s="238" t="s">
        <v>34</v>
      </c>
      <c r="B42" s="238"/>
      <c r="C42" s="238"/>
      <c r="D42" s="238"/>
      <c r="E42" s="238"/>
      <c r="F42" s="238"/>
      <c r="G42" s="238"/>
      <c r="H42" s="238"/>
      <c r="I42" s="238"/>
      <c r="J42" s="238"/>
      <c r="K42" s="238"/>
      <c r="L42" s="238"/>
    </row>
    <row r="43" spans="1:23" s="24" customFormat="1" x14ac:dyDescent="0.25">
      <c r="A43" s="45"/>
      <c r="B43" s="46"/>
      <c r="C43" s="46"/>
      <c r="D43" s="46"/>
      <c r="E43" s="64"/>
      <c r="F43" s="46"/>
      <c r="G43" s="46"/>
      <c r="H43" s="46"/>
      <c r="I43" s="46"/>
      <c r="J43" s="46"/>
      <c r="K43" s="46"/>
      <c r="L43" s="47"/>
    </row>
    <row r="44" spans="1:23" s="24" customFormat="1" ht="15" customHeight="1" x14ac:dyDescent="0.25">
      <c r="A44" s="34" t="s">
        <v>35</v>
      </c>
      <c r="B44" s="34"/>
      <c r="C44" s="34"/>
      <c r="D44" s="34"/>
      <c r="E44" s="65"/>
      <c r="F44" s="35"/>
      <c r="G44" s="48"/>
      <c r="H44" s="48"/>
      <c r="I44" s="48"/>
      <c r="J44" s="48"/>
      <c r="K44" s="48"/>
      <c r="L44" s="48" t="s">
        <v>36</v>
      </c>
    </row>
  </sheetData>
  <sheetProtection formatCells="0"/>
  <mergeCells count="2">
    <mergeCell ref="A3:D3"/>
    <mergeCell ref="A42:L42"/>
  </mergeCells>
  <conditionalFormatting sqref="A11:L21 A25:L40">
    <cfRule type="expression" dxfId="55" priority="4">
      <formula>$A11=""</formula>
    </cfRule>
  </conditionalFormatting>
  <conditionalFormatting sqref="A25:L40">
    <cfRule type="expression" dxfId="54" priority="2">
      <formula>OR(LEFT($D25,5)="Study",LEFT($D25,2)="50",LEFT($D25,2)="25")</formula>
    </cfRule>
  </conditionalFormatting>
  <conditionalFormatting sqref="D5:D8">
    <cfRule type="containsText" dxfId="53" priority="3" operator="containsText" text="Choose">
      <formula>NOT(ISERROR(SEARCH("Choose",D5)))</formula>
    </cfRule>
  </conditionalFormatting>
  <conditionalFormatting sqref="H11:K21">
    <cfRule type="expression" dxfId="52" priority="1">
      <formula>$E11=H$10</formula>
    </cfRule>
  </conditionalFormatting>
  <dataValidations count="1">
    <dataValidation type="list" allowBlank="1" showInputMessage="1" showErrorMessage="1" sqref="L16 L13 L19" xr:uid="{042CA5C4-C536-4F64-9CC4-8C8BC310F881}"/>
  </dataValidations>
  <printOptions horizontalCentered="1"/>
  <pageMargins left="0.31496062992125984" right="0.31496062992125984" top="0.39370078740157483" bottom="0.39370078740157483" header="0.19685039370078741" footer="0.19685039370078741"/>
  <pageSetup paperSize="9" scale="74" orientation="landscape" r:id="rId1"/>
  <rowBreaks count="1" manualBreakCount="1">
    <brk id="21"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018D863-8B15-4D42-B04C-8697F42C4BB9}">
          <x14:formula1>
            <xm:f>CourseDetails!$A$21:$A$25</xm:f>
          </x14:formula1>
          <xm:sqref>D6</xm:sqref>
        </x14:dataValidation>
        <x14:dataValidation type="list" allowBlank="1" showInputMessage="1" showErrorMessage="1" xr:uid="{D48CEE2A-29D5-48C2-B7DF-9FA98E4C1283}">
          <x14:formula1>
            <xm:f>CourseDetails!$A$35:$A$37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73E3-C0AB-40C8-BF04-18E83EFF4B86}">
  <sheetPr>
    <pageSetUpPr fitToPage="1"/>
  </sheetPr>
  <dimension ref="A1:W36"/>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57.375" style="15" customWidth="1"/>
    <col min="5" max="5" width="7.375" style="19" customWidth="1"/>
    <col min="6" max="6" width="20.2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36" t="s">
        <v>8</v>
      </c>
      <c r="B3" s="237"/>
      <c r="C3" s="237"/>
      <c r="D3" s="237"/>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37</v>
      </c>
      <c r="E5" s="61"/>
      <c r="F5" s="66" t="s">
        <v>12</v>
      </c>
      <c r="G5" s="21" t="str">
        <f>IFERROR(CONCATENATE(VLOOKUP(D5,TableCourses[],2,FALSE)," ",VLOOKUP(D5,TableCourses[],3,FALSE)),"")</f>
        <v>OC-ARTS v.1</v>
      </c>
      <c r="H5" s="21"/>
      <c r="I5" s="21"/>
      <c r="J5" s="21"/>
      <c r="K5" s="21"/>
      <c r="L5" s="218" t="e">
        <f>CONCATENATE(VLOOKUP(D5,TableCourses[],2,FALSE),VLOOKUP(D7,TableOMARTSStudyPeriods[],2,FALSE))</f>
        <v>#N/A</v>
      </c>
    </row>
    <row r="6" spans="1:23" ht="20.100000000000001" customHeight="1" x14ac:dyDescent="0.25">
      <c r="B6" s="20"/>
      <c r="C6" s="66" t="s">
        <v>38</v>
      </c>
      <c r="D6" s="106" t="s">
        <v>87</v>
      </c>
      <c r="E6" s="61"/>
      <c r="F6" s="66" t="s">
        <v>40</v>
      </c>
      <c r="G6" s="21" t="str">
        <f>IFERROR(CONCATENATE(VLOOKUP(D6,TableOCARTSStreams[],2,FALSE)," ",VLOOKUP(D6,TableOCARTSStreams[],3,FALSE)),"")</f>
        <v/>
      </c>
      <c r="H6" s="21"/>
      <c r="I6" s="21"/>
      <c r="J6" s="21"/>
      <c r="K6" s="21"/>
      <c r="L6" s="218" t="e">
        <f>CONCATENATE(VLOOKUP(D6,TableOCARTSStreams[],2,FALSE),VLOOKUP(D7,TableOMARTSStudyPeriods[],2,FALSE))</f>
        <v>#N/A</v>
      </c>
    </row>
    <row r="7" spans="1:23" ht="20.100000000000001" customHeight="1" x14ac:dyDescent="0.25">
      <c r="A7" s="22"/>
      <c r="B7" s="23"/>
      <c r="C7" s="66" t="s">
        <v>16</v>
      </c>
      <c r="D7" s="21" t="s">
        <v>51</v>
      </c>
      <c r="E7" s="62"/>
      <c r="F7" s="66" t="s">
        <v>18</v>
      </c>
      <c r="G7" s="21" t="str">
        <f>IFERROR(VLOOKUP($D$5,TableCourses[],7,FALSE),"")</f>
        <v>100 credit points required</v>
      </c>
      <c r="H7" s="55"/>
      <c r="I7" s="55"/>
      <c r="J7" s="55"/>
      <c r="K7" s="55"/>
      <c r="L7" s="218"/>
      <c r="M7" s="24"/>
      <c r="N7" s="24"/>
      <c r="O7" s="24"/>
      <c r="P7" s="24"/>
      <c r="Q7" s="24"/>
      <c r="R7" s="24"/>
      <c r="S7" s="24"/>
      <c r="T7" s="24"/>
      <c r="U7" s="24"/>
      <c r="V7" s="24"/>
      <c r="W7" s="24"/>
    </row>
    <row r="8" spans="1:23" ht="33" customHeight="1" x14ac:dyDescent="0.25">
      <c r="A8" s="156" t="s">
        <v>19</v>
      </c>
      <c r="B8" s="164" t="str">
        <f>VLOOKUP($D$5,RangeCourseNotes,2,FALSE)</f>
        <v>This course is 6 months full-time or equivalent part-time study. There are SP1 and SP3 intakes for this course.</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IFERROR(IF(HLOOKUP($L$6,RangeUnitsetsOCARTS,M11,FALSE)=0,"",HLOOKUP($L$6,RangeUnitsetsOCARTS,M11,FALSE)),"")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219"/>
      <c r="M11" s="100">
        <v>2</v>
      </c>
      <c r="N11" s="28"/>
      <c r="O11" s="28"/>
      <c r="P11" s="29"/>
      <c r="Q11" s="29"/>
      <c r="R11" s="29"/>
      <c r="S11" s="29"/>
      <c r="T11" s="29"/>
      <c r="U11" s="29"/>
      <c r="V11" s="29"/>
      <c r="W11" s="29"/>
    </row>
    <row r="12" spans="1:23" s="30" customFormat="1" ht="20.100000000000001" customHeight="1" x14ac:dyDescent="0.15">
      <c r="A12" s="67" t="str">
        <f>IFERROR(IF(HLOOKUP($L$6,RangeUnitsetsOCARTS,M12,FALSE)=0,"",HLOOKUP($L$6,RangeUnitsetsOCARTS,M12,FALSE)),"")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219"/>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220"/>
      <c r="M13" s="100"/>
      <c r="N13" s="28"/>
      <c r="O13" s="28"/>
      <c r="P13" s="28"/>
      <c r="Q13" s="29"/>
      <c r="R13" s="29"/>
      <c r="S13" s="29"/>
      <c r="T13" s="29"/>
      <c r="U13" s="29"/>
      <c r="V13" s="29"/>
      <c r="W13" s="29"/>
    </row>
    <row r="14" spans="1:23" s="30" customFormat="1" ht="20.100000000000001" customHeight="1" x14ac:dyDescent="0.15">
      <c r="A14" s="67" t="str">
        <f>IFERROR(IF(HLOOKUP($L$6,RangeUnitsetsOCARTS,M14,FALSE)=0,"",HLOOKUP($L$6,RangeUnitsetsOCARTS,M14,FALSE)),"")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219"/>
      <c r="M14" s="100">
        <v>4</v>
      </c>
      <c r="N14" s="28"/>
      <c r="O14" s="28"/>
      <c r="P14" s="29"/>
      <c r="Q14" s="29"/>
      <c r="R14" s="29"/>
      <c r="S14" s="29"/>
      <c r="T14" s="29"/>
      <c r="U14" s="29"/>
      <c r="V14" s="29"/>
      <c r="W14" s="29"/>
    </row>
    <row r="15" spans="1:23" s="33" customFormat="1" ht="19.5" customHeight="1" x14ac:dyDescent="0.15">
      <c r="A15" s="67" t="str">
        <f>IFERROR(IF(HLOOKUP($L$6,RangeUnitsetsOCARTS,M15,FALSE)=0,"",HLOOKUP($L$6,RangeUnitsetsOCARTS,M15,FALSE)),"")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219"/>
      <c r="M15" s="100">
        <v>5</v>
      </c>
      <c r="N15" s="31"/>
      <c r="O15" s="31"/>
      <c r="P15" s="32"/>
      <c r="Q15" s="32"/>
      <c r="R15" s="32"/>
      <c r="S15" s="32"/>
      <c r="T15" s="32"/>
      <c r="U15" s="32"/>
      <c r="V15" s="32"/>
      <c r="W15" s="32"/>
    </row>
    <row r="16" spans="1:23" s="38" customFormat="1" ht="13.9" customHeight="1" x14ac:dyDescent="0.2">
      <c r="A16" s="39"/>
      <c r="B16" s="39"/>
      <c r="C16" s="39"/>
      <c r="D16" s="40"/>
      <c r="E16" s="63"/>
      <c r="F16" s="35"/>
      <c r="G16" s="35"/>
      <c r="H16" s="35"/>
      <c r="I16" s="35"/>
      <c r="J16" s="35"/>
      <c r="K16" s="35"/>
      <c r="L16" s="35"/>
      <c r="M16" s="101"/>
      <c r="N16" s="36"/>
      <c r="O16" s="36"/>
      <c r="P16" s="37"/>
      <c r="Q16" s="37"/>
      <c r="R16" s="37"/>
      <c r="S16" s="37"/>
      <c r="T16" s="37"/>
      <c r="U16" s="37"/>
      <c r="V16" s="37"/>
      <c r="W16" s="37"/>
    </row>
    <row r="17" spans="1:23" ht="16.5" customHeight="1" x14ac:dyDescent="0.25">
      <c r="A17" s="83" t="s">
        <v>41</v>
      </c>
      <c r="B17" s="84"/>
      <c r="C17" s="84"/>
      <c r="D17" s="84"/>
      <c r="E17" s="85"/>
      <c r="F17" s="86"/>
      <c r="G17" s="86"/>
      <c r="H17" s="87" t="str">
        <f>H$9</f>
        <v>2026 Availabilities</v>
      </c>
      <c r="I17" s="88"/>
      <c r="J17" s="89"/>
      <c r="K17" s="90"/>
      <c r="L17" s="203" t="e">
        <f>VLOOKUP($D$6,TableOCARTSStreams[],2,FALSE)</f>
        <v>#N/A</v>
      </c>
      <c r="M17" s="102"/>
      <c r="N17" s="24"/>
      <c r="O17" s="24"/>
      <c r="P17" s="24"/>
      <c r="Q17" s="24"/>
      <c r="R17" s="24"/>
      <c r="S17" s="24"/>
      <c r="T17" s="24"/>
      <c r="U17" s="24"/>
      <c r="V17" s="24"/>
      <c r="W17" s="24"/>
    </row>
    <row r="18" spans="1:23" s="42" customFormat="1" ht="17.25" x14ac:dyDescent="0.25">
      <c r="A18" s="103"/>
      <c r="B18" s="82"/>
      <c r="C18" s="71" t="s">
        <v>22</v>
      </c>
      <c r="D18" s="72" t="s">
        <v>3</v>
      </c>
      <c r="E18" s="79"/>
      <c r="F18" s="71" t="s">
        <v>24</v>
      </c>
      <c r="G18" s="71" t="s">
        <v>25</v>
      </c>
      <c r="H18" s="78" t="str">
        <f>H$10</f>
        <v>SP1</v>
      </c>
      <c r="I18" s="79" t="str">
        <f t="shared" ref="I18:L18" si="0">I$10</f>
        <v>SP2</v>
      </c>
      <c r="J18" s="79" t="str">
        <f t="shared" si="0"/>
        <v>SP3</v>
      </c>
      <c r="K18" s="80" t="str">
        <f t="shared" si="0"/>
        <v>SP4</v>
      </c>
      <c r="L18" s="81" t="str">
        <f t="shared" si="0"/>
        <v>Notes / Progress</v>
      </c>
      <c r="M18" s="102"/>
      <c r="N18" s="41"/>
      <c r="O18" s="41"/>
      <c r="P18" s="41"/>
      <c r="Q18" s="41"/>
      <c r="R18" s="41"/>
      <c r="S18" s="41"/>
      <c r="T18" s="41"/>
      <c r="U18" s="41"/>
      <c r="V18" s="41"/>
      <c r="W18" s="41"/>
    </row>
    <row r="19" spans="1:23" x14ac:dyDescent="0.25">
      <c r="A19" s="105" t="str">
        <f t="shared" ref="A19:A32" si="1">IFERROR(IF(HLOOKUP($L$17,RangeACOptOCARTS,M19,FALSE)=0,"",HLOOKUP($L$17,RangeACOptOCARTS,M19,FALSE)),"")</f>
        <v/>
      </c>
      <c r="B19" s="108" t="str">
        <f>IFERROR(IF(VLOOKUP($A19,TableHandbook[],2,FALSE)=0,"",VLOOKUP($A19,TableHandbook[],2,FALSE)),"")</f>
        <v/>
      </c>
      <c r="C19" s="108" t="str">
        <f>IFERROR(IF(VLOOKUP($A19,TableHandbook[],3,FALSE)=0,"",VLOOKUP($A19,TableHandbook[],3,FALSE)),"")</f>
        <v/>
      </c>
      <c r="D19" s="43" t="str">
        <f>IFERROR(IF(VLOOKUP($A19,TableHandbook[],4,FALSE)=0,"",VLOOKUP($A19,TableHandbook[],4,FALSE)),"")</f>
        <v/>
      </c>
      <c r="E19" s="44"/>
      <c r="F19" s="50" t="str">
        <f>IFERROR(IF(VLOOKUP($A19,TableHandbook[],6,FALSE)=0,"",VLOOKUP($A19,TableHandbook[],6,FALSE)),"")</f>
        <v/>
      </c>
      <c r="G19" s="44" t="str">
        <f>IFERROR(IF(VLOOKUP($A19,TableHandbook[],5,FALSE)=0,"",VLOOKUP($A19,TableHandbook[],5,FALSE)),"")</f>
        <v/>
      </c>
      <c r="H19" s="58" t="str">
        <f>IFERROR(VLOOKUP($A19,TableHandbook[],H$2,FALSE),"")</f>
        <v/>
      </c>
      <c r="I19" s="59" t="str">
        <f>IFERROR(VLOOKUP($A19,TableHandbook[],I$2,FALSE),"")</f>
        <v/>
      </c>
      <c r="J19" s="59" t="str">
        <f>IFERROR(VLOOKUP($A19,TableHandbook[],J$2,FALSE),"")</f>
        <v/>
      </c>
      <c r="K19" s="60" t="str">
        <f>IFERROR(VLOOKUP($A19,TableHandbook[],K$2,FALSE),"")</f>
        <v/>
      </c>
      <c r="L19" s="221"/>
      <c r="M19" s="100">
        <v>2</v>
      </c>
      <c r="N19" s="24"/>
      <c r="O19" s="24"/>
      <c r="P19" s="24"/>
      <c r="Q19" s="24"/>
      <c r="R19" s="24"/>
      <c r="S19" s="24"/>
      <c r="T19" s="24"/>
      <c r="U19" s="24"/>
      <c r="V19" s="24"/>
      <c r="W19" s="24"/>
    </row>
    <row r="20" spans="1:23" x14ac:dyDescent="0.25">
      <c r="A20" s="105" t="str">
        <f t="shared" si="1"/>
        <v/>
      </c>
      <c r="B20" s="108" t="str">
        <f>IFERROR(IF(VLOOKUP($A20,TableHandbook[],2,FALSE)=0,"",VLOOKUP($A20,TableHandbook[],2,FALSE)),"")</f>
        <v/>
      </c>
      <c r="C20" s="108" t="str">
        <f>IFERROR(IF(VLOOKUP($A20,TableHandbook[],3,FALSE)=0,"",VLOOKUP($A20,TableHandbook[],3,FALSE)),"")</f>
        <v/>
      </c>
      <c r="D20" s="43" t="str">
        <f>IFERROR(IF(VLOOKUP($A20,TableHandbook[],4,FALSE)=0,"",VLOOKUP($A20,TableHandbook[],4,FALSE)),"")</f>
        <v/>
      </c>
      <c r="E20" s="44"/>
      <c r="F20" s="50" t="str">
        <f>IFERROR(IF(VLOOKUP($A20,TableHandbook[],6,FALSE)=0,"",VLOOKUP($A20,TableHandbook[],6,FALSE)),"")</f>
        <v/>
      </c>
      <c r="G20" s="44" t="str">
        <f>IFERROR(IF(VLOOKUP($A20,TableHandbook[],5,FALSE)=0,"",VLOOKUP($A20,TableHandbook[],5,FALSE)),"")</f>
        <v/>
      </c>
      <c r="H20" s="58" t="str">
        <f>IFERROR(VLOOKUP($A20,TableHandbook[],H$2,FALSE),"")</f>
        <v/>
      </c>
      <c r="I20" s="59" t="str">
        <f>IFERROR(VLOOKUP($A20,TableHandbook[],I$2,FALSE),"")</f>
        <v/>
      </c>
      <c r="J20" s="59" t="str">
        <f>IFERROR(VLOOKUP($A20,TableHandbook[],J$2,FALSE),"")</f>
        <v/>
      </c>
      <c r="K20" s="60" t="str">
        <f>IFERROR(VLOOKUP($A20,TableHandbook[],K$2,FALSE),"")</f>
        <v/>
      </c>
      <c r="L20" s="221"/>
      <c r="M20" s="100">
        <v>3</v>
      </c>
      <c r="N20" s="24"/>
      <c r="O20" s="24"/>
      <c r="P20" s="24"/>
      <c r="Q20" s="24"/>
      <c r="R20" s="24"/>
      <c r="S20" s="24"/>
      <c r="T20" s="24"/>
      <c r="U20" s="24"/>
      <c r="V20" s="24"/>
      <c r="W20" s="24"/>
    </row>
    <row r="21" spans="1:23" x14ac:dyDescent="0.25">
      <c r="A21" s="105" t="str">
        <f t="shared" si="1"/>
        <v/>
      </c>
      <c r="B21" s="108" t="str">
        <f>IFERROR(IF(VLOOKUP($A21,TableHandbook[],2,FALSE)=0,"",VLOOKUP($A21,TableHandbook[],2,FALSE)),"")</f>
        <v/>
      </c>
      <c r="C21" s="108" t="str">
        <f>IFERROR(IF(VLOOKUP($A21,TableHandbook[],3,FALSE)=0,"",VLOOKUP($A21,TableHandbook[],3,FALSE)),"")</f>
        <v/>
      </c>
      <c r="D21" s="43" t="str">
        <f>IFERROR(IF(VLOOKUP($A21,TableHandbook[],4,FALSE)=0,"",VLOOKUP($A21,TableHandbook[],4,FALSE)),"")</f>
        <v/>
      </c>
      <c r="E21" s="44"/>
      <c r="F21" s="50" t="str">
        <f>IFERROR(IF(VLOOKUP($A21,TableHandbook[],6,FALSE)=0,"",VLOOKUP($A21,TableHandbook[],6,FALSE)),"")</f>
        <v/>
      </c>
      <c r="G21" s="44" t="str">
        <f>IFERROR(IF(VLOOKUP($A21,TableHandbook[],5,FALSE)=0,"",VLOOKUP($A21,TableHandbook[],5,FALSE)),"")</f>
        <v/>
      </c>
      <c r="H21" s="58" t="str">
        <f>IFERROR(VLOOKUP($A21,TableHandbook[],H$2,FALSE),"")</f>
        <v/>
      </c>
      <c r="I21" s="59" t="str">
        <f>IFERROR(VLOOKUP($A21,TableHandbook[],I$2,FALSE),"")</f>
        <v/>
      </c>
      <c r="J21" s="59" t="str">
        <f>IFERROR(VLOOKUP($A21,TableHandbook[],J$2,FALSE),"")</f>
        <v/>
      </c>
      <c r="K21" s="60" t="str">
        <f>IFERROR(VLOOKUP($A21,TableHandbook[],K$2,FALSE),"")</f>
        <v/>
      </c>
      <c r="L21" s="221"/>
      <c r="M21" s="100">
        <v>4</v>
      </c>
      <c r="N21" s="24"/>
      <c r="O21" s="24"/>
      <c r="P21" s="24"/>
      <c r="Q21" s="24"/>
      <c r="R21" s="24"/>
      <c r="S21" s="24"/>
      <c r="T21" s="24"/>
      <c r="U21" s="24"/>
      <c r="V21" s="24"/>
      <c r="W21" s="24"/>
    </row>
    <row r="22" spans="1:23" x14ac:dyDescent="0.25">
      <c r="A22" s="105" t="str">
        <f t="shared" si="1"/>
        <v/>
      </c>
      <c r="B22" s="108" t="str">
        <f>IFERROR(IF(VLOOKUP($A22,TableHandbook[],2,FALSE)=0,"",VLOOKUP($A22,TableHandbook[],2,FALSE)),"")</f>
        <v/>
      </c>
      <c r="C22" s="108" t="str">
        <f>IFERROR(IF(VLOOKUP($A22,TableHandbook[],3,FALSE)=0,"",VLOOKUP($A22,TableHandbook[],3,FALSE)),"")</f>
        <v/>
      </c>
      <c r="D22" s="43" t="str">
        <f>IFERROR(IF(VLOOKUP($A22,TableHandbook[],4,FALSE)=0,"",VLOOKUP($A22,TableHandbook[],4,FALSE)),"")</f>
        <v/>
      </c>
      <c r="E22" s="44"/>
      <c r="F22" s="50" t="str">
        <f>IFERROR(IF(VLOOKUP($A22,TableHandbook[],6,FALSE)=0,"",VLOOKUP($A22,TableHandbook[],6,FALSE)),"")</f>
        <v/>
      </c>
      <c r="G22" s="44" t="str">
        <f>IFERROR(IF(VLOOKUP($A22,TableHandbook[],5,FALSE)=0,"",VLOOKUP($A22,TableHandbook[],5,FALSE)),"")</f>
        <v/>
      </c>
      <c r="H22" s="58" t="str">
        <f>IFERROR(VLOOKUP($A22,TableHandbook[],H$2,FALSE),"")</f>
        <v/>
      </c>
      <c r="I22" s="59" t="str">
        <f>IFERROR(VLOOKUP($A22,TableHandbook[],I$2,FALSE),"")</f>
        <v/>
      </c>
      <c r="J22" s="59" t="str">
        <f>IFERROR(VLOOKUP($A22,TableHandbook[],J$2,FALSE),"")</f>
        <v/>
      </c>
      <c r="K22" s="60" t="str">
        <f>IFERROR(VLOOKUP($A22,TableHandbook[],K$2,FALSE),"")</f>
        <v/>
      </c>
      <c r="L22" s="221"/>
      <c r="M22" s="100">
        <v>5</v>
      </c>
      <c r="N22" s="24"/>
      <c r="O22" s="24"/>
      <c r="P22" s="24"/>
      <c r="Q22" s="24"/>
      <c r="R22" s="24"/>
      <c r="S22" s="24"/>
      <c r="T22" s="24"/>
      <c r="U22" s="24"/>
      <c r="V22" s="24"/>
      <c r="W22" s="24"/>
    </row>
    <row r="23" spans="1:23" x14ac:dyDescent="0.25">
      <c r="A23" s="105" t="str">
        <f t="shared" si="1"/>
        <v/>
      </c>
      <c r="B23" s="108" t="str">
        <f>IFERROR(IF(VLOOKUP($A23,TableHandbook[],2,FALSE)=0,"",VLOOKUP($A23,TableHandbook[],2,FALSE)),"")</f>
        <v/>
      </c>
      <c r="C23" s="108" t="str">
        <f>IFERROR(IF(VLOOKUP($A23,TableHandbook[],3,FALSE)=0,"",VLOOKUP($A23,TableHandbook[],3,FALSE)),"")</f>
        <v/>
      </c>
      <c r="D23" s="43" t="str">
        <f>IFERROR(IF(VLOOKUP($A23,TableHandbook[],4,FALSE)=0,"",VLOOKUP($A23,TableHandbook[],4,FALSE)),"")</f>
        <v/>
      </c>
      <c r="E23" s="44"/>
      <c r="F23" s="50" t="str">
        <f>IFERROR(IF(VLOOKUP($A23,TableHandbook[],6,FALSE)=0,"",VLOOKUP($A23,TableHandbook[],6,FALSE)),"")</f>
        <v/>
      </c>
      <c r="G23" s="44" t="str">
        <f>IFERROR(IF(VLOOKUP($A23,TableHandbook[],5,FALSE)=0,"",VLOOKUP($A23,TableHandbook[],5,FALSE)),"")</f>
        <v/>
      </c>
      <c r="H23" s="58" t="str">
        <f>IFERROR(VLOOKUP($A23,TableHandbook[],H$2,FALSE),"")</f>
        <v/>
      </c>
      <c r="I23" s="59" t="str">
        <f>IFERROR(VLOOKUP($A23,TableHandbook[],I$2,FALSE),"")</f>
        <v/>
      </c>
      <c r="J23" s="59" t="str">
        <f>IFERROR(VLOOKUP($A23,TableHandbook[],J$2,FALSE),"")</f>
        <v/>
      </c>
      <c r="K23" s="60" t="str">
        <f>IFERROR(VLOOKUP($A23,TableHandbook[],K$2,FALSE),"")</f>
        <v/>
      </c>
      <c r="L23" s="221"/>
      <c r="M23" s="100">
        <v>6</v>
      </c>
      <c r="N23" s="24"/>
      <c r="O23" s="24"/>
      <c r="P23" s="24"/>
      <c r="Q23" s="24"/>
      <c r="R23" s="24"/>
      <c r="S23" s="24"/>
      <c r="T23" s="24"/>
      <c r="U23" s="24"/>
      <c r="V23" s="24"/>
      <c r="W23" s="24"/>
    </row>
    <row r="24" spans="1:23" x14ac:dyDescent="0.25">
      <c r="A24" s="105" t="str">
        <f t="shared" si="1"/>
        <v/>
      </c>
      <c r="B24" s="108" t="str">
        <f>IFERROR(IF(VLOOKUP($A24,TableHandbook[],2,FALSE)=0,"",VLOOKUP($A24,TableHandbook[],2,FALSE)),"")</f>
        <v/>
      </c>
      <c r="C24" s="108" t="str">
        <f>IFERROR(IF(VLOOKUP($A24,TableHandbook[],3,FALSE)=0,"",VLOOKUP($A24,TableHandbook[],3,FALSE)),"")</f>
        <v/>
      </c>
      <c r="D24" s="43" t="str">
        <f>IFERROR(IF(VLOOKUP($A24,TableHandbook[],4,FALSE)=0,"",VLOOKUP($A24,TableHandbook[],4,FALSE)),"")</f>
        <v/>
      </c>
      <c r="E24" s="44"/>
      <c r="F24" s="50" t="str">
        <f>IFERROR(IF(VLOOKUP($A24,TableHandbook[],6,FALSE)=0,"",VLOOKUP($A24,TableHandbook[],6,FALSE)),"")</f>
        <v/>
      </c>
      <c r="G24" s="44" t="str">
        <f>IFERROR(IF(VLOOKUP($A24,TableHandbook[],5,FALSE)=0,"",VLOOKUP($A24,TableHandbook[],5,FALSE)),"")</f>
        <v/>
      </c>
      <c r="H24" s="58" t="str">
        <f>IFERROR(VLOOKUP($A24,TableHandbook[],H$2,FALSE),"")</f>
        <v/>
      </c>
      <c r="I24" s="59" t="str">
        <f>IFERROR(VLOOKUP($A24,TableHandbook[],I$2,FALSE),"")</f>
        <v/>
      </c>
      <c r="J24" s="59" t="str">
        <f>IFERROR(VLOOKUP($A24,TableHandbook[],J$2,FALSE),"")</f>
        <v/>
      </c>
      <c r="K24" s="60" t="str">
        <f>IFERROR(VLOOKUP($A24,TableHandbook[],K$2,FALSE),"")</f>
        <v/>
      </c>
      <c r="L24" s="221"/>
      <c r="M24" s="100">
        <v>7</v>
      </c>
      <c r="N24" s="24"/>
      <c r="O24" s="24"/>
      <c r="P24" s="24"/>
      <c r="Q24" s="24"/>
      <c r="R24" s="24"/>
      <c r="S24" s="24"/>
      <c r="T24" s="24"/>
      <c r="U24" s="24"/>
      <c r="V24" s="24"/>
      <c r="W24" s="24"/>
    </row>
    <row r="25" spans="1:23" x14ac:dyDescent="0.25">
      <c r="A25" s="105" t="str">
        <f t="shared" si="1"/>
        <v/>
      </c>
      <c r="B25" s="108" t="str">
        <f>IFERROR(IF(VLOOKUP($A25,TableHandbook[],2,FALSE)=0,"",VLOOKUP($A25,TableHandbook[],2,FALSE)),"")</f>
        <v/>
      </c>
      <c r="C25" s="108" t="str">
        <f>IFERROR(IF(VLOOKUP($A25,TableHandbook[],3,FALSE)=0,"",VLOOKUP($A25,TableHandbook[],3,FALSE)),"")</f>
        <v/>
      </c>
      <c r="D25" s="43" t="str">
        <f>IFERROR(IF(VLOOKUP($A25,TableHandbook[],4,FALSE)=0,"",VLOOKUP($A25,TableHandbook[],4,FALSE)),"")</f>
        <v/>
      </c>
      <c r="E25" s="44"/>
      <c r="F25" s="50" t="str">
        <f>IFERROR(IF(VLOOKUP($A25,TableHandbook[],6,FALSE)=0,"",VLOOKUP($A25,TableHandbook[],6,FALSE)),"")</f>
        <v/>
      </c>
      <c r="G25" s="44" t="str">
        <f>IFERROR(IF(VLOOKUP($A25,TableHandbook[],5,FALSE)=0,"",VLOOKUP($A25,TableHandbook[],5,FALSE)),"")</f>
        <v/>
      </c>
      <c r="H25" s="58" t="str">
        <f>IFERROR(VLOOKUP($A25,TableHandbook[],H$2,FALSE),"")</f>
        <v/>
      </c>
      <c r="I25" s="59" t="str">
        <f>IFERROR(VLOOKUP($A25,TableHandbook[],I$2,FALSE),"")</f>
        <v/>
      </c>
      <c r="J25" s="59" t="str">
        <f>IFERROR(VLOOKUP($A25,TableHandbook[],J$2,FALSE),"")</f>
        <v/>
      </c>
      <c r="K25" s="60" t="str">
        <f>IFERROR(VLOOKUP($A25,TableHandbook[],K$2,FALSE),"")</f>
        <v/>
      </c>
      <c r="L25" s="221"/>
      <c r="M25" s="100">
        <v>8</v>
      </c>
      <c r="N25" s="24"/>
      <c r="O25" s="24"/>
      <c r="P25" s="24"/>
      <c r="Q25" s="24"/>
      <c r="R25" s="24"/>
      <c r="S25" s="24"/>
      <c r="T25" s="24"/>
      <c r="U25" s="24"/>
      <c r="V25" s="24"/>
      <c r="W25" s="24"/>
    </row>
    <row r="26" spans="1:23" x14ac:dyDescent="0.25">
      <c r="A26" s="105" t="str">
        <f t="shared" si="1"/>
        <v/>
      </c>
      <c r="B26" s="108" t="str">
        <f>IFERROR(IF(VLOOKUP($A26,TableHandbook[],2,FALSE)=0,"",VLOOKUP($A26,TableHandbook[],2,FALSE)),"")</f>
        <v/>
      </c>
      <c r="C26" s="108" t="str">
        <f>IFERROR(IF(VLOOKUP($A26,TableHandbook[],3,FALSE)=0,"",VLOOKUP($A26,TableHandbook[],3,FALSE)),"")</f>
        <v/>
      </c>
      <c r="D26" s="43" t="str">
        <f>IFERROR(IF(VLOOKUP($A26,TableHandbook[],4,FALSE)=0,"",VLOOKUP($A26,TableHandbook[],4,FALSE)),"")</f>
        <v/>
      </c>
      <c r="E26" s="44"/>
      <c r="F26" s="50" t="str">
        <f>IFERROR(IF(VLOOKUP($A26,TableHandbook[],6,FALSE)=0,"",VLOOKUP($A26,TableHandbook[],6,FALSE)),"")</f>
        <v/>
      </c>
      <c r="G26" s="44" t="str">
        <f>IFERROR(IF(VLOOKUP($A26,TableHandbook[],5,FALSE)=0,"",VLOOKUP($A26,TableHandbook[],5,FALSE)),"")</f>
        <v/>
      </c>
      <c r="H26" s="58" t="str">
        <f>IFERROR(VLOOKUP($A26,TableHandbook[],H$2,FALSE),"")</f>
        <v/>
      </c>
      <c r="I26" s="59" t="str">
        <f>IFERROR(VLOOKUP($A26,TableHandbook[],I$2,FALSE),"")</f>
        <v/>
      </c>
      <c r="J26" s="59" t="str">
        <f>IFERROR(VLOOKUP($A26,TableHandbook[],J$2,FALSE),"")</f>
        <v/>
      </c>
      <c r="K26" s="60" t="str">
        <f>IFERROR(VLOOKUP($A26,TableHandbook[],K$2,FALSE),"")</f>
        <v/>
      </c>
      <c r="L26" s="221"/>
      <c r="M26" s="100">
        <v>9</v>
      </c>
      <c r="N26" s="24"/>
      <c r="O26" s="24"/>
      <c r="P26" s="24"/>
      <c r="Q26" s="24"/>
      <c r="R26" s="24"/>
      <c r="S26" s="24"/>
      <c r="T26" s="24"/>
      <c r="U26" s="24"/>
      <c r="V26" s="24"/>
      <c r="W26" s="24"/>
    </row>
    <row r="27" spans="1:23" x14ac:dyDescent="0.25">
      <c r="A27" s="105" t="str">
        <f t="shared" si="1"/>
        <v/>
      </c>
      <c r="B27" s="108" t="str">
        <f>IFERROR(IF(VLOOKUP($A27,TableHandbook[],2,FALSE)=0,"",VLOOKUP($A27,TableHandbook[],2,FALSE)),"")</f>
        <v/>
      </c>
      <c r="C27" s="108" t="str">
        <f>IFERROR(IF(VLOOKUP($A27,TableHandbook[],3,FALSE)=0,"",VLOOKUP($A27,TableHandbook[],3,FALSE)),"")</f>
        <v/>
      </c>
      <c r="D27" s="43" t="str">
        <f>IFERROR(IF(VLOOKUP($A27,TableHandbook[],4,FALSE)=0,"",VLOOKUP($A27,TableHandbook[],4,FALSE)),"")</f>
        <v/>
      </c>
      <c r="E27" s="44"/>
      <c r="F27" s="50" t="str">
        <f>IFERROR(IF(VLOOKUP($A27,TableHandbook[],6,FALSE)=0,"",VLOOKUP($A27,TableHandbook[],6,FALSE)),"")</f>
        <v/>
      </c>
      <c r="G27" s="44" t="str">
        <f>IFERROR(IF(VLOOKUP($A27,TableHandbook[],5,FALSE)=0,"",VLOOKUP($A27,TableHandbook[],5,FALSE)),"")</f>
        <v/>
      </c>
      <c r="H27" s="58" t="str">
        <f>IFERROR(VLOOKUP($A27,TableHandbook[],H$2,FALSE),"")</f>
        <v/>
      </c>
      <c r="I27" s="59" t="str">
        <f>IFERROR(VLOOKUP($A27,TableHandbook[],I$2,FALSE),"")</f>
        <v/>
      </c>
      <c r="J27" s="59" t="str">
        <f>IFERROR(VLOOKUP($A27,TableHandbook[],J$2,FALSE),"")</f>
        <v/>
      </c>
      <c r="K27" s="60" t="str">
        <f>IFERROR(VLOOKUP($A27,TableHandbook[],K$2,FALSE),"")</f>
        <v/>
      </c>
      <c r="L27" s="221"/>
      <c r="M27" s="100">
        <v>10</v>
      </c>
      <c r="N27" s="24"/>
      <c r="O27" s="24"/>
      <c r="P27" s="24"/>
      <c r="Q27" s="24"/>
      <c r="R27" s="24"/>
      <c r="S27" s="24"/>
      <c r="T27" s="24"/>
      <c r="U27" s="24"/>
      <c r="V27" s="24"/>
      <c r="W27" s="24"/>
    </row>
    <row r="28" spans="1:23" x14ac:dyDescent="0.25">
      <c r="A28" s="105" t="str">
        <f t="shared" si="1"/>
        <v/>
      </c>
      <c r="B28" s="108" t="str">
        <f>IFERROR(IF(VLOOKUP($A28,TableHandbook[],2,FALSE)=0,"",VLOOKUP($A28,TableHandbook[],2,FALSE)),"")</f>
        <v/>
      </c>
      <c r="C28" s="108" t="str">
        <f>IFERROR(IF(VLOOKUP($A28,TableHandbook[],3,FALSE)=0,"",VLOOKUP($A28,TableHandbook[],3,FALSE)),"")</f>
        <v/>
      </c>
      <c r="D28" s="43" t="str">
        <f>IFERROR(IF(VLOOKUP($A28,TableHandbook[],4,FALSE)=0,"",VLOOKUP($A28,TableHandbook[],4,FALSE)),"")</f>
        <v/>
      </c>
      <c r="E28" s="44"/>
      <c r="F28" s="50" t="str">
        <f>IFERROR(IF(VLOOKUP($A28,TableHandbook[],6,FALSE)=0,"",VLOOKUP($A28,TableHandbook[],6,FALSE)),"")</f>
        <v/>
      </c>
      <c r="G28" s="44" t="str">
        <f>IFERROR(IF(VLOOKUP($A28,TableHandbook[],5,FALSE)=0,"",VLOOKUP($A28,TableHandbook[],5,FALSE)),"")</f>
        <v/>
      </c>
      <c r="H28" s="58" t="str">
        <f>IFERROR(VLOOKUP($A28,TableHandbook[],H$2,FALSE),"")</f>
        <v/>
      </c>
      <c r="I28" s="59" t="str">
        <f>IFERROR(VLOOKUP($A28,TableHandbook[],I$2,FALSE),"")</f>
        <v/>
      </c>
      <c r="J28" s="59" t="str">
        <f>IFERROR(VLOOKUP($A28,TableHandbook[],J$2,FALSE),"")</f>
        <v/>
      </c>
      <c r="K28" s="60" t="str">
        <f>IFERROR(VLOOKUP($A28,TableHandbook[],K$2,FALSE),"")</f>
        <v/>
      </c>
      <c r="L28" s="221"/>
      <c r="M28" s="100">
        <v>11</v>
      </c>
      <c r="N28" s="24"/>
      <c r="O28" s="24"/>
      <c r="P28" s="24"/>
      <c r="Q28" s="24"/>
      <c r="R28" s="24"/>
      <c r="S28" s="24"/>
      <c r="T28" s="24"/>
      <c r="U28" s="24"/>
      <c r="V28" s="24"/>
      <c r="W28" s="24"/>
    </row>
    <row r="29" spans="1:23" x14ac:dyDescent="0.25">
      <c r="A29" s="105" t="str">
        <f t="shared" si="1"/>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9" t="str">
        <f>IFERROR(VLOOKUP($A29,TableHandbook[],J$2,FALSE),"")</f>
        <v/>
      </c>
      <c r="K29" s="60" t="str">
        <f>IFERROR(VLOOKUP($A29,TableHandbook[],K$2,FALSE),"")</f>
        <v/>
      </c>
      <c r="L29" s="221"/>
      <c r="M29" s="100">
        <v>12</v>
      </c>
      <c r="N29" s="24"/>
      <c r="O29" s="24"/>
      <c r="P29" s="24"/>
      <c r="Q29" s="24"/>
      <c r="R29" s="24"/>
      <c r="S29" s="24"/>
      <c r="T29" s="24"/>
      <c r="U29" s="24"/>
      <c r="V29" s="24"/>
      <c r="W29" s="24"/>
    </row>
    <row r="30" spans="1:23" x14ac:dyDescent="0.25">
      <c r="A30" s="105" t="str">
        <f t="shared" si="1"/>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9" t="str">
        <f>IFERROR(VLOOKUP($A30,TableHandbook[],J$2,FALSE),"")</f>
        <v/>
      </c>
      <c r="K30" s="60" t="str">
        <f>IFERROR(VLOOKUP($A30,TableHandbook[],K$2,FALSE),"")</f>
        <v/>
      </c>
      <c r="L30" s="221"/>
      <c r="M30" s="100">
        <v>13</v>
      </c>
      <c r="N30" s="24"/>
      <c r="O30" s="24"/>
      <c r="P30" s="24"/>
      <c r="Q30" s="24"/>
      <c r="R30" s="24"/>
      <c r="S30" s="24"/>
      <c r="T30" s="24"/>
      <c r="U30" s="24"/>
      <c r="V30" s="24"/>
      <c r="W30" s="24"/>
    </row>
    <row r="31" spans="1:23" x14ac:dyDescent="0.25">
      <c r="A31" s="105" t="str">
        <f t="shared" si="1"/>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9" t="str">
        <f>IFERROR(VLOOKUP($A31,TableHandbook[],J$2,FALSE),"")</f>
        <v/>
      </c>
      <c r="K31" s="60" t="str">
        <f>IFERROR(VLOOKUP($A31,TableHandbook[],K$2,FALSE),"")</f>
        <v/>
      </c>
      <c r="L31" s="221"/>
      <c r="M31" s="100">
        <v>14</v>
      </c>
      <c r="N31" s="24"/>
      <c r="O31" s="24"/>
      <c r="P31" s="24"/>
      <c r="Q31" s="24"/>
      <c r="R31" s="24"/>
      <c r="S31" s="24"/>
      <c r="T31" s="24"/>
      <c r="U31" s="24"/>
      <c r="V31" s="24"/>
      <c r="W31" s="24"/>
    </row>
    <row r="32" spans="1:23" x14ac:dyDescent="0.25">
      <c r="A32" s="105" t="str">
        <f t="shared" si="1"/>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9" t="str">
        <f>IFERROR(VLOOKUP($A32,TableHandbook[],J$2,FALSE),"")</f>
        <v/>
      </c>
      <c r="K32" s="60" t="str">
        <f>IFERROR(VLOOKUP($A32,TableHandbook[],K$2,FALSE),"")</f>
        <v/>
      </c>
      <c r="L32" s="221"/>
      <c r="M32" s="100">
        <v>15</v>
      </c>
      <c r="N32" s="24"/>
      <c r="O32" s="24"/>
      <c r="P32" s="24"/>
      <c r="Q32" s="24"/>
      <c r="R32" s="24"/>
      <c r="S32" s="24"/>
      <c r="T32" s="24"/>
      <c r="U32" s="24"/>
      <c r="V32" s="24"/>
      <c r="W32" s="24"/>
    </row>
    <row r="33" spans="1:23" s="38" customFormat="1" ht="13.9" customHeight="1" x14ac:dyDescent="0.2">
      <c r="A33" s="39"/>
      <c r="B33" s="39"/>
      <c r="C33" s="39"/>
      <c r="D33" s="40"/>
      <c r="E33" s="63"/>
      <c r="F33" s="35"/>
      <c r="G33" s="35"/>
      <c r="H33" s="35"/>
      <c r="I33" s="35"/>
      <c r="J33" s="35"/>
      <c r="K33" s="35"/>
      <c r="L33" s="35"/>
      <c r="M33" s="101"/>
      <c r="N33" s="36"/>
      <c r="O33" s="36"/>
      <c r="P33" s="37"/>
      <c r="Q33" s="37"/>
      <c r="R33" s="37"/>
      <c r="S33" s="37"/>
      <c r="T33" s="37"/>
      <c r="U33" s="37"/>
      <c r="V33" s="37"/>
      <c r="W33" s="37"/>
    </row>
    <row r="34" spans="1:23" s="24" customFormat="1" ht="32.25" customHeight="1" x14ac:dyDescent="0.25">
      <c r="A34" s="238" t="s">
        <v>34</v>
      </c>
      <c r="B34" s="238"/>
      <c r="C34" s="238"/>
      <c r="D34" s="238"/>
      <c r="E34" s="238"/>
      <c r="F34" s="238"/>
      <c r="G34" s="238"/>
      <c r="H34" s="238"/>
      <c r="I34" s="238"/>
      <c r="J34" s="238"/>
      <c r="K34" s="238"/>
      <c r="L34" s="238"/>
    </row>
    <row r="35" spans="1:23" s="24" customFormat="1" x14ac:dyDescent="0.25">
      <c r="A35" s="45"/>
      <c r="B35" s="46"/>
      <c r="C35" s="46"/>
      <c r="D35" s="46"/>
      <c r="E35" s="64"/>
      <c r="F35" s="46"/>
      <c r="G35" s="46"/>
      <c r="H35" s="46"/>
      <c r="I35" s="46"/>
      <c r="J35" s="46"/>
      <c r="K35" s="46"/>
      <c r="L35" s="47"/>
    </row>
    <row r="36" spans="1:23" s="24" customFormat="1" ht="15" customHeight="1" x14ac:dyDescent="0.25">
      <c r="A36" s="34" t="s">
        <v>35</v>
      </c>
      <c r="B36" s="34"/>
      <c r="C36" s="34"/>
      <c r="D36" s="34"/>
      <c r="E36" s="65"/>
      <c r="F36" s="35"/>
      <c r="G36" s="48"/>
      <c r="H36" s="48"/>
      <c r="I36" s="48"/>
      <c r="J36" s="48"/>
      <c r="K36" s="48"/>
      <c r="L36" s="48" t="s">
        <v>36</v>
      </c>
    </row>
  </sheetData>
  <sheetProtection formatCells="0"/>
  <mergeCells count="2">
    <mergeCell ref="A3:D3"/>
    <mergeCell ref="A34:L34"/>
  </mergeCells>
  <conditionalFormatting sqref="A11:L15 A19:L32">
    <cfRule type="expression" dxfId="51" priority="4">
      <formula>$A11=""</formula>
    </cfRule>
  </conditionalFormatting>
  <conditionalFormatting sqref="A19:L32">
    <cfRule type="expression" dxfId="50" priority="2">
      <formula>OR(LEFT($D19,5)="Study",LEFT($D19,2)="50",LEFT($D19,2)="25")</formula>
    </cfRule>
  </conditionalFormatting>
  <conditionalFormatting sqref="D5:D8">
    <cfRule type="containsText" dxfId="49" priority="3" operator="containsText" text="Choose">
      <formula>NOT(ISERROR(SEARCH("Choose",D5)))</formula>
    </cfRule>
  </conditionalFormatting>
  <conditionalFormatting sqref="H11:K15">
    <cfRule type="expression" dxfId="48" priority="1">
      <formula>$E11=H$10</formula>
    </cfRule>
  </conditionalFormatting>
  <dataValidations count="1">
    <dataValidation type="list" allowBlank="1" showInputMessage="1" showErrorMessage="1" sqref="L13" xr:uid="{20560537-C37D-46AE-BF14-E87DE4CB587A}"/>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1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2067A1-9B40-442C-8A35-280D40D15D4D}">
          <x14:formula1>
            <xm:f>CourseDetails!$A$28:$A$32</xm:f>
          </x14:formula1>
          <xm:sqref>D6</xm:sqref>
        </x14:dataValidation>
        <x14:dataValidation type="list" allowBlank="1" showInputMessage="1" showErrorMessage="1" xr:uid="{2BD075E6-AB6C-441E-9666-5138FE737B6A}">
          <x14:formula1>
            <xm:f>CourseDetails!$A$35:$A$37</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8"/>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36" t="s">
        <v>8</v>
      </c>
      <c r="B3" s="237"/>
      <c r="C3" s="237"/>
      <c r="D3" s="237"/>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43</v>
      </c>
      <c r="E5" s="61"/>
      <c r="F5" s="66" t="s">
        <v>12</v>
      </c>
      <c r="G5" s="21" t="str">
        <f>IFERROR(CONCATENATE(VLOOKUP(D5,TableCourses[],2,FALSE)," ",VLOOKUP(D5,TableCourses[],3,FALSE)),"")</f>
        <v>OC-HRIGHT v.1</v>
      </c>
      <c r="H5" s="21"/>
      <c r="I5" s="21"/>
      <c r="J5" s="21"/>
      <c r="K5" s="21"/>
      <c r="L5" s="21"/>
      <c r="M5" s="21"/>
      <c r="N5" s="97" t="str">
        <f>CONCATENATE(VLOOKUP(D5,TableCourses[],2,FALSE),VLOOKUP(D6,TableSessionStudyPeriods[],2,FALSE))</f>
        <v>OC-HRIGHTSess1</v>
      </c>
    </row>
    <row r="6" spans="1:25" ht="20.100000000000001" customHeight="1" x14ac:dyDescent="0.25">
      <c r="A6" s="22"/>
      <c r="B6" s="23"/>
      <c r="C6" s="66" t="s">
        <v>16</v>
      </c>
      <c r="D6" s="21" t="s">
        <v>44</v>
      </c>
      <c r="E6" s="62"/>
      <c r="F6" s="66" t="s">
        <v>18</v>
      </c>
      <c r="G6" s="21" t="str">
        <f>IFERROR(VLOOKUP($D$5,TableCourses[],7,FALSE),"")</f>
        <v>100 credit points required</v>
      </c>
      <c r="H6" s="55"/>
      <c r="I6" s="55"/>
      <c r="J6" s="55"/>
      <c r="K6" s="55"/>
      <c r="L6" s="55"/>
      <c r="M6" s="55"/>
      <c r="N6" s="97"/>
      <c r="O6" s="24"/>
      <c r="P6" s="24"/>
      <c r="Q6" s="24"/>
      <c r="R6" s="24"/>
      <c r="S6" s="24"/>
      <c r="T6" s="24"/>
      <c r="U6" s="24"/>
      <c r="V6" s="24"/>
      <c r="W6" s="24"/>
      <c r="X6" s="24"/>
      <c r="Y6" s="24"/>
    </row>
    <row r="7" spans="1:25" ht="33.75" customHeight="1" x14ac:dyDescent="0.25">
      <c r="A7" s="155" t="s">
        <v>19</v>
      </c>
      <c r="B7" s="164" t="str">
        <f>IFERROR(VLOOKUP($D$5,RangeCourseNotes,2,FALSE),"")</f>
        <v>This fee paying course is only available for part-time study and the minimum completion time is 1 year.</v>
      </c>
      <c r="C7" s="164"/>
      <c r="D7" s="164"/>
      <c r="E7" s="164"/>
      <c r="F7" s="164"/>
      <c r="G7" s="164"/>
      <c r="H7" s="165"/>
      <c r="I7" s="165"/>
      <c r="J7" s="165"/>
      <c r="K7" s="165"/>
      <c r="L7" s="165"/>
      <c r="M7" s="165"/>
      <c r="N7" s="166"/>
      <c r="O7" s="24"/>
      <c r="P7" s="24"/>
      <c r="Q7" s="24"/>
      <c r="R7" s="24"/>
      <c r="S7" s="24"/>
      <c r="T7" s="24"/>
      <c r="U7" s="24"/>
      <c r="V7" s="24"/>
      <c r="W7" s="24"/>
      <c r="X7" s="24"/>
      <c r="Y7" s="24"/>
    </row>
    <row r="8" spans="1:25" s="27" customFormat="1" ht="14.1" customHeight="1" x14ac:dyDescent="0.25">
      <c r="A8" s="71"/>
      <c r="B8" s="71"/>
      <c r="C8" s="71"/>
      <c r="D8" s="72"/>
      <c r="E8" s="71"/>
      <c r="F8" s="71"/>
      <c r="G8" s="71"/>
      <c r="H8" s="73" t="s">
        <v>45</v>
      </c>
      <c r="I8" s="74"/>
      <c r="J8" s="74"/>
      <c r="K8" s="74"/>
      <c r="L8" s="74"/>
      <c r="M8" s="75"/>
      <c r="N8" s="76"/>
      <c r="O8" s="25"/>
      <c r="P8" s="25"/>
      <c r="Q8" s="25"/>
      <c r="R8" s="26"/>
      <c r="S8" s="26"/>
      <c r="T8" s="26"/>
      <c r="U8" s="26"/>
      <c r="V8" s="26"/>
      <c r="W8" s="26"/>
      <c r="X8" s="26"/>
      <c r="Y8" s="26"/>
    </row>
    <row r="9" spans="1:25" s="27" customFormat="1" ht="21" x14ac:dyDescent="0.25">
      <c r="A9" s="71" t="s">
        <v>21</v>
      </c>
      <c r="B9" s="71"/>
      <c r="C9" s="71" t="s">
        <v>22</v>
      </c>
      <c r="D9" s="72" t="s">
        <v>3</v>
      </c>
      <c r="E9" s="77" t="s">
        <v>23</v>
      </c>
      <c r="F9" s="71" t="s">
        <v>24</v>
      </c>
      <c r="G9" s="71" t="s">
        <v>25</v>
      </c>
      <c r="H9" s="78" t="s">
        <v>46</v>
      </c>
      <c r="I9" s="79" t="s">
        <v>47</v>
      </c>
      <c r="J9" s="78" t="s">
        <v>26</v>
      </c>
      <c r="K9" s="79" t="s">
        <v>27</v>
      </c>
      <c r="L9" s="79" t="s">
        <v>28</v>
      </c>
      <c r="M9" s="80" t="s">
        <v>29</v>
      </c>
      <c r="N9" s="81" t="s">
        <v>30</v>
      </c>
      <c r="O9" s="25"/>
      <c r="P9" s="25"/>
      <c r="Q9" s="25"/>
      <c r="R9" s="26"/>
      <c r="S9" s="26"/>
      <c r="T9" s="26"/>
      <c r="U9" s="26"/>
      <c r="V9" s="26"/>
      <c r="W9" s="26"/>
      <c r="X9" s="26"/>
      <c r="Y9" s="26"/>
    </row>
    <row r="10" spans="1:25" s="30" customFormat="1" ht="20.100000000000001" customHeight="1" x14ac:dyDescent="0.15">
      <c r="A10" s="67" t="str">
        <f>IFERROR(IF(HLOOKUP($N$5,RangeUnitsetsHRIGHTS,O10,FALSE)=0,"",HLOOKUP($N$5,RangeUnitsetsHRIGHTS,O10,FALSE)),"")</f>
        <v>HRIG5007</v>
      </c>
      <c r="B10" s="51">
        <f>IFERROR(IF(VLOOKUP($A10,TableHandbook[],2,FALSE)=0,"",VLOOKUP($A10,TableHandbook[],2,FALSE)),"")</f>
        <v>2</v>
      </c>
      <c r="C10" s="51" t="str">
        <f>IFERROR(IF(VLOOKUP($A10,TableHandbook[],3,FALSE)=0,"",VLOOKUP($A10,TableHandbook[],3,FALSE)),"")</f>
        <v>CHRE502</v>
      </c>
      <c r="D10" s="92" t="str">
        <f>IFERROR(IF(VLOOKUP($A10,TableHandbook[],4,FALSE)=0,"",VLOOKUP($A10,TableHandbook[],4,FALSE)),"")</f>
        <v>Dialogue across Cultures and Religions</v>
      </c>
      <c r="E10" s="51" t="str">
        <f>IF(A10="","",VLOOKUP($D$6,TableSessionStudyPeriods[],2,FALSE))</f>
        <v>Sess1</v>
      </c>
      <c r="F10" s="69" t="str">
        <f>IFERROR(IF(VLOOKUP($A10,TableHandbook[],6,FALSE)=0,"",VLOOKUP($A10,TableHandbook[],6,FALSE)),"")</f>
        <v>Nil</v>
      </c>
      <c r="G10" s="51">
        <f>IFERROR(IF(VLOOKUP($A10,TableHandbook[],5,FALSE)=0,"",VLOOKUP($A10,TableHandbook[],5,FALSE)),"")</f>
        <v>25</v>
      </c>
      <c r="H10" s="52" t="str">
        <f>IFERROR(VLOOKUP($A10,TableHandbook[],H$2,FALSE),"")</f>
        <v/>
      </c>
      <c r="I10" s="51" t="str">
        <f>IFERROR(VLOOKUP($A10,TableHandbook[],I$2,FALSE),"")</f>
        <v>Y</v>
      </c>
      <c r="J10" s="52" t="str">
        <f>IFERROR(VLOOKUP($A10,TableHandbook[],J$2,FALSE),"")</f>
        <v/>
      </c>
      <c r="K10" s="51" t="str">
        <f>IFERROR(VLOOKUP($A10,TableHandbook[],K$2,FALSE),"")</f>
        <v/>
      </c>
      <c r="L10" s="51" t="str">
        <f>IFERROR(VLOOKUP($A10,TableHandbook[],L$2,FALSE),"")</f>
        <v/>
      </c>
      <c r="M10" s="53" t="str">
        <f>IFERROR(VLOOKUP($A10,TableHandbook[],M$2,FALSE),"")</f>
        <v/>
      </c>
      <c r="N10" s="94"/>
      <c r="O10" s="100">
        <v>2</v>
      </c>
      <c r="P10" s="28"/>
      <c r="Q10" s="28"/>
      <c r="R10" s="29"/>
      <c r="S10" s="29"/>
      <c r="T10" s="29"/>
      <c r="U10" s="29"/>
      <c r="V10" s="29"/>
      <c r="W10" s="29"/>
      <c r="X10" s="29"/>
      <c r="Y10" s="29"/>
    </row>
    <row r="11" spans="1:25" s="30" customFormat="1" ht="20.100000000000001" customHeight="1" x14ac:dyDescent="0.15">
      <c r="A11" s="67" t="str">
        <f>IFERROR(IF(HLOOKUP($N$5,RangeUnitsetsHRIGHTS,O11,FALSE)=0,"",HLOOKUP($N$5,RangeUnitsetsHRIGHTS,O11,FALSE)),"")</f>
        <v>HRIG5008</v>
      </c>
      <c r="B11" s="51">
        <f>IFERROR(IF(VLOOKUP($A11,TableHandbook[],2,FALSE)=0,"",VLOOKUP($A11,TableHandbook[],2,FALSE)),"")</f>
        <v>2</v>
      </c>
      <c r="C11" s="51" t="str">
        <f>IFERROR(IF(VLOOKUP($A11,TableHandbook[],3,FALSE)=0,"",VLOOKUP($A11,TableHandbook[],3,FALSE)),"")</f>
        <v>CHRE506</v>
      </c>
      <c r="D11" s="92" t="str">
        <f>IFERROR(IF(VLOOKUP($A11,TableHandbook[],4,FALSE)=0,"",VLOOKUP($A11,TableHandbook[],4,FALSE)),"")</f>
        <v>International Human Rights Law and Practice</v>
      </c>
      <c r="E11" s="51" t="str">
        <f>IF(A11="","",E10)</f>
        <v>Sess1</v>
      </c>
      <c r="F11" s="69" t="str">
        <f>IFERROR(IF(VLOOKUP($A11,TableHandbook[],6,FALSE)=0,"",VLOOKUP($A11,TableHandbook[],6,FALSE)),"")</f>
        <v>Nil</v>
      </c>
      <c r="G11" s="51">
        <f>IFERROR(IF(VLOOKUP($A11,TableHandbook[],5,FALSE)=0,"",VLOOKUP($A11,TableHandbook[],5,FALSE)),"")</f>
        <v>25</v>
      </c>
      <c r="H11" s="52" t="str">
        <f>IFERROR(VLOOKUP($A11,TableHandbook[],H$2,FALSE),"")</f>
        <v/>
      </c>
      <c r="I11" s="51" t="str">
        <f>IFERROR(VLOOKUP($A11,TableHandbook[],I$2,FALSE),"")</f>
        <v>Y</v>
      </c>
      <c r="J11" s="52" t="str">
        <f>IFERROR(VLOOKUP($A11,TableHandbook[],J$2,FALSE),"")</f>
        <v/>
      </c>
      <c r="K11" s="51" t="str">
        <f>IFERROR(VLOOKUP($A11,TableHandbook[],K$2,FALSE),"")</f>
        <v/>
      </c>
      <c r="L11" s="51" t="str">
        <f>IFERROR(VLOOKUP($A11,TableHandbook[],L$2,FALSE),"")</f>
        <v/>
      </c>
      <c r="M11" s="53" t="str">
        <f>IFERROR(VLOOKUP($A11,TableHandbook[],M$2,FALSE),"")</f>
        <v/>
      </c>
      <c r="N11" s="94"/>
      <c r="O11" s="100">
        <v>3</v>
      </c>
      <c r="P11" s="28"/>
      <c r="Q11" s="28"/>
      <c r="R11" s="29"/>
      <c r="S11" s="29"/>
      <c r="T11" s="29"/>
      <c r="U11" s="29"/>
      <c r="V11" s="29"/>
      <c r="W11" s="29"/>
      <c r="X11" s="29"/>
      <c r="Y11" s="29"/>
    </row>
    <row r="12" spans="1:25" s="30" customFormat="1" ht="5.0999999999999996" customHeight="1" x14ac:dyDescent="0.15">
      <c r="A12" s="112"/>
      <c r="B12" s="113"/>
      <c r="C12" s="113"/>
      <c r="D12" s="114"/>
      <c r="E12" s="113"/>
      <c r="F12" s="115"/>
      <c r="G12" s="113"/>
      <c r="H12" s="116"/>
      <c r="I12" s="113"/>
      <c r="J12" s="116"/>
      <c r="K12" s="113"/>
      <c r="L12" s="113"/>
      <c r="M12" s="117"/>
      <c r="N12" s="118"/>
      <c r="O12" s="100"/>
      <c r="P12" s="28"/>
      <c r="Q12" s="28"/>
      <c r="R12" s="28"/>
      <c r="S12" s="29"/>
      <c r="T12" s="29"/>
      <c r="U12" s="29"/>
      <c r="V12" s="29"/>
      <c r="W12" s="29"/>
      <c r="X12" s="29"/>
      <c r="Y12" s="29"/>
    </row>
    <row r="13" spans="1:25" s="30" customFormat="1" ht="20.100000000000001" customHeight="1" x14ac:dyDescent="0.15">
      <c r="A13" s="67" t="str">
        <f>IFERROR(IF(HLOOKUP($N$5,RangeUnitsetsHRIGHTS,O13,FALSE)=0,"",HLOOKUP($N$5,RangeUnitsetsHRIGHTS,O13,FALSE)),"")</f>
        <v>HRIG5009</v>
      </c>
      <c r="B13" s="51">
        <f>IFERROR(IF(VLOOKUP($A13,TableHandbook[],2,FALSE)=0,"",VLOOKUP($A13,TableHandbook[],2,FALSE)),"")</f>
        <v>2</v>
      </c>
      <c r="C13" s="51" t="str">
        <f>IFERROR(IF(VLOOKUP($A13,TableHandbook[],3,FALSE)=0,"",VLOOKUP($A13,TableHandbook[],3,FALSE)),"")</f>
        <v>CHRE507</v>
      </c>
      <c r="D13" s="92" t="str">
        <f>IFERROR(IF(VLOOKUP($A13,TableHandbook[],4,FALSE)=0,"",VLOOKUP($A13,TableHandbook[],4,FALSE)),"")</f>
        <v>Social Justice and Development</v>
      </c>
      <c r="E13" s="51" t="str">
        <f>IF(A13="","",VLOOKUP($D$6,TableSessionStudyPeriods[],3,FALSE))</f>
        <v>Sess2</v>
      </c>
      <c r="F13" s="69" t="str">
        <f>IFERROR(IF(VLOOKUP($A13,TableHandbook[],6,FALSE)=0,"",VLOOKUP($A13,TableHandbook[],6,FALSE)),"")</f>
        <v>Nil</v>
      </c>
      <c r="G13" s="51">
        <f>IFERROR(IF(VLOOKUP($A13,TableHandbook[],5,FALSE)=0,"",VLOOKUP($A13,TableHandbook[],5,FALSE)),"")</f>
        <v>25</v>
      </c>
      <c r="H13" s="52" t="str">
        <f>IFERROR(VLOOKUP($A13,TableHandbook[],H$2,FALSE),"")</f>
        <v>Y</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4</v>
      </c>
      <c r="P13" s="28"/>
      <c r="Q13" s="28"/>
      <c r="R13" s="29"/>
      <c r="S13" s="29"/>
      <c r="T13" s="29"/>
      <c r="U13" s="29"/>
      <c r="V13" s="29"/>
      <c r="W13" s="29"/>
      <c r="X13" s="29"/>
      <c r="Y13" s="29"/>
    </row>
    <row r="14" spans="1:25" s="33" customFormat="1" ht="20.100000000000001" customHeight="1" x14ac:dyDescent="0.15">
      <c r="A14" s="67" t="str">
        <f>IFERROR(IF(HLOOKUP($N$5,RangeUnitsetsHRIGHTS,O14,FALSE)=0,"",HLOOKUP($N$5,RangeUnitsetsHRIGHTS,O14,FALSE)),"")</f>
        <v>HRIG5010</v>
      </c>
      <c r="B14" s="51">
        <f>IFERROR(IF(VLOOKUP($A14,TableHandbook[],2,FALSE)=0,"",VLOOKUP($A14,TableHandbook[],2,FALSE)),"")</f>
        <v>2</v>
      </c>
      <c r="C14" s="51" t="str">
        <f>IFERROR(IF(VLOOKUP($A14,TableHandbook[],3,FALSE)=0,"",VLOOKUP($A14,TableHandbook[],3,FALSE)),"")</f>
        <v>CHRE512</v>
      </c>
      <c r="D14" s="92" t="str">
        <f>IFERROR(IF(VLOOKUP($A14,TableHandbook[],4,FALSE)=0,"",VLOOKUP($A14,TableHandbook[],4,FALSE)),"")</f>
        <v>Activism, Advocacy and Change</v>
      </c>
      <c r="E14" s="51" t="str">
        <f>IF(A14="","",E13)</f>
        <v>Sess2</v>
      </c>
      <c r="F14" s="69" t="str">
        <f>IFERROR(IF(VLOOKUP($A14,TableHandbook[],6,FALSE)=0,"",VLOOKUP($A14,TableHandbook[],6,FALSE)),"")</f>
        <v>Nil</v>
      </c>
      <c r="G14" s="51">
        <f>IFERROR(IF(VLOOKUP($A14,TableHandbook[],5,FALSE)=0,"",VLOOKUP($A14,TableHandbook[],5,FALSE)),"")</f>
        <v>25</v>
      </c>
      <c r="H14" s="52" t="str">
        <f>IFERROR(VLOOKUP($A14,TableHandbook[],H$2,FALSE),"")</f>
        <v/>
      </c>
      <c r="I14" s="51" t="str">
        <f>IFERROR(VLOOKUP($A14,TableHandbook[],I$2,FALSE),"")</f>
        <v>Y</v>
      </c>
      <c r="J14" s="52" t="str">
        <f>IFERROR(VLOOKUP($A14,TableHandbook[],J$2,FALSE),"")</f>
        <v/>
      </c>
      <c r="K14" s="51" t="str">
        <f>IFERROR(VLOOKUP($A14,TableHandbook[],K$2,FALSE),"")</f>
        <v/>
      </c>
      <c r="L14" s="51" t="str">
        <f>IFERROR(VLOOKUP($A14,TableHandbook[],L$2,FALSE),"")</f>
        <v/>
      </c>
      <c r="M14" s="53" t="str">
        <f>IFERROR(VLOOKUP($A14,TableHandbook[],M$2,FALSE),"")</f>
        <v/>
      </c>
      <c r="N14" s="94"/>
      <c r="O14" s="100">
        <v>5</v>
      </c>
      <c r="P14" s="31"/>
      <c r="Q14" s="31"/>
      <c r="R14" s="32"/>
      <c r="S14" s="32"/>
      <c r="T14" s="32"/>
      <c r="U14" s="32"/>
      <c r="V14" s="32"/>
      <c r="W14" s="32"/>
      <c r="X14" s="32"/>
      <c r="Y14" s="32"/>
    </row>
    <row r="15" spans="1:25" s="30" customFormat="1" ht="5.0999999999999996" customHeight="1" x14ac:dyDescent="0.15">
      <c r="A15" s="112"/>
      <c r="B15" s="113"/>
      <c r="C15" s="113"/>
      <c r="D15" s="114"/>
      <c r="E15" s="113"/>
      <c r="F15" s="115"/>
      <c r="G15" s="113"/>
      <c r="H15" s="116"/>
      <c r="I15" s="113"/>
      <c r="J15" s="116"/>
      <c r="K15" s="113"/>
      <c r="L15" s="113"/>
      <c r="M15" s="117"/>
      <c r="N15" s="118"/>
      <c r="O15" s="100"/>
      <c r="P15" s="28"/>
      <c r="Q15" s="28"/>
      <c r="R15" s="28"/>
      <c r="S15" s="29"/>
      <c r="T15" s="29"/>
      <c r="U15" s="29"/>
      <c r="V15" s="29"/>
      <c r="W15" s="29"/>
      <c r="X15" s="29"/>
      <c r="Y15" s="29"/>
    </row>
    <row r="16" spans="1:25" s="30" customFormat="1" ht="20.100000000000001" customHeight="1" x14ac:dyDescent="0.15">
      <c r="A16" s="67" t="str">
        <f>IFERROR(IF(HLOOKUP($N$5,RangeUnitsetsHRIGHTS,O16,FALSE)=0,"",HLOOKUP($N$5,RangeUnitsetsHRIGHTS,O16,FALSE)),"")</f>
        <v>HRIG5011</v>
      </c>
      <c r="B16" s="51">
        <f>IFERROR(IF(VLOOKUP($A16,TableHandbook[],2,FALSE)=0,"",VLOOKUP($A16,TableHandbook[],2,FALSE)),"")</f>
        <v>3</v>
      </c>
      <c r="C16" s="51" t="str">
        <f>IFERROR(IF(VLOOKUP($A16,TableHandbook[],3,FALSE)=0,"",VLOOKUP($A16,TableHandbook[],3,FALSE)),"")</f>
        <v>CHRE509</v>
      </c>
      <c r="D16" s="92" t="str">
        <f>IFERROR(IF(VLOOKUP($A16,TableHandbook[],4,FALSE)=0,"",VLOOKUP($A16,TableHandbook[],4,FALSE)),"")</f>
        <v>Forced Migration and Refugee Rights</v>
      </c>
      <c r="E16" s="51" t="str">
        <f>IF(A16="","",VLOOKUP($D$6,TableSessionStudyPeriods[],2,FALSE))</f>
        <v>Sess1</v>
      </c>
      <c r="F16" s="69" t="str">
        <f>IFERROR(IF(VLOOKUP($A16,TableHandbook[],6,FALSE)=0,"",VLOOKUP($A16,TableHandbook[],6,FALSE)),"")</f>
        <v>Nil</v>
      </c>
      <c r="G16" s="51">
        <f>IFERROR(IF(VLOOKUP($A16,TableHandbook[],5,FALSE)=0,"",VLOOKUP($A16,TableHandbook[],5,FALSE)),"")</f>
        <v>25</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6</v>
      </c>
      <c r="P16" s="28"/>
      <c r="Q16" s="28"/>
      <c r="R16" s="29"/>
      <c r="S16" s="29"/>
      <c r="T16" s="29"/>
      <c r="U16" s="29"/>
      <c r="V16" s="29"/>
      <c r="W16" s="29"/>
      <c r="X16" s="29"/>
      <c r="Y16" s="29"/>
    </row>
    <row r="17" spans="1:25" s="33" customFormat="1" ht="20.100000000000001" customHeight="1" x14ac:dyDescent="0.15">
      <c r="A17" s="67" t="str">
        <f>IFERROR(IF(HLOOKUP($N$5,RangeUnitsetsHRIGHTS,O17,FALSE)=0,"",HLOOKUP($N$5,RangeUnitsetsHRIGHTS,O17,FALSE)),"")</f>
        <v>INTR5007</v>
      </c>
      <c r="B17" s="51">
        <f>IFERROR(IF(VLOOKUP($A17,TableHandbook[],2,FALSE)=0,"",VLOOKUP($A17,TableHandbook[],2,FALSE)),"")</f>
        <v>2</v>
      </c>
      <c r="C17" s="51" t="str">
        <f>IFERROR(IF(VLOOKUP($A17,TableHandbook[],3,FALSE)=0,"",VLOOKUP($A17,TableHandbook[],3,FALSE)),"")</f>
        <v>CHRE503</v>
      </c>
      <c r="D17" s="92" t="str">
        <f>IFERROR(IF(VLOOKUP($A17,TableHandbook[],4,FALSE)=0,"",VLOOKUP($A17,TableHandbook[],4,FALSE)),"")</f>
        <v>Human Rights Education in Practice</v>
      </c>
      <c r="E17" s="51" t="str">
        <f>IF(A17="","",E16)</f>
        <v>Sess1</v>
      </c>
      <c r="F17" s="69" t="str">
        <f>IFERROR(IF(VLOOKUP($A17,TableHandbook[],6,FALSE)=0,"",VLOOKUP($A17,TableHandbook[],6,FALSE)),"")</f>
        <v>Nil</v>
      </c>
      <c r="G17" s="51">
        <f>IFERROR(IF(VLOOKUP($A17,TableHandbook[],5,FALSE)=0,"",VLOOKUP($A17,TableHandbook[],5,FALSE)),"")</f>
        <v>25</v>
      </c>
      <c r="H17" s="52" t="str">
        <f>IFERROR(VLOOKUP($A17,TableHandbook[],H$2,FALSE),"")</f>
        <v/>
      </c>
      <c r="I17" s="51" t="str">
        <f>IFERROR(VLOOKUP($A17,TableHandbook[],I$2,FALSE),"")</f>
        <v>Y</v>
      </c>
      <c r="J17" s="52" t="str">
        <f>IFERROR(VLOOKUP($A17,TableHandbook[],J$2,FALSE),"")</f>
        <v/>
      </c>
      <c r="K17" s="51" t="str">
        <f>IFERROR(VLOOKUP($A17,TableHandbook[],K$2,FALSE),"")</f>
        <v/>
      </c>
      <c r="L17" s="51" t="str">
        <f>IFERROR(VLOOKUP($A17,TableHandbook[],L$2,FALSE),"")</f>
        <v/>
      </c>
      <c r="M17" s="53" t="str">
        <f>IFERROR(VLOOKUP($A17,TableHandbook[],M$2,FALSE),"")</f>
        <v/>
      </c>
      <c r="N17" s="94"/>
      <c r="O17" s="100">
        <v>7</v>
      </c>
      <c r="P17" s="31"/>
      <c r="Q17" s="31"/>
      <c r="R17" s="32"/>
      <c r="S17" s="32"/>
      <c r="T17" s="32"/>
      <c r="U17" s="32"/>
      <c r="V17" s="32"/>
      <c r="W17" s="32"/>
      <c r="X17" s="32"/>
      <c r="Y17" s="32"/>
    </row>
    <row r="18" spans="1:25" s="30" customFormat="1" ht="5.0999999999999996" customHeight="1" x14ac:dyDescent="0.15">
      <c r="A18" s="112"/>
      <c r="B18" s="113"/>
      <c r="C18" s="113"/>
      <c r="D18" s="114"/>
      <c r="E18" s="113"/>
      <c r="F18" s="115"/>
      <c r="G18" s="113"/>
      <c r="H18" s="116"/>
      <c r="I18" s="113"/>
      <c r="J18" s="116"/>
      <c r="K18" s="113"/>
      <c r="L18" s="113"/>
      <c r="M18" s="117"/>
      <c r="N18" s="118"/>
      <c r="O18" s="100"/>
      <c r="P18" s="28"/>
      <c r="Q18" s="28"/>
      <c r="R18" s="28"/>
      <c r="S18" s="29"/>
      <c r="T18" s="29"/>
      <c r="U18" s="29"/>
      <c r="V18" s="29"/>
      <c r="W18" s="29"/>
      <c r="X18" s="29"/>
      <c r="Y18" s="29"/>
    </row>
    <row r="19" spans="1:25" s="30"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92" t="str">
        <f>IFERROR(IF(VLOOKUP($A19,TableHandbook[],4,FALSE)=0,"",VLOOKUP($A19,TableHandbook[],4,FALSE)),"")</f>
        <v/>
      </c>
      <c r="E19" s="51" t="str">
        <f>IF(A19="","",VLOOKUP($D$6,#REF!,3,FALSE))</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8</v>
      </c>
      <c r="P19" s="28"/>
      <c r="Q19" s="28"/>
      <c r="R19" s="29"/>
      <c r="S19" s="29"/>
      <c r="T19" s="29"/>
      <c r="U19" s="29"/>
      <c r="V19" s="29"/>
      <c r="W19" s="29"/>
      <c r="X19" s="29"/>
      <c r="Y19" s="29"/>
    </row>
    <row r="20" spans="1:25" s="33" customFormat="1" ht="20.100000000000001" customHeight="1" x14ac:dyDescent="0.15">
      <c r="A20" s="67" t="str">
        <f>IFERROR(IF(HLOOKUP($N$5,RangeUnitsetsHRIGHTS,O20,FALSE)=0,"",HLOOKUP($N$5,RangeUnitsetsHRIGHTS,O20,FALSE)),"")</f>
        <v/>
      </c>
      <c r="B20" s="51" t="str">
        <f>IFERROR(IF(VLOOKUP($A20,TableHandbook[],2,FALSE)=0,"",VLOOKUP($A20,TableHandbook[],2,FALSE)),"")</f>
        <v/>
      </c>
      <c r="C20" s="51" t="str">
        <f>IFERROR(IF(VLOOKUP($A20,TableHandbook[],3,FALSE)=0,"",VLOOKUP($A20,TableHandbook[],3,FALSE)),"")</f>
        <v/>
      </c>
      <c r="D20" s="68" t="str">
        <f>IFERROR(IF(VLOOKUP($A20,TableHandbook[],4,FALSE)=0,"",VLOOKUP($A20,TableHandbook[],4,FALSE)),"")</f>
        <v/>
      </c>
      <c r="E20" s="51" t="str">
        <f>IF(A20="","",E19)</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2" t="str">
        <f>IFERROR(VLOOKUP($A20,TableHandbook[],J$2,FALSE),"")</f>
        <v/>
      </c>
      <c r="K20" s="51" t="str">
        <f>IFERROR(VLOOKUP($A20,TableHandbook[],K$2,FALSE),"")</f>
        <v/>
      </c>
      <c r="L20" s="51" t="str">
        <f>IFERROR(VLOOKUP($A20,TableHandbook[],L$2,FALSE),"")</f>
        <v/>
      </c>
      <c r="M20" s="53" t="str">
        <f>IFERROR(VLOOKUP($A20,TableHandbook[],M$2,FALSE),"")</f>
        <v/>
      </c>
      <c r="N20" s="94"/>
      <c r="O20" s="100">
        <v>9</v>
      </c>
      <c r="P20" s="31"/>
      <c r="Q20" s="31"/>
      <c r="R20" s="32"/>
      <c r="S20" s="32"/>
      <c r="T20" s="32"/>
      <c r="U20" s="32"/>
      <c r="V20" s="32"/>
      <c r="W20" s="32"/>
      <c r="X20" s="32"/>
      <c r="Y20" s="32"/>
    </row>
    <row r="21" spans="1:25" s="27" customFormat="1" ht="21" x14ac:dyDescent="0.25">
      <c r="A21" s="71" t="s">
        <v>31</v>
      </c>
      <c r="B21" s="71"/>
      <c r="C21" s="71" t="s">
        <v>22</v>
      </c>
      <c r="D21" s="72" t="s">
        <v>3</v>
      </c>
      <c r="E21" s="77" t="s">
        <v>23</v>
      </c>
      <c r="F21" s="71" t="s">
        <v>24</v>
      </c>
      <c r="G21" s="71" t="s">
        <v>25</v>
      </c>
      <c r="H21" s="78" t="s">
        <v>46</v>
      </c>
      <c r="I21" s="79" t="s">
        <v>47</v>
      </c>
      <c r="J21" s="124" t="s">
        <v>26</v>
      </c>
      <c r="K21" s="125" t="s">
        <v>27</v>
      </c>
      <c r="L21" s="125" t="s">
        <v>28</v>
      </c>
      <c r="M21" s="126" t="s">
        <v>29</v>
      </c>
      <c r="N21" s="81" t="s">
        <v>30</v>
      </c>
      <c r="O21" s="99"/>
      <c r="P21" s="25"/>
      <c r="Q21" s="25"/>
      <c r="R21" s="26"/>
      <c r="S21" s="26"/>
      <c r="T21" s="26"/>
      <c r="U21" s="26"/>
      <c r="V21" s="26"/>
      <c r="W21" s="26"/>
      <c r="X21" s="26"/>
      <c r="Y21" s="26"/>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92" t="str">
        <f>IFERROR(IF(VLOOKUP($A22,TableHandbook[],4,FALSE)=0,"",VLOOKUP($A22,TableHandbook[],4,FALSE)),"")</f>
        <v/>
      </c>
      <c r="E22" s="51" t="str">
        <f>IF(A22="","",VLOOKUP($D$6,#REF!,2,FALSE))</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10</v>
      </c>
      <c r="P22" s="28"/>
      <c r="Q22" s="28"/>
      <c r="R22" s="29"/>
      <c r="S22" s="29"/>
      <c r="T22" s="29"/>
      <c r="U22" s="29"/>
      <c r="V22" s="29"/>
      <c r="W22" s="29"/>
      <c r="X22" s="29"/>
      <c r="Y22" s="29"/>
    </row>
    <row r="23" spans="1:25" s="30" customFormat="1" ht="20.100000000000001" customHeight="1" x14ac:dyDescent="0.15">
      <c r="A23" s="67" t="str">
        <f>IFERROR(IF(HLOOKUP($N$5,RangeUnitsetsHRIGHTS,O23,FALSE)=0,"",HLOOKUP($N$5,RangeUnitsetsHRIGHTS,O23,FALSE)),"")</f>
        <v/>
      </c>
      <c r="B23" s="51" t="str">
        <f>IFERROR(IF(VLOOKUP($A23,TableHandbook[],2,FALSE)=0,"",VLOOKUP($A23,TableHandbook[],2,FALSE)),"")</f>
        <v/>
      </c>
      <c r="C23" s="51" t="str">
        <f>IFERROR(IF(VLOOKUP($A23,TableHandbook[],3,FALSE)=0,"",VLOOKUP($A23,TableHandbook[],3,FALSE)),"")</f>
        <v/>
      </c>
      <c r="D23" s="68" t="str">
        <f>IFERROR(IF(VLOOKUP($A23,TableHandbook[],4,FALSE)=0,"",VLOOKUP($A23,TableHandbook[],4,FALSE)),"")</f>
        <v/>
      </c>
      <c r="E23" s="51" t="str">
        <f>IF(A23="","",E22)</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2" t="str">
        <f>IFERROR(VLOOKUP($A23,TableHandbook[],J$2,FALSE),"")</f>
        <v/>
      </c>
      <c r="K23" s="51" t="str">
        <f>IFERROR(VLOOKUP($A23,TableHandbook[],K$2,FALSE),"")</f>
        <v/>
      </c>
      <c r="L23" s="51" t="str">
        <f>IFERROR(VLOOKUP($A23,TableHandbook[],L$2,FALSE),"")</f>
        <v/>
      </c>
      <c r="M23" s="53" t="str">
        <f>IFERROR(VLOOKUP($A23,TableHandbook[],M$2,FALSE),"")</f>
        <v/>
      </c>
      <c r="N23" s="94"/>
      <c r="O23" s="100">
        <v>11</v>
      </c>
      <c r="P23" s="28"/>
      <c r="Q23" s="28"/>
      <c r="R23" s="29"/>
      <c r="S23" s="29"/>
      <c r="T23" s="29"/>
      <c r="U23" s="29"/>
      <c r="V23" s="29"/>
      <c r="W23" s="29"/>
      <c r="X23" s="29"/>
      <c r="Y23" s="29"/>
    </row>
    <row r="24" spans="1:25" s="30" customFormat="1" ht="5.0999999999999996" customHeight="1" x14ac:dyDescent="0.15">
      <c r="A24" s="112"/>
      <c r="B24" s="113"/>
      <c r="C24" s="113"/>
      <c r="D24" s="114"/>
      <c r="E24" s="113"/>
      <c r="F24" s="115"/>
      <c r="G24" s="113"/>
      <c r="H24" s="116"/>
      <c r="I24" s="113"/>
      <c r="J24" s="116"/>
      <c r="K24" s="113"/>
      <c r="L24" s="113"/>
      <c r="M24" s="117"/>
      <c r="N24" s="118"/>
      <c r="O24" s="100"/>
      <c r="P24" s="28"/>
      <c r="Q24" s="28"/>
      <c r="R24" s="28"/>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IF(A25="","",VLOOKUP($D$6,#REF!,3,FALSE))</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12</v>
      </c>
      <c r="P25" s="28"/>
      <c r="Q25" s="28"/>
      <c r="R25" s="29"/>
      <c r="S25" s="29"/>
      <c r="T25" s="29"/>
      <c r="U25" s="29"/>
      <c r="V25" s="29"/>
      <c r="W25" s="29"/>
      <c r="X25" s="29"/>
      <c r="Y25" s="29"/>
    </row>
    <row r="26" spans="1:25" s="30" customFormat="1" ht="20.100000000000001" customHeight="1" x14ac:dyDescent="0.15">
      <c r="A26" s="67" t="str">
        <f>IFERROR(IF(HLOOKUP($N$5,RangeUnitsetsHRIGHTS,O26,FALSE)=0,"",HLOOKUP($N$5,RangeUnitsetsHRIGHTS,O26,FALSE)),"")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IF(A26="","",E25)</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2" t="str">
        <f>IFERROR(VLOOKUP($A26,TableHandbook[],J$2,FALSE),"")</f>
        <v/>
      </c>
      <c r="K26" s="51" t="str">
        <f>IFERROR(VLOOKUP($A26,TableHandbook[],K$2,FALSE),"")</f>
        <v/>
      </c>
      <c r="L26" s="51" t="str">
        <f>IFERROR(VLOOKUP($A26,TableHandbook[],L$2,FALSE),"")</f>
        <v/>
      </c>
      <c r="M26" s="53" t="str">
        <f>IFERROR(VLOOKUP($A26,TableHandbook[],M$2,FALSE),"")</f>
        <v/>
      </c>
      <c r="N26" s="94"/>
      <c r="O26" s="100">
        <v>13</v>
      </c>
      <c r="P26" s="28"/>
      <c r="Q26" s="28"/>
      <c r="R26" s="29"/>
      <c r="S26" s="29"/>
      <c r="T26" s="29"/>
      <c r="U26" s="29"/>
      <c r="V26" s="29"/>
      <c r="W26" s="29"/>
      <c r="X26" s="29"/>
      <c r="Y26" s="29"/>
    </row>
    <row r="27" spans="1:25" s="38" customFormat="1" ht="13.9" customHeight="1" x14ac:dyDescent="0.2">
      <c r="A27" s="39"/>
      <c r="B27" s="39"/>
      <c r="C27" s="39"/>
      <c r="D27" s="40"/>
      <c r="E27" s="63"/>
      <c r="F27" s="35"/>
      <c r="G27" s="35"/>
      <c r="H27" s="35"/>
      <c r="I27" s="35"/>
      <c r="J27" s="35"/>
      <c r="K27" s="35"/>
      <c r="L27" s="35"/>
      <c r="M27" s="35"/>
      <c r="N27" s="35"/>
      <c r="O27" s="101"/>
      <c r="P27" s="36"/>
      <c r="Q27" s="36"/>
      <c r="R27" s="37"/>
      <c r="S27" s="37"/>
      <c r="T27" s="37"/>
      <c r="U27" s="37"/>
      <c r="V27" s="37"/>
      <c r="W27" s="37"/>
      <c r="X27" s="37"/>
      <c r="Y27" s="37"/>
    </row>
    <row r="28" spans="1:25" ht="16.5" customHeight="1" x14ac:dyDescent="0.25">
      <c r="A28" s="83" t="s">
        <v>48</v>
      </c>
      <c r="B28" s="84"/>
      <c r="C28" s="84"/>
      <c r="D28" s="84"/>
      <c r="E28" s="85"/>
      <c r="F28" s="86"/>
      <c r="G28" s="86"/>
      <c r="H28" s="87" t="s">
        <v>45</v>
      </c>
      <c r="I28" s="88"/>
      <c r="J28" s="88"/>
      <c r="K28" s="88"/>
      <c r="L28" s="89"/>
      <c r="M28" s="90"/>
      <c r="N28" s="104" t="str">
        <f>VLOOKUP(D5,TableCourses[],2,FALSE)</f>
        <v>OC-HRIGHT</v>
      </c>
      <c r="O28" s="102"/>
      <c r="P28" s="24"/>
      <c r="Q28" s="24"/>
      <c r="R28" s="24"/>
      <c r="S28" s="24"/>
      <c r="T28" s="24"/>
      <c r="U28" s="24"/>
      <c r="V28" s="24"/>
      <c r="W28" s="24"/>
      <c r="X28" s="24"/>
      <c r="Y28" s="24"/>
    </row>
    <row r="29" spans="1:25" s="42" customFormat="1" ht="21" x14ac:dyDescent="0.25">
      <c r="A29" s="103"/>
      <c r="B29" s="82"/>
      <c r="C29" s="71" t="s">
        <v>22</v>
      </c>
      <c r="D29" s="72" t="s">
        <v>3</v>
      </c>
      <c r="E29" s="79"/>
      <c r="F29" s="71" t="s">
        <v>24</v>
      </c>
      <c r="G29" s="71" t="s">
        <v>25</v>
      </c>
      <c r="H29" s="78" t="s">
        <v>46</v>
      </c>
      <c r="I29" s="79" t="s">
        <v>47</v>
      </c>
      <c r="J29" s="78" t="s">
        <v>26</v>
      </c>
      <c r="K29" s="79" t="s">
        <v>27</v>
      </c>
      <c r="L29" s="79" t="s">
        <v>28</v>
      </c>
      <c r="M29" s="80" t="s">
        <v>29</v>
      </c>
      <c r="N29" s="81" t="s">
        <v>49</v>
      </c>
      <c r="O29" s="102"/>
      <c r="P29" s="41"/>
      <c r="Q29" s="41"/>
      <c r="R29" s="41"/>
      <c r="S29" s="41"/>
      <c r="T29" s="41"/>
      <c r="U29" s="41"/>
      <c r="V29" s="41"/>
      <c r="W29" s="41"/>
      <c r="X29" s="41"/>
      <c r="Y29" s="41"/>
    </row>
    <row r="30" spans="1:25" x14ac:dyDescent="0.25">
      <c r="A30" s="105" t="str">
        <f t="shared" ref="A30:A44" si="0">IFERROR(IF(HLOOKUP($N$28,RangeOptionsHRIGHTS,O30,FALSE)=0,"",HLOOKUP($N$28,RangeOptionsHRIGHTS,O30,FALSE)),"")</f>
        <v>HRIG5007</v>
      </c>
      <c r="B30" s="108">
        <f>IFERROR(IF(VLOOKUP($A30,TableHandbook[],2,FALSE)=0,"",VLOOKUP($A30,TableHandbook[],2,FALSE)),"")</f>
        <v>2</v>
      </c>
      <c r="C30" s="108" t="str">
        <f>IFERROR(IF(VLOOKUP($A30,TableHandbook[],3,FALSE)=0,"",VLOOKUP($A30,TableHandbook[],3,FALSE)),"")</f>
        <v>CHRE502</v>
      </c>
      <c r="D30" s="43" t="str">
        <f>IFERROR(IF(VLOOKUP($A30,TableHandbook[],4,FALSE)=0,"",VLOOKUP($A30,TableHandbook[],4,FALSE)),"")</f>
        <v>Dialogue across Cultures and Religions</v>
      </c>
      <c r="E30" s="44"/>
      <c r="F30" s="50" t="str">
        <f>IFERROR(IF(VLOOKUP($A30,TableHandbook[],6,FALSE)=0,"",VLOOKUP($A30,TableHandbook[],6,FALSE)),"")</f>
        <v>Nil</v>
      </c>
      <c r="G30" s="44">
        <f>IFERROR(IF(VLOOKUP($A30,TableHandbook[],5,FALSE)=0,"",VLOOKUP($A30,TableHandbook[],5,FALSE)),"")</f>
        <v>25</v>
      </c>
      <c r="H30" s="58" t="str">
        <f>IFERROR(VLOOKUP($A30,TableHandbook[],H$2,FALSE),"")</f>
        <v/>
      </c>
      <c r="I30" s="59" t="str">
        <f>IFERROR(VLOOKUP($A30,TableHandbook[],I$2,FALSE),"")</f>
        <v>Y</v>
      </c>
      <c r="J30" s="58" t="str">
        <f>IFERROR(VLOOKUP($A30,TableHandbook[],J$2,FALSE),"")</f>
        <v/>
      </c>
      <c r="K30" s="59" t="str">
        <f>IFERROR(VLOOKUP($A30,TableHandbook[],K$2,FALSE),"")</f>
        <v/>
      </c>
      <c r="L30" s="59" t="str">
        <f>IFERROR(VLOOKUP($A30,TableHandbook[],L$2,FALSE),"")</f>
        <v/>
      </c>
      <c r="M30" s="60" t="str">
        <f>IFERROR(VLOOKUP($A30,TableHandbook[],M$2,FALSE),"")</f>
        <v/>
      </c>
      <c r="N30" s="95"/>
      <c r="O30" s="100">
        <v>2</v>
      </c>
      <c r="P30" s="24"/>
      <c r="Q30" s="24"/>
      <c r="R30" s="24"/>
      <c r="S30" s="24"/>
      <c r="T30" s="24"/>
      <c r="U30" s="24"/>
      <c r="V30" s="24"/>
      <c r="W30" s="24"/>
      <c r="X30" s="24"/>
      <c r="Y30" s="24"/>
    </row>
    <row r="31" spans="1:25" x14ac:dyDescent="0.25">
      <c r="A31" s="105" t="str">
        <f t="shared" si="0"/>
        <v>HRIG5008</v>
      </c>
      <c r="B31" s="108">
        <f>IFERROR(IF(VLOOKUP($A31,TableHandbook[],2,FALSE)=0,"",VLOOKUP($A31,TableHandbook[],2,FALSE)),"")</f>
        <v>2</v>
      </c>
      <c r="C31" s="108" t="str">
        <f>IFERROR(IF(VLOOKUP($A31,TableHandbook[],3,FALSE)=0,"",VLOOKUP($A31,TableHandbook[],3,FALSE)),"")</f>
        <v>CHRE506</v>
      </c>
      <c r="D31" s="43" t="str">
        <f>IFERROR(IF(VLOOKUP($A31,TableHandbook[],4,FALSE)=0,"",VLOOKUP($A31,TableHandbook[],4,FALSE)),"")</f>
        <v>International Human Rights Law and Practice</v>
      </c>
      <c r="E31" s="44"/>
      <c r="F31" s="50" t="str">
        <f>IFERROR(IF(VLOOKUP($A31,TableHandbook[],6,FALSE)=0,"",VLOOKUP($A31,TableHandbook[],6,FALSE)),"")</f>
        <v>Nil</v>
      </c>
      <c r="G31" s="44">
        <f>IFERROR(IF(VLOOKUP($A31,TableHandbook[],5,FALSE)=0,"",VLOOKUP($A31,TableHandbook[],5,FALSE)),"")</f>
        <v>25</v>
      </c>
      <c r="H31" s="58" t="str">
        <f>IFERROR(VLOOKUP($A31,TableHandbook[],H$2,FALSE),"")</f>
        <v/>
      </c>
      <c r="I31" s="59" t="str">
        <f>IFERROR(VLOOKUP($A31,TableHandbook[],I$2,FALSE),"")</f>
        <v>Y</v>
      </c>
      <c r="J31" s="58" t="str">
        <f>IFERROR(VLOOKUP($A31,TableHandbook[],J$2,FALSE),"")</f>
        <v/>
      </c>
      <c r="K31" s="59" t="str">
        <f>IFERROR(VLOOKUP($A31,TableHandbook[],K$2,FALSE),"")</f>
        <v/>
      </c>
      <c r="L31" s="59" t="str">
        <f>IFERROR(VLOOKUP($A31,TableHandbook[],L$2,FALSE),"")</f>
        <v/>
      </c>
      <c r="M31" s="60" t="str">
        <f>IFERROR(VLOOKUP($A31,TableHandbook[],M$2,FALSE),"")</f>
        <v/>
      </c>
      <c r="N31" s="95"/>
      <c r="O31" s="100">
        <v>3</v>
      </c>
      <c r="P31" s="24"/>
      <c r="Q31" s="24"/>
      <c r="R31" s="24"/>
      <c r="S31" s="24"/>
      <c r="T31" s="24"/>
      <c r="U31" s="24"/>
      <c r="V31" s="24"/>
      <c r="W31" s="24"/>
      <c r="X31" s="24"/>
      <c r="Y31" s="24"/>
    </row>
    <row r="32" spans="1:25" x14ac:dyDescent="0.25">
      <c r="A32" s="105" t="str">
        <f t="shared" si="0"/>
        <v>HRIG5009</v>
      </c>
      <c r="B32" s="108">
        <f>IFERROR(IF(VLOOKUP($A32,TableHandbook[],2,FALSE)=0,"",VLOOKUP($A32,TableHandbook[],2,FALSE)),"")</f>
        <v>2</v>
      </c>
      <c r="C32" s="108" t="str">
        <f>IFERROR(IF(VLOOKUP($A32,TableHandbook[],3,FALSE)=0,"",VLOOKUP($A32,TableHandbook[],3,FALSE)),"")</f>
        <v>CHRE507</v>
      </c>
      <c r="D32" s="43" t="str">
        <f>IFERROR(IF(VLOOKUP($A32,TableHandbook[],4,FALSE)=0,"",VLOOKUP($A32,TableHandbook[],4,FALSE)),"")</f>
        <v>Social Justice and Development</v>
      </c>
      <c r="E32" s="44"/>
      <c r="F32" s="50" t="str">
        <f>IFERROR(IF(VLOOKUP($A32,TableHandbook[],6,FALSE)=0,"",VLOOKUP($A32,TableHandbook[],6,FALSE)),"")</f>
        <v>Nil</v>
      </c>
      <c r="G32" s="44">
        <f>IFERROR(IF(VLOOKUP($A32,TableHandbook[],5,FALSE)=0,"",VLOOKUP($A32,TableHandbook[],5,FALSE)),"")</f>
        <v>25</v>
      </c>
      <c r="H32" s="58" t="str">
        <f>IFERROR(VLOOKUP($A32,TableHandbook[],H$2,FALSE),"")</f>
        <v>Y</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4</v>
      </c>
      <c r="P32" s="24"/>
      <c r="Q32" s="24"/>
      <c r="R32" s="24"/>
      <c r="S32" s="24"/>
      <c r="T32" s="24"/>
      <c r="U32" s="24"/>
      <c r="V32" s="24"/>
      <c r="W32" s="24"/>
      <c r="X32" s="24"/>
      <c r="Y32" s="24"/>
    </row>
    <row r="33" spans="1:25" x14ac:dyDescent="0.25">
      <c r="A33" s="105" t="str">
        <f t="shared" si="0"/>
        <v>HRIG5010</v>
      </c>
      <c r="B33" s="108">
        <f>IFERROR(IF(VLOOKUP($A33,TableHandbook[],2,FALSE)=0,"",VLOOKUP($A33,TableHandbook[],2,FALSE)),"")</f>
        <v>2</v>
      </c>
      <c r="C33" s="108" t="str">
        <f>IFERROR(IF(VLOOKUP($A33,TableHandbook[],3,FALSE)=0,"",VLOOKUP($A33,TableHandbook[],3,FALSE)),"")</f>
        <v>CHRE512</v>
      </c>
      <c r="D33" s="43" t="str">
        <f>IFERROR(IF(VLOOKUP($A33,TableHandbook[],4,FALSE)=0,"",VLOOKUP($A33,TableHandbook[],4,FALSE)),"")</f>
        <v>Activism, Advocacy and Change</v>
      </c>
      <c r="E33" s="44"/>
      <c r="F33" s="50" t="str">
        <f>IFERROR(IF(VLOOKUP($A33,TableHandbook[],6,FALSE)=0,"",VLOOKUP($A33,TableHandbook[],6,FALSE)),"")</f>
        <v>Nil</v>
      </c>
      <c r="G33" s="44">
        <f>IFERROR(IF(VLOOKUP($A33,TableHandbook[],5,FALSE)=0,"",VLOOKUP($A33,TableHandbook[],5,FALSE)),"")</f>
        <v>25</v>
      </c>
      <c r="H33" s="58" t="str">
        <f>IFERROR(VLOOKUP($A33,TableHandbook[],H$2,FALSE),"")</f>
        <v/>
      </c>
      <c r="I33" s="59" t="str">
        <f>IFERROR(VLOOKUP($A33,TableHandbook[],I$2,FALSE),"")</f>
        <v>Y</v>
      </c>
      <c r="J33" s="58" t="str">
        <f>IFERROR(VLOOKUP($A33,TableHandbook[],J$2,FALSE),"")</f>
        <v/>
      </c>
      <c r="K33" s="59" t="str">
        <f>IFERROR(VLOOKUP($A33,TableHandbook[],K$2,FALSE),"")</f>
        <v/>
      </c>
      <c r="L33" s="59" t="str">
        <f>IFERROR(VLOOKUP($A33,TableHandbook[],L$2,FALSE),"")</f>
        <v/>
      </c>
      <c r="M33" s="60" t="str">
        <f>IFERROR(VLOOKUP($A33,TableHandbook[],M$2,FALSE),"")</f>
        <v/>
      </c>
      <c r="N33" s="95"/>
      <c r="O33" s="100">
        <v>5</v>
      </c>
      <c r="P33" s="24"/>
      <c r="Q33" s="24"/>
      <c r="R33" s="24"/>
      <c r="S33" s="24"/>
      <c r="T33" s="24"/>
      <c r="U33" s="24"/>
      <c r="V33" s="24"/>
      <c r="W33" s="24"/>
      <c r="X33" s="24"/>
      <c r="Y33" s="24"/>
    </row>
    <row r="34" spans="1:25" x14ac:dyDescent="0.25">
      <c r="A34" s="105" t="str">
        <f t="shared" si="0"/>
        <v>HRIG5011</v>
      </c>
      <c r="B34" s="108">
        <f>IFERROR(IF(VLOOKUP($A34,TableHandbook[],2,FALSE)=0,"",VLOOKUP($A34,TableHandbook[],2,FALSE)),"")</f>
        <v>3</v>
      </c>
      <c r="C34" s="108" t="str">
        <f>IFERROR(IF(VLOOKUP($A34,TableHandbook[],3,FALSE)=0,"",VLOOKUP($A34,TableHandbook[],3,FALSE)),"")</f>
        <v>CHRE509</v>
      </c>
      <c r="D34" s="43" t="str">
        <f>IFERROR(IF(VLOOKUP($A34,TableHandbook[],4,FALSE)=0,"",VLOOKUP($A34,TableHandbook[],4,FALSE)),"")</f>
        <v>Forced Migration and Refugee Rights</v>
      </c>
      <c r="E34" s="44"/>
      <c r="F34" s="50" t="str">
        <f>IFERROR(IF(VLOOKUP($A34,TableHandbook[],6,FALSE)=0,"",VLOOKUP($A34,TableHandbook[],6,FALSE)),"")</f>
        <v>Nil</v>
      </c>
      <c r="G34" s="44">
        <f>IFERROR(IF(VLOOKUP($A34,TableHandbook[],5,FALSE)=0,"",VLOOKUP($A34,TableHandbook[],5,FALSE)),"")</f>
        <v>25</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6</v>
      </c>
      <c r="P34" s="24"/>
      <c r="Q34" s="24"/>
      <c r="R34" s="24"/>
      <c r="S34" s="24"/>
      <c r="T34" s="24"/>
      <c r="U34" s="24"/>
      <c r="V34" s="24"/>
      <c r="W34" s="24"/>
      <c r="X34" s="24"/>
      <c r="Y34" s="24"/>
    </row>
    <row r="35" spans="1:25" x14ac:dyDescent="0.25">
      <c r="A35" s="105" t="str">
        <f t="shared" si="0"/>
        <v>INTR5007</v>
      </c>
      <c r="B35" s="108">
        <f>IFERROR(IF(VLOOKUP($A35,TableHandbook[],2,FALSE)=0,"",VLOOKUP($A35,TableHandbook[],2,FALSE)),"")</f>
        <v>2</v>
      </c>
      <c r="C35" s="108" t="str">
        <f>IFERROR(IF(VLOOKUP($A35,TableHandbook[],3,FALSE)=0,"",VLOOKUP($A35,TableHandbook[],3,FALSE)),"")</f>
        <v>CHRE503</v>
      </c>
      <c r="D35" s="43" t="str">
        <f>IFERROR(IF(VLOOKUP($A35,TableHandbook[],4,FALSE)=0,"",VLOOKUP($A35,TableHandbook[],4,FALSE)),"")</f>
        <v>Human Rights Education in Practice</v>
      </c>
      <c r="E35" s="44"/>
      <c r="F35" s="50" t="str">
        <f>IFERROR(IF(VLOOKUP($A35,TableHandbook[],6,FALSE)=0,"",VLOOKUP($A35,TableHandbook[],6,FALSE)),"")</f>
        <v>Nil</v>
      </c>
      <c r="G35" s="44">
        <f>IFERROR(IF(VLOOKUP($A35,TableHandbook[],5,FALSE)=0,"",VLOOKUP($A35,TableHandbook[],5,FALSE)),"")</f>
        <v>25</v>
      </c>
      <c r="H35" s="58" t="str">
        <f>IFERROR(VLOOKUP($A35,TableHandbook[],H$2,FALSE),"")</f>
        <v/>
      </c>
      <c r="I35" s="59" t="str">
        <f>IFERROR(VLOOKUP($A35,TableHandbook[],I$2,FALSE),"")</f>
        <v>Y</v>
      </c>
      <c r="J35" s="58" t="str">
        <f>IFERROR(VLOOKUP($A35,TableHandbook[],J$2,FALSE),"")</f>
        <v/>
      </c>
      <c r="K35" s="59" t="str">
        <f>IFERROR(VLOOKUP($A35,TableHandbook[],K$2,FALSE),"")</f>
        <v/>
      </c>
      <c r="L35" s="59" t="str">
        <f>IFERROR(VLOOKUP($A35,TableHandbook[],L$2,FALSE),"")</f>
        <v/>
      </c>
      <c r="M35" s="60" t="str">
        <f>IFERROR(VLOOKUP($A35,TableHandbook[],M$2,FALSE),"")</f>
        <v/>
      </c>
      <c r="N35" s="95"/>
      <c r="O35" s="100">
        <v>7</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8" t="str">
        <f>IFERROR(VLOOKUP($A36,TableHandbook[],J$2,FALSE),"")</f>
        <v/>
      </c>
      <c r="K36" s="59" t="str">
        <f>IFERROR(VLOOKUP($A36,TableHandbook[],K$2,FALSE),"")</f>
        <v/>
      </c>
      <c r="L36" s="59" t="str">
        <f>IFERROR(VLOOKUP($A36,TableHandbook[],L$2,FALSE),"")</f>
        <v/>
      </c>
      <c r="M36" s="60" t="str">
        <f>IFERROR(VLOOKUP($A36,TableHandbook[],M$2,FALSE),"")</f>
        <v/>
      </c>
      <c r="N36" s="95"/>
      <c r="O36" s="100">
        <v>8</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9</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10</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11</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12</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13</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14</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15</v>
      </c>
      <c r="P43" s="24"/>
      <c r="Q43" s="24"/>
      <c r="R43" s="24"/>
      <c r="S43" s="24"/>
      <c r="T43" s="24"/>
      <c r="U43" s="24"/>
      <c r="V43" s="24"/>
      <c r="W43" s="24"/>
      <c r="X43" s="24"/>
      <c r="Y43" s="24"/>
    </row>
    <row r="44" spans="1:25" x14ac:dyDescent="0.25">
      <c r="A44" s="105" t="str">
        <f t="shared" si="0"/>
        <v/>
      </c>
      <c r="B44" s="108" t="str">
        <f>IFERROR(IF(VLOOKUP($A44,TableHandbook[],2,FALSE)=0,"",VLOOKUP($A44,TableHandbook[],2,FALSE)),"")</f>
        <v/>
      </c>
      <c r="C44" s="108" t="str">
        <f>IFERROR(IF(VLOOKUP($A44,TableHandbook[],3,FALSE)=0,"",VLOOKUP($A44,TableHandbook[],3,FALSE)),"")</f>
        <v/>
      </c>
      <c r="D44" s="43" t="str">
        <f>IFERROR(IF(VLOOKUP($A44,TableHandbook[],4,FALSE)=0,"",VLOOKUP($A44,TableHandbook[],4,FALSE)),"")</f>
        <v/>
      </c>
      <c r="E44" s="44"/>
      <c r="F44" s="50" t="str">
        <f>IFERROR(IF(VLOOKUP($A44,TableHandbook[],6,FALSE)=0,"",VLOOKUP($A44,TableHandbook[],6,FALSE)),"")</f>
        <v/>
      </c>
      <c r="G44" s="44" t="str">
        <f>IFERROR(IF(VLOOKUP($A44,TableHandbook[],5,FALSE)=0,"",VLOOKUP($A44,TableHandbook[],5,FALSE)),"")</f>
        <v/>
      </c>
      <c r="H44" s="58" t="str">
        <f>IFERROR(VLOOKUP($A44,TableHandbook[],H$2,FALSE),"")</f>
        <v/>
      </c>
      <c r="I44" s="59" t="str">
        <f>IFERROR(VLOOKUP($A44,TableHandbook[],I$2,FALSE),"")</f>
        <v/>
      </c>
      <c r="J44" s="59" t="str">
        <f>IFERROR(VLOOKUP($A44,TableHandbook[],J$2,FALSE),"")</f>
        <v/>
      </c>
      <c r="K44" s="59" t="str">
        <f>IFERROR(VLOOKUP($A44,TableHandbook[],K$2,FALSE),"")</f>
        <v/>
      </c>
      <c r="L44" s="59" t="str">
        <f>IFERROR(VLOOKUP($A44,TableHandbook[],L$2,FALSE),"")</f>
        <v/>
      </c>
      <c r="M44" s="60" t="str">
        <f>IFERROR(VLOOKUP($A44,TableHandbook[],M$2,FALSE),"")</f>
        <v/>
      </c>
      <c r="N44" s="95"/>
      <c r="O44" s="100">
        <v>16</v>
      </c>
      <c r="P44" s="24"/>
      <c r="Q44" s="24"/>
      <c r="R44" s="24"/>
      <c r="S44" s="24"/>
      <c r="T44" s="24"/>
      <c r="U44" s="24"/>
      <c r="V44" s="24"/>
      <c r="W44" s="24"/>
      <c r="X44" s="24"/>
      <c r="Y44" s="24"/>
    </row>
    <row r="45" spans="1:25" s="38" customFormat="1" ht="13.9" customHeight="1" x14ac:dyDescent="0.2">
      <c r="A45" s="39"/>
      <c r="B45" s="39"/>
      <c r="C45" s="39"/>
      <c r="D45" s="40"/>
      <c r="E45" s="63"/>
      <c r="F45" s="35"/>
      <c r="G45" s="35"/>
      <c r="H45" s="35"/>
      <c r="I45" s="35"/>
      <c r="J45" s="35"/>
      <c r="K45" s="35"/>
      <c r="L45" s="35"/>
      <c r="M45" s="35"/>
      <c r="N45" s="35"/>
      <c r="O45" s="101"/>
      <c r="P45" s="36"/>
      <c r="Q45" s="36"/>
      <c r="R45" s="37"/>
      <c r="S45" s="37"/>
      <c r="T45" s="37"/>
      <c r="U45" s="37"/>
      <c r="V45" s="37"/>
      <c r="W45" s="37"/>
      <c r="X45" s="37"/>
      <c r="Y45" s="37"/>
    </row>
    <row r="46" spans="1:25" s="24" customFormat="1" ht="32.25" customHeight="1" x14ac:dyDescent="0.25">
      <c r="A46" s="238" t="s">
        <v>34</v>
      </c>
      <c r="B46" s="238"/>
      <c r="C46" s="238"/>
      <c r="D46" s="238"/>
      <c r="E46" s="238"/>
      <c r="F46" s="238"/>
      <c r="G46" s="238"/>
      <c r="H46" s="238"/>
      <c r="I46" s="238"/>
      <c r="J46" s="238"/>
      <c r="K46" s="238"/>
      <c r="L46" s="238"/>
      <c r="M46" s="238"/>
      <c r="N46" s="238"/>
    </row>
    <row r="47" spans="1:25" s="24" customFormat="1" x14ac:dyDescent="0.25">
      <c r="A47" s="45"/>
      <c r="B47" s="46"/>
      <c r="C47" s="46"/>
      <c r="D47" s="46"/>
      <c r="E47" s="64"/>
      <c r="F47" s="46"/>
      <c r="G47" s="46"/>
      <c r="H47" s="46"/>
      <c r="I47" s="46"/>
      <c r="J47" s="46"/>
      <c r="K47" s="46"/>
      <c r="L47" s="46"/>
      <c r="M47" s="46"/>
      <c r="N47" s="47"/>
    </row>
    <row r="48" spans="1:25" s="24" customFormat="1" ht="15" customHeight="1" x14ac:dyDescent="0.25">
      <c r="A48" s="34" t="s">
        <v>35</v>
      </c>
      <c r="B48" s="34"/>
      <c r="C48" s="34"/>
      <c r="D48" s="34"/>
      <c r="E48" s="65"/>
      <c r="F48" s="35"/>
      <c r="G48" s="48"/>
      <c r="H48" s="48"/>
      <c r="I48" s="48"/>
      <c r="J48" s="48"/>
      <c r="K48" s="48"/>
      <c r="L48" s="48"/>
      <c r="M48" s="48"/>
      <c r="N48" s="48" t="s">
        <v>36</v>
      </c>
    </row>
  </sheetData>
  <sheetProtection formatCells="0"/>
  <mergeCells count="2">
    <mergeCell ref="A3:D3"/>
    <mergeCell ref="A46:N46"/>
  </mergeCells>
  <conditionalFormatting sqref="A10:N20 A21:G21 N21 A22:N26 A30:N44">
    <cfRule type="expression" dxfId="47" priority="4">
      <formula>$A10=""</formula>
    </cfRule>
  </conditionalFormatting>
  <conditionalFormatting sqref="A30:N44">
    <cfRule type="expression" dxfId="46" priority="2">
      <formula>LEFT($D30,5)="Study"</formula>
    </cfRule>
  </conditionalFormatting>
  <conditionalFormatting sqref="D5:D7">
    <cfRule type="containsText" dxfId="45" priority="3" operator="containsText" text="Choose">
      <formula>NOT(ISERROR(SEARCH("Choose",D5)))</formula>
    </cfRule>
  </conditionalFormatting>
  <dataValidations count="1">
    <dataValidation type="list" allowBlank="1" showInputMessage="1" showErrorMessage="1" sqref="N15 N12 N18 N24" xr:uid="{00000000-0002-0000-0100-000000000000}"/>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6"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CourseDetails!$A$40:$A$42</xm:f>
          </x14:formula1>
          <xm:sqref>D6:D7</xm:sqref>
        </x14:dataValidation>
        <x14:dataValidation type="list" allowBlank="1" showInputMessage="1" showErrorMessage="1" xr:uid="{F6B02BE7-47ED-48C5-893D-65DE46070B7D}">
          <x14:formula1>
            <xm:f>CourseDetails!$A$56:$A$59</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36C3-9C95-4549-A34D-D4AE390F48CC}">
  <sheetPr>
    <pageSetUpPr fitToPage="1"/>
  </sheetPr>
  <dimension ref="A1:Y47"/>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36" t="s">
        <v>8</v>
      </c>
      <c r="B3" s="237"/>
      <c r="C3" s="237"/>
      <c r="D3" s="237"/>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50</v>
      </c>
      <c r="E5" s="61"/>
      <c r="F5" s="66" t="s">
        <v>12</v>
      </c>
      <c r="G5" s="21" t="str">
        <f>IFERROR(CONCATENATE(VLOOKUP(D5,TableCourses[],2,FALSE)," ",VLOOKUP(D5,TableCourses[],3,FALSE)),"")</f>
        <v>OM-HRIGHT v.2</v>
      </c>
      <c r="H5" s="21"/>
      <c r="I5" s="21"/>
      <c r="J5" s="21"/>
      <c r="K5" s="21"/>
      <c r="L5" s="21"/>
      <c r="M5" s="21"/>
      <c r="N5" s="97" t="str">
        <f>CONCATENATE(VLOOKUP(D5,TableCourses[],2,FALSE),VLOOKUP(D6,TableSessionStudyPeriods[],2,FALSE))</f>
        <v>OM-HRIGHTSess1</v>
      </c>
    </row>
    <row r="6" spans="1:25" ht="20.100000000000001" customHeight="1" x14ac:dyDescent="0.25">
      <c r="A6" s="22"/>
      <c r="B6" s="23"/>
      <c r="C6" s="66" t="s">
        <v>16</v>
      </c>
      <c r="D6" s="21" t="s">
        <v>44</v>
      </c>
      <c r="E6" s="62"/>
      <c r="F6" s="66" t="s">
        <v>18</v>
      </c>
      <c r="G6" s="21" t="str">
        <f>IFERROR(VLOOKUP($D$5,TableCourses[],7,FALSE),"")</f>
        <v>300 credit points required</v>
      </c>
      <c r="H6" s="55"/>
      <c r="I6" s="55"/>
      <c r="J6" s="55"/>
      <c r="K6" s="55"/>
      <c r="L6" s="55"/>
      <c r="M6" s="55"/>
      <c r="N6" s="97"/>
      <c r="O6" s="24"/>
      <c r="P6" s="24"/>
      <c r="Q6" s="24"/>
      <c r="R6" s="24"/>
      <c r="S6" s="24"/>
      <c r="T6" s="24"/>
      <c r="U6" s="24"/>
      <c r="V6" s="24"/>
      <c r="W6" s="24"/>
      <c r="X6" s="24"/>
      <c r="Y6" s="24"/>
    </row>
    <row r="7" spans="1:25" s="27" customFormat="1" ht="14.1" customHeight="1" x14ac:dyDescent="0.25">
      <c r="A7" s="71"/>
      <c r="B7" s="71"/>
      <c r="C7" s="71"/>
      <c r="D7" s="72"/>
      <c r="E7" s="71"/>
      <c r="F7" s="71"/>
      <c r="G7" s="71"/>
      <c r="H7" s="73" t="s">
        <v>45</v>
      </c>
      <c r="I7" s="74"/>
      <c r="J7" s="74"/>
      <c r="K7" s="74"/>
      <c r="L7" s="74"/>
      <c r="M7" s="75"/>
      <c r="N7" s="76"/>
      <c r="O7" s="25"/>
      <c r="P7" s="25"/>
      <c r="Q7" s="25"/>
      <c r="R7" s="26"/>
      <c r="S7" s="26"/>
      <c r="T7" s="26"/>
      <c r="U7" s="26"/>
      <c r="V7" s="26"/>
      <c r="W7" s="26"/>
      <c r="X7" s="26"/>
      <c r="Y7" s="26"/>
    </row>
    <row r="8" spans="1:25" s="27" customFormat="1" ht="21" x14ac:dyDescent="0.25">
      <c r="A8" s="71" t="s">
        <v>21</v>
      </c>
      <c r="B8" s="71"/>
      <c r="C8" s="71" t="s">
        <v>22</v>
      </c>
      <c r="D8" s="72" t="s">
        <v>3</v>
      </c>
      <c r="E8" s="77" t="s">
        <v>23</v>
      </c>
      <c r="F8" s="71" t="s">
        <v>24</v>
      </c>
      <c r="G8" s="71" t="s">
        <v>25</v>
      </c>
      <c r="H8" s="78" t="s">
        <v>46</v>
      </c>
      <c r="I8" s="79" t="s">
        <v>47</v>
      </c>
      <c r="J8" s="78" t="s">
        <v>26</v>
      </c>
      <c r="K8" s="79" t="s">
        <v>27</v>
      </c>
      <c r="L8" s="79" t="s">
        <v>28</v>
      </c>
      <c r="M8" s="80" t="s">
        <v>29</v>
      </c>
      <c r="N8" s="81" t="s">
        <v>30</v>
      </c>
      <c r="O8" s="25"/>
      <c r="P8" s="25"/>
      <c r="Q8" s="25"/>
      <c r="R8" s="26"/>
      <c r="S8" s="26"/>
      <c r="T8" s="26"/>
      <c r="U8" s="26"/>
      <c r="V8" s="26"/>
      <c r="W8" s="26"/>
      <c r="X8" s="26"/>
      <c r="Y8" s="26"/>
    </row>
    <row r="9" spans="1:25" s="30" customFormat="1" ht="20.100000000000001" customHeight="1" x14ac:dyDescent="0.15">
      <c r="A9" s="67" t="str">
        <f>IFERROR(IF(HLOOKUP($N$5,RangeUnitsetsHRIGHTS,O9,FALSE)=0,"",HLOOKUP($N$5,RangeUnitsetsHRIGHTS,O9,FALSE)),"")</f>
        <v/>
      </c>
      <c r="B9" s="51" t="str">
        <f>IFERROR(IF(VLOOKUP($A9,TableHandbook[],2,FALSE)=0,"",VLOOKUP($A9,TableHandbook[],2,FALSE)),"")</f>
        <v/>
      </c>
      <c r="C9" s="51" t="str">
        <f>IFERROR(IF(VLOOKUP($A9,TableHandbook[],3,FALSE)=0,"",VLOOKUP($A9,TableHandbook[],3,FALSE)),"")</f>
        <v/>
      </c>
      <c r="D9" s="92" t="str">
        <f>IFERROR(IF(VLOOKUP($A9,TableHandbook[],4,FALSE)=0,"",VLOOKUP($A9,TableHandbook[],4,FALSE)),"")</f>
        <v/>
      </c>
      <c r="E9" s="51" t="str">
        <f>IF(A9="","",VLOOKUP($D$6,TableSessionStudyPeriods[],2,FALSE))</f>
        <v/>
      </c>
      <c r="F9" s="69" t="str">
        <f>IFERROR(IF(VLOOKUP($A9,TableHandbook[],6,FALSE)=0,"",VLOOKUP($A9,TableHandbook[],6,FALSE)),"")</f>
        <v/>
      </c>
      <c r="G9" s="51" t="str">
        <f>IFERROR(IF(VLOOKUP($A9,TableHandbook[],5,FALSE)=0,"",VLOOKUP($A9,TableHandbook[],5,FALSE)),"")</f>
        <v/>
      </c>
      <c r="H9" s="52" t="str">
        <f>IFERROR(VLOOKUP($A9,TableHandbook[],H$2,FALSE),"")</f>
        <v/>
      </c>
      <c r="I9" s="51" t="str">
        <f>IFERROR(VLOOKUP($A9,TableHandbook[],I$2,FALSE),"")</f>
        <v/>
      </c>
      <c r="J9" s="52" t="str">
        <f>IFERROR(VLOOKUP($A9,TableHandbook[],J$2,FALSE),"")</f>
        <v/>
      </c>
      <c r="K9" s="51" t="str">
        <f>IFERROR(VLOOKUP($A9,TableHandbook[],K$2,FALSE),"")</f>
        <v/>
      </c>
      <c r="L9" s="51" t="str">
        <f>IFERROR(VLOOKUP($A9,TableHandbook[],L$2,FALSE),"")</f>
        <v/>
      </c>
      <c r="M9" s="53" t="str">
        <f>IFERROR(VLOOKUP($A9,TableHandbook[],M$2,FALSE),"")</f>
        <v/>
      </c>
      <c r="N9" s="94"/>
      <c r="O9" s="100">
        <v>2</v>
      </c>
      <c r="P9" s="28"/>
      <c r="Q9" s="28"/>
      <c r="R9" s="29"/>
      <c r="S9" s="29"/>
      <c r="T9" s="29"/>
      <c r="U9" s="29"/>
      <c r="V9" s="29"/>
      <c r="W9" s="29"/>
      <c r="X9" s="29"/>
      <c r="Y9" s="29"/>
    </row>
    <row r="10" spans="1:25" s="30" customFormat="1" ht="20.100000000000001" customHeight="1" x14ac:dyDescent="0.15">
      <c r="A10" s="67" t="str">
        <f>IFERROR(IF(HLOOKUP($N$5,RangeUnitsetsHRIGHTS,O10,FALSE)=0,"",HLOOKUP($N$5,RangeUnitsetsHRIGHTS,O10,FALSE)),"")</f>
        <v/>
      </c>
      <c r="B10" s="51" t="str">
        <f>IFERROR(IF(VLOOKUP($A10,TableHandbook[],2,FALSE)=0,"",VLOOKUP($A10,TableHandbook[],2,FALSE)),"")</f>
        <v/>
      </c>
      <c r="C10" s="51" t="str">
        <f>IFERROR(IF(VLOOKUP($A10,TableHandbook[],3,FALSE)=0,"",VLOOKUP($A10,TableHandbook[],3,FALSE)),"")</f>
        <v/>
      </c>
      <c r="D10" s="92" t="str">
        <f>IFERROR(IF(VLOOKUP($A10,TableHandbook[],4,FALSE)=0,"",VLOOKUP($A10,TableHandbook[],4,FALSE)),"")</f>
        <v/>
      </c>
      <c r="E10" s="51" t="str">
        <f>IF(A10="","",E9)</f>
        <v/>
      </c>
      <c r="F10" s="69" t="str">
        <f>IFERROR(IF(VLOOKUP($A10,TableHandbook[],6,FALSE)=0,"",VLOOKUP($A10,TableHandbook[],6,FALSE)),"")</f>
        <v/>
      </c>
      <c r="G10" s="51" t="str">
        <f>IFERROR(IF(VLOOKUP($A10,TableHandbook[],5,FALSE)=0,"",VLOOKUP($A10,TableHandbook[],5,FALSE)),"")</f>
        <v/>
      </c>
      <c r="H10" s="52" t="str">
        <f>IFERROR(VLOOKUP($A10,TableHandbook[],H$2,FALSE),"")</f>
        <v/>
      </c>
      <c r="I10" s="51" t="str">
        <f>IFERROR(VLOOKUP($A10,TableHandbook[],I$2,FALSE),"")</f>
        <v/>
      </c>
      <c r="J10" s="52" t="str">
        <f>IFERROR(VLOOKUP($A10,TableHandbook[],J$2,FALSE),"")</f>
        <v/>
      </c>
      <c r="K10" s="51" t="str">
        <f>IFERROR(VLOOKUP($A10,TableHandbook[],K$2,FALSE),"")</f>
        <v/>
      </c>
      <c r="L10" s="51" t="str">
        <f>IFERROR(VLOOKUP($A10,TableHandbook[],L$2,FALSE),"")</f>
        <v/>
      </c>
      <c r="M10" s="53" t="str">
        <f>IFERROR(VLOOKUP($A10,TableHandbook[],M$2,FALSE),"")</f>
        <v/>
      </c>
      <c r="N10" s="94"/>
      <c r="O10" s="100">
        <v>3</v>
      </c>
      <c r="P10" s="28"/>
      <c r="Q10" s="28"/>
      <c r="R10" s="29"/>
      <c r="S10" s="29"/>
      <c r="T10" s="29"/>
      <c r="U10" s="29"/>
      <c r="V10" s="29"/>
      <c r="W10" s="29"/>
      <c r="X10" s="29"/>
      <c r="Y10" s="29"/>
    </row>
    <row r="11" spans="1:25" s="30" customFormat="1" ht="5.0999999999999996" customHeight="1" x14ac:dyDescent="0.15">
      <c r="A11" s="112"/>
      <c r="B11" s="113"/>
      <c r="C11" s="113"/>
      <c r="D11" s="114"/>
      <c r="E11" s="113"/>
      <c r="F11" s="115"/>
      <c r="G11" s="113"/>
      <c r="H11" s="116"/>
      <c r="I11" s="113"/>
      <c r="J11" s="116"/>
      <c r="K11" s="113"/>
      <c r="L11" s="113"/>
      <c r="M11" s="117"/>
      <c r="N11" s="118"/>
      <c r="O11" s="100"/>
      <c r="P11" s="28"/>
      <c r="Q11" s="28"/>
      <c r="R11" s="28"/>
      <c r="S11" s="29"/>
      <c r="T11" s="29"/>
      <c r="U11" s="29"/>
      <c r="V11" s="29"/>
      <c r="W11" s="29"/>
      <c r="X11" s="29"/>
      <c r="Y11" s="29"/>
    </row>
    <row r="12" spans="1:25" s="30" customFormat="1" ht="20.100000000000001" customHeight="1" x14ac:dyDescent="0.15">
      <c r="A12" s="67" t="str">
        <f>IFERROR(IF(HLOOKUP($N$5,RangeUnitsetsHRIGHTS,O12,FALSE)=0,"",HLOOKUP($N$5,RangeUnitsetsHRIGHTS,O12,FALSE)),"")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IF(A12="","",VLOOKUP($D$6,TableSessionStudyPeriods[],3,FALSE))</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2" t="str">
        <f>IFERROR(VLOOKUP($A12,TableHandbook[],J$2,FALSE),"")</f>
        <v/>
      </c>
      <c r="K12" s="51" t="str">
        <f>IFERROR(VLOOKUP($A12,TableHandbook[],K$2,FALSE),"")</f>
        <v/>
      </c>
      <c r="L12" s="51" t="str">
        <f>IFERROR(VLOOKUP($A12,TableHandbook[],L$2,FALSE),"")</f>
        <v/>
      </c>
      <c r="M12" s="53" t="str">
        <f>IFERROR(VLOOKUP($A12,TableHandbook[],M$2,FALSE),"")</f>
        <v/>
      </c>
      <c r="N12" s="94"/>
      <c r="O12" s="100">
        <v>4</v>
      </c>
      <c r="P12" s="28"/>
      <c r="Q12" s="28"/>
      <c r="R12" s="29"/>
      <c r="S12" s="29"/>
      <c r="T12" s="29"/>
      <c r="U12" s="29"/>
      <c r="V12" s="29"/>
      <c r="W12" s="29"/>
      <c r="X12" s="29"/>
      <c r="Y12" s="29"/>
    </row>
    <row r="13" spans="1:25" s="33" customFormat="1" ht="20.100000000000001" customHeight="1" x14ac:dyDescent="0.15">
      <c r="A13" s="67" t="str">
        <f>IFERROR(IF(HLOOKUP($N$5,RangeUnitsetsHRIGHTS,O13,FALSE)=0,"",HLOOKUP($N$5,RangeUnitsetsHRIGHTS,O13,FALSE)),"")</f>
        <v/>
      </c>
      <c r="B13" s="51" t="str">
        <f>IFERROR(IF(VLOOKUP($A13,TableHandbook[],2,FALSE)=0,"",VLOOKUP($A13,TableHandbook[],2,FALSE)),"")</f>
        <v/>
      </c>
      <c r="C13" s="51" t="str">
        <f>IFERROR(IF(VLOOKUP($A13,TableHandbook[],3,FALSE)=0,"",VLOOKUP($A13,TableHandbook[],3,FALSE)),"")</f>
        <v/>
      </c>
      <c r="D13" s="92" t="str">
        <f>IFERROR(IF(VLOOKUP($A13,TableHandbook[],4,FALSE)=0,"",VLOOKUP($A13,TableHandbook[],4,FALSE)),"")</f>
        <v/>
      </c>
      <c r="E13" s="51" t="str">
        <f>IF(A13="","",E12)</f>
        <v/>
      </c>
      <c r="F13" s="69" t="str">
        <f>IFERROR(IF(VLOOKUP($A13,TableHandbook[],6,FALSE)=0,"",VLOOKUP($A13,TableHandbook[],6,FALSE)),"")</f>
        <v/>
      </c>
      <c r="G13" s="51" t="str">
        <f>IFERROR(IF(VLOOKUP($A13,TableHandbook[],5,FALSE)=0,"",VLOOKUP($A13,TableHandbook[],5,FALSE)),"")</f>
        <v/>
      </c>
      <c r="H13" s="52" t="str">
        <f>IFERROR(VLOOKUP($A13,TableHandbook[],H$2,FALSE),"")</f>
        <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5</v>
      </c>
      <c r="P13" s="31"/>
      <c r="Q13" s="31"/>
      <c r="R13" s="32"/>
      <c r="S13" s="32"/>
      <c r="T13" s="32"/>
      <c r="U13" s="32"/>
      <c r="V13" s="32"/>
      <c r="W13" s="32"/>
      <c r="X13" s="32"/>
      <c r="Y13" s="32"/>
    </row>
    <row r="14" spans="1:25" s="30" customFormat="1" ht="5.0999999999999996" customHeight="1" x14ac:dyDescent="0.15">
      <c r="A14" s="112"/>
      <c r="B14" s="113"/>
      <c r="C14" s="113"/>
      <c r="D14" s="114"/>
      <c r="E14" s="113"/>
      <c r="F14" s="115"/>
      <c r="G14" s="113"/>
      <c r="H14" s="116"/>
      <c r="I14" s="113"/>
      <c r="J14" s="116"/>
      <c r="K14" s="113"/>
      <c r="L14" s="113"/>
      <c r="M14" s="117"/>
      <c r="N14" s="118"/>
      <c r="O14" s="100"/>
      <c r="P14" s="28"/>
      <c r="Q14" s="28"/>
      <c r="R14" s="28"/>
      <c r="S14" s="29"/>
      <c r="T14" s="29"/>
      <c r="U14" s="29"/>
      <c r="V14" s="29"/>
      <c r="W14" s="29"/>
      <c r="X14" s="29"/>
      <c r="Y14" s="29"/>
    </row>
    <row r="15" spans="1:25" s="30" customFormat="1" ht="20.100000000000001" customHeight="1" x14ac:dyDescent="0.15">
      <c r="A15" s="67" t="str">
        <f>IFERROR(IF(HLOOKUP($N$5,RangeUnitsetsHRIGHTS,O15,FALSE)=0,"",HLOOKUP($N$5,RangeUnitsetsHRIGHTS,O15,FALSE)),"")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IF(A15="","",VLOOKUP($D$6,TableSessionStudyPeriods[],2,FALSE))</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2" t="str">
        <f>IFERROR(VLOOKUP($A15,TableHandbook[],J$2,FALSE),"")</f>
        <v/>
      </c>
      <c r="K15" s="51" t="str">
        <f>IFERROR(VLOOKUP($A15,TableHandbook[],K$2,FALSE),"")</f>
        <v/>
      </c>
      <c r="L15" s="51" t="str">
        <f>IFERROR(VLOOKUP($A15,TableHandbook[],L$2,FALSE),"")</f>
        <v/>
      </c>
      <c r="M15" s="53" t="str">
        <f>IFERROR(VLOOKUP($A15,TableHandbook[],M$2,FALSE),"")</f>
        <v/>
      </c>
      <c r="N15" s="94"/>
      <c r="O15" s="100">
        <v>6</v>
      </c>
      <c r="P15" s="28"/>
      <c r="Q15" s="28"/>
      <c r="R15" s="29"/>
      <c r="S15" s="29"/>
      <c r="T15" s="29"/>
      <c r="U15" s="29"/>
      <c r="V15" s="29"/>
      <c r="W15" s="29"/>
      <c r="X15" s="29"/>
      <c r="Y15" s="29"/>
    </row>
    <row r="16" spans="1:25" s="33" customFormat="1" ht="20.100000000000001" customHeight="1" x14ac:dyDescent="0.15">
      <c r="A16" s="67" t="str">
        <f>IFERROR(IF(HLOOKUP($N$5,RangeUnitsetsHRIGHTS,O16,FALSE)=0,"",HLOOKUP($N$5,RangeUnitsetsHRIGHTS,O16,FALSE)),"")</f>
        <v/>
      </c>
      <c r="B16" s="51" t="str">
        <f>IFERROR(IF(VLOOKUP($A16,TableHandbook[],2,FALSE)=0,"",VLOOKUP($A16,TableHandbook[],2,FALSE)),"")</f>
        <v/>
      </c>
      <c r="C16" s="51" t="str">
        <f>IFERROR(IF(VLOOKUP($A16,TableHandbook[],3,FALSE)=0,"",VLOOKUP($A16,TableHandbook[],3,FALSE)),"")</f>
        <v/>
      </c>
      <c r="D16" s="92" t="str">
        <f>IFERROR(IF(VLOOKUP($A16,TableHandbook[],4,FALSE)=0,"",VLOOKUP($A16,TableHandbook[],4,FALSE)),"")</f>
        <v/>
      </c>
      <c r="E16" s="51" t="str">
        <f>IF(A16="","",E15)</f>
        <v/>
      </c>
      <c r="F16" s="69" t="str">
        <f>IFERROR(IF(VLOOKUP($A16,TableHandbook[],6,FALSE)=0,"",VLOOKUP($A16,TableHandbook[],6,FALSE)),"")</f>
        <v/>
      </c>
      <c r="G16" s="51" t="str">
        <f>IFERROR(IF(VLOOKUP($A16,TableHandbook[],5,FALSE)=0,"",VLOOKUP($A16,TableHandbook[],5,FALSE)),"")</f>
        <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7</v>
      </c>
      <c r="P16" s="31"/>
      <c r="Q16" s="31"/>
      <c r="R16" s="32"/>
      <c r="S16" s="32"/>
      <c r="T16" s="32"/>
      <c r="U16" s="32"/>
      <c r="V16" s="32"/>
      <c r="W16" s="32"/>
      <c r="X16" s="32"/>
      <c r="Y16" s="32"/>
    </row>
    <row r="17" spans="1:25" s="30" customFormat="1" ht="5.0999999999999996" customHeight="1" x14ac:dyDescent="0.15">
      <c r="A17" s="112"/>
      <c r="B17" s="113"/>
      <c r="C17" s="113"/>
      <c r="D17" s="114"/>
      <c r="E17" s="113"/>
      <c r="F17" s="115"/>
      <c r="G17" s="113"/>
      <c r="H17" s="116"/>
      <c r="I17" s="113"/>
      <c r="J17" s="116"/>
      <c r="K17" s="113"/>
      <c r="L17" s="113"/>
      <c r="M17" s="117"/>
      <c r="N17" s="118"/>
      <c r="O17" s="100"/>
      <c r="P17" s="28"/>
      <c r="Q17" s="28"/>
      <c r="R17" s="28"/>
      <c r="S17" s="29"/>
      <c r="T17" s="29"/>
      <c r="U17" s="29"/>
      <c r="V17" s="29"/>
      <c r="W17" s="29"/>
      <c r="X17" s="29"/>
      <c r="Y17" s="29"/>
    </row>
    <row r="18" spans="1:25" s="30" customFormat="1" ht="20.100000000000001" customHeight="1" x14ac:dyDescent="0.15">
      <c r="A18" s="67" t="str">
        <f>IFERROR(IF(HLOOKUP($N$5,RangeUnitsetsHRIGHTS,O18,FALSE)=0,"",HLOOKUP($N$5,RangeUnitsetsHRIGHTS,O18,FALSE)),"")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IF(A18="","",VLOOKUP($D$6,#REF!,3,FALSE))</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2" t="str">
        <f>IFERROR(VLOOKUP($A18,TableHandbook[],J$2,FALSE),"")</f>
        <v/>
      </c>
      <c r="K18" s="51" t="str">
        <f>IFERROR(VLOOKUP($A18,TableHandbook[],K$2,FALSE),"")</f>
        <v/>
      </c>
      <c r="L18" s="51" t="str">
        <f>IFERROR(VLOOKUP($A18,TableHandbook[],L$2,FALSE),"")</f>
        <v/>
      </c>
      <c r="M18" s="53" t="str">
        <f>IFERROR(VLOOKUP($A18,TableHandbook[],M$2,FALSE),"")</f>
        <v/>
      </c>
      <c r="N18" s="94"/>
      <c r="O18" s="100">
        <v>8</v>
      </c>
      <c r="P18" s="28"/>
      <c r="Q18" s="28"/>
      <c r="R18" s="29"/>
      <c r="S18" s="29"/>
      <c r="T18" s="29"/>
      <c r="U18" s="29"/>
      <c r="V18" s="29"/>
      <c r="W18" s="29"/>
      <c r="X18" s="29"/>
      <c r="Y18" s="29"/>
    </row>
    <row r="19" spans="1:25" s="33"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68" t="str">
        <f>IFERROR(IF(VLOOKUP($A19,TableHandbook[],4,FALSE)=0,"",VLOOKUP($A19,TableHandbook[],4,FALSE)),"")</f>
        <v/>
      </c>
      <c r="E19" s="51" t="str">
        <f>IF(A19="","",E18)</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9</v>
      </c>
      <c r="P19" s="31"/>
      <c r="Q19" s="31"/>
      <c r="R19" s="32"/>
      <c r="S19" s="32"/>
      <c r="T19" s="32"/>
      <c r="U19" s="32"/>
      <c r="V19" s="32"/>
      <c r="W19" s="32"/>
      <c r="X19" s="32"/>
      <c r="Y19" s="32"/>
    </row>
    <row r="20" spans="1:25" s="27" customFormat="1" ht="21" x14ac:dyDescent="0.25">
      <c r="A20" s="71" t="s">
        <v>31</v>
      </c>
      <c r="B20" s="71"/>
      <c r="C20" s="71" t="s">
        <v>22</v>
      </c>
      <c r="D20" s="72" t="s">
        <v>3</v>
      </c>
      <c r="E20" s="77" t="s">
        <v>23</v>
      </c>
      <c r="F20" s="71" t="s">
        <v>24</v>
      </c>
      <c r="G20" s="71" t="s">
        <v>25</v>
      </c>
      <c r="H20" s="78" t="s">
        <v>46</v>
      </c>
      <c r="I20" s="79" t="s">
        <v>47</v>
      </c>
      <c r="J20" s="124" t="s">
        <v>26</v>
      </c>
      <c r="K20" s="125" t="s">
        <v>27</v>
      </c>
      <c r="L20" s="125" t="s">
        <v>28</v>
      </c>
      <c r="M20" s="126" t="s">
        <v>29</v>
      </c>
      <c r="N20" s="81" t="s">
        <v>30</v>
      </c>
      <c r="O20" s="99"/>
      <c r="P20" s="25"/>
      <c r="Q20" s="25"/>
      <c r="R20" s="26"/>
      <c r="S20" s="26"/>
      <c r="T20" s="26"/>
      <c r="U20" s="26"/>
      <c r="V20" s="26"/>
      <c r="W20" s="26"/>
      <c r="X20" s="26"/>
      <c r="Y20" s="26"/>
    </row>
    <row r="21" spans="1:25" s="30" customFormat="1" ht="20.100000000000001" customHeight="1" x14ac:dyDescent="0.15">
      <c r="A21" s="67" t="str">
        <f>IFERROR(IF(HLOOKUP($N$5,RangeUnitsetsHRIGHTS,O21,FALSE)=0,"",HLOOKUP($N$5,RangeUnitsetsHRIGHTS,O21,FALSE)),"")</f>
        <v/>
      </c>
      <c r="B21" s="51" t="str">
        <f>IFERROR(IF(VLOOKUP($A21,TableHandbook[],2,FALSE)=0,"",VLOOKUP($A21,TableHandbook[],2,FALSE)),"")</f>
        <v/>
      </c>
      <c r="C21" s="51" t="str">
        <f>IFERROR(IF(VLOOKUP($A21,TableHandbook[],3,FALSE)=0,"",VLOOKUP($A21,TableHandbook[],3,FALSE)),"")</f>
        <v/>
      </c>
      <c r="D21" s="92" t="str">
        <f>IFERROR(IF(VLOOKUP($A21,TableHandbook[],4,FALSE)=0,"",VLOOKUP($A21,TableHandbook[],4,FALSE)),"")</f>
        <v/>
      </c>
      <c r="E21" s="51" t="str">
        <f>IF(A21="","",VLOOKUP($D$6,#REF!,2,FALSE))</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2" t="str">
        <f>IFERROR(VLOOKUP($A21,TableHandbook[],J$2,FALSE),"")</f>
        <v/>
      </c>
      <c r="K21" s="51" t="str">
        <f>IFERROR(VLOOKUP($A21,TableHandbook[],K$2,FALSE),"")</f>
        <v/>
      </c>
      <c r="L21" s="51" t="str">
        <f>IFERROR(VLOOKUP($A21,TableHandbook[],L$2,FALSE),"")</f>
        <v/>
      </c>
      <c r="M21" s="53" t="str">
        <f>IFERROR(VLOOKUP($A21,TableHandbook[],M$2,FALSE),"")</f>
        <v/>
      </c>
      <c r="N21" s="94"/>
      <c r="O21" s="100">
        <v>10</v>
      </c>
      <c r="P21" s="28"/>
      <c r="Q21" s="28"/>
      <c r="R21" s="29"/>
      <c r="S21" s="29"/>
      <c r="T21" s="29"/>
      <c r="U21" s="29"/>
      <c r="V21" s="29"/>
      <c r="W21" s="29"/>
      <c r="X21" s="29"/>
      <c r="Y21" s="29"/>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68" t="str">
        <f>IFERROR(IF(VLOOKUP($A22,TableHandbook[],4,FALSE)=0,"",VLOOKUP($A22,TableHandbook[],4,FALSE)),"")</f>
        <v/>
      </c>
      <c r="E22" s="51" t="str">
        <f>IF(A22="","",E21)</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11</v>
      </c>
      <c r="P22" s="28"/>
      <c r="Q22" s="28"/>
      <c r="R22" s="29"/>
      <c r="S22" s="29"/>
      <c r="T22" s="29"/>
      <c r="U22" s="29"/>
      <c r="V22" s="29"/>
      <c r="W22" s="29"/>
      <c r="X22" s="29"/>
      <c r="Y22" s="29"/>
    </row>
    <row r="23" spans="1:25" s="30" customFormat="1" ht="5.0999999999999996" customHeight="1" x14ac:dyDescent="0.15">
      <c r="A23" s="112"/>
      <c r="B23" s="113"/>
      <c r="C23" s="113"/>
      <c r="D23" s="114"/>
      <c r="E23" s="113"/>
      <c r="F23" s="115"/>
      <c r="G23" s="113"/>
      <c r="H23" s="116"/>
      <c r="I23" s="113"/>
      <c r="J23" s="116"/>
      <c r="K23" s="113"/>
      <c r="L23" s="113"/>
      <c r="M23" s="117"/>
      <c r="N23" s="118"/>
      <c r="O23" s="100"/>
      <c r="P23" s="28"/>
      <c r="Q23" s="28"/>
      <c r="R23" s="28"/>
      <c r="S23" s="29"/>
      <c r="T23" s="29"/>
      <c r="U23" s="29"/>
      <c r="V23" s="29"/>
      <c r="W23" s="29"/>
      <c r="X23" s="29"/>
      <c r="Y23" s="29"/>
    </row>
    <row r="24" spans="1:25" s="30" customFormat="1" ht="20.100000000000001" customHeight="1" x14ac:dyDescent="0.15">
      <c r="A24" s="67" t="str">
        <f>IFERROR(IF(HLOOKUP($N$5,RangeUnitsetsHRIGHTS,O24,FALSE)=0,"",HLOOKUP($N$5,RangeUnitsetsHRIGHTS,O24,FALSE)),"")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IF(A24="","",VLOOKUP($D$6,#REF!,3,FALSE))</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2" t="str">
        <f>IFERROR(VLOOKUP($A24,TableHandbook[],J$2,FALSE),"")</f>
        <v/>
      </c>
      <c r="K24" s="51" t="str">
        <f>IFERROR(VLOOKUP($A24,TableHandbook[],K$2,FALSE),"")</f>
        <v/>
      </c>
      <c r="L24" s="51" t="str">
        <f>IFERROR(VLOOKUP($A24,TableHandbook[],L$2,FALSE),"")</f>
        <v/>
      </c>
      <c r="M24" s="53" t="str">
        <f>IFERROR(VLOOKUP($A24,TableHandbook[],M$2,FALSE),"")</f>
        <v/>
      </c>
      <c r="N24" s="94"/>
      <c r="O24" s="100">
        <v>12</v>
      </c>
      <c r="P24" s="28"/>
      <c r="Q24" s="28"/>
      <c r="R24" s="29"/>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IF(A25="","",E24)</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13</v>
      </c>
      <c r="P25" s="28"/>
      <c r="Q25" s="28"/>
      <c r="R25" s="29"/>
      <c r="S25" s="29"/>
      <c r="T25" s="29"/>
      <c r="U25" s="29"/>
      <c r="V25" s="29"/>
      <c r="W25" s="29"/>
      <c r="X25" s="29"/>
      <c r="Y25" s="29"/>
    </row>
    <row r="26" spans="1:25" s="38" customFormat="1" ht="13.9" customHeight="1" x14ac:dyDescent="0.2">
      <c r="A26" s="39"/>
      <c r="B26" s="39"/>
      <c r="C26" s="39"/>
      <c r="D26" s="40"/>
      <c r="E26" s="63"/>
      <c r="F26" s="35"/>
      <c r="G26" s="35"/>
      <c r="H26" s="35"/>
      <c r="I26" s="35"/>
      <c r="J26" s="35"/>
      <c r="K26" s="35"/>
      <c r="L26" s="35"/>
      <c r="M26" s="35"/>
      <c r="N26" s="35"/>
      <c r="O26" s="101"/>
      <c r="P26" s="36"/>
      <c r="Q26" s="36"/>
      <c r="R26" s="37"/>
      <c r="S26" s="37"/>
      <c r="T26" s="37"/>
      <c r="U26" s="37"/>
      <c r="V26" s="37"/>
      <c r="W26" s="37"/>
      <c r="X26" s="37"/>
      <c r="Y26" s="37"/>
    </row>
    <row r="27" spans="1:25" ht="16.5" customHeight="1" x14ac:dyDescent="0.25">
      <c r="A27" s="83" t="s">
        <v>48</v>
      </c>
      <c r="B27" s="84"/>
      <c r="C27" s="84"/>
      <c r="D27" s="84"/>
      <c r="E27" s="85"/>
      <c r="F27" s="86"/>
      <c r="G27" s="86"/>
      <c r="H27" s="87" t="s">
        <v>45</v>
      </c>
      <c r="I27" s="88"/>
      <c r="J27" s="88"/>
      <c r="K27" s="88"/>
      <c r="L27" s="89"/>
      <c r="M27" s="90"/>
      <c r="N27" s="104" t="str">
        <f>VLOOKUP(D5,TableCourses[],2,FALSE)</f>
        <v>OM-HRIGHT</v>
      </c>
      <c r="O27" s="102"/>
      <c r="P27" s="24"/>
      <c r="Q27" s="24"/>
      <c r="R27" s="24"/>
      <c r="S27" s="24"/>
      <c r="T27" s="24"/>
      <c r="U27" s="24"/>
      <c r="V27" s="24"/>
      <c r="W27" s="24"/>
      <c r="X27" s="24"/>
      <c r="Y27" s="24"/>
    </row>
    <row r="28" spans="1:25" s="42" customFormat="1" ht="21" x14ac:dyDescent="0.25">
      <c r="A28" s="103"/>
      <c r="B28" s="82"/>
      <c r="C28" s="71" t="s">
        <v>22</v>
      </c>
      <c r="D28" s="72" t="s">
        <v>3</v>
      </c>
      <c r="E28" s="79"/>
      <c r="F28" s="71" t="s">
        <v>24</v>
      </c>
      <c r="G28" s="71" t="s">
        <v>25</v>
      </c>
      <c r="H28" s="78" t="s">
        <v>46</v>
      </c>
      <c r="I28" s="79" t="s">
        <v>47</v>
      </c>
      <c r="J28" s="78" t="s">
        <v>26</v>
      </c>
      <c r="K28" s="79" t="s">
        <v>27</v>
      </c>
      <c r="L28" s="79" t="s">
        <v>28</v>
      </c>
      <c r="M28" s="80" t="s">
        <v>29</v>
      </c>
      <c r="N28" s="81" t="s">
        <v>49</v>
      </c>
      <c r="O28" s="102"/>
      <c r="P28" s="41"/>
      <c r="Q28" s="41"/>
      <c r="R28" s="41"/>
      <c r="S28" s="41"/>
      <c r="T28" s="41"/>
      <c r="U28" s="41"/>
      <c r="V28" s="41"/>
      <c r="W28" s="41"/>
      <c r="X28" s="41"/>
      <c r="Y28" s="41"/>
    </row>
    <row r="29" spans="1:25" x14ac:dyDescent="0.25">
      <c r="A29" s="105" t="str">
        <f t="shared" ref="A29:A43" si="0">IFERROR(IF(HLOOKUP($N$27,RangeOptionsHRIGHTS,O29,FALSE)=0,"",HLOOKUP($N$27,RangeOptionsHRIGHTS,O29,FALSE)),"")</f>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8" t="str">
        <f>IFERROR(VLOOKUP($A29,TableHandbook[],J$2,FALSE),"")</f>
        <v/>
      </c>
      <c r="K29" s="59" t="str">
        <f>IFERROR(VLOOKUP($A29,TableHandbook[],K$2,FALSE),"")</f>
        <v/>
      </c>
      <c r="L29" s="59" t="str">
        <f>IFERROR(VLOOKUP($A29,TableHandbook[],L$2,FALSE),"")</f>
        <v/>
      </c>
      <c r="M29" s="60" t="str">
        <f>IFERROR(VLOOKUP($A29,TableHandbook[],M$2,FALSE),"")</f>
        <v/>
      </c>
      <c r="N29" s="95"/>
      <c r="O29" s="100">
        <v>2</v>
      </c>
      <c r="P29" s="24"/>
      <c r="Q29" s="24"/>
      <c r="R29" s="24"/>
      <c r="S29" s="24"/>
      <c r="T29" s="24"/>
      <c r="U29" s="24"/>
      <c r="V29" s="24"/>
      <c r="W29" s="24"/>
      <c r="X29" s="24"/>
      <c r="Y29" s="24"/>
    </row>
    <row r="30" spans="1:25" x14ac:dyDescent="0.25">
      <c r="A30" s="105" t="str">
        <f t="shared" si="0"/>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8" t="str">
        <f>IFERROR(VLOOKUP($A30,TableHandbook[],J$2,FALSE),"")</f>
        <v/>
      </c>
      <c r="K30" s="59" t="str">
        <f>IFERROR(VLOOKUP($A30,TableHandbook[],K$2,FALSE),"")</f>
        <v/>
      </c>
      <c r="L30" s="59" t="str">
        <f>IFERROR(VLOOKUP($A30,TableHandbook[],L$2,FALSE),"")</f>
        <v/>
      </c>
      <c r="M30" s="60" t="str">
        <f>IFERROR(VLOOKUP($A30,TableHandbook[],M$2,FALSE),"")</f>
        <v/>
      </c>
      <c r="N30" s="95"/>
      <c r="O30" s="100">
        <v>3</v>
      </c>
      <c r="P30" s="24"/>
      <c r="Q30" s="24"/>
      <c r="R30" s="24"/>
      <c r="S30" s="24"/>
      <c r="T30" s="24"/>
      <c r="U30" s="24"/>
      <c r="V30" s="24"/>
      <c r="W30" s="24"/>
      <c r="X30" s="24"/>
      <c r="Y30" s="24"/>
    </row>
    <row r="31" spans="1:25" x14ac:dyDescent="0.25">
      <c r="A31" s="105" t="str">
        <f t="shared" si="0"/>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8" t="str">
        <f>IFERROR(VLOOKUP($A31,TableHandbook[],J$2,FALSE),"")</f>
        <v/>
      </c>
      <c r="K31" s="59" t="str">
        <f>IFERROR(VLOOKUP($A31,TableHandbook[],K$2,FALSE),"")</f>
        <v/>
      </c>
      <c r="L31" s="59" t="str">
        <f>IFERROR(VLOOKUP($A31,TableHandbook[],L$2,FALSE),"")</f>
        <v/>
      </c>
      <c r="M31" s="60" t="str">
        <f>IFERROR(VLOOKUP($A31,TableHandbook[],M$2,FALSE),"")</f>
        <v/>
      </c>
      <c r="N31" s="95"/>
      <c r="O31" s="100">
        <v>4</v>
      </c>
      <c r="P31" s="24"/>
      <c r="Q31" s="24"/>
      <c r="R31" s="24"/>
      <c r="S31" s="24"/>
      <c r="T31" s="24"/>
      <c r="U31" s="24"/>
      <c r="V31" s="24"/>
      <c r="W31" s="24"/>
      <c r="X31" s="24"/>
      <c r="Y31" s="24"/>
    </row>
    <row r="32" spans="1:25" x14ac:dyDescent="0.25">
      <c r="A32" s="105" t="str">
        <f t="shared" si="0"/>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5</v>
      </c>
      <c r="P32" s="24"/>
      <c r="Q32" s="24"/>
      <c r="R32" s="24"/>
      <c r="S32" s="24"/>
      <c r="T32" s="24"/>
      <c r="U32" s="24"/>
      <c r="V32" s="24"/>
      <c r="W32" s="24"/>
      <c r="X32" s="24"/>
      <c r="Y32" s="24"/>
    </row>
    <row r="33" spans="1:25" x14ac:dyDescent="0.25">
      <c r="A33" s="105" t="str">
        <f t="shared" si="0"/>
        <v/>
      </c>
      <c r="B33" s="108" t="str">
        <f>IFERROR(IF(VLOOKUP($A33,TableHandbook[],2,FALSE)=0,"",VLOOKUP($A33,TableHandbook[],2,FALSE)),"")</f>
        <v/>
      </c>
      <c r="C33" s="108" t="str">
        <f>IFERROR(IF(VLOOKUP($A33,TableHandbook[],3,FALSE)=0,"",VLOOKUP($A33,TableHandbook[],3,FALSE)),"")</f>
        <v/>
      </c>
      <c r="D33" s="43" t="str">
        <f>IFERROR(IF(VLOOKUP($A33,TableHandbook[],4,FALSE)=0,"",VLOOKUP($A33,TableHandbook[],4,FALSE)),"")</f>
        <v/>
      </c>
      <c r="E33" s="44"/>
      <c r="F33" s="50" t="str">
        <f>IFERROR(IF(VLOOKUP($A33,TableHandbook[],6,FALSE)=0,"",VLOOKUP($A33,TableHandbook[],6,FALSE)),"")</f>
        <v/>
      </c>
      <c r="G33" s="44" t="str">
        <f>IFERROR(IF(VLOOKUP($A33,TableHandbook[],5,FALSE)=0,"",VLOOKUP($A33,TableHandbook[],5,FALSE)),"")</f>
        <v/>
      </c>
      <c r="H33" s="58" t="str">
        <f>IFERROR(VLOOKUP($A33,TableHandbook[],H$2,FALSE),"")</f>
        <v/>
      </c>
      <c r="I33" s="59" t="str">
        <f>IFERROR(VLOOKUP($A33,TableHandbook[],I$2,FALSE),"")</f>
        <v/>
      </c>
      <c r="J33" s="58" t="str">
        <f>IFERROR(VLOOKUP($A33,TableHandbook[],J$2,FALSE),"")</f>
        <v/>
      </c>
      <c r="K33" s="59" t="str">
        <f>IFERROR(VLOOKUP($A33,TableHandbook[],K$2,FALSE),"")</f>
        <v/>
      </c>
      <c r="L33" s="59" t="str">
        <f>IFERROR(VLOOKUP($A33,TableHandbook[],L$2,FALSE),"")</f>
        <v/>
      </c>
      <c r="M33" s="60" t="str">
        <f>IFERROR(VLOOKUP($A33,TableHandbook[],M$2,FALSE),"")</f>
        <v/>
      </c>
      <c r="N33" s="95"/>
      <c r="O33" s="100">
        <v>6</v>
      </c>
      <c r="P33" s="24"/>
      <c r="Q33" s="24"/>
      <c r="R33" s="24"/>
      <c r="S33" s="24"/>
      <c r="T33" s="24"/>
      <c r="U33" s="24"/>
      <c r="V33" s="24"/>
      <c r="W33" s="24"/>
      <c r="X33" s="24"/>
      <c r="Y33" s="24"/>
    </row>
    <row r="34" spans="1:25" x14ac:dyDescent="0.25">
      <c r="A34" s="105" t="str">
        <f t="shared" si="0"/>
        <v/>
      </c>
      <c r="B34" s="108" t="str">
        <f>IFERROR(IF(VLOOKUP($A34,TableHandbook[],2,FALSE)=0,"",VLOOKUP($A34,TableHandbook[],2,FALSE)),"")</f>
        <v/>
      </c>
      <c r="C34" s="108" t="str">
        <f>IFERROR(IF(VLOOKUP($A34,TableHandbook[],3,FALSE)=0,"",VLOOKUP($A34,TableHandbook[],3,FALSE)),"")</f>
        <v/>
      </c>
      <c r="D34" s="43" t="str">
        <f>IFERROR(IF(VLOOKUP($A34,TableHandbook[],4,FALSE)=0,"",VLOOKUP($A34,TableHandbook[],4,FALSE)),"")</f>
        <v/>
      </c>
      <c r="E34" s="44"/>
      <c r="F34" s="50" t="str">
        <f>IFERROR(IF(VLOOKUP($A34,TableHandbook[],6,FALSE)=0,"",VLOOKUP($A34,TableHandbook[],6,FALSE)),"")</f>
        <v/>
      </c>
      <c r="G34" s="44" t="str">
        <f>IFERROR(IF(VLOOKUP($A34,TableHandbook[],5,FALSE)=0,"",VLOOKUP($A34,TableHandbook[],5,FALSE)),"")</f>
        <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7</v>
      </c>
      <c r="P34" s="24"/>
      <c r="Q34" s="24"/>
      <c r="R34" s="24"/>
      <c r="S34" s="24"/>
      <c r="T34" s="24"/>
      <c r="U34" s="24"/>
      <c r="V34" s="24"/>
      <c r="W34" s="24"/>
      <c r="X34" s="24"/>
      <c r="Y34" s="24"/>
    </row>
    <row r="35" spans="1:25" x14ac:dyDescent="0.25">
      <c r="A35" s="105" t="str">
        <f t="shared" si="0"/>
        <v/>
      </c>
      <c r="B35" s="108" t="str">
        <f>IFERROR(IF(VLOOKUP($A35,TableHandbook[],2,FALSE)=0,"",VLOOKUP($A35,TableHandbook[],2,FALSE)),"")</f>
        <v/>
      </c>
      <c r="C35" s="108" t="str">
        <f>IFERROR(IF(VLOOKUP($A35,TableHandbook[],3,FALSE)=0,"",VLOOKUP($A35,TableHandbook[],3,FALSE)),"")</f>
        <v/>
      </c>
      <c r="D35" s="43" t="str">
        <f>IFERROR(IF(VLOOKUP($A35,TableHandbook[],4,FALSE)=0,"",VLOOKUP($A35,TableHandbook[],4,FALSE)),"")</f>
        <v/>
      </c>
      <c r="E35" s="44"/>
      <c r="F35" s="50" t="str">
        <f>IFERROR(IF(VLOOKUP($A35,TableHandbook[],6,FALSE)=0,"",VLOOKUP($A35,TableHandbook[],6,FALSE)),"")</f>
        <v/>
      </c>
      <c r="G35" s="44" t="str">
        <f>IFERROR(IF(VLOOKUP($A35,TableHandbook[],5,FALSE)=0,"",VLOOKUP($A35,TableHandbook[],5,FALSE)),"")</f>
        <v/>
      </c>
      <c r="H35" s="58" t="str">
        <f>IFERROR(VLOOKUP($A35,TableHandbook[],H$2,FALSE),"")</f>
        <v/>
      </c>
      <c r="I35" s="59" t="str">
        <f>IFERROR(VLOOKUP($A35,TableHandbook[],I$2,FALSE),"")</f>
        <v/>
      </c>
      <c r="J35" s="58" t="str">
        <f>IFERROR(VLOOKUP($A35,TableHandbook[],J$2,FALSE),"")</f>
        <v/>
      </c>
      <c r="K35" s="59" t="str">
        <f>IFERROR(VLOOKUP($A35,TableHandbook[],K$2,FALSE),"")</f>
        <v/>
      </c>
      <c r="L35" s="59" t="str">
        <f>IFERROR(VLOOKUP($A35,TableHandbook[],L$2,FALSE),"")</f>
        <v/>
      </c>
      <c r="M35" s="60" t="str">
        <f>IFERROR(VLOOKUP($A35,TableHandbook[],M$2,FALSE),"")</f>
        <v/>
      </c>
      <c r="N35" s="95"/>
      <c r="O35" s="100">
        <v>8</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9" t="str">
        <f>IFERROR(VLOOKUP($A36,TableHandbook[],J$2,FALSE),"")</f>
        <v/>
      </c>
      <c r="K36" s="59" t="str">
        <f>IFERROR(VLOOKUP($A36,TableHandbook[],K$2,FALSE),"")</f>
        <v/>
      </c>
      <c r="L36" s="59" t="str">
        <f>IFERROR(VLOOKUP($A36,TableHandbook[],L$2,FALSE),"")</f>
        <v/>
      </c>
      <c r="M36" s="60" t="str">
        <f>IFERROR(VLOOKUP($A36,TableHandbook[],M$2,FALSE),"")</f>
        <v/>
      </c>
      <c r="N36" s="95"/>
      <c r="O36" s="100">
        <v>9</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10</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11</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12</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13</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14</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15</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16</v>
      </c>
      <c r="P43" s="24"/>
      <c r="Q43" s="24"/>
      <c r="R43" s="24"/>
      <c r="S43" s="24"/>
      <c r="T43" s="24"/>
      <c r="U43" s="24"/>
      <c r="V43" s="24"/>
      <c r="W43" s="24"/>
      <c r="X43" s="24"/>
      <c r="Y43" s="24"/>
    </row>
    <row r="44" spans="1:25" s="38" customFormat="1" ht="13.9" customHeight="1" x14ac:dyDescent="0.2">
      <c r="A44" s="39"/>
      <c r="B44" s="39"/>
      <c r="C44" s="39"/>
      <c r="D44" s="40"/>
      <c r="E44" s="63"/>
      <c r="F44" s="35"/>
      <c r="G44" s="35"/>
      <c r="H44" s="35"/>
      <c r="I44" s="35"/>
      <c r="J44" s="35"/>
      <c r="K44" s="35"/>
      <c r="L44" s="35"/>
      <c r="M44" s="35"/>
      <c r="N44" s="35"/>
      <c r="O44" s="101"/>
      <c r="P44" s="36"/>
      <c r="Q44" s="36"/>
      <c r="R44" s="37"/>
      <c r="S44" s="37"/>
      <c r="T44" s="37"/>
      <c r="U44" s="37"/>
      <c r="V44" s="37"/>
      <c r="W44" s="37"/>
      <c r="X44" s="37"/>
      <c r="Y44" s="37"/>
    </row>
    <row r="45" spans="1:25" s="24" customFormat="1" ht="32.25" customHeight="1" x14ac:dyDescent="0.25">
      <c r="A45" s="238" t="s">
        <v>34</v>
      </c>
      <c r="B45" s="238"/>
      <c r="C45" s="238"/>
      <c r="D45" s="238"/>
      <c r="E45" s="238"/>
      <c r="F45" s="238"/>
      <c r="G45" s="238"/>
      <c r="H45" s="238"/>
      <c r="I45" s="238"/>
      <c r="J45" s="238"/>
      <c r="K45" s="238"/>
      <c r="L45" s="238"/>
      <c r="M45" s="238"/>
      <c r="N45" s="238"/>
    </row>
    <row r="46" spans="1:25" s="24" customFormat="1" x14ac:dyDescent="0.25">
      <c r="A46" s="45"/>
      <c r="B46" s="46"/>
      <c r="C46" s="46"/>
      <c r="D46" s="46"/>
      <c r="E46" s="64"/>
      <c r="F46" s="46"/>
      <c r="G46" s="46"/>
      <c r="H46" s="46"/>
      <c r="I46" s="46"/>
      <c r="J46" s="46"/>
      <c r="K46" s="46"/>
      <c r="L46" s="46"/>
      <c r="M46" s="46"/>
      <c r="N46" s="47"/>
    </row>
    <row r="47" spans="1:25" s="24" customFormat="1" ht="15" customHeight="1" x14ac:dyDescent="0.25">
      <c r="A47" s="34" t="s">
        <v>35</v>
      </c>
      <c r="B47" s="34"/>
      <c r="C47" s="34"/>
      <c r="D47" s="34"/>
      <c r="E47" s="65"/>
      <c r="F47" s="35"/>
      <c r="G47" s="48"/>
      <c r="H47" s="48"/>
      <c r="I47" s="48"/>
      <c r="J47" s="48"/>
      <c r="K47" s="48"/>
      <c r="L47" s="48"/>
      <c r="M47" s="48"/>
      <c r="N47" s="48" t="s">
        <v>36</v>
      </c>
    </row>
  </sheetData>
  <sheetProtection formatCells="0"/>
  <mergeCells count="2">
    <mergeCell ref="A3:D3"/>
    <mergeCell ref="A45:N45"/>
  </mergeCells>
  <conditionalFormatting sqref="A9:N19 A20:G20 N20 A21:N25 A29:N43">
    <cfRule type="expression" dxfId="44" priority="3">
      <formula>$A9=""</formula>
    </cfRule>
  </conditionalFormatting>
  <conditionalFormatting sqref="A29:N43">
    <cfRule type="expression" dxfId="43" priority="1">
      <formula>LEFT($D29,5)="Study"</formula>
    </cfRule>
  </conditionalFormatting>
  <conditionalFormatting sqref="D5:D6">
    <cfRule type="containsText" dxfId="42" priority="2" operator="containsText" text="Choose">
      <formula>NOT(ISERROR(SEARCH("Choose",D5)))</formula>
    </cfRule>
  </conditionalFormatting>
  <dataValidations count="1">
    <dataValidation type="list" allowBlank="1" showInputMessage="1" showErrorMessage="1" sqref="N14 N11 N17 N23" xr:uid="{5A2DEDAB-070C-48C1-9C65-C93207FD0FA2}"/>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8D61992-6434-4500-8F6B-70D4E297F7FB}">
          <x14:formula1>
            <xm:f>CourseDetails!$A$56:$A$59</xm:f>
          </x14:formula1>
          <xm:sqref>D5</xm:sqref>
        </x14:dataValidation>
        <x14:dataValidation type="list" allowBlank="1" showInputMessage="1" showErrorMessage="1" xr:uid="{2118BFDF-0202-4340-BDF8-D90DAE816239}">
          <x14:formula1>
            <xm:f>CourseDetails!$A$40:$A$42</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D8D5-C1BF-4566-9778-79EF6F60E924}">
  <dimension ref="A1:I100"/>
  <sheetViews>
    <sheetView topLeftCell="A26" zoomScale="80" zoomScaleNormal="80" workbookViewId="0">
      <selection activeCell="E7" sqref="E7"/>
    </sheetView>
  </sheetViews>
  <sheetFormatPr defaultRowHeight="15.75" x14ac:dyDescent="0.25"/>
  <cols>
    <col min="1" max="1" width="88.375" style="5" customWidth="1"/>
    <col min="2" max="2" width="14.875" style="3" customWidth="1"/>
    <col min="3" max="3" width="11.875" style="3" bestFit="1" customWidth="1"/>
    <col min="4" max="4" width="16.875" style="3" bestFit="1" customWidth="1"/>
    <col min="5" max="5" width="14.125" style="3" bestFit="1" customWidth="1"/>
    <col min="6" max="6" width="18.5" style="3" bestFit="1" customWidth="1"/>
    <col min="7" max="7" width="28.875" style="3" customWidth="1"/>
    <col min="8" max="8" width="16.5" style="3" bestFit="1" customWidth="1"/>
    <col min="9" max="9" width="29.5" style="3" bestFit="1" customWidth="1"/>
  </cols>
  <sheetData>
    <row r="1" spans="1:9" x14ac:dyDescent="0.25">
      <c r="A1" s="7"/>
      <c r="B1" s="8"/>
      <c r="C1" s="8"/>
      <c r="D1" s="8"/>
    </row>
    <row r="2" spans="1:9" x14ac:dyDescent="0.25">
      <c r="A2" s="109" t="s">
        <v>52</v>
      </c>
      <c r="B2"/>
      <c r="C2"/>
      <c r="D2"/>
      <c r="E2"/>
      <c r="F2"/>
      <c r="G2"/>
      <c r="H2"/>
      <c r="I2"/>
    </row>
    <row r="3" spans="1:9" x14ac:dyDescent="0.25">
      <c r="A3" s="3" t="s">
        <v>53</v>
      </c>
      <c r="B3" s="5" t="s">
        <v>0</v>
      </c>
      <c r="C3" s="3" t="s">
        <v>54</v>
      </c>
      <c r="D3" s="3" t="s">
        <v>55</v>
      </c>
      <c r="E3" s="3" t="s">
        <v>56</v>
      </c>
      <c r="F3" s="3" t="s">
        <v>57</v>
      </c>
      <c r="G3" s="3" t="s">
        <v>58</v>
      </c>
      <c r="H3" s="3" t="s">
        <v>59</v>
      </c>
      <c r="I3" s="3" t="s">
        <v>236</v>
      </c>
    </row>
    <row r="4" spans="1:9" x14ac:dyDescent="0.25">
      <c r="A4" s="186" t="s">
        <v>37</v>
      </c>
      <c r="B4" s="205" t="s">
        <v>60</v>
      </c>
      <c r="C4" s="188" t="s">
        <v>61</v>
      </c>
      <c r="D4" s="189">
        <v>45658</v>
      </c>
      <c r="E4" s="188">
        <v>1</v>
      </c>
      <c r="F4" s="189">
        <v>45658</v>
      </c>
      <c r="G4" s="185" t="s">
        <v>62</v>
      </c>
      <c r="H4" s="188" t="s">
        <v>544</v>
      </c>
      <c r="I4" s="183"/>
    </row>
    <row r="5" spans="1:9" x14ac:dyDescent="0.25">
      <c r="A5" s="186" t="s">
        <v>435</v>
      </c>
      <c r="B5" s="205" t="s">
        <v>436</v>
      </c>
      <c r="C5" s="178" t="s">
        <v>72</v>
      </c>
      <c r="D5" s="182">
        <v>46023</v>
      </c>
      <c r="E5" s="178">
        <v>2</v>
      </c>
      <c r="F5" s="182">
        <v>46023</v>
      </c>
      <c r="G5" s="185" t="s">
        <v>69</v>
      </c>
      <c r="H5" s="188" t="s">
        <v>544</v>
      </c>
      <c r="I5" s="183"/>
    </row>
    <row r="6" spans="1:9" x14ac:dyDescent="0.25">
      <c r="A6" s="183" t="s">
        <v>11</v>
      </c>
      <c r="B6" s="188" t="s">
        <v>63</v>
      </c>
      <c r="C6" s="178" t="s">
        <v>72</v>
      </c>
      <c r="D6" s="182">
        <v>46023</v>
      </c>
      <c r="E6" s="178">
        <v>2</v>
      </c>
      <c r="F6" s="182">
        <v>46023</v>
      </c>
      <c r="G6" s="184" t="s">
        <v>64</v>
      </c>
      <c r="H6" s="188" t="s">
        <v>544</v>
      </c>
      <c r="I6" s="183"/>
    </row>
    <row r="7" spans="1:9" x14ac:dyDescent="0.25">
      <c r="A7" s="186" t="s">
        <v>43</v>
      </c>
      <c r="B7" s="187" t="s">
        <v>65</v>
      </c>
      <c r="C7" s="184" t="s">
        <v>61</v>
      </c>
      <c r="D7" s="185">
        <v>42005</v>
      </c>
      <c r="E7" s="178">
        <v>4</v>
      </c>
      <c r="F7" s="182">
        <v>45658</v>
      </c>
      <c r="G7" s="184" t="s">
        <v>62</v>
      </c>
      <c r="H7" s="188" t="s">
        <v>66</v>
      </c>
      <c r="I7" s="183"/>
    </row>
    <row r="8" spans="1:9" x14ac:dyDescent="0.25">
      <c r="A8" s="186" t="s">
        <v>67</v>
      </c>
      <c r="B8" s="187" t="s">
        <v>68</v>
      </c>
      <c r="C8" s="184" t="s">
        <v>61</v>
      </c>
      <c r="D8" s="185">
        <v>42005</v>
      </c>
      <c r="E8" s="188">
        <v>2</v>
      </c>
      <c r="F8" s="189">
        <v>43831</v>
      </c>
      <c r="G8" s="184" t="s">
        <v>69</v>
      </c>
      <c r="H8" s="188" t="s">
        <v>70</v>
      </c>
      <c r="I8" s="183"/>
    </row>
    <row r="9" spans="1:9" x14ac:dyDescent="0.25">
      <c r="A9" s="186" t="s">
        <v>50</v>
      </c>
      <c r="B9" s="187" t="s">
        <v>71</v>
      </c>
      <c r="C9" s="184" t="s">
        <v>72</v>
      </c>
      <c r="D9" s="185">
        <v>45292</v>
      </c>
      <c r="E9" s="188">
        <v>3</v>
      </c>
      <c r="F9" s="189">
        <v>45292</v>
      </c>
      <c r="G9" s="184" t="s">
        <v>73</v>
      </c>
      <c r="H9" s="188" t="s">
        <v>66</v>
      </c>
      <c r="I9" s="183"/>
    </row>
    <row r="10" spans="1:9" x14ac:dyDescent="0.25">
      <c r="I10" s="4"/>
    </row>
    <row r="11" spans="1:9" x14ac:dyDescent="0.25">
      <c r="A11" s="109" t="s">
        <v>74</v>
      </c>
    </row>
    <row r="12" spans="1:9" x14ac:dyDescent="0.25">
      <c r="A12" s="129" t="s">
        <v>75</v>
      </c>
      <c r="B12" s="130" t="s">
        <v>0</v>
      </c>
      <c r="C12" s="129" t="s">
        <v>54</v>
      </c>
      <c r="D12" s="129" t="s">
        <v>55</v>
      </c>
      <c r="E12" s="129" t="s">
        <v>56</v>
      </c>
      <c r="F12" s="129" t="s">
        <v>57</v>
      </c>
      <c r="G12" s="129" t="s">
        <v>58</v>
      </c>
      <c r="H12" s="129" t="s">
        <v>236</v>
      </c>
    </row>
    <row r="13" spans="1:9" x14ac:dyDescent="0.25">
      <c r="A13" s="190" t="s">
        <v>14</v>
      </c>
      <c r="B13" s="176" t="s">
        <v>76</v>
      </c>
      <c r="C13" s="176" t="s">
        <v>61</v>
      </c>
      <c r="D13" s="177">
        <v>46023</v>
      </c>
      <c r="E13" s="176">
        <v>1</v>
      </c>
      <c r="F13" s="177">
        <v>46023</v>
      </c>
      <c r="G13" s="184" t="s">
        <v>64</v>
      </c>
      <c r="H13" s="184"/>
    </row>
    <row r="14" spans="1:9" x14ac:dyDescent="0.25">
      <c r="A14" s="193" t="s">
        <v>77</v>
      </c>
      <c r="B14" s="206" t="s">
        <v>78</v>
      </c>
      <c r="C14" s="176" t="s">
        <v>72</v>
      </c>
      <c r="D14" s="177">
        <v>46023</v>
      </c>
      <c r="E14" s="176">
        <v>2</v>
      </c>
      <c r="F14" s="177">
        <v>46023</v>
      </c>
      <c r="G14" s="184" t="s">
        <v>64</v>
      </c>
      <c r="H14" s="184"/>
    </row>
    <row r="15" spans="1:9" x14ac:dyDescent="0.25">
      <c r="A15" s="193" t="s">
        <v>79</v>
      </c>
      <c r="B15" s="206" t="s">
        <v>80</v>
      </c>
      <c r="C15" s="176" t="s">
        <v>72</v>
      </c>
      <c r="D15" s="177">
        <v>46023</v>
      </c>
      <c r="E15" s="176">
        <v>2</v>
      </c>
      <c r="F15" s="177">
        <v>46023</v>
      </c>
      <c r="G15" s="184" t="s">
        <v>64</v>
      </c>
      <c r="H15" s="184"/>
    </row>
    <row r="16" spans="1:9" x14ac:dyDescent="0.25">
      <c r="A16" s="193" t="s">
        <v>81</v>
      </c>
      <c r="B16" s="215" t="s">
        <v>82</v>
      </c>
      <c r="C16" s="176" t="s">
        <v>61</v>
      </c>
      <c r="D16" s="177">
        <v>46023</v>
      </c>
      <c r="E16" s="176">
        <v>1</v>
      </c>
      <c r="F16" s="177">
        <v>46023</v>
      </c>
      <c r="G16" s="184" t="s">
        <v>64</v>
      </c>
      <c r="H16" s="184"/>
      <c r="I16"/>
    </row>
    <row r="17" spans="1:8" x14ac:dyDescent="0.25">
      <c r="A17" s="190" t="s">
        <v>14</v>
      </c>
      <c r="B17" s="191" t="s">
        <v>83</v>
      </c>
      <c r="C17" s="191" t="s">
        <v>61</v>
      </c>
      <c r="D17" s="192">
        <v>45658</v>
      </c>
      <c r="E17" s="191" t="s">
        <v>84</v>
      </c>
      <c r="F17" s="192">
        <v>46022</v>
      </c>
      <c r="G17" s="184" t="s">
        <v>64</v>
      </c>
      <c r="H17" s="184"/>
    </row>
    <row r="18" spans="1:8" x14ac:dyDescent="0.25">
      <c r="A18" s="193" t="s">
        <v>81</v>
      </c>
      <c r="B18" s="194" t="s">
        <v>85</v>
      </c>
      <c r="C18" s="191" t="s">
        <v>61</v>
      </c>
      <c r="D18" s="192">
        <v>45658</v>
      </c>
      <c r="E18" s="191" t="s">
        <v>84</v>
      </c>
      <c r="F18" s="192">
        <v>46022</v>
      </c>
      <c r="G18" s="184" t="s">
        <v>64</v>
      </c>
      <c r="H18" s="184"/>
    </row>
    <row r="20" spans="1:8" x14ac:dyDescent="0.25">
      <c r="A20" s="109" t="s">
        <v>437</v>
      </c>
    </row>
    <row r="21" spans="1:8" x14ac:dyDescent="0.25">
      <c r="A21" s="129" t="s">
        <v>75</v>
      </c>
      <c r="B21" s="130" t="s">
        <v>0</v>
      </c>
      <c r="C21" s="129" t="s">
        <v>54</v>
      </c>
      <c r="D21" s="129" t="s">
        <v>55</v>
      </c>
      <c r="E21" s="129" t="s">
        <v>56</v>
      </c>
      <c r="F21" s="129" t="s">
        <v>57</v>
      </c>
      <c r="G21" s="129" t="s">
        <v>58</v>
      </c>
      <c r="H21" s="129" t="s">
        <v>236</v>
      </c>
    </row>
    <row r="22" spans="1:8" x14ac:dyDescent="0.25">
      <c r="A22" s="190" t="s">
        <v>514</v>
      </c>
      <c r="B22" s="176" t="s">
        <v>513</v>
      </c>
      <c r="C22" s="176" t="s">
        <v>61</v>
      </c>
      <c r="D22" s="177">
        <v>46023</v>
      </c>
      <c r="E22" s="176">
        <v>1</v>
      </c>
      <c r="F22" s="177">
        <v>46023</v>
      </c>
      <c r="G22" s="184" t="s">
        <v>69</v>
      </c>
      <c r="H22" s="184"/>
    </row>
    <row r="23" spans="1:8" x14ac:dyDescent="0.25">
      <c r="A23" s="193" t="s">
        <v>516</v>
      </c>
      <c r="B23" s="206" t="s">
        <v>515</v>
      </c>
      <c r="C23" s="195" t="s">
        <v>61</v>
      </c>
      <c r="D23" s="196">
        <v>45658</v>
      </c>
      <c r="E23" s="195">
        <v>1</v>
      </c>
      <c r="F23" s="196">
        <v>45658</v>
      </c>
      <c r="G23" s="184" t="s">
        <v>69</v>
      </c>
      <c r="H23" s="184"/>
    </row>
    <row r="24" spans="1:8" x14ac:dyDescent="0.25">
      <c r="A24" s="193" t="s">
        <v>518</v>
      </c>
      <c r="B24" s="206" t="s">
        <v>517</v>
      </c>
      <c r="C24" s="195" t="s">
        <v>61</v>
      </c>
      <c r="D24" s="196">
        <v>45658</v>
      </c>
      <c r="E24" s="195">
        <v>1</v>
      </c>
      <c r="F24" s="196">
        <v>45658</v>
      </c>
      <c r="G24" s="184" t="s">
        <v>69</v>
      </c>
      <c r="H24" s="184"/>
    </row>
    <row r="25" spans="1:8" x14ac:dyDescent="0.25">
      <c r="A25" s="193" t="s">
        <v>520</v>
      </c>
      <c r="B25" s="215" t="s">
        <v>519</v>
      </c>
      <c r="C25" s="176" t="s">
        <v>61</v>
      </c>
      <c r="D25" s="177">
        <v>46023</v>
      </c>
      <c r="E25" s="176">
        <v>1</v>
      </c>
      <c r="F25" s="177">
        <v>46023</v>
      </c>
      <c r="G25" s="184" t="s">
        <v>69</v>
      </c>
      <c r="H25" s="184"/>
    </row>
    <row r="27" spans="1:8" x14ac:dyDescent="0.25">
      <c r="A27" s="109" t="s">
        <v>86</v>
      </c>
    </row>
    <row r="28" spans="1:8" x14ac:dyDescent="0.25">
      <c r="A28" s="129" t="s">
        <v>87</v>
      </c>
      <c r="B28" s="130" t="s">
        <v>0</v>
      </c>
      <c r="C28" s="129" t="s">
        <v>54</v>
      </c>
      <c r="D28" s="129" t="s">
        <v>55</v>
      </c>
      <c r="E28" s="129" t="s">
        <v>56</v>
      </c>
      <c r="F28" s="129" t="s">
        <v>57</v>
      </c>
      <c r="G28" s="129" t="s">
        <v>58</v>
      </c>
      <c r="H28" s="129" t="s">
        <v>236</v>
      </c>
    </row>
    <row r="29" spans="1:8" x14ac:dyDescent="0.25">
      <c r="A29" s="190" t="s">
        <v>88</v>
      </c>
      <c r="B29" s="195" t="s">
        <v>89</v>
      </c>
      <c r="C29" s="178" t="s">
        <v>72</v>
      </c>
      <c r="D29" s="182">
        <v>46023</v>
      </c>
      <c r="E29" s="176">
        <v>2</v>
      </c>
      <c r="F29" s="177">
        <v>46023</v>
      </c>
      <c r="G29" s="184" t="s">
        <v>62</v>
      </c>
      <c r="H29" s="184"/>
    </row>
    <row r="30" spans="1:8" x14ac:dyDescent="0.25">
      <c r="A30" s="193" t="s">
        <v>39</v>
      </c>
      <c r="B30" s="206" t="s">
        <v>90</v>
      </c>
      <c r="C30" s="195" t="s">
        <v>61</v>
      </c>
      <c r="D30" s="196">
        <v>45658</v>
      </c>
      <c r="E30" s="195">
        <v>2</v>
      </c>
      <c r="F30" s="196">
        <v>45839</v>
      </c>
      <c r="G30" s="184" t="s">
        <v>62</v>
      </c>
      <c r="H30" s="184"/>
    </row>
    <row r="31" spans="1:8" x14ac:dyDescent="0.25">
      <c r="A31" s="193" t="s">
        <v>91</v>
      </c>
      <c r="B31" s="206" t="s">
        <v>92</v>
      </c>
      <c r="C31" s="195" t="s">
        <v>61</v>
      </c>
      <c r="D31" s="196">
        <v>45658</v>
      </c>
      <c r="E31" s="195">
        <v>1</v>
      </c>
      <c r="F31" s="196">
        <v>45658</v>
      </c>
      <c r="G31" s="184" t="s">
        <v>62</v>
      </c>
      <c r="H31" s="184"/>
    </row>
    <row r="32" spans="1:8" x14ac:dyDescent="0.25">
      <c r="A32" s="193" t="s">
        <v>93</v>
      </c>
      <c r="B32" s="206" t="s">
        <v>94</v>
      </c>
      <c r="C32" s="178" t="s">
        <v>72</v>
      </c>
      <c r="D32" s="182">
        <v>46023</v>
      </c>
      <c r="E32" s="176">
        <v>2</v>
      </c>
      <c r="F32" s="177">
        <v>46023</v>
      </c>
      <c r="G32" s="184" t="s">
        <v>62</v>
      </c>
      <c r="H32" s="184"/>
    </row>
    <row r="34" spans="1:9" x14ac:dyDescent="0.25">
      <c r="A34" s="109" t="s">
        <v>95</v>
      </c>
      <c r="I34"/>
    </row>
    <row r="35" spans="1:9" x14ac:dyDescent="0.25">
      <c r="A35" s="6" t="s">
        <v>51</v>
      </c>
      <c r="B35" s="9" t="s">
        <v>96</v>
      </c>
      <c r="C35" s="3" t="s">
        <v>97</v>
      </c>
      <c r="D35" s="3" t="s">
        <v>98</v>
      </c>
      <c r="E35" s="3" t="s">
        <v>99</v>
      </c>
      <c r="I35"/>
    </row>
    <row r="36" spans="1:9" x14ac:dyDescent="0.25">
      <c r="A36" s="3" t="s">
        <v>17</v>
      </c>
      <c r="B36" s="4" t="s">
        <v>26</v>
      </c>
      <c r="C36" s="4" t="s">
        <v>27</v>
      </c>
      <c r="D36" s="4" t="s">
        <v>28</v>
      </c>
      <c r="E36" s="4" t="s">
        <v>29</v>
      </c>
      <c r="I36"/>
    </row>
    <row r="37" spans="1:9" x14ac:dyDescent="0.25">
      <c r="A37" s="5" t="s">
        <v>100</v>
      </c>
      <c r="B37" s="4" t="s">
        <v>28</v>
      </c>
      <c r="C37" s="4" t="s">
        <v>29</v>
      </c>
      <c r="D37" s="4" t="s">
        <v>26</v>
      </c>
      <c r="E37" s="4" t="s">
        <v>27</v>
      </c>
      <c r="I37"/>
    </row>
    <row r="38" spans="1:9" x14ac:dyDescent="0.25">
      <c r="B38" s="4"/>
      <c r="C38" s="4"/>
      <c r="D38" s="4"/>
      <c r="E38" s="4"/>
      <c r="I38"/>
    </row>
    <row r="39" spans="1:9" x14ac:dyDescent="0.25">
      <c r="A39" s="109" t="s">
        <v>101</v>
      </c>
    </row>
    <row r="40" spans="1:9" x14ac:dyDescent="0.25">
      <c r="A40" s="6" t="s">
        <v>51</v>
      </c>
      <c r="B40" s="9" t="s">
        <v>96</v>
      </c>
      <c r="C40" s="3" t="s">
        <v>97</v>
      </c>
      <c r="D40" s="3" t="s">
        <v>99</v>
      </c>
    </row>
    <row r="41" spans="1:9" x14ac:dyDescent="0.25">
      <c r="A41" s="3" t="s">
        <v>44</v>
      </c>
      <c r="B41" s="4" t="s">
        <v>102</v>
      </c>
      <c r="C41" s="4" t="s">
        <v>103</v>
      </c>
      <c r="D41" s="4" t="s">
        <v>104</v>
      </c>
    </row>
    <row r="42" spans="1:9" x14ac:dyDescent="0.25">
      <c r="A42" s="5" t="s">
        <v>105</v>
      </c>
      <c r="B42" s="4" t="s">
        <v>103</v>
      </c>
      <c r="C42" s="4" t="s">
        <v>104</v>
      </c>
      <c r="D42" s="4" t="s">
        <v>102</v>
      </c>
    </row>
    <row r="43" spans="1:9" x14ac:dyDescent="0.25">
      <c r="B43" s="4"/>
      <c r="C43" s="4"/>
      <c r="D43" s="4"/>
      <c r="E43" s="4"/>
    </row>
    <row r="44" spans="1:9" x14ac:dyDescent="0.25">
      <c r="A44" s="109" t="s">
        <v>106</v>
      </c>
      <c r="B44" s="4"/>
      <c r="C44" s="4"/>
      <c r="D44" s="4"/>
      <c r="E44" s="4"/>
    </row>
    <row r="45" spans="1:9" x14ac:dyDescent="0.25">
      <c r="A45" s="157" t="s">
        <v>14</v>
      </c>
      <c r="B45" s="197" t="s">
        <v>555</v>
      </c>
      <c r="C45" s="4"/>
      <c r="D45" s="4"/>
      <c r="E45" s="4"/>
      <c r="I45"/>
    </row>
    <row r="46" spans="1:9" x14ac:dyDescent="0.25">
      <c r="A46" s="158" t="s">
        <v>77</v>
      </c>
      <c r="B46" s="198" t="s">
        <v>555</v>
      </c>
      <c r="C46" s="4"/>
      <c r="D46" s="4"/>
      <c r="E46" s="4"/>
      <c r="I46"/>
    </row>
    <row r="47" spans="1:9" x14ac:dyDescent="0.25">
      <c r="A47" s="158" t="s">
        <v>79</v>
      </c>
      <c r="B47" s="198" t="s">
        <v>555</v>
      </c>
      <c r="C47" s="4"/>
      <c r="D47" s="4"/>
      <c r="E47" s="4"/>
      <c r="I47"/>
    </row>
    <row r="48" spans="1:9" x14ac:dyDescent="0.25">
      <c r="A48" s="158" t="s">
        <v>81</v>
      </c>
      <c r="B48" s="198" t="s">
        <v>555</v>
      </c>
      <c r="C48" s="4"/>
      <c r="D48" s="4"/>
      <c r="E48" s="4"/>
    </row>
    <row r="49" spans="1:8" x14ac:dyDescent="0.25">
      <c r="A49" s="158" t="s">
        <v>37</v>
      </c>
      <c r="B49" s="199" t="s">
        <v>107</v>
      </c>
      <c r="C49" s="4"/>
      <c r="D49" s="4"/>
      <c r="E49" s="4"/>
    </row>
    <row r="50" spans="1:8" x14ac:dyDescent="0.25">
      <c r="A50" s="158" t="s">
        <v>435</v>
      </c>
      <c r="B50" s="199" t="s">
        <v>554</v>
      </c>
      <c r="C50" s="4"/>
      <c r="D50" s="4"/>
      <c r="E50" s="4"/>
    </row>
    <row r="51" spans="1:8" x14ac:dyDescent="0.25">
      <c r="A51" s="158" t="s">
        <v>43</v>
      </c>
      <c r="B51" s="199" t="s">
        <v>108</v>
      </c>
      <c r="C51" s="4"/>
      <c r="D51" s="4"/>
      <c r="E51" s="4"/>
    </row>
    <row r="52" spans="1:8" x14ac:dyDescent="0.25">
      <c r="A52" s="158" t="s">
        <v>67</v>
      </c>
      <c r="B52" s="199" t="s">
        <v>109</v>
      </c>
      <c r="C52" s="4"/>
      <c r="D52" s="4"/>
      <c r="E52" s="4"/>
    </row>
    <row r="53" spans="1:8" x14ac:dyDescent="0.25">
      <c r="A53" s="159" t="s">
        <v>50</v>
      </c>
      <c r="B53" s="202" t="s">
        <v>110</v>
      </c>
      <c r="C53" s="4"/>
      <c r="D53" s="4"/>
      <c r="E53" s="4"/>
    </row>
    <row r="54" spans="1:8" x14ac:dyDescent="0.25">
      <c r="B54" s="4"/>
      <c r="C54" s="4"/>
      <c r="D54" s="4"/>
      <c r="E54" s="4"/>
    </row>
    <row r="55" spans="1:8" x14ac:dyDescent="0.25">
      <c r="A55"/>
      <c r="B55"/>
      <c r="D55"/>
      <c r="G55"/>
    </row>
    <row r="56" spans="1:8" x14ac:dyDescent="0.25">
      <c r="A56" s="151" t="s">
        <v>111</v>
      </c>
      <c r="B56"/>
      <c r="D56"/>
      <c r="G56"/>
    </row>
    <row r="57" spans="1:8" x14ac:dyDescent="0.25">
      <c r="A57" s="152" t="s">
        <v>43</v>
      </c>
      <c r="B57"/>
      <c r="G57"/>
    </row>
    <row r="58" spans="1:8" x14ac:dyDescent="0.25">
      <c r="A58" s="152" t="s">
        <v>67</v>
      </c>
      <c r="B58"/>
      <c r="G58"/>
    </row>
    <row r="59" spans="1:8" x14ac:dyDescent="0.25">
      <c r="A59" s="153" t="s">
        <v>50</v>
      </c>
      <c r="B59"/>
      <c r="G59"/>
      <c r="H59"/>
    </row>
    <row r="60" spans="1:8" x14ac:dyDescent="0.25">
      <c r="A60"/>
      <c r="B60"/>
      <c r="G60"/>
      <c r="H60"/>
    </row>
    <row r="61" spans="1:8" x14ac:dyDescent="0.25">
      <c r="A61"/>
      <c r="B61"/>
      <c r="G61"/>
      <c r="H61"/>
    </row>
    <row r="62" spans="1:8" x14ac:dyDescent="0.25">
      <c r="A62" s="154" t="s">
        <v>112</v>
      </c>
      <c r="B62"/>
      <c r="G62"/>
      <c r="H62"/>
    </row>
    <row r="63" spans="1:8" x14ac:dyDescent="0.25">
      <c r="A63"/>
      <c r="B63" s="1" t="s">
        <v>542</v>
      </c>
      <c r="C63" s="1" t="s">
        <v>543</v>
      </c>
      <c r="D63"/>
      <c r="E63"/>
      <c r="G63"/>
      <c r="H63"/>
    </row>
    <row r="64" spans="1:8" x14ac:dyDescent="0.25">
      <c r="A64" t="s">
        <v>545</v>
      </c>
      <c r="B64" s="204">
        <v>46035</v>
      </c>
      <c r="C64" s="204"/>
      <c r="D64"/>
      <c r="E64"/>
      <c r="H64"/>
    </row>
    <row r="65" spans="1:9" x14ac:dyDescent="0.25">
      <c r="A65" t="s">
        <v>546</v>
      </c>
      <c r="B65" s="204">
        <v>45888</v>
      </c>
      <c r="C65" s="204"/>
      <c r="D65"/>
      <c r="E65"/>
      <c r="H65"/>
    </row>
    <row r="66" spans="1:9" x14ac:dyDescent="0.25">
      <c r="A66" t="s">
        <v>547</v>
      </c>
      <c r="B66" s="204">
        <v>46035</v>
      </c>
      <c r="C66" s="204"/>
      <c r="D66"/>
      <c r="E66"/>
      <c r="H66"/>
    </row>
    <row r="67" spans="1:9" x14ac:dyDescent="0.25">
      <c r="A67" t="s">
        <v>548</v>
      </c>
      <c r="B67" s="204">
        <v>46035</v>
      </c>
      <c r="C67" s="204"/>
      <c r="D67"/>
      <c r="E67"/>
      <c r="H67"/>
    </row>
    <row r="68" spans="1:9" x14ac:dyDescent="0.25">
      <c r="A68" t="s">
        <v>549</v>
      </c>
      <c r="B68" s="204">
        <v>46058</v>
      </c>
      <c r="C68" s="204"/>
      <c r="D68"/>
      <c r="E68"/>
      <c r="H68"/>
    </row>
    <row r="69" spans="1:9" x14ac:dyDescent="0.25">
      <c r="A69" t="s">
        <v>550</v>
      </c>
      <c r="B69" s="204">
        <v>45992</v>
      </c>
      <c r="C69" s="204"/>
      <c r="D69"/>
      <c r="E69"/>
      <c r="H69"/>
    </row>
    <row r="70" spans="1:9" x14ac:dyDescent="0.25">
      <c r="A70" t="s">
        <v>551</v>
      </c>
      <c r="B70" s="204">
        <v>45992</v>
      </c>
      <c r="C70" s="204"/>
      <c r="D70"/>
      <c r="E70"/>
      <c r="H70"/>
    </row>
    <row r="71" spans="1:9" x14ac:dyDescent="0.25">
      <c r="A71" t="s">
        <v>552</v>
      </c>
      <c r="B71" s="204"/>
      <c r="C71" s="204"/>
      <c r="D71"/>
      <c r="E71"/>
    </row>
    <row r="72" spans="1:9" x14ac:dyDescent="0.25">
      <c r="A72" t="s">
        <v>553</v>
      </c>
      <c r="B72" s="204"/>
      <c r="C72" s="204"/>
      <c r="D72"/>
      <c r="E72"/>
    </row>
    <row r="73" spans="1:9" x14ac:dyDescent="0.25">
      <c r="A73"/>
      <c r="B73" s="204"/>
      <c r="C73" s="204"/>
      <c r="D73"/>
      <c r="E73"/>
    </row>
    <row r="74" spans="1:9" x14ac:dyDescent="0.25">
      <c r="A74"/>
      <c r="B74" s="204"/>
      <c r="C74" s="204"/>
      <c r="D74"/>
      <c r="E74"/>
    </row>
    <row r="75" spans="1:9" x14ac:dyDescent="0.25">
      <c r="A75"/>
      <c r="B75" s="204"/>
      <c r="C75" s="204"/>
      <c r="D75"/>
      <c r="E75"/>
    </row>
    <row r="77" spans="1:9" x14ac:dyDescent="0.25">
      <c r="I77" s="10"/>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64"/>
  <sheetViews>
    <sheetView zoomScale="85" zoomScaleNormal="85" workbookViewId="0">
      <selection activeCell="E7" sqref="E7"/>
    </sheetView>
  </sheetViews>
  <sheetFormatPr defaultRowHeight="15.75" x14ac:dyDescent="0.25"/>
  <cols>
    <col min="1" max="1" width="21.75" style="3" bestFit="1" customWidth="1"/>
    <col min="2" max="2" width="2.5" bestFit="1" customWidth="1"/>
    <col min="3" max="3" width="10" bestFit="1" customWidth="1"/>
    <col min="4" max="4" width="12.375" bestFit="1" customWidth="1"/>
    <col min="5" max="5" width="9.375" bestFit="1" customWidth="1"/>
    <col min="6" max="6" width="12.625" bestFit="1" customWidth="1"/>
    <col min="7" max="7" width="10" bestFit="1" customWidth="1"/>
    <col min="8" max="8" width="12.875" bestFit="1" customWidth="1"/>
    <col min="9" max="9" width="10" bestFit="1" customWidth="1"/>
    <col min="10" max="10" width="13.25" customWidth="1"/>
    <col min="11" max="11" width="5.25" customWidth="1"/>
    <col min="12" max="12" width="11.75" bestFit="1" customWidth="1"/>
    <col min="13" max="13" width="5.25" customWidth="1"/>
    <col min="14" max="14" width="12" bestFit="1" customWidth="1"/>
    <col min="15" max="15" width="5.25" bestFit="1" customWidth="1"/>
    <col min="16" max="16" width="12.375" bestFit="1" customWidth="1"/>
    <col min="17" max="17" width="5.25" bestFit="1" customWidth="1"/>
    <col min="18" max="18" width="12.625" bestFit="1" customWidth="1"/>
    <col min="19" max="19" width="12" customWidth="1"/>
  </cols>
  <sheetData>
    <row r="2" spans="1:18" x14ac:dyDescent="0.25">
      <c r="A2"/>
    </row>
    <row r="3" spans="1:18" x14ac:dyDescent="0.25">
      <c r="A3" s="98" t="s">
        <v>113</v>
      </c>
      <c r="B3" s="135"/>
      <c r="C3" s="136"/>
      <c r="D3" s="137" t="s">
        <v>114</v>
      </c>
      <c r="E3" s="200"/>
      <c r="F3" s="201" t="s">
        <v>115</v>
      </c>
      <c r="G3" s="167"/>
      <c r="H3" s="167" t="s">
        <v>116</v>
      </c>
      <c r="I3" s="136"/>
      <c r="J3" s="137" t="s">
        <v>117</v>
      </c>
      <c r="K3" s="167"/>
      <c r="L3" s="167" t="s">
        <v>118</v>
      </c>
      <c r="M3" s="200"/>
      <c r="N3" s="201" t="s">
        <v>119</v>
      </c>
      <c r="O3" s="167"/>
      <c r="P3" s="167" t="s">
        <v>120</v>
      </c>
      <c r="Q3" s="200"/>
      <c r="R3" s="201" t="s">
        <v>121</v>
      </c>
    </row>
    <row r="4" spans="1:18" x14ac:dyDescent="0.25">
      <c r="A4" s="4"/>
      <c r="B4" s="138">
        <v>2</v>
      </c>
      <c r="C4" s="139" t="s">
        <v>122</v>
      </c>
      <c r="D4" s="140" t="s">
        <v>456</v>
      </c>
      <c r="E4" s="168" t="s">
        <v>124</v>
      </c>
      <c r="F4" s="140" t="s">
        <v>456</v>
      </c>
      <c r="G4" s="139" t="s">
        <v>122</v>
      </c>
      <c r="H4" s="140" t="s">
        <v>134</v>
      </c>
      <c r="I4" s="168" t="s">
        <v>124</v>
      </c>
      <c r="J4" s="140" t="s">
        <v>134</v>
      </c>
      <c r="K4" s="139" t="s">
        <v>122</v>
      </c>
      <c r="L4" s="140" t="s">
        <v>135</v>
      </c>
      <c r="M4" s="168" t="s">
        <v>124</v>
      </c>
      <c r="N4" s="140" t="s">
        <v>135</v>
      </c>
      <c r="O4" s="139" t="s">
        <v>122</v>
      </c>
      <c r="P4" s="140" t="s">
        <v>468</v>
      </c>
      <c r="Q4" s="168" t="s">
        <v>124</v>
      </c>
      <c r="R4" s="140" t="s">
        <v>468</v>
      </c>
    </row>
    <row r="5" spans="1:18" x14ac:dyDescent="0.25">
      <c r="A5"/>
      <c r="B5" s="138">
        <v>3</v>
      </c>
      <c r="C5" s="141" t="s">
        <v>122</v>
      </c>
      <c r="D5" s="142" t="s">
        <v>456</v>
      </c>
      <c r="E5" s="138" t="s">
        <v>124</v>
      </c>
      <c r="F5" s="142" t="s">
        <v>456</v>
      </c>
      <c r="G5" s="141" t="s">
        <v>122</v>
      </c>
      <c r="H5" s="142" t="s">
        <v>459</v>
      </c>
      <c r="I5" s="138" t="s">
        <v>124</v>
      </c>
      <c r="J5" s="142" t="s">
        <v>459</v>
      </c>
      <c r="K5" s="141" t="s">
        <v>122</v>
      </c>
      <c r="L5" s="142" t="s">
        <v>466</v>
      </c>
      <c r="M5" s="138" t="s">
        <v>124</v>
      </c>
      <c r="N5" s="142" t="s">
        <v>466</v>
      </c>
      <c r="O5" s="141" t="s">
        <v>122</v>
      </c>
      <c r="P5" s="142" t="s">
        <v>468</v>
      </c>
      <c r="Q5" s="138" t="s">
        <v>124</v>
      </c>
      <c r="R5" s="142" t="s">
        <v>468</v>
      </c>
    </row>
    <row r="6" spans="1:18" x14ac:dyDescent="0.25">
      <c r="A6"/>
      <c r="B6" s="138">
        <v>4</v>
      </c>
      <c r="C6" s="141" t="s">
        <v>126</v>
      </c>
      <c r="D6" s="142" t="s">
        <v>199</v>
      </c>
      <c r="E6" s="138" t="s">
        <v>127</v>
      </c>
      <c r="F6" s="142" t="s">
        <v>199</v>
      </c>
      <c r="G6" s="141" t="s">
        <v>126</v>
      </c>
      <c r="H6" s="142" t="s">
        <v>199</v>
      </c>
      <c r="I6" s="138" t="s">
        <v>127</v>
      </c>
      <c r="J6" s="142" t="s">
        <v>199</v>
      </c>
      <c r="K6" s="141" t="s">
        <v>126</v>
      </c>
      <c r="L6" s="142" t="s">
        <v>199</v>
      </c>
      <c r="M6" s="138" t="s">
        <v>127</v>
      </c>
      <c r="N6" s="142" t="s">
        <v>199</v>
      </c>
      <c r="O6" s="141" t="s">
        <v>126</v>
      </c>
      <c r="P6" s="142" t="s">
        <v>199</v>
      </c>
      <c r="Q6" s="138" t="s">
        <v>127</v>
      </c>
      <c r="R6" s="142" t="s">
        <v>199</v>
      </c>
    </row>
    <row r="7" spans="1:18" x14ac:dyDescent="0.25">
      <c r="A7"/>
      <c r="B7" s="138">
        <v>5</v>
      </c>
      <c r="C7" s="141" t="s">
        <v>126</v>
      </c>
      <c r="D7" s="142" t="s">
        <v>456</v>
      </c>
      <c r="E7" s="138" t="s">
        <v>127</v>
      </c>
      <c r="F7" s="142" t="s">
        <v>456</v>
      </c>
      <c r="G7" s="141" t="s">
        <v>126</v>
      </c>
      <c r="H7" s="142" t="s">
        <v>459</v>
      </c>
      <c r="I7" s="138" t="s">
        <v>127</v>
      </c>
      <c r="J7" s="142" t="s">
        <v>459</v>
      </c>
      <c r="K7" s="141" t="s">
        <v>126</v>
      </c>
      <c r="L7" s="142" t="s">
        <v>466</v>
      </c>
      <c r="M7" s="138" t="s">
        <v>127</v>
      </c>
      <c r="N7" s="142" t="s">
        <v>466</v>
      </c>
      <c r="O7" s="141" t="s">
        <v>126</v>
      </c>
      <c r="P7" s="142" t="s">
        <v>468</v>
      </c>
      <c r="Q7" s="138" t="s">
        <v>127</v>
      </c>
      <c r="R7" s="142" t="s">
        <v>468</v>
      </c>
    </row>
    <row r="8" spans="1:18" x14ac:dyDescent="0.25">
      <c r="A8"/>
      <c r="B8" s="138">
        <v>6</v>
      </c>
      <c r="C8" s="141" t="s">
        <v>124</v>
      </c>
      <c r="D8" s="142" t="s">
        <v>456</v>
      </c>
      <c r="E8" s="138" t="s">
        <v>122</v>
      </c>
      <c r="F8" s="142" t="s">
        <v>456</v>
      </c>
      <c r="G8" s="141" t="s">
        <v>124</v>
      </c>
      <c r="H8" s="142" t="s">
        <v>459</v>
      </c>
      <c r="I8" s="138" t="s">
        <v>122</v>
      </c>
      <c r="J8" s="142" t="s">
        <v>459</v>
      </c>
      <c r="K8" s="141" t="s">
        <v>124</v>
      </c>
      <c r="L8" s="142" t="s">
        <v>466</v>
      </c>
      <c r="M8" s="138" t="s">
        <v>122</v>
      </c>
      <c r="N8" s="142" t="s">
        <v>466</v>
      </c>
      <c r="O8" s="141" t="s">
        <v>124</v>
      </c>
      <c r="P8" s="142" t="s">
        <v>468</v>
      </c>
      <c r="Q8" s="138" t="s">
        <v>122</v>
      </c>
      <c r="R8" s="142" t="s">
        <v>468</v>
      </c>
    </row>
    <row r="9" spans="1:18" x14ac:dyDescent="0.25">
      <c r="A9"/>
      <c r="B9" s="138">
        <v>7</v>
      </c>
      <c r="C9" s="141" t="s">
        <v>124</v>
      </c>
      <c r="D9" s="142" t="s">
        <v>456</v>
      </c>
      <c r="E9" s="138" t="s">
        <v>122</v>
      </c>
      <c r="F9" s="142" t="s">
        <v>456</v>
      </c>
      <c r="G9" s="141" t="s">
        <v>124</v>
      </c>
      <c r="H9" s="142" t="s">
        <v>459</v>
      </c>
      <c r="I9" s="138" t="s">
        <v>122</v>
      </c>
      <c r="J9" s="142" t="s">
        <v>459</v>
      </c>
      <c r="K9" s="141" t="s">
        <v>124</v>
      </c>
      <c r="L9" s="142" t="s">
        <v>466</v>
      </c>
      <c r="M9" s="138" t="s">
        <v>122</v>
      </c>
      <c r="N9" s="142" t="s">
        <v>466</v>
      </c>
      <c r="O9" s="141" t="s">
        <v>124</v>
      </c>
      <c r="P9" s="142" t="s">
        <v>468</v>
      </c>
      <c r="Q9" s="138" t="s">
        <v>122</v>
      </c>
      <c r="R9" s="142" t="s">
        <v>468</v>
      </c>
    </row>
    <row r="10" spans="1:18" x14ac:dyDescent="0.25">
      <c r="A10"/>
      <c r="B10" s="138">
        <v>8</v>
      </c>
      <c r="C10" s="141" t="s">
        <v>127</v>
      </c>
      <c r="D10" s="142" t="s">
        <v>231</v>
      </c>
      <c r="E10" s="138" t="s">
        <v>126</v>
      </c>
      <c r="F10" s="142" t="s">
        <v>231</v>
      </c>
      <c r="G10" s="141" t="s">
        <v>127</v>
      </c>
      <c r="H10" s="142" t="s">
        <v>231</v>
      </c>
      <c r="I10" s="138" t="s">
        <v>126</v>
      </c>
      <c r="J10" s="142" t="s">
        <v>231</v>
      </c>
      <c r="K10" s="141" t="s">
        <v>127</v>
      </c>
      <c r="L10" s="142" t="s">
        <v>231</v>
      </c>
      <c r="M10" s="138" t="s">
        <v>126</v>
      </c>
      <c r="N10" s="142" t="s">
        <v>231</v>
      </c>
      <c r="O10" s="141" t="s">
        <v>127</v>
      </c>
      <c r="P10" s="142" t="s">
        <v>231</v>
      </c>
      <c r="Q10" s="138" t="s">
        <v>126</v>
      </c>
      <c r="R10" s="142" t="s">
        <v>231</v>
      </c>
    </row>
    <row r="11" spans="1:18" x14ac:dyDescent="0.25">
      <c r="A11"/>
      <c r="B11" s="138">
        <v>9</v>
      </c>
      <c r="C11" s="143" t="s">
        <v>127</v>
      </c>
      <c r="D11" s="144" t="s">
        <v>456</v>
      </c>
      <c r="E11" s="169" t="s">
        <v>126</v>
      </c>
      <c r="F11" s="144" t="s">
        <v>456</v>
      </c>
      <c r="G11" s="143" t="s">
        <v>127</v>
      </c>
      <c r="H11" s="144" t="s">
        <v>459</v>
      </c>
      <c r="I11" s="169" t="s">
        <v>126</v>
      </c>
      <c r="J11" s="144" t="s">
        <v>459</v>
      </c>
      <c r="K11" s="143" t="s">
        <v>127</v>
      </c>
      <c r="L11" s="144" t="s">
        <v>466</v>
      </c>
      <c r="M11" s="169" t="s">
        <v>126</v>
      </c>
      <c r="N11" s="144" t="s">
        <v>466</v>
      </c>
      <c r="O11" s="143" t="s">
        <v>127</v>
      </c>
      <c r="P11" s="144" t="s">
        <v>468</v>
      </c>
      <c r="Q11" s="169" t="s">
        <v>126</v>
      </c>
      <c r="R11" s="144" t="s">
        <v>468</v>
      </c>
    </row>
    <row r="12" spans="1:18" x14ac:dyDescent="0.25">
      <c r="A12"/>
      <c r="B12" s="138">
        <v>10</v>
      </c>
      <c r="C12" s="139" t="s">
        <v>128</v>
      </c>
      <c r="D12" s="140" t="s">
        <v>457</v>
      </c>
      <c r="E12" s="139" t="s">
        <v>129</v>
      </c>
      <c r="F12" s="140" t="s">
        <v>457</v>
      </c>
      <c r="G12" s="139" t="s">
        <v>128</v>
      </c>
      <c r="H12" s="140" t="s">
        <v>460</v>
      </c>
      <c r="I12" s="139" t="s">
        <v>129</v>
      </c>
      <c r="J12" s="140" t="s">
        <v>460</v>
      </c>
      <c r="K12" s="139" t="s">
        <v>128</v>
      </c>
      <c r="L12" s="140" t="s">
        <v>467</v>
      </c>
      <c r="M12" s="139" t="s">
        <v>129</v>
      </c>
      <c r="N12" s="140" t="s">
        <v>467</v>
      </c>
      <c r="O12" s="139" t="s">
        <v>128</v>
      </c>
      <c r="P12" s="140" t="s">
        <v>469</v>
      </c>
      <c r="Q12" s="139" t="s">
        <v>129</v>
      </c>
      <c r="R12" s="140" t="s">
        <v>469</v>
      </c>
    </row>
    <row r="13" spans="1:18" x14ac:dyDescent="0.25">
      <c r="A13"/>
      <c r="B13" s="138">
        <v>11</v>
      </c>
      <c r="C13" s="141" t="s">
        <v>128</v>
      </c>
      <c r="D13" s="142" t="s">
        <v>457</v>
      </c>
      <c r="E13" s="141" t="s">
        <v>129</v>
      </c>
      <c r="F13" s="142" t="s">
        <v>457</v>
      </c>
      <c r="G13" s="141" t="s">
        <v>128</v>
      </c>
      <c r="H13" s="142" t="s">
        <v>460</v>
      </c>
      <c r="I13" s="141" t="s">
        <v>129</v>
      </c>
      <c r="J13" s="142" t="s">
        <v>460</v>
      </c>
      <c r="K13" s="141" t="s">
        <v>128</v>
      </c>
      <c r="L13" s="142" t="s">
        <v>467</v>
      </c>
      <c r="M13" s="141" t="s">
        <v>129</v>
      </c>
      <c r="N13" s="142" t="s">
        <v>467</v>
      </c>
      <c r="O13" s="141" t="s">
        <v>128</v>
      </c>
      <c r="P13" s="142" t="s">
        <v>469</v>
      </c>
      <c r="Q13" s="141" t="s">
        <v>129</v>
      </c>
      <c r="R13" s="142" t="s">
        <v>469</v>
      </c>
    </row>
    <row r="14" spans="1:18" x14ac:dyDescent="0.25">
      <c r="A14"/>
      <c r="B14" s="138">
        <v>12</v>
      </c>
      <c r="C14" s="141" t="s">
        <v>130</v>
      </c>
      <c r="D14" s="142" t="s">
        <v>457</v>
      </c>
      <c r="E14" s="141" t="s">
        <v>131</v>
      </c>
      <c r="F14" s="142" t="s">
        <v>457</v>
      </c>
      <c r="G14" s="141" t="s">
        <v>130</v>
      </c>
      <c r="H14" s="142" t="s">
        <v>460</v>
      </c>
      <c r="I14" s="141" t="s">
        <v>131</v>
      </c>
      <c r="J14" s="142" t="s">
        <v>460</v>
      </c>
      <c r="K14" s="141" t="s">
        <v>130</v>
      </c>
      <c r="L14" s="142" t="s">
        <v>467</v>
      </c>
      <c r="M14" s="141" t="s">
        <v>131</v>
      </c>
      <c r="N14" s="142" t="s">
        <v>467</v>
      </c>
      <c r="O14" s="141" t="s">
        <v>130</v>
      </c>
      <c r="P14" s="142" t="s">
        <v>469</v>
      </c>
      <c r="Q14" s="141" t="s">
        <v>131</v>
      </c>
      <c r="R14" s="142" t="s">
        <v>469</v>
      </c>
    </row>
    <row r="15" spans="1:18" x14ac:dyDescent="0.25">
      <c r="A15"/>
      <c r="B15" s="138">
        <v>13</v>
      </c>
      <c r="C15" s="141" t="s">
        <v>130</v>
      </c>
      <c r="D15" s="142" t="s">
        <v>457</v>
      </c>
      <c r="E15" s="141" t="s">
        <v>131</v>
      </c>
      <c r="F15" s="142" t="s">
        <v>457</v>
      </c>
      <c r="G15" s="141" t="s">
        <v>130</v>
      </c>
      <c r="H15" s="142" t="s">
        <v>460</v>
      </c>
      <c r="I15" s="141" t="s">
        <v>131</v>
      </c>
      <c r="J15" s="142" t="s">
        <v>460</v>
      </c>
      <c r="K15" s="141" t="s">
        <v>130</v>
      </c>
      <c r="L15" s="142" t="s">
        <v>467</v>
      </c>
      <c r="M15" s="141" t="s">
        <v>131</v>
      </c>
      <c r="N15" s="142" t="s">
        <v>467</v>
      </c>
      <c r="O15" s="141" t="s">
        <v>130</v>
      </c>
      <c r="P15" s="142" t="s">
        <v>469</v>
      </c>
      <c r="Q15" s="141" t="s">
        <v>131</v>
      </c>
      <c r="R15" s="142" t="s">
        <v>469</v>
      </c>
    </row>
    <row r="16" spans="1:18" x14ac:dyDescent="0.25">
      <c r="A16"/>
      <c r="B16" s="138">
        <v>14</v>
      </c>
      <c r="C16" s="141" t="s">
        <v>129</v>
      </c>
      <c r="D16" s="142" t="s">
        <v>133</v>
      </c>
      <c r="E16" s="141" t="s">
        <v>128</v>
      </c>
      <c r="F16" s="142" t="s">
        <v>133</v>
      </c>
      <c r="G16" s="141" t="s">
        <v>129</v>
      </c>
      <c r="H16" s="142" t="s">
        <v>142</v>
      </c>
      <c r="I16" s="141" t="s">
        <v>128</v>
      </c>
      <c r="J16" s="142" t="s">
        <v>142</v>
      </c>
      <c r="K16" s="141" t="s">
        <v>129</v>
      </c>
      <c r="L16" s="142" t="s">
        <v>143</v>
      </c>
      <c r="M16" s="141" t="s">
        <v>128</v>
      </c>
      <c r="N16" s="142" t="s">
        <v>143</v>
      </c>
      <c r="O16" s="141" t="s">
        <v>129</v>
      </c>
      <c r="P16" s="142" t="s">
        <v>136</v>
      </c>
      <c r="Q16" s="141" t="s">
        <v>128</v>
      </c>
      <c r="R16" s="142" t="s">
        <v>136</v>
      </c>
    </row>
    <row r="17" spans="1:18" x14ac:dyDescent="0.25">
      <c r="A17"/>
      <c r="B17" s="138">
        <v>15</v>
      </c>
      <c r="C17" s="141" t="s">
        <v>129</v>
      </c>
      <c r="D17" s="142" t="s">
        <v>233</v>
      </c>
      <c r="E17" s="141" t="s">
        <v>128</v>
      </c>
      <c r="F17" s="142" t="s">
        <v>233</v>
      </c>
      <c r="G17" s="141" t="s">
        <v>129</v>
      </c>
      <c r="H17" s="142" t="s">
        <v>233</v>
      </c>
      <c r="I17" s="141" t="s">
        <v>128</v>
      </c>
      <c r="J17" s="142" t="s">
        <v>233</v>
      </c>
      <c r="K17" s="141" t="s">
        <v>129</v>
      </c>
      <c r="L17" s="142" t="s">
        <v>233</v>
      </c>
      <c r="M17" s="141" t="s">
        <v>128</v>
      </c>
      <c r="N17" s="142" t="s">
        <v>233</v>
      </c>
      <c r="O17" s="141" t="s">
        <v>129</v>
      </c>
      <c r="P17" s="142" t="s">
        <v>233</v>
      </c>
      <c r="Q17" s="141" t="s">
        <v>128</v>
      </c>
      <c r="R17" s="142" t="s">
        <v>233</v>
      </c>
    </row>
    <row r="18" spans="1:18" x14ac:dyDescent="0.25">
      <c r="A18"/>
      <c r="B18" s="138">
        <v>16</v>
      </c>
      <c r="C18" s="141" t="s">
        <v>131</v>
      </c>
      <c r="D18" s="142" t="s">
        <v>457</v>
      </c>
      <c r="E18" s="141" t="s">
        <v>130</v>
      </c>
      <c r="F18" s="142" t="s">
        <v>457</v>
      </c>
      <c r="G18" s="141" t="s">
        <v>131</v>
      </c>
      <c r="H18" s="142" t="s">
        <v>460</v>
      </c>
      <c r="I18" s="141" t="s">
        <v>130</v>
      </c>
      <c r="J18" s="142" t="s">
        <v>460</v>
      </c>
      <c r="K18" s="141" t="s">
        <v>131</v>
      </c>
      <c r="L18" s="142" t="s">
        <v>467</v>
      </c>
      <c r="M18" s="141" t="s">
        <v>130</v>
      </c>
      <c r="N18" s="142" t="s">
        <v>467</v>
      </c>
      <c r="O18" s="141" t="s">
        <v>131</v>
      </c>
      <c r="P18" s="142" t="s">
        <v>469</v>
      </c>
      <c r="Q18" s="141" t="s">
        <v>130</v>
      </c>
      <c r="R18" s="142" t="s">
        <v>469</v>
      </c>
    </row>
    <row r="19" spans="1:18" x14ac:dyDescent="0.25">
      <c r="A19"/>
      <c r="B19" s="138">
        <v>17</v>
      </c>
      <c r="C19" s="143" t="s">
        <v>131</v>
      </c>
      <c r="D19" s="144" t="s">
        <v>457</v>
      </c>
      <c r="E19" s="143" t="s">
        <v>130</v>
      </c>
      <c r="F19" s="144" t="s">
        <v>457</v>
      </c>
      <c r="G19" s="143" t="s">
        <v>131</v>
      </c>
      <c r="H19" s="144" t="s">
        <v>460</v>
      </c>
      <c r="I19" s="143" t="s">
        <v>130</v>
      </c>
      <c r="J19" s="144" t="s">
        <v>460</v>
      </c>
      <c r="K19" s="143" t="s">
        <v>131</v>
      </c>
      <c r="L19" s="144" t="s">
        <v>467</v>
      </c>
      <c r="M19" s="143" t="s">
        <v>130</v>
      </c>
      <c r="N19" s="144" t="s">
        <v>467</v>
      </c>
      <c r="O19" s="143" t="s">
        <v>131</v>
      </c>
      <c r="P19" s="144" t="s">
        <v>469</v>
      </c>
      <c r="Q19" s="143" t="s">
        <v>130</v>
      </c>
      <c r="R19" s="144" t="s">
        <v>469</v>
      </c>
    </row>
    <row r="20" spans="1:18" x14ac:dyDescent="0.25">
      <c r="A20"/>
      <c r="D20" s="138"/>
      <c r="F20" s="138"/>
      <c r="H20" s="138"/>
      <c r="J20" s="138"/>
      <c r="L20" s="138"/>
      <c r="N20" s="138"/>
      <c r="O20" s="138"/>
    </row>
    <row r="21" spans="1:18" x14ac:dyDescent="0.25">
      <c r="A21"/>
    </row>
    <row r="22" spans="1:18" x14ac:dyDescent="0.25">
      <c r="A22" s="98" t="s">
        <v>132</v>
      </c>
      <c r="B22" s="138">
        <v>1</v>
      </c>
      <c r="C22" s="145" t="s">
        <v>76</v>
      </c>
      <c r="D22" s="145" t="s">
        <v>78</v>
      </c>
      <c r="E22" s="145" t="s">
        <v>80</v>
      </c>
      <c r="F22" s="145" t="s">
        <v>82</v>
      </c>
      <c r="G22" s="138"/>
      <c r="H22" s="138"/>
    </row>
    <row r="23" spans="1:18" x14ac:dyDescent="0.25">
      <c r="A23"/>
      <c r="B23" s="138">
        <v>2</v>
      </c>
      <c r="C23" s="146" t="s">
        <v>133</v>
      </c>
      <c r="D23" s="147" t="s">
        <v>134</v>
      </c>
      <c r="E23" s="147" t="s">
        <v>135</v>
      </c>
      <c r="F23" s="147" t="s">
        <v>136</v>
      </c>
      <c r="G23" s="138"/>
      <c r="H23" s="138"/>
    </row>
    <row r="24" spans="1:18" x14ac:dyDescent="0.25">
      <c r="A24"/>
      <c r="B24" s="138">
        <v>3</v>
      </c>
      <c r="C24" s="147" t="s">
        <v>123</v>
      </c>
      <c r="D24" s="147" t="s">
        <v>137</v>
      </c>
      <c r="E24" s="147" t="s">
        <v>138</v>
      </c>
      <c r="F24" s="147" t="s">
        <v>123</v>
      </c>
      <c r="G24" s="138"/>
      <c r="H24" s="138"/>
    </row>
    <row r="25" spans="1:18" x14ac:dyDescent="0.25">
      <c r="A25"/>
      <c r="B25" s="138">
        <v>4</v>
      </c>
      <c r="C25" s="147" t="s">
        <v>125</v>
      </c>
      <c r="D25" s="147" t="s">
        <v>139</v>
      </c>
      <c r="E25" s="147" t="s">
        <v>140</v>
      </c>
      <c r="F25" s="147" t="s">
        <v>125</v>
      </c>
      <c r="G25" s="138"/>
      <c r="H25" s="138"/>
    </row>
    <row r="26" spans="1:18" x14ac:dyDescent="0.25">
      <c r="A26"/>
      <c r="B26" s="138">
        <v>5</v>
      </c>
      <c r="C26" s="146"/>
      <c r="D26" s="147" t="s">
        <v>141</v>
      </c>
      <c r="E26" s="147" t="s">
        <v>141</v>
      </c>
      <c r="F26" s="147"/>
      <c r="G26" s="138"/>
      <c r="H26" s="138"/>
    </row>
    <row r="27" spans="1:18" x14ac:dyDescent="0.25">
      <c r="A27"/>
      <c r="B27" s="138">
        <v>6</v>
      </c>
      <c r="C27" s="147"/>
      <c r="D27" s="147" t="s">
        <v>142</v>
      </c>
      <c r="E27" s="147" t="s">
        <v>143</v>
      </c>
      <c r="F27" s="147"/>
      <c r="G27" s="138"/>
      <c r="H27" s="138"/>
    </row>
    <row r="28" spans="1:18" x14ac:dyDescent="0.25">
      <c r="A28"/>
      <c r="B28" s="138">
        <v>7</v>
      </c>
      <c r="C28" s="147"/>
      <c r="D28" s="147" t="s">
        <v>123</v>
      </c>
      <c r="E28" s="147" t="s">
        <v>123</v>
      </c>
      <c r="F28" s="147"/>
      <c r="G28" s="138"/>
      <c r="H28" s="138"/>
    </row>
    <row r="29" spans="1:18" x14ac:dyDescent="0.25">
      <c r="A29"/>
      <c r="B29" s="138">
        <v>8</v>
      </c>
      <c r="C29" s="148"/>
      <c r="D29" s="148" t="s">
        <v>125</v>
      </c>
      <c r="E29" s="148" t="s">
        <v>125</v>
      </c>
      <c r="F29" s="148"/>
      <c r="G29" s="138"/>
      <c r="H29" s="138"/>
    </row>
    <row r="30" spans="1:18" x14ac:dyDescent="0.25">
      <c r="A30"/>
      <c r="B30" s="1"/>
      <c r="C30" s="1"/>
      <c r="D30" s="1"/>
      <c r="E30" s="1"/>
      <c r="F30" s="1"/>
      <c r="G30" s="1"/>
      <c r="H30" s="1"/>
    </row>
    <row r="31" spans="1:18" x14ac:dyDescent="0.25">
      <c r="A31"/>
    </row>
    <row r="32" spans="1:18" x14ac:dyDescent="0.25">
      <c r="A32" s="98" t="s">
        <v>144</v>
      </c>
      <c r="B32" s="138">
        <v>1</v>
      </c>
      <c r="C32" s="145" t="s">
        <v>76</v>
      </c>
      <c r="D32" s="145" t="s">
        <v>78</v>
      </c>
      <c r="E32" s="145" t="s">
        <v>80</v>
      </c>
      <c r="F32" s="145" t="s">
        <v>82</v>
      </c>
      <c r="G32" s="138"/>
      <c r="H32" s="138"/>
    </row>
    <row r="33" spans="1:8" x14ac:dyDescent="0.25">
      <c r="A33"/>
      <c r="B33" s="138">
        <v>2</v>
      </c>
      <c r="C33" s="146" t="s">
        <v>495</v>
      </c>
      <c r="D33" s="146" t="s">
        <v>499</v>
      </c>
      <c r="E33" s="146" t="s">
        <v>504</v>
      </c>
      <c r="F33" s="146" t="s">
        <v>508</v>
      </c>
      <c r="G33" s="170"/>
      <c r="H33" s="170"/>
    </row>
    <row r="34" spans="1:8" x14ac:dyDescent="0.25">
      <c r="A34"/>
      <c r="B34" s="138">
        <v>3</v>
      </c>
      <c r="C34" s="147" t="s">
        <v>147</v>
      </c>
      <c r="D34" s="147" t="s">
        <v>161</v>
      </c>
      <c r="E34" s="147" t="s">
        <v>162</v>
      </c>
      <c r="F34" s="147" t="s">
        <v>151</v>
      </c>
      <c r="G34" s="138"/>
      <c r="H34" s="138"/>
    </row>
    <row r="35" spans="1:8" x14ac:dyDescent="0.25">
      <c r="A35"/>
      <c r="B35" s="138">
        <v>4</v>
      </c>
      <c r="C35" s="147" t="s">
        <v>149</v>
      </c>
      <c r="D35" s="147" t="s">
        <v>137</v>
      </c>
      <c r="E35" s="147" t="s">
        <v>165</v>
      </c>
      <c r="F35" s="147" t="s">
        <v>154</v>
      </c>
      <c r="G35" s="138"/>
      <c r="H35" s="138"/>
    </row>
    <row r="36" spans="1:8" x14ac:dyDescent="0.25">
      <c r="A36"/>
      <c r="B36" s="138">
        <v>5</v>
      </c>
      <c r="C36" s="146" t="s">
        <v>152</v>
      </c>
      <c r="D36" s="146" t="s">
        <v>139</v>
      </c>
      <c r="E36" s="147" t="s">
        <v>166</v>
      </c>
      <c r="F36" s="147" t="s">
        <v>156</v>
      </c>
      <c r="G36" s="138"/>
      <c r="H36" s="138"/>
    </row>
    <row r="37" spans="1:8" x14ac:dyDescent="0.25">
      <c r="A37"/>
      <c r="B37" s="138">
        <v>6</v>
      </c>
      <c r="C37" s="147" t="s">
        <v>155</v>
      </c>
      <c r="D37" s="147" t="s">
        <v>168</v>
      </c>
      <c r="E37" s="147" t="s">
        <v>138</v>
      </c>
      <c r="F37" s="147" t="s">
        <v>159</v>
      </c>
      <c r="G37" s="138"/>
      <c r="H37" s="138"/>
    </row>
    <row r="38" spans="1:8" x14ac:dyDescent="0.25">
      <c r="A38"/>
      <c r="B38" s="138">
        <v>7</v>
      </c>
      <c r="C38" s="147" t="s">
        <v>157</v>
      </c>
      <c r="D38" s="147" t="s">
        <v>170</v>
      </c>
      <c r="E38" s="147" t="s">
        <v>171</v>
      </c>
      <c r="F38" s="147" t="s">
        <v>163</v>
      </c>
      <c r="G38" s="138"/>
      <c r="H38" s="138"/>
    </row>
    <row r="39" spans="1:8" x14ac:dyDescent="0.25">
      <c r="A39"/>
      <c r="B39" s="138">
        <v>8</v>
      </c>
      <c r="C39" s="147" t="s">
        <v>160</v>
      </c>
      <c r="D39" s="147" t="s">
        <v>167</v>
      </c>
      <c r="E39" s="147" t="s">
        <v>140</v>
      </c>
      <c r="F39" s="147" t="s">
        <v>137</v>
      </c>
      <c r="G39" s="138"/>
      <c r="H39" s="138"/>
    </row>
    <row r="40" spans="1:8" x14ac:dyDescent="0.25">
      <c r="A40"/>
      <c r="B40" s="138">
        <v>9</v>
      </c>
      <c r="C40" s="147" t="s">
        <v>164</v>
      </c>
      <c r="D40" s="147" t="s">
        <v>174</v>
      </c>
      <c r="E40" s="147" t="s">
        <v>175</v>
      </c>
      <c r="F40" s="147" t="s">
        <v>167</v>
      </c>
      <c r="G40" s="138"/>
      <c r="H40" s="138"/>
    </row>
    <row r="41" spans="1:8" x14ac:dyDescent="0.25">
      <c r="A41"/>
      <c r="B41" s="138">
        <v>10</v>
      </c>
      <c r="C41" s="147" t="s">
        <v>151</v>
      </c>
      <c r="D41" s="147" t="s">
        <v>176</v>
      </c>
      <c r="E41" s="147" t="s">
        <v>141</v>
      </c>
      <c r="F41" s="147" t="s">
        <v>169</v>
      </c>
      <c r="G41" s="138"/>
      <c r="H41" s="138"/>
    </row>
    <row r="42" spans="1:8" x14ac:dyDescent="0.25">
      <c r="A42"/>
      <c r="B42" s="138">
        <v>11</v>
      </c>
      <c r="C42" s="147" t="s">
        <v>154</v>
      </c>
      <c r="D42" s="147" t="s">
        <v>178</v>
      </c>
      <c r="E42" s="147" t="s">
        <v>506</v>
      </c>
      <c r="F42" s="147" t="s">
        <v>172</v>
      </c>
      <c r="G42" s="138"/>
      <c r="H42" s="138"/>
    </row>
    <row r="43" spans="1:8" x14ac:dyDescent="0.25">
      <c r="A43"/>
      <c r="B43" s="138">
        <v>12</v>
      </c>
      <c r="C43" s="147" t="s">
        <v>156</v>
      </c>
      <c r="D43" s="147" t="s">
        <v>180</v>
      </c>
      <c r="E43" s="147" t="s">
        <v>150</v>
      </c>
      <c r="F43" s="147" t="s">
        <v>141</v>
      </c>
      <c r="G43" s="138"/>
      <c r="H43" s="138"/>
    </row>
    <row r="44" spans="1:8" x14ac:dyDescent="0.25">
      <c r="A44"/>
      <c r="B44" s="138">
        <v>13</v>
      </c>
      <c r="C44" s="147" t="s">
        <v>141</v>
      </c>
      <c r="D44" s="147" t="s">
        <v>181</v>
      </c>
      <c r="E44" s="147" t="s">
        <v>153</v>
      </c>
      <c r="F44" s="147" t="s">
        <v>510</v>
      </c>
      <c r="G44" s="138"/>
      <c r="H44" s="138"/>
    </row>
    <row r="45" spans="1:8" x14ac:dyDescent="0.25">
      <c r="A45"/>
      <c r="B45" s="138">
        <v>14</v>
      </c>
      <c r="C45" s="147" t="s">
        <v>497</v>
      </c>
      <c r="D45" s="147" t="s">
        <v>141</v>
      </c>
      <c r="E45" s="147" t="s">
        <v>141</v>
      </c>
      <c r="F45" s="147" t="s">
        <v>150</v>
      </c>
      <c r="G45" s="138"/>
      <c r="H45" s="138"/>
    </row>
    <row r="46" spans="1:8" x14ac:dyDescent="0.25">
      <c r="A46"/>
      <c r="B46" s="138">
        <v>15</v>
      </c>
      <c r="C46" s="147" t="s">
        <v>150</v>
      </c>
      <c r="D46" s="147" t="s">
        <v>502</v>
      </c>
      <c r="E46" s="147" t="s">
        <v>139</v>
      </c>
      <c r="F46" s="147" t="s">
        <v>153</v>
      </c>
      <c r="G46" s="138"/>
      <c r="H46" s="138"/>
    </row>
    <row r="47" spans="1:8" x14ac:dyDescent="0.25">
      <c r="A47"/>
      <c r="B47" s="138">
        <v>16</v>
      </c>
      <c r="C47" s="147" t="s">
        <v>153</v>
      </c>
      <c r="D47" s="147" t="s">
        <v>150</v>
      </c>
      <c r="E47" s="147" t="s">
        <v>170</v>
      </c>
      <c r="F47" s="147" t="s">
        <v>141</v>
      </c>
      <c r="G47" s="138"/>
      <c r="H47" s="138"/>
    </row>
    <row r="48" spans="1:8" x14ac:dyDescent="0.25">
      <c r="A48"/>
      <c r="B48" s="138">
        <v>17</v>
      </c>
      <c r="C48" s="147" t="s">
        <v>141</v>
      </c>
      <c r="D48" s="147" t="s">
        <v>153</v>
      </c>
      <c r="E48" s="147" t="s">
        <v>167</v>
      </c>
      <c r="F48" s="147" t="s">
        <v>147</v>
      </c>
      <c r="G48" s="138"/>
      <c r="H48" s="138"/>
    </row>
    <row r="49" spans="1:8" x14ac:dyDescent="0.25">
      <c r="A49"/>
      <c r="B49" s="138">
        <v>18</v>
      </c>
      <c r="C49" s="147" t="s">
        <v>147</v>
      </c>
      <c r="D49" s="147" t="s">
        <v>141</v>
      </c>
      <c r="E49" s="147" t="s">
        <v>180</v>
      </c>
      <c r="F49" s="147" t="s">
        <v>155</v>
      </c>
      <c r="G49" s="138"/>
      <c r="H49" s="138"/>
    </row>
    <row r="50" spans="1:8" x14ac:dyDescent="0.25">
      <c r="A50"/>
      <c r="B50" s="138">
        <v>19</v>
      </c>
      <c r="C50" s="147" t="s">
        <v>149</v>
      </c>
      <c r="D50" s="147" t="s">
        <v>155</v>
      </c>
      <c r="E50" s="147" t="s">
        <v>162</v>
      </c>
      <c r="F50" s="147" t="s">
        <v>164</v>
      </c>
      <c r="G50" s="138"/>
      <c r="H50" s="138"/>
    </row>
    <row r="51" spans="1:8" x14ac:dyDescent="0.25">
      <c r="A51"/>
      <c r="B51" s="138">
        <v>20</v>
      </c>
      <c r="C51" s="147" t="s">
        <v>152</v>
      </c>
      <c r="D51" s="147" t="s">
        <v>461</v>
      </c>
      <c r="E51" s="147" t="s">
        <v>165</v>
      </c>
      <c r="F51" s="147" t="s">
        <v>151</v>
      </c>
      <c r="G51" s="138"/>
      <c r="H51" s="138"/>
    </row>
    <row r="52" spans="1:8" x14ac:dyDescent="0.25">
      <c r="A52"/>
      <c r="B52" s="138">
        <v>21</v>
      </c>
      <c r="C52" s="147" t="s">
        <v>155</v>
      </c>
      <c r="D52" s="147" t="s">
        <v>161</v>
      </c>
      <c r="E52" s="147" t="s">
        <v>166</v>
      </c>
      <c r="F52" s="147" t="s">
        <v>154</v>
      </c>
      <c r="G52" s="138"/>
      <c r="H52" s="138"/>
    </row>
    <row r="53" spans="1:8" x14ac:dyDescent="0.25">
      <c r="A53"/>
      <c r="B53" s="138">
        <v>22</v>
      </c>
      <c r="C53" s="147" t="s">
        <v>157</v>
      </c>
      <c r="D53" s="147" t="s">
        <v>137</v>
      </c>
      <c r="E53" s="147" t="s">
        <v>138</v>
      </c>
      <c r="F53" s="147" t="s">
        <v>159</v>
      </c>
      <c r="G53" s="138"/>
      <c r="H53" s="138"/>
    </row>
    <row r="54" spans="1:8" x14ac:dyDescent="0.25">
      <c r="A54"/>
      <c r="B54" s="138">
        <v>23</v>
      </c>
      <c r="C54" s="147" t="s">
        <v>160</v>
      </c>
      <c r="D54" s="147" t="s">
        <v>139</v>
      </c>
      <c r="E54" s="147" t="s">
        <v>171</v>
      </c>
      <c r="F54" s="147" t="s">
        <v>182</v>
      </c>
      <c r="G54" s="138"/>
      <c r="H54" s="138"/>
    </row>
    <row r="55" spans="1:8" x14ac:dyDescent="0.25">
      <c r="A55"/>
      <c r="B55" s="138">
        <v>24</v>
      </c>
      <c r="C55" s="147" t="s">
        <v>164</v>
      </c>
      <c r="D55" s="147" t="s">
        <v>168</v>
      </c>
      <c r="E55" s="147" t="s">
        <v>140</v>
      </c>
      <c r="F55" s="147" t="s">
        <v>163</v>
      </c>
      <c r="G55" s="138"/>
      <c r="H55" s="138"/>
    </row>
    <row r="56" spans="1:8" x14ac:dyDescent="0.25">
      <c r="A56"/>
      <c r="B56" s="138">
        <v>25</v>
      </c>
      <c r="C56" s="147" t="s">
        <v>151</v>
      </c>
      <c r="D56" s="147" t="s">
        <v>170</v>
      </c>
      <c r="E56" s="147" t="s">
        <v>175</v>
      </c>
      <c r="F56" s="147" t="s">
        <v>173</v>
      </c>
      <c r="G56" s="138"/>
      <c r="H56" s="138"/>
    </row>
    <row r="57" spans="1:8" x14ac:dyDescent="0.25">
      <c r="A57"/>
      <c r="B57" s="138">
        <v>26</v>
      </c>
      <c r="C57" s="147" t="s">
        <v>154</v>
      </c>
      <c r="D57" s="147" t="s">
        <v>167</v>
      </c>
      <c r="E57" s="147" t="s">
        <v>177</v>
      </c>
      <c r="F57" s="147" t="s">
        <v>137</v>
      </c>
      <c r="G57" s="138"/>
      <c r="H57" s="138"/>
    </row>
    <row r="58" spans="1:8" x14ac:dyDescent="0.25">
      <c r="A58"/>
      <c r="B58" s="138">
        <v>27</v>
      </c>
      <c r="C58" s="147" t="s">
        <v>156</v>
      </c>
      <c r="D58" s="147" t="s">
        <v>174</v>
      </c>
      <c r="E58" s="147" t="s">
        <v>179</v>
      </c>
      <c r="F58" s="147" t="s">
        <v>139</v>
      </c>
      <c r="G58" s="138"/>
      <c r="H58" s="138"/>
    </row>
    <row r="59" spans="1:8" x14ac:dyDescent="0.25">
      <c r="A59"/>
      <c r="B59" s="138">
        <v>28</v>
      </c>
      <c r="C59" s="147" t="s">
        <v>173</v>
      </c>
      <c r="D59" s="147" t="s">
        <v>176</v>
      </c>
      <c r="E59" s="147"/>
      <c r="F59" s="147" t="s">
        <v>170</v>
      </c>
      <c r="G59" s="138"/>
      <c r="H59" s="138"/>
    </row>
    <row r="60" spans="1:8" x14ac:dyDescent="0.25">
      <c r="A60"/>
      <c r="B60" s="138">
        <v>29</v>
      </c>
      <c r="C60" s="147" t="s">
        <v>137</v>
      </c>
      <c r="D60" s="147" t="s">
        <v>178</v>
      </c>
      <c r="E60" s="147"/>
      <c r="F60" s="147" t="s">
        <v>167</v>
      </c>
      <c r="G60" s="138"/>
      <c r="H60" s="138"/>
    </row>
    <row r="61" spans="1:8" x14ac:dyDescent="0.25">
      <c r="A61"/>
      <c r="B61" s="138">
        <v>30</v>
      </c>
      <c r="C61" s="147" t="s">
        <v>180</v>
      </c>
      <c r="D61" s="147" t="s">
        <v>180</v>
      </c>
      <c r="E61" s="147"/>
      <c r="F61" s="147" t="s">
        <v>183</v>
      </c>
      <c r="G61" s="138"/>
      <c r="H61" s="138"/>
    </row>
    <row r="62" spans="1:8" x14ac:dyDescent="0.25">
      <c r="A62"/>
      <c r="B62" s="138">
        <v>31</v>
      </c>
      <c r="C62" s="147" t="s">
        <v>169</v>
      </c>
      <c r="D62" s="147" t="s">
        <v>181</v>
      </c>
      <c r="E62" s="147"/>
      <c r="F62" s="147" t="s">
        <v>169</v>
      </c>
      <c r="G62" s="138"/>
      <c r="H62" s="138"/>
    </row>
    <row r="63" spans="1:8" x14ac:dyDescent="0.25">
      <c r="A63"/>
      <c r="B63" s="138">
        <v>32</v>
      </c>
      <c r="C63" s="147"/>
      <c r="D63" s="147" t="s">
        <v>169</v>
      </c>
      <c r="E63" s="147"/>
      <c r="F63" s="147" t="s">
        <v>172</v>
      </c>
      <c r="G63" s="138"/>
      <c r="H63" s="138"/>
    </row>
    <row r="64" spans="1:8" x14ac:dyDescent="0.25">
      <c r="A64"/>
      <c r="B64" s="138">
        <v>33</v>
      </c>
      <c r="C64" s="147"/>
      <c r="D64" s="147" t="s">
        <v>172</v>
      </c>
      <c r="E64" s="147"/>
      <c r="F64" s="147"/>
      <c r="G64" s="138"/>
      <c r="H64" s="138"/>
    </row>
    <row r="65" spans="1:18" x14ac:dyDescent="0.25">
      <c r="A65"/>
      <c r="B65" s="138">
        <v>34</v>
      </c>
      <c r="C65" s="148"/>
      <c r="D65" s="148"/>
      <c r="E65" s="148"/>
      <c r="F65" s="148"/>
      <c r="G65" s="138"/>
      <c r="H65" s="138"/>
    </row>
    <row r="66" spans="1:18" x14ac:dyDescent="0.25">
      <c r="A66"/>
    </row>
    <row r="67" spans="1:18" x14ac:dyDescent="0.25">
      <c r="A67"/>
    </row>
    <row r="68" spans="1:18" x14ac:dyDescent="0.25">
      <c r="A68" s="98" t="s">
        <v>528</v>
      </c>
      <c r="B68" s="135"/>
      <c r="C68" s="136"/>
      <c r="D68" s="137" t="s">
        <v>537</v>
      </c>
      <c r="E68" s="200"/>
      <c r="F68" s="201" t="s">
        <v>529</v>
      </c>
      <c r="G68" s="167"/>
      <c r="H68" s="167" t="s">
        <v>530</v>
      </c>
      <c r="I68" s="136"/>
      <c r="J68" s="137" t="s">
        <v>531</v>
      </c>
      <c r="K68" s="167"/>
      <c r="L68" s="167" t="s">
        <v>532</v>
      </c>
      <c r="M68" s="200"/>
      <c r="N68" s="201" t="s">
        <v>533</v>
      </c>
      <c r="O68" s="167"/>
      <c r="P68" s="167" t="s">
        <v>534</v>
      </c>
      <c r="Q68" s="200"/>
      <c r="R68" s="201" t="s">
        <v>535</v>
      </c>
    </row>
    <row r="69" spans="1:18" x14ac:dyDescent="0.25">
      <c r="A69" s="4"/>
      <c r="B69" s="138">
        <v>2</v>
      </c>
      <c r="C69" s="139" t="s">
        <v>122</v>
      </c>
      <c r="D69" s="140" t="s">
        <v>521</v>
      </c>
      <c r="E69" s="168" t="s">
        <v>124</v>
      </c>
      <c r="F69" s="140" t="s">
        <v>521</v>
      </c>
      <c r="G69" s="139" t="s">
        <v>122</v>
      </c>
      <c r="H69" s="140" t="s">
        <v>522</v>
      </c>
      <c r="I69" s="168" t="s">
        <v>124</v>
      </c>
      <c r="J69" s="140" t="s">
        <v>522</v>
      </c>
      <c r="K69" s="139" t="s">
        <v>122</v>
      </c>
      <c r="L69" s="140" t="s">
        <v>524</v>
      </c>
      <c r="M69" s="168" t="s">
        <v>124</v>
      </c>
      <c r="N69" s="140" t="s">
        <v>524</v>
      </c>
      <c r="O69" s="139" t="s">
        <v>122</v>
      </c>
      <c r="P69" s="140" t="s">
        <v>526</v>
      </c>
      <c r="Q69" s="168" t="s">
        <v>124</v>
      </c>
      <c r="R69" s="140" t="s">
        <v>526</v>
      </c>
    </row>
    <row r="70" spans="1:18" x14ac:dyDescent="0.25">
      <c r="A70"/>
      <c r="B70" s="138">
        <v>3</v>
      </c>
      <c r="C70" s="141" t="s">
        <v>122</v>
      </c>
      <c r="D70" s="142" t="s">
        <v>521</v>
      </c>
      <c r="E70" s="138" t="s">
        <v>124</v>
      </c>
      <c r="F70" s="142" t="s">
        <v>521</v>
      </c>
      <c r="G70" s="141" t="s">
        <v>122</v>
      </c>
      <c r="H70" s="142" t="s">
        <v>523</v>
      </c>
      <c r="I70" s="138" t="s">
        <v>124</v>
      </c>
      <c r="J70" s="142" t="s">
        <v>523</v>
      </c>
      <c r="K70" s="141" t="s">
        <v>122</v>
      </c>
      <c r="L70" s="142" t="s">
        <v>525</v>
      </c>
      <c r="M70" s="138" t="s">
        <v>124</v>
      </c>
      <c r="N70" s="142" t="s">
        <v>525</v>
      </c>
      <c r="O70" s="141" t="s">
        <v>122</v>
      </c>
      <c r="P70" s="142" t="s">
        <v>526</v>
      </c>
      <c r="Q70" s="138" t="s">
        <v>124</v>
      </c>
      <c r="R70" s="142" t="s">
        <v>526</v>
      </c>
    </row>
    <row r="71" spans="1:18" x14ac:dyDescent="0.25">
      <c r="A71"/>
      <c r="B71" s="138">
        <v>4</v>
      </c>
      <c r="C71" s="141" t="s">
        <v>126</v>
      </c>
      <c r="D71" s="142" t="s">
        <v>199</v>
      </c>
      <c r="E71" s="138" t="s">
        <v>127</v>
      </c>
      <c r="F71" s="142" t="s">
        <v>199</v>
      </c>
      <c r="G71" s="141" t="s">
        <v>126</v>
      </c>
      <c r="H71" s="142" t="s">
        <v>199</v>
      </c>
      <c r="I71" s="138" t="s">
        <v>127</v>
      </c>
      <c r="J71" s="142" t="s">
        <v>199</v>
      </c>
      <c r="K71" s="141" t="s">
        <v>126</v>
      </c>
      <c r="L71" s="142" t="s">
        <v>199</v>
      </c>
      <c r="M71" s="138" t="s">
        <v>127</v>
      </c>
      <c r="N71" s="142" t="s">
        <v>199</v>
      </c>
      <c r="O71" s="141" t="s">
        <v>126</v>
      </c>
      <c r="P71" s="142" t="s">
        <v>199</v>
      </c>
      <c r="Q71" s="138" t="s">
        <v>127</v>
      </c>
      <c r="R71" s="142" t="s">
        <v>199</v>
      </c>
    </row>
    <row r="72" spans="1:18" x14ac:dyDescent="0.25">
      <c r="A72"/>
      <c r="B72" s="138">
        <v>5</v>
      </c>
      <c r="C72" s="141" t="s">
        <v>126</v>
      </c>
      <c r="D72" s="142" t="s">
        <v>521</v>
      </c>
      <c r="E72" s="138" t="s">
        <v>127</v>
      </c>
      <c r="F72" s="142" t="s">
        <v>521</v>
      </c>
      <c r="G72" s="141" t="s">
        <v>126</v>
      </c>
      <c r="H72" s="142" t="s">
        <v>523</v>
      </c>
      <c r="I72" s="138" t="s">
        <v>127</v>
      </c>
      <c r="J72" s="142" t="s">
        <v>523</v>
      </c>
      <c r="K72" s="141" t="s">
        <v>126</v>
      </c>
      <c r="L72" s="142" t="s">
        <v>525</v>
      </c>
      <c r="M72" s="138" t="s">
        <v>127</v>
      </c>
      <c r="N72" s="142" t="s">
        <v>525</v>
      </c>
      <c r="O72" s="141" t="s">
        <v>126</v>
      </c>
      <c r="P72" s="142" t="s">
        <v>526</v>
      </c>
      <c r="Q72" s="138" t="s">
        <v>127</v>
      </c>
      <c r="R72" s="142" t="s">
        <v>526</v>
      </c>
    </row>
    <row r="73" spans="1:18" x14ac:dyDescent="0.25">
      <c r="A73"/>
      <c r="B73" s="138">
        <v>6</v>
      </c>
      <c r="C73" s="141" t="s">
        <v>124</v>
      </c>
      <c r="D73" s="142" t="s">
        <v>521</v>
      </c>
      <c r="E73" s="138" t="s">
        <v>122</v>
      </c>
      <c r="F73" s="142" t="s">
        <v>521</v>
      </c>
      <c r="G73" s="141" t="s">
        <v>124</v>
      </c>
      <c r="H73" s="142" t="s">
        <v>523</v>
      </c>
      <c r="I73" s="138" t="s">
        <v>122</v>
      </c>
      <c r="J73" s="142" t="s">
        <v>523</v>
      </c>
      <c r="K73" s="141" t="s">
        <v>124</v>
      </c>
      <c r="L73" s="142" t="s">
        <v>525</v>
      </c>
      <c r="M73" s="138" t="s">
        <v>122</v>
      </c>
      <c r="N73" s="142" t="s">
        <v>525</v>
      </c>
      <c r="O73" s="141" t="s">
        <v>124</v>
      </c>
      <c r="P73" s="142" t="s">
        <v>526</v>
      </c>
      <c r="Q73" s="138" t="s">
        <v>122</v>
      </c>
      <c r="R73" s="142" t="s">
        <v>526</v>
      </c>
    </row>
    <row r="74" spans="1:18" x14ac:dyDescent="0.25">
      <c r="A74"/>
      <c r="B74" s="138">
        <v>7</v>
      </c>
      <c r="C74" s="141" t="s">
        <v>124</v>
      </c>
      <c r="D74" s="142" t="s">
        <v>521</v>
      </c>
      <c r="E74" s="138" t="s">
        <v>122</v>
      </c>
      <c r="F74" s="142" t="s">
        <v>521</v>
      </c>
      <c r="G74" s="141" t="s">
        <v>124</v>
      </c>
      <c r="H74" s="142" t="s">
        <v>523</v>
      </c>
      <c r="I74" s="138" t="s">
        <v>122</v>
      </c>
      <c r="J74" s="142" t="s">
        <v>523</v>
      </c>
      <c r="K74" s="141" t="s">
        <v>124</v>
      </c>
      <c r="L74" s="142" t="s">
        <v>525</v>
      </c>
      <c r="M74" s="138" t="s">
        <v>122</v>
      </c>
      <c r="N74" s="142" t="s">
        <v>525</v>
      </c>
      <c r="O74" s="141" t="s">
        <v>124</v>
      </c>
      <c r="P74" s="142" t="s">
        <v>526</v>
      </c>
      <c r="Q74" s="138" t="s">
        <v>122</v>
      </c>
      <c r="R74" s="142" t="s">
        <v>526</v>
      </c>
    </row>
    <row r="75" spans="1:18" x14ac:dyDescent="0.25">
      <c r="A75"/>
      <c r="B75" s="138">
        <v>8</v>
      </c>
      <c r="C75" s="141" t="s">
        <v>127</v>
      </c>
      <c r="D75" s="142" t="s">
        <v>231</v>
      </c>
      <c r="E75" s="138" t="s">
        <v>126</v>
      </c>
      <c r="F75" s="142" t="s">
        <v>231</v>
      </c>
      <c r="G75" s="141" t="s">
        <v>127</v>
      </c>
      <c r="H75" s="142" t="s">
        <v>231</v>
      </c>
      <c r="I75" s="138" t="s">
        <v>126</v>
      </c>
      <c r="J75" s="142" t="s">
        <v>231</v>
      </c>
      <c r="K75" s="141" t="s">
        <v>127</v>
      </c>
      <c r="L75" s="142" t="s">
        <v>231</v>
      </c>
      <c r="M75" s="138" t="s">
        <v>126</v>
      </c>
      <c r="N75" s="142" t="s">
        <v>231</v>
      </c>
      <c r="O75" s="141" t="s">
        <v>127</v>
      </c>
      <c r="P75" s="142" t="s">
        <v>231</v>
      </c>
      <c r="Q75" s="138" t="s">
        <v>126</v>
      </c>
      <c r="R75" s="142" t="s">
        <v>231</v>
      </c>
    </row>
    <row r="76" spans="1:18" x14ac:dyDescent="0.25">
      <c r="A76"/>
      <c r="B76" s="138">
        <v>9</v>
      </c>
      <c r="C76" s="143" t="s">
        <v>127</v>
      </c>
      <c r="D76" s="144" t="s">
        <v>521</v>
      </c>
      <c r="E76" s="169" t="s">
        <v>126</v>
      </c>
      <c r="F76" s="144" t="s">
        <v>521</v>
      </c>
      <c r="G76" s="143" t="s">
        <v>127</v>
      </c>
      <c r="H76" s="144" t="s">
        <v>523</v>
      </c>
      <c r="I76" s="169" t="s">
        <v>126</v>
      </c>
      <c r="J76" s="144" t="s">
        <v>523</v>
      </c>
      <c r="K76" s="143" t="s">
        <v>127</v>
      </c>
      <c r="L76" s="144" t="s">
        <v>525</v>
      </c>
      <c r="M76" s="169" t="s">
        <v>126</v>
      </c>
      <c r="N76" s="144" t="s">
        <v>525</v>
      </c>
      <c r="O76" s="143" t="s">
        <v>127</v>
      </c>
      <c r="P76" s="144" t="s">
        <v>526</v>
      </c>
      <c r="Q76" s="169" t="s">
        <v>126</v>
      </c>
      <c r="R76" s="144" t="s">
        <v>526</v>
      </c>
    </row>
    <row r="77" spans="1:18" x14ac:dyDescent="0.25">
      <c r="A77"/>
    </row>
    <row r="78" spans="1:18" x14ac:dyDescent="0.25">
      <c r="A78" s="98" t="s">
        <v>536</v>
      </c>
      <c r="B78" s="138"/>
      <c r="C78" s="145" t="s">
        <v>513</v>
      </c>
      <c r="D78" s="145" t="s">
        <v>515</v>
      </c>
      <c r="E78" s="145" t="s">
        <v>517</v>
      </c>
      <c r="F78" s="145" t="s">
        <v>519</v>
      </c>
    </row>
    <row r="79" spans="1:18" x14ac:dyDescent="0.25">
      <c r="A79"/>
      <c r="B79" s="138">
        <v>2</v>
      </c>
      <c r="C79" s="146" t="s">
        <v>521</v>
      </c>
      <c r="D79" s="146" t="s">
        <v>522</v>
      </c>
      <c r="E79" s="146" t="s">
        <v>524</v>
      </c>
      <c r="F79" s="146" t="s">
        <v>526</v>
      </c>
    </row>
    <row r="80" spans="1:18" x14ac:dyDescent="0.25">
      <c r="A80"/>
      <c r="B80" s="138">
        <v>3</v>
      </c>
      <c r="C80" s="147" t="s">
        <v>147</v>
      </c>
      <c r="D80" s="147" t="s">
        <v>137</v>
      </c>
      <c r="E80" s="147" t="s">
        <v>138</v>
      </c>
      <c r="F80" s="147" t="s">
        <v>151</v>
      </c>
    </row>
    <row r="81" spans="1:6" x14ac:dyDescent="0.25">
      <c r="A81"/>
      <c r="B81" s="138">
        <v>4</v>
      </c>
      <c r="C81" s="147" t="s">
        <v>149</v>
      </c>
      <c r="D81" s="147" t="s">
        <v>139</v>
      </c>
      <c r="E81" s="147" t="s">
        <v>140</v>
      </c>
      <c r="F81" s="147" t="s">
        <v>154</v>
      </c>
    </row>
    <row r="82" spans="1:6" x14ac:dyDescent="0.25">
      <c r="A82"/>
      <c r="B82" s="138">
        <v>5</v>
      </c>
      <c r="C82" s="146" t="s">
        <v>152</v>
      </c>
      <c r="D82" s="146" t="s">
        <v>141</v>
      </c>
      <c r="E82" s="147" t="s">
        <v>141</v>
      </c>
      <c r="F82" s="147" t="s">
        <v>156</v>
      </c>
    </row>
    <row r="83" spans="1:6" x14ac:dyDescent="0.25">
      <c r="A83"/>
      <c r="B83" s="138">
        <v>6</v>
      </c>
      <c r="C83" s="147" t="s">
        <v>155</v>
      </c>
      <c r="D83" s="147" t="s">
        <v>523</v>
      </c>
      <c r="E83" s="147" t="s">
        <v>525</v>
      </c>
      <c r="F83" s="147" t="s">
        <v>159</v>
      </c>
    </row>
    <row r="84" spans="1:6" x14ac:dyDescent="0.25">
      <c r="A84"/>
      <c r="B84" s="138">
        <v>7</v>
      </c>
      <c r="C84" s="147" t="s">
        <v>157</v>
      </c>
      <c r="D84" s="147" t="s">
        <v>161</v>
      </c>
      <c r="E84" s="147" t="s">
        <v>162</v>
      </c>
      <c r="F84" s="147" t="s">
        <v>163</v>
      </c>
    </row>
    <row r="85" spans="1:6" x14ac:dyDescent="0.25">
      <c r="A85"/>
      <c r="B85" s="138">
        <v>8</v>
      </c>
      <c r="C85" s="147" t="s">
        <v>160</v>
      </c>
      <c r="D85" s="147" t="s">
        <v>137</v>
      </c>
      <c r="E85" s="147" t="s">
        <v>165</v>
      </c>
      <c r="F85" s="147" t="s">
        <v>137</v>
      </c>
    </row>
    <row r="86" spans="1:6" x14ac:dyDescent="0.25">
      <c r="A86"/>
      <c r="B86" s="138">
        <v>9</v>
      </c>
      <c r="C86" s="147" t="s">
        <v>164</v>
      </c>
      <c r="D86" s="147" t="s">
        <v>139</v>
      </c>
      <c r="E86" s="147" t="s">
        <v>166</v>
      </c>
      <c r="F86" s="147" t="s">
        <v>167</v>
      </c>
    </row>
    <row r="87" spans="1:6" x14ac:dyDescent="0.25">
      <c r="A87"/>
      <c r="B87" s="138">
        <v>10</v>
      </c>
      <c r="C87" s="147" t="s">
        <v>151</v>
      </c>
      <c r="D87" s="147" t="s">
        <v>168</v>
      </c>
      <c r="E87" s="147" t="s">
        <v>138</v>
      </c>
      <c r="F87" s="147" t="s">
        <v>169</v>
      </c>
    </row>
    <row r="88" spans="1:6" x14ac:dyDescent="0.25">
      <c r="A88"/>
      <c r="B88" s="138">
        <v>11</v>
      </c>
      <c r="C88" s="147" t="s">
        <v>154</v>
      </c>
      <c r="D88" s="147" t="s">
        <v>170</v>
      </c>
      <c r="E88" s="147" t="s">
        <v>171</v>
      </c>
      <c r="F88" s="147" t="s">
        <v>172</v>
      </c>
    </row>
    <row r="89" spans="1:6" x14ac:dyDescent="0.25">
      <c r="A89"/>
      <c r="B89" s="138">
        <v>12</v>
      </c>
      <c r="C89" s="147" t="s">
        <v>156</v>
      </c>
      <c r="D89" s="147" t="s">
        <v>167</v>
      </c>
      <c r="E89" s="147" t="s">
        <v>140</v>
      </c>
      <c r="F89" s="147"/>
    </row>
    <row r="90" spans="1:6" x14ac:dyDescent="0.25">
      <c r="A90"/>
      <c r="B90" s="138">
        <v>13</v>
      </c>
      <c r="C90" s="147"/>
      <c r="D90" s="147" t="s">
        <v>174</v>
      </c>
      <c r="E90" s="147"/>
      <c r="F90" s="147"/>
    </row>
    <row r="91" spans="1:6" x14ac:dyDescent="0.25">
      <c r="A91"/>
      <c r="B91" s="138">
        <v>14</v>
      </c>
      <c r="C91" s="147"/>
      <c r="D91" s="147" t="s">
        <v>176</v>
      </c>
      <c r="E91" s="147"/>
      <c r="F91" s="147"/>
    </row>
    <row r="92" spans="1:6" x14ac:dyDescent="0.25">
      <c r="A92"/>
      <c r="B92" s="138">
        <v>15</v>
      </c>
      <c r="C92" s="147"/>
      <c r="D92" s="147" t="s">
        <v>178</v>
      </c>
      <c r="E92" s="147"/>
      <c r="F92" s="147"/>
    </row>
    <row r="93" spans="1:6" x14ac:dyDescent="0.25">
      <c r="A93"/>
      <c r="B93" s="138">
        <v>16</v>
      </c>
      <c r="C93" s="147"/>
      <c r="D93" s="147" t="s">
        <v>180</v>
      </c>
      <c r="E93" s="147"/>
      <c r="F93" s="147"/>
    </row>
    <row r="94" spans="1:6" x14ac:dyDescent="0.25">
      <c r="A94"/>
      <c r="B94" s="138">
        <v>17</v>
      </c>
      <c r="C94" s="148"/>
      <c r="D94" s="148" t="s">
        <v>181</v>
      </c>
      <c r="E94" s="148"/>
      <c r="F94" s="148"/>
    </row>
    <row r="95" spans="1:6" x14ac:dyDescent="0.25">
      <c r="A95"/>
    </row>
    <row r="96" spans="1:6" x14ac:dyDescent="0.25">
      <c r="A96"/>
    </row>
    <row r="97" spans="1:18" x14ac:dyDescent="0.25">
      <c r="A97" s="98" t="s">
        <v>184</v>
      </c>
      <c r="B97" s="135"/>
      <c r="C97" s="136"/>
      <c r="D97" s="137" t="s">
        <v>185</v>
      </c>
      <c r="E97" s="136"/>
      <c r="F97" s="137" t="s">
        <v>186</v>
      </c>
      <c r="G97" s="167"/>
      <c r="H97" s="167" t="s">
        <v>187</v>
      </c>
      <c r="I97" s="136"/>
      <c r="J97" s="137" t="s">
        <v>188</v>
      </c>
      <c r="K97" s="167"/>
      <c r="L97" s="167" t="s">
        <v>189</v>
      </c>
      <c r="M97" s="136"/>
      <c r="N97" s="137" t="s">
        <v>190</v>
      </c>
      <c r="O97" s="167"/>
      <c r="P97" s="167" t="s">
        <v>191</v>
      </c>
      <c r="Q97" s="136"/>
      <c r="R97" s="137" t="s">
        <v>192</v>
      </c>
    </row>
    <row r="98" spans="1:18" x14ac:dyDescent="0.25">
      <c r="A98" s="4"/>
      <c r="B98" s="138">
        <v>2</v>
      </c>
      <c r="C98" s="139" t="s">
        <v>122</v>
      </c>
      <c r="D98" s="140" t="s">
        <v>193</v>
      </c>
      <c r="E98" s="168" t="s">
        <v>124</v>
      </c>
      <c r="F98" s="140" t="s">
        <v>193</v>
      </c>
      <c r="G98" s="139" t="s">
        <v>122</v>
      </c>
      <c r="H98" s="140" t="s">
        <v>194</v>
      </c>
      <c r="I98" s="168" t="s">
        <v>124</v>
      </c>
      <c r="J98" s="140" t="s">
        <v>194</v>
      </c>
      <c r="K98" s="139" t="s">
        <v>122</v>
      </c>
      <c r="L98" s="140" t="s">
        <v>195</v>
      </c>
      <c r="M98" s="168" t="s">
        <v>124</v>
      </c>
      <c r="N98" s="140" t="s">
        <v>195</v>
      </c>
      <c r="O98" s="139" t="s">
        <v>122</v>
      </c>
      <c r="P98" s="140" t="s">
        <v>196</v>
      </c>
      <c r="Q98" s="168" t="s">
        <v>124</v>
      </c>
      <c r="R98" s="140" t="s">
        <v>196</v>
      </c>
    </row>
    <row r="99" spans="1:18" x14ac:dyDescent="0.25">
      <c r="A99"/>
      <c r="B99" s="138">
        <v>3</v>
      </c>
      <c r="C99" s="141" t="s">
        <v>122</v>
      </c>
      <c r="D99" s="142" t="s">
        <v>193</v>
      </c>
      <c r="E99" s="138" t="s">
        <v>124</v>
      </c>
      <c r="F99" s="142" t="s">
        <v>193</v>
      </c>
      <c r="G99" s="141" t="s">
        <v>122</v>
      </c>
      <c r="H99" s="142" t="s">
        <v>197</v>
      </c>
      <c r="I99" s="138" t="s">
        <v>124</v>
      </c>
      <c r="J99" s="142" t="s">
        <v>197</v>
      </c>
      <c r="K99" s="141" t="s">
        <v>122</v>
      </c>
      <c r="L99" s="142" t="s">
        <v>198</v>
      </c>
      <c r="M99" s="138" t="s">
        <v>124</v>
      </c>
      <c r="N99" s="142" t="s">
        <v>198</v>
      </c>
      <c r="O99" s="141" t="s">
        <v>122</v>
      </c>
      <c r="P99" s="142" t="s">
        <v>196</v>
      </c>
      <c r="Q99" s="138" t="s">
        <v>124</v>
      </c>
      <c r="R99" s="142" t="s">
        <v>196</v>
      </c>
    </row>
    <row r="100" spans="1:18" x14ac:dyDescent="0.25">
      <c r="A100"/>
      <c r="B100" s="138">
        <v>4</v>
      </c>
      <c r="C100" s="141" t="s">
        <v>126</v>
      </c>
      <c r="D100" s="142" t="s">
        <v>199</v>
      </c>
      <c r="E100" s="138" t="s">
        <v>127</v>
      </c>
      <c r="F100" s="142" t="s">
        <v>199</v>
      </c>
      <c r="G100" s="141" t="s">
        <v>126</v>
      </c>
      <c r="H100" s="142" t="s">
        <v>199</v>
      </c>
      <c r="I100" s="138" t="s">
        <v>127</v>
      </c>
      <c r="J100" s="142" t="s">
        <v>199</v>
      </c>
      <c r="K100" s="141" t="s">
        <v>126</v>
      </c>
      <c r="L100" s="142" t="s">
        <v>199</v>
      </c>
      <c r="M100" s="138" t="s">
        <v>127</v>
      </c>
      <c r="N100" s="142" t="s">
        <v>199</v>
      </c>
      <c r="O100" s="141" t="s">
        <v>126</v>
      </c>
      <c r="P100" s="142" t="s">
        <v>199</v>
      </c>
      <c r="Q100" s="138" t="s">
        <v>127</v>
      </c>
      <c r="R100" s="142" t="s">
        <v>199</v>
      </c>
    </row>
    <row r="101" spans="1:18" x14ac:dyDescent="0.25">
      <c r="A101"/>
      <c r="B101" s="138">
        <v>5</v>
      </c>
      <c r="C101" s="143" t="s">
        <v>126</v>
      </c>
      <c r="D101" s="144" t="s">
        <v>193</v>
      </c>
      <c r="E101" s="143" t="s">
        <v>127</v>
      </c>
      <c r="F101" s="144" t="s">
        <v>193</v>
      </c>
      <c r="G101" s="143" t="s">
        <v>126</v>
      </c>
      <c r="H101" s="144" t="s">
        <v>197</v>
      </c>
      <c r="I101" s="143" t="s">
        <v>127</v>
      </c>
      <c r="J101" s="144" t="s">
        <v>197</v>
      </c>
      <c r="K101" s="143" t="s">
        <v>126</v>
      </c>
      <c r="L101" s="144" t="s">
        <v>198</v>
      </c>
      <c r="M101" s="143" t="s">
        <v>127</v>
      </c>
      <c r="N101" s="144" t="s">
        <v>198</v>
      </c>
      <c r="O101" s="143" t="s">
        <v>126</v>
      </c>
      <c r="P101" s="144" t="s">
        <v>196</v>
      </c>
      <c r="Q101" s="143" t="s">
        <v>127</v>
      </c>
      <c r="R101" s="144" t="s">
        <v>196</v>
      </c>
    </row>
    <row r="102" spans="1:18" x14ac:dyDescent="0.25">
      <c r="A102"/>
      <c r="D102" s="138"/>
      <c r="F102" s="138"/>
      <c r="H102" s="138"/>
      <c r="J102" s="138"/>
      <c r="L102" s="138"/>
      <c r="N102" s="138"/>
      <c r="O102" s="138"/>
    </row>
    <row r="103" spans="1:18" x14ac:dyDescent="0.25">
      <c r="A103" s="98" t="s">
        <v>200</v>
      </c>
      <c r="B103" s="138"/>
      <c r="C103" s="145" t="s">
        <v>89</v>
      </c>
      <c r="D103" s="145" t="s">
        <v>90</v>
      </c>
      <c r="E103" s="145" t="s">
        <v>92</v>
      </c>
      <c r="F103" s="145" t="s">
        <v>94</v>
      </c>
      <c r="G103" s="138"/>
    </row>
    <row r="104" spans="1:18" x14ac:dyDescent="0.25">
      <c r="A104"/>
      <c r="B104" s="138">
        <v>2</v>
      </c>
      <c r="C104" s="146" t="s">
        <v>201</v>
      </c>
      <c r="D104" s="146" t="s">
        <v>194</v>
      </c>
      <c r="E104" s="146" t="s">
        <v>195</v>
      </c>
      <c r="F104" s="146" t="s">
        <v>201</v>
      </c>
      <c r="G104" s="170"/>
    </row>
    <row r="105" spans="1:18" x14ac:dyDescent="0.25">
      <c r="A105"/>
      <c r="B105" s="138">
        <v>3</v>
      </c>
      <c r="C105" s="147" t="s">
        <v>147</v>
      </c>
      <c r="D105" s="147" t="s">
        <v>137</v>
      </c>
      <c r="E105" s="147" t="s">
        <v>138</v>
      </c>
      <c r="F105" s="147" t="s">
        <v>151</v>
      </c>
      <c r="G105" s="138"/>
    </row>
    <row r="106" spans="1:18" x14ac:dyDescent="0.25">
      <c r="A106"/>
      <c r="B106" s="138">
        <v>4</v>
      </c>
      <c r="C106" s="147" t="s">
        <v>149</v>
      </c>
      <c r="D106" s="147" t="s">
        <v>139</v>
      </c>
      <c r="E106" s="147" t="s">
        <v>140</v>
      </c>
      <c r="F106" s="147" t="s">
        <v>154</v>
      </c>
      <c r="G106" s="138"/>
    </row>
    <row r="107" spans="1:18" x14ac:dyDescent="0.25">
      <c r="A107"/>
      <c r="B107" s="138">
        <v>5</v>
      </c>
      <c r="C107" s="146" t="s">
        <v>152</v>
      </c>
      <c r="D107" s="146" t="s">
        <v>206</v>
      </c>
      <c r="E107" s="147" t="s">
        <v>206</v>
      </c>
      <c r="F107" s="147" t="s">
        <v>156</v>
      </c>
      <c r="G107" s="138"/>
    </row>
    <row r="108" spans="1:18" x14ac:dyDescent="0.25">
      <c r="A108"/>
      <c r="B108" s="138">
        <v>6</v>
      </c>
      <c r="C108" s="147" t="s">
        <v>155</v>
      </c>
      <c r="D108" s="147" t="s">
        <v>209</v>
      </c>
      <c r="E108" s="147" t="s">
        <v>209</v>
      </c>
      <c r="F108" s="147" t="s">
        <v>159</v>
      </c>
      <c r="G108" s="138"/>
    </row>
    <row r="109" spans="1:18" x14ac:dyDescent="0.25">
      <c r="A109"/>
      <c r="B109" s="138">
        <v>7</v>
      </c>
      <c r="C109" s="147" t="s">
        <v>157</v>
      </c>
      <c r="D109" s="147" t="s">
        <v>137</v>
      </c>
      <c r="E109" s="147" t="s">
        <v>162</v>
      </c>
      <c r="F109" s="147" t="s">
        <v>163</v>
      </c>
      <c r="G109" s="138"/>
    </row>
    <row r="110" spans="1:18" x14ac:dyDescent="0.25">
      <c r="A110"/>
      <c r="B110" s="138">
        <v>8</v>
      </c>
      <c r="C110" s="147" t="s">
        <v>160</v>
      </c>
      <c r="D110" s="147" t="s">
        <v>139</v>
      </c>
      <c r="E110" s="147" t="s">
        <v>165</v>
      </c>
      <c r="F110" s="147" t="s">
        <v>169</v>
      </c>
      <c r="G110" s="138"/>
    </row>
    <row r="111" spans="1:18" x14ac:dyDescent="0.25">
      <c r="A111"/>
      <c r="B111" s="138">
        <v>9</v>
      </c>
      <c r="C111" s="147" t="s">
        <v>164</v>
      </c>
      <c r="D111" s="147" t="s">
        <v>168</v>
      </c>
      <c r="E111" s="147" t="s">
        <v>166</v>
      </c>
      <c r="F111" s="147" t="s">
        <v>172</v>
      </c>
      <c r="G111" s="138"/>
    </row>
    <row r="112" spans="1:18" x14ac:dyDescent="0.25">
      <c r="A112"/>
      <c r="B112" s="138">
        <v>10</v>
      </c>
      <c r="C112" s="147" t="s">
        <v>151</v>
      </c>
      <c r="D112" s="147" t="s">
        <v>170</v>
      </c>
      <c r="E112" s="147" t="s">
        <v>138</v>
      </c>
      <c r="F112" s="147"/>
      <c r="G112" s="138"/>
    </row>
    <row r="113" spans="1:18" x14ac:dyDescent="0.25">
      <c r="A113"/>
      <c r="B113" s="138">
        <v>11</v>
      </c>
      <c r="C113" s="147"/>
      <c r="D113" s="147" t="s">
        <v>167</v>
      </c>
      <c r="E113" s="147" t="s">
        <v>171</v>
      </c>
      <c r="F113" s="147"/>
      <c r="G113" s="138"/>
    </row>
    <row r="114" spans="1:18" x14ac:dyDescent="0.25">
      <c r="A114"/>
      <c r="B114" s="138">
        <v>12</v>
      </c>
      <c r="C114" s="147"/>
      <c r="D114" s="147" t="s">
        <v>174</v>
      </c>
      <c r="E114" s="147" t="s">
        <v>140</v>
      </c>
      <c r="F114" s="147"/>
      <c r="G114" s="138"/>
    </row>
    <row r="115" spans="1:18" x14ac:dyDescent="0.25">
      <c r="A115"/>
      <c r="B115" s="138">
        <v>13</v>
      </c>
      <c r="C115" s="147"/>
      <c r="D115" s="147" t="s">
        <v>176</v>
      </c>
      <c r="E115" s="147"/>
      <c r="F115" s="147"/>
      <c r="G115" s="138"/>
    </row>
    <row r="116" spans="1:18" x14ac:dyDescent="0.25">
      <c r="A116"/>
      <c r="B116" s="138">
        <v>14</v>
      </c>
      <c r="C116" s="147"/>
      <c r="D116" s="147" t="s">
        <v>180</v>
      </c>
      <c r="E116" s="147"/>
      <c r="F116" s="147"/>
      <c r="G116" s="138"/>
    </row>
    <row r="117" spans="1:18" x14ac:dyDescent="0.25">
      <c r="A117"/>
      <c r="B117" s="138">
        <v>15</v>
      </c>
      <c r="C117" s="148"/>
      <c r="D117" s="148" t="s">
        <v>181</v>
      </c>
      <c r="E117" s="148"/>
      <c r="F117" s="148"/>
      <c r="G117" s="138"/>
    </row>
    <row r="118" spans="1:18" x14ac:dyDescent="0.25">
      <c r="A118"/>
    </row>
    <row r="119" spans="1:18" x14ac:dyDescent="0.25">
      <c r="A119"/>
    </row>
    <row r="120" spans="1:18" x14ac:dyDescent="0.25">
      <c r="A120" s="98" t="s">
        <v>216</v>
      </c>
      <c r="B120" s="135"/>
      <c r="C120" s="136"/>
      <c r="D120" s="137" t="s">
        <v>217</v>
      </c>
      <c r="E120" s="136"/>
      <c r="F120" s="137" t="s">
        <v>218</v>
      </c>
      <c r="G120" s="136"/>
      <c r="H120" s="137" t="s">
        <v>116</v>
      </c>
      <c r="I120" s="136"/>
      <c r="J120" s="137" t="s">
        <v>117</v>
      </c>
      <c r="K120" s="136"/>
      <c r="L120" s="137" t="s">
        <v>118</v>
      </c>
      <c r="M120" s="136"/>
      <c r="N120" s="137" t="s">
        <v>119</v>
      </c>
      <c r="O120" s="136"/>
      <c r="P120" s="137" t="s">
        <v>219</v>
      </c>
      <c r="Q120" s="136"/>
      <c r="R120" s="137" t="s">
        <v>220</v>
      </c>
    </row>
    <row r="121" spans="1:18" x14ac:dyDescent="0.25">
      <c r="A121" s="4"/>
      <c r="B121" s="138">
        <v>2</v>
      </c>
      <c r="C121" s="139" t="s">
        <v>221</v>
      </c>
      <c r="D121" s="140" t="s">
        <v>222</v>
      </c>
      <c r="E121" s="139"/>
      <c r="F121" s="140"/>
      <c r="G121" s="139" t="s">
        <v>122</v>
      </c>
      <c r="H121" s="140" t="s">
        <v>223</v>
      </c>
      <c r="I121" s="139" t="s">
        <v>124</v>
      </c>
      <c r="J121" s="140" t="s">
        <v>134</v>
      </c>
      <c r="K121" s="139" t="s">
        <v>122</v>
      </c>
      <c r="L121" s="140"/>
      <c r="M121" s="139" t="s">
        <v>124</v>
      </c>
      <c r="N121" s="140" t="s">
        <v>135</v>
      </c>
      <c r="O121" s="139" t="s">
        <v>122</v>
      </c>
      <c r="P121" s="140"/>
      <c r="Q121" s="139" t="s">
        <v>124</v>
      </c>
      <c r="R121" s="140" t="s">
        <v>224</v>
      </c>
    </row>
    <row r="122" spans="1:18" x14ac:dyDescent="0.25">
      <c r="A122"/>
      <c r="B122" s="138">
        <v>3</v>
      </c>
      <c r="C122" s="141" t="s">
        <v>221</v>
      </c>
      <c r="D122" s="142" t="s">
        <v>225</v>
      </c>
      <c r="E122" s="141"/>
      <c r="F122" s="142"/>
      <c r="G122" s="141" t="s">
        <v>122</v>
      </c>
      <c r="H122" s="142" t="s">
        <v>222</v>
      </c>
      <c r="I122" s="141" t="s">
        <v>124</v>
      </c>
      <c r="J122" s="142" t="s">
        <v>145</v>
      </c>
      <c r="K122" s="141" t="s">
        <v>122</v>
      </c>
      <c r="L122" s="142"/>
      <c r="M122" s="141" t="s">
        <v>124</v>
      </c>
      <c r="N122" s="142" t="s">
        <v>146</v>
      </c>
      <c r="O122" s="141" t="s">
        <v>122</v>
      </c>
      <c r="P122" s="142"/>
      <c r="Q122" s="141" t="s">
        <v>124</v>
      </c>
      <c r="R122" s="142" t="s">
        <v>224</v>
      </c>
    </row>
    <row r="123" spans="1:18" x14ac:dyDescent="0.25">
      <c r="A123"/>
      <c r="B123" s="138">
        <v>4</v>
      </c>
      <c r="C123" s="141" t="s">
        <v>226</v>
      </c>
      <c r="D123" s="142" t="s">
        <v>227</v>
      </c>
      <c r="E123" s="141"/>
      <c r="F123" s="142"/>
      <c r="G123" s="141" t="s">
        <v>126</v>
      </c>
      <c r="H123" s="142" t="s">
        <v>225</v>
      </c>
      <c r="I123" s="141" t="s">
        <v>127</v>
      </c>
      <c r="J123" s="142" t="s">
        <v>199</v>
      </c>
      <c r="K123" s="141" t="s">
        <v>126</v>
      </c>
      <c r="L123" s="142"/>
      <c r="M123" s="141" t="s">
        <v>127</v>
      </c>
      <c r="N123" s="142" t="s">
        <v>199</v>
      </c>
      <c r="O123" s="141" t="s">
        <v>126</v>
      </c>
      <c r="P123" s="142"/>
      <c r="Q123" s="141" t="s">
        <v>127</v>
      </c>
      <c r="R123" s="142" t="s">
        <v>199</v>
      </c>
    </row>
    <row r="124" spans="1:18" x14ac:dyDescent="0.25">
      <c r="A124"/>
      <c r="B124" s="138">
        <v>5</v>
      </c>
      <c r="C124" s="141" t="s">
        <v>226</v>
      </c>
      <c r="D124" s="142" t="s">
        <v>228</v>
      </c>
      <c r="E124" s="141"/>
      <c r="F124" s="142"/>
      <c r="G124" s="141" t="s">
        <v>126</v>
      </c>
      <c r="H124" s="142" t="s">
        <v>227</v>
      </c>
      <c r="I124" s="141" t="s">
        <v>127</v>
      </c>
      <c r="J124" s="142" t="s">
        <v>145</v>
      </c>
      <c r="K124" s="141" t="s">
        <v>126</v>
      </c>
      <c r="L124" s="142"/>
      <c r="M124" s="141" t="s">
        <v>127</v>
      </c>
      <c r="N124" s="142" t="s">
        <v>146</v>
      </c>
      <c r="O124" s="141" t="s">
        <v>126</v>
      </c>
      <c r="P124" s="142"/>
      <c r="Q124" s="141" t="s">
        <v>127</v>
      </c>
      <c r="R124" s="142" t="s">
        <v>224</v>
      </c>
    </row>
    <row r="125" spans="1:18" x14ac:dyDescent="0.25">
      <c r="A125"/>
      <c r="B125" s="138">
        <v>6</v>
      </c>
      <c r="C125" s="141"/>
      <c r="D125" s="142" t="s">
        <v>229</v>
      </c>
      <c r="E125" s="141"/>
      <c r="F125" s="142"/>
      <c r="G125" s="141" t="s">
        <v>124</v>
      </c>
      <c r="H125" s="142" t="s">
        <v>228</v>
      </c>
      <c r="I125" s="141" t="s">
        <v>122</v>
      </c>
      <c r="J125" s="142" t="s">
        <v>145</v>
      </c>
      <c r="K125" s="141" t="s">
        <v>124</v>
      </c>
      <c r="L125" s="142"/>
      <c r="M125" s="141" t="s">
        <v>122</v>
      </c>
      <c r="N125" s="142" t="s">
        <v>146</v>
      </c>
      <c r="O125" s="141" t="s">
        <v>124</v>
      </c>
      <c r="P125" s="142"/>
      <c r="Q125" s="141" t="s">
        <v>122</v>
      </c>
      <c r="R125" s="142" t="s">
        <v>224</v>
      </c>
    </row>
    <row r="126" spans="1:18" x14ac:dyDescent="0.25">
      <c r="A126"/>
      <c r="B126" s="138">
        <v>7</v>
      </c>
      <c r="C126" s="141"/>
      <c r="D126" s="142" t="s">
        <v>230</v>
      </c>
      <c r="E126" s="141"/>
      <c r="F126" s="142"/>
      <c r="G126" s="141" t="s">
        <v>124</v>
      </c>
      <c r="H126" s="142" t="s">
        <v>230</v>
      </c>
      <c r="I126" s="141" t="s">
        <v>122</v>
      </c>
      <c r="J126" s="142" t="s">
        <v>145</v>
      </c>
      <c r="K126" s="141" t="s">
        <v>124</v>
      </c>
      <c r="L126" s="142"/>
      <c r="M126" s="141" t="s">
        <v>122</v>
      </c>
      <c r="N126" s="142" t="s">
        <v>146</v>
      </c>
      <c r="O126" s="141" t="s">
        <v>124</v>
      </c>
      <c r="P126" s="142"/>
      <c r="Q126" s="141" t="s">
        <v>122</v>
      </c>
      <c r="R126" s="142" t="s">
        <v>224</v>
      </c>
    </row>
    <row r="127" spans="1:18" x14ac:dyDescent="0.25">
      <c r="A127"/>
      <c r="B127" s="138">
        <v>8</v>
      </c>
      <c r="C127" s="141"/>
      <c r="D127" s="142"/>
      <c r="E127" s="141"/>
      <c r="F127" s="142"/>
      <c r="G127" s="141" t="s">
        <v>127</v>
      </c>
      <c r="H127" s="142"/>
      <c r="I127" s="141" t="s">
        <v>126</v>
      </c>
      <c r="J127" s="142" t="s">
        <v>231</v>
      </c>
      <c r="K127" s="141" t="s">
        <v>127</v>
      </c>
      <c r="L127" s="142"/>
      <c r="M127" s="141" t="s">
        <v>126</v>
      </c>
      <c r="N127" s="142" t="s">
        <v>231</v>
      </c>
      <c r="O127" s="141" t="s">
        <v>127</v>
      </c>
      <c r="P127" s="142"/>
      <c r="Q127" s="141" t="s">
        <v>126</v>
      </c>
      <c r="R127" s="142" t="s">
        <v>231</v>
      </c>
    </row>
    <row r="128" spans="1:18" x14ac:dyDescent="0.25">
      <c r="A128"/>
      <c r="B128" s="138">
        <v>9</v>
      </c>
      <c r="C128" s="143"/>
      <c r="D128" s="144"/>
      <c r="E128" s="143"/>
      <c r="F128" s="144"/>
      <c r="G128" s="143" t="s">
        <v>127</v>
      </c>
      <c r="H128" s="144"/>
      <c r="I128" s="143" t="s">
        <v>126</v>
      </c>
      <c r="J128" s="144" t="s">
        <v>145</v>
      </c>
      <c r="K128" s="143" t="s">
        <v>127</v>
      </c>
      <c r="L128" s="144"/>
      <c r="M128" s="143" t="s">
        <v>126</v>
      </c>
      <c r="N128" s="144" t="s">
        <v>146</v>
      </c>
      <c r="O128" s="143" t="s">
        <v>127</v>
      </c>
      <c r="P128" s="144"/>
      <c r="Q128" s="143" t="s">
        <v>126</v>
      </c>
      <c r="R128" s="144" t="s">
        <v>224</v>
      </c>
    </row>
    <row r="129" spans="1:18" x14ac:dyDescent="0.25">
      <c r="A129"/>
      <c r="B129" s="138">
        <v>10</v>
      </c>
      <c r="C129" s="141"/>
      <c r="D129" s="142"/>
      <c r="E129" s="141"/>
      <c r="F129" s="142"/>
      <c r="G129" s="141" t="s">
        <v>128</v>
      </c>
      <c r="H129" s="142"/>
      <c r="I129" s="141" t="s">
        <v>129</v>
      </c>
      <c r="J129" s="142" t="s">
        <v>145</v>
      </c>
      <c r="K129" s="141" t="s">
        <v>128</v>
      </c>
      <c r="L129" s="142"/>
      <c r="M129" s="141" t="s">
        <v>129</v>
      </c>
      <c r="N129" s="142" t="s">
        <v>146</v>
      </c>
      <c r="O129" s="141" t="s">
        <v>128</v>
      </c>
      <c r="P129" s="142"/>
      <c r="Q129" s="141" t="s">
        <v>129</v>
      </c>
      <c r="R129" s="142" t="s">
        <v>224</v>
      </c>
    </row>
    <row r="130" spans="1:18" x14ac:dyDescent="0.25">
      <c r="A130"/>
      <c r="B130" s="138">
        <v>11</v>
      </c>
      <c r="C130" s="141"/>
      <c r="D130" s="142"/>
      <c r="E130" s="141"/>
      <c r="F130" s="142"/>
      <c r="G130" s="141" t="s">
        <v>128</v>
      </c>
      <c r="H130" s="142"/>
      <c r="I130" s="141" t="s">
        <v>129</v>
      </c>
      <c r="J130" s="142" t="s">
        <v>145</v>
      </c>
      <c r="K130" s="141" t="s">
        <v>128</v>
      </c>
      <c r="L130" s="142"/>
      <c r="M130" s="141" t="s">
        <v>129</v>
      </c>
      <c r="N130" s="142" t="s">
        <v>146</v>
      </c>
      <c r="O130" s="141" t="s">
        <v>128</v>
      </c>
      <c r="P130" s="142"/>
      <c r="Q130" s="141" t="s">
        <v>129</v>
      </c>
      <c r="R130" s="142" t="s">
        <v>224</v>
      </c>
    </row>
    <row r="131" spans="1:18" x14ac:dyDescent="0.25">
      <c r="A131"/>
      <c r="B131" s="138">
        <v>12</v>
      </c>
      <c r="C131" s="141"/>
      <c r="D131" s="142"/>
      <c r="E131" s="141"/>
      <c r="F131" s="142"/>
      <c r="G131" s="141" t="s">
        <v>130</v>
      </c>
      <c r="H131" s="142"/>
      <c r="I131" s="141" t="s">
        <v>131</v>
      </c>
      <c r="J131" s="142" t="s">
        <v>145</v>
      </c>
      <c r="K131" s="141" t="s">
        <v>130</v>
      </c>
      <c r="L131" s="142"/>
      <c r="M131" s="141" t="s">
        <v>131</v>
      </c>
      <c r="N131" s="142" t="s">
        <v>146</v>
      </c>
      <c r="O131" s="141" t="s">
        <v>130</v>
      </c>
      <c r="P131" s="142"/>
      <c r="Q131" s="141" t="s">
        <v>131</v>
      </c>
      <c r="R131" s="142" t="s">
        <v>224</v>
      </c>
    </row>
    <row r="132" spans="1:18" x14ac:dyDescent="0.25">
      <c r="A132"/>
      <c r="B132" s="138">
        <v>13</v>
      </c>
      <c r="C132" s="141"/>
      <c r="D132" s="142"/>
      <c r="E132" s="141"/>
      <c r="F132" s="142"/>
      <c r="G132" s="141" t="s">
        <v>130</v>
      </c>
      <c r="H132" s="142"/>
      <c r="I132" s="141" t="s">
        <v>131</v>
      </c>
      <c r="J132" s="142" t="s">
        <v>145</v>
      </c>
      <c r="K132" s="141" t="s">
        <v>130</v>
      </c>
      <c r="L132" s="142"/>
      <c r="M132" s="141" t="s">
        <v>131</v>
      </c>
      <c r="N132" s="142" t="s">
        <v>146</v>
      </c>
      <c r="O132" s="141" t="s">
        <v>130</v>
      </c>
      <c r="P132" s="142"/>
      <c r="Q132" s="141" t="s">
        <v>131</v>
      </c>
      <c r="R132" s="142" t="s">
        <v>224</v>
      </c>
    </row>
    <row r="133" spans="1:18" x14ac:dyDescent="0.25">
      <c r="A133"/>
      <c r="B133" s="138">
        <v>14</v>
      </c>
      <c r="C133" s="141"/>
      <c r="D133" s="142"/>
      <c r="E133" s="141"/>
      <c r="F133" s="142"/>
      <c r="G133" s="141" t="s">
        <v>129</v>
      </c>
      <c r="H133" s="142"/>
      <c r="I133" s="141" t="s">
        <v>128</v>
      </c>
      <c r="J133" s="142" t="s">
        <v>142</v>
      </c>
      <c r="K133" s="141" t="s">
        <v>129</v>
      </c>
      <c r="L133" s="142"/>
      <c r="M133" s="141" t="s">
        <v>128</v>
      </c>
      <c r="N133" s="142" t="s">
        <v>143</v>
      </c>
      <c r="O133" s="141" t="s">
        <v>129</v>
      </c>
      <c r="P133" s="142"/>
      <c r="Q133" s="141" t="s">
        <v>128</v>
      </c>
      <c r="R133" s="142" t="s">
        <v>232</v>
      </c>
    </row>
    <row r="134" spans="1:18" x14ac:dyDescent="0.25">
      <c r="A134"/>
      <c r="B134" s="138">
        <v>15</v>
      </c>
      <c r="C134" s="141"/>
      <c r="D134" s="142"/>
      <c r="E134" s="141"/>
      <c r="F134" s="142"/>
      <c r="G134" s="141" t="s">
        <v>129</v>
      </c>
      <c r="H134" s="142"/>
      <c r="I134" s="141" t="s">
        <v>128</v>
      </c>
      <c r="J134" s="142" t="s">
        <v>233</v>
      </c>
      <c r="K134" s="141" t="s">
        <v>129</v>
      </c>
      <c r="L134" s="142"/>
      <c r="M134" s="141" t="s">
        <v>128</v>
      </c>
      <c r="N134" s="142" t="s">
        <v>233</v>
      </c>
      <c r="O134" s="141" t="s">
        <v>129</v>
      </c>
      <c r="P134" s="142"/>
      <c r="Q134" s="141" t="s">
        <v>128</v>
      </c>
      <c r="R134" s="142" t="s">
        <v>233</v>
      </c>
    </row>
    <row r="135" spans="1:18" x14ac:dyDescent="0.25">
      <c r="A135"/>
      <c r="B135" s="138">
        <v>16</v>
      </c>
      <c r="C135" s="141"/>
      <c r="D135" s="142"/>
      <c r="E135" s="141"/>
      <c r="F135" s="142"/>
      <c r="G135" s="141" t="s">
        <v>131</v>
      </c>
      <c r="H135" s="142"/>
      <c r="I135" s="141" t="s">
        <v>130</v>
      </c>
      <c r="J135" s="142" t="s">
        <v>145</v>
      </c>
      <c r="K135" s="141" t="s">
        <v>131</v>
      </c>
      <c r="L135" s="142"/>
      <c r="M135" s="141" t="s">
        <v>130</v>
      </c>
      <c r="N135" s="142" t="s">
        <v>146</v>
      </c>
      <c r="O135" s="141" t="s">
        <v>131</v>
      </c>
      <c r="P135" s="142"/>
      <c r="Q135" s="141" t="s">
        <v>130</v>
      </c>
      <c r="R135" s="142" t="s">
        <v>224</v>
      </c>
    </row>
    <row r="136" spans="1:18" x14ac:dyDescent="0.25">
      <c r="A136"/>
      <c r="B136" s="138">
        <v>17</v>
      </c>
      <c r="C136" s="143"/>
      <c r="D136" s="144"/>
      <c r="E136" s="143"/>
      <c r="F136" s="144"/>
      <c r="G136" s="143" t="s">
        <v>131</v>
      </c>
      <c r="H136" s="144"/>
      <c r="I136" s="143" t="s">
        <v>130</v>
      </c>
      <c r="J136" s="144" t="s">
        <v>145</v>
      </c>
      <c r="K136" s="143" t="s">
        <v>131</v>
      </c>
      <c r="L136" s="144"/>
      <c r="M136" s="143" t="s">
        <v>130</v>
      </c>
      <c r="N136" s="144" t="s">
        <v>146</v>
      </c>
      <c r="O136" s="143" t="s">
        <v>131</v>
      </c>
      <c r="P136" s="144"/>
      <c r="Q136" s="143" t="s">
        <v>130</v>
      </c>
      <c r="R136" s="144" t="s">
        <v>224</v>
      </c>
    </row>
    <row r="137" spans="1:18" x14ac:dyDescent="0.25">
      <c r="A137"/>
    </row>
    <row r="138" spans="1:18" x14ac:dyDescent="0.25">
      <c r="A138" s="98" t="s">
        <v>234</v>
      </c>
      <c r="B138" s="138">
        <v>1</v>
      </c>
      <c r="C138" s="145" t="s">
        <v>65</v>
      </c>
      <c r="D138" s="145" t="s">
        <v>68</v>
      </c>
      <c r="E138" s="145" t="s">
        <v>71</v>
      </c>
    </row>
    <row r="139" spans="1:18" x14ac:dyDescent="0.25">
      <c r="A139"/>
      <c r="B139" s="138">
        <v>2</v>
      </c>
      <c r="C139" s="146" t="s">
        <v>222</v>
      </c>
      <c r="D139" s="146"/>
      <c r="E139" s="146"/>
    </row>
    <row r="140" spans="1:18" x14ac:dyDescent="0.25">
      <c r="A140"/>
      <c r="B140" s="138">
        <v>3</v>
      </c>
      <c r="C140" s="147" t="s">
        <v>225</v>
      </c>
      <c r="D140" s="147"/>
      <c r="E140" s="147"/>
    </row>
    <row r="141" spans="1:18" x14ac:dyDescent="0.25">
      <c r="A141"/>
      <c r="B141" s="138">
        <v>4</v>
      </c>
      <c r="C141" s="147" t="s">
        <v>227</v>
      </c>
      <c r="D141" s="147"/>
      <c r="E141" s="147"/>
    </row>
    <row r="142" spans="1:18" x14ac:dyDescent="0.25">
      <c r="A142"/>
      <c r="B142" s="138">
        <v>5</v>
      </c>
      <c r="C142" s="146" t="s">
        <v>228</v>
      </c>
      <c r="D142" s="147"/>
      <c r="E142" s="147"/>
    </row>
    <row r="143" spans="1:18" x14ac:dyDescent="0.25">
      <c r="A143"/>
      <c r="B143" s="138">
        <v>6</v>
      </c>
      <c r="C143" s="147" t="s">
        <v>229</v>
      </c>
      <c r="D143" s="147"/>
      <c r="E143" s="147"/>
    </row>
    <row r="144" spans="1:18" x14ac:dyDescent="0.25">
      <c r="A144"/>
      <c r="B144" s="138">
        <v>7</v>
      </c>
      <c r="C144" s="147" t="s">
        <v>230</v>
      </c>
      <c r="D144" s="147"/>
      <c r="E144" s="147"/>
    </row>
    <row r="145" spans="1:5" x14ac:dyDescent="0.25">
      <c r="A145"/>
      <c r="B145" s="138">
        <v>8</v>
      </c>
      <c r="C145" s="147"/>
      <c r="D145" s="147"/>
      <c r="E145" s="147"/>
    </row>
    <row r="146" spans="1:5" x14ac:dyDescent="0.25">
      <c r="A146"/>
      <c r="B146" s="138">
        <v>9</v>
      </c>
      <c r="C146" s="147"/>
      <c r="D146" s="147"/>
      <c r="E146" s="147"/>
    </row>
    <row r="147" spans="1:5" x14ac:dyDescent="0.25">
      <c r="A147"/>
      <c r="B147" s="138">
        <v>10</v>
      </c>
      <c r="C147" s="147"/>
      <c r="D147" s="147"/>
      <c r="E147" s="147"/>
    </row>
    <row r="148" spans="1:5" x14ac:dyDescent="0.25">
      <c r="A148"/>
      <c r="B148" s="138">
        <v>11</v>
      </c>
      <c r="C148" s="147"/>
      <c r="D148" s="147"/>
      <c r="E148" s="147"/>
    </row>
    <row r="149" spans="1:5" x14ac:dyDescent="0.25">
      <c r="A149"/>
      <c r="B149" s="138">
        <v>12</v>
      </c>
      <c r="C149" s="147"/>
      <c r="D149" s="147"/>
      <c r="E149" s="147"/>
    </row>
    <row r="150" spans="1:5" x14ac:dyDescent="0.25">
      <c r="A150"/>
      <c r="B150" s="138">
        <v>13</v>
      </c>
      <c r="C150" s="147"/>
      <c r="D150" s="147"/>
      <c r="E150" s="147"/>
    </row>
    <row r="151" spans="1:5" x14ac:dyDescent="0.25">
      <c r="A151"/>
      <c r="B151" s="138">
        <v>14</v>
      </c>
      <c r="C151" s="147"/>
      <c r="D151" s="147"/>
      <c r="E151" s="147"/>
    </row>
    <row r="152" spans="1:5" x14ac:dyDescent="0.25">
      <c r="A152"/>
      <c r="B152" s="138">
        <v>15</v>
      </c>
      <c r="C152" s="147"/>
      <c r="D152" s="147"/>
      <c r="E152" s="147"/>
    </row>
    <row r="153" spans="1:5" x14ac:dyDescent="0.25">
      <c r="A153"/>
      <c r="B153" s="138">
        <v>16</v>
      </c>
      <c r="C153" s="147"/>
      <c r="D153" s="147"/>
      <c r="E153" s="147"/>
    </row>
    <row r="154" spans="1:5" x14ac:dyDescent="0.25">
      <c r="A154"/>
      <c r="B154" s="138">
        <v>17</v>
      </c>
      <c r="C154" s="147"/>
      <c r="D154" s="147"/>
      <c r="E154" s="147"/>
    </row>
    <row r="155" spans="1:5" x14ac:dyDescent="0.25">
      <c r="A155"/>
      <c r="B155" s="138">
        <v>18</v>
      </c>
      <c r="C155" s="147"/>
      <c r="D155" s="147"/>
      <c r="E155" s="147"/>
    </row>
    <row r="156" spans="1:5" x14ac:dyDescent="0.25">
      <c r="A156"/>
      <c r="B156" s="138">
        <v>19</v>
      </c>
      <c r="C156" s="147"/>
      <c r="D156" s="147"/>
      <c r="E156" s="147"/>
    </row>
    <row r="157" spans="1:5" x14ac:dyDescent="0.25">
      <c r="A157"/>
      <c r="B157" s="138">
        <v>20</v>
      </c>
      <c r="C157" s="148"/>
      <c r="D157" s="148"/>
      <c r="E157" s="148"/>
    </row>
    <row r="158" spans="1:5" x14ac:dyDescent="0.25">
      <c r="A158"/>
    </row>
    <row r="159" spans="1:5" x14ac:dyDescent="0.25">
      <c r="A159"/>
    </row>
    <row r="160" spans="1:5" x14ac:dyDescent="0.25">
      <c r="A160"/>
    </row>
    <row r="161" spans="1:1" x14ac:dyDescent="0.25">
      <c r="A161"/>
    </row>
    <row r="162" spans="1:1" x14ac:dyDescent="0.25">
      <c r="A162"/>
    </row>
    <row r="163" spans="1:1" x14ac:dyDescent="0.25">
      <c r="A163"/>
    </row>
    <row r="164" spans="1:1" x14ac:dyDescent="0.25">
      <c r="A16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29"/>
  <sheetViews>
    <sheetView zoomScale="80" zoomScaleNormal="80" workbookViewId="0">
      <pane xSplit="5" ySplit="2" topLeftCell="F12" activePane="bottomRight" state="frozen"/>
      <selection activeCell="E7" sqref="E7"/>
      <selection pane="topRight" activeCell="E7" sqref="E7"/>
      <selection pane="bottomLeft" activeCell="E7" sqref="E7"/>
      <selection pane="bottomRight" activeCell="E7" sqref="E7"/>
    </sheetView>
  </sheetViews>
  <sheetFormatPr defaultRowHeight="15.75" x14ac:dyDescent="0.25"/>
  <cols>
    <col min="1" max="1" width="16.75" bestFit="1" customWidth="1"/>
    <col min="2" max="2" width="6.75" style="1" bestFit="1" customWidth="1"/>
    <col min="3" max="3" width="10.125" bestFit="1" customWidth="1"/>
    <col min="4" max="4" width="70" bestFit="1" customWidth="1"/>
    <col min="5" max="5" width="9.625" style="1" bestFit="1" customWidth="1"/>
    <col min="6" max="6" width="34" bestFit="1" customWidth="1"/>
    <col min="7" max="12" width="6.75" style="1" bestFit="1" customWidth="1"/>
    <col min="13" max="13" width="23" bestFit="1" customWidth="1"/>
    <col min="14" max="14" width="7" bestFit="1" customWidth="1"/>
    <col min="15" max="19" width="7.375" bestFit="1" customWidth="1"/>
    <col min="20" max="20" width="7" bestFit="1" customWidth="1"/>
    <col min="21" max="22" width="7.375" bestFit="1" customWidth="1"/>
    <col min="23" max="25" width="7" bestFit="1" customWidth="1"/>
    <col min="26" max="27" width="7.375" bestFit="1" customWidth="1"/>
    <col min="28" max="29" width="7" bestFit="1" customWidth="1"/>
    <col min="30" max="31" width="7.625" bestFit="1" customWidth="1"/>
  </cols>
  <sheetData>
    <row r="1" spans="1:32" x14ac:dyDescent="0.25">
      <c r="A1" s="49">
        <f>COLUMN()</f>
        <v>1</v>
      </c>
      <c r="B1" s="49">
        <f>COLUMN()</f>
        <v>2</v>
      </c>
      <c r="C1" s="49">
        <f>COLUMN()</f>
        <v>3</v>
      </c>
      <c r="D1" s="49">
        <f>COLUMN()</f>
        <v>4</v>
      </c>
      <c r="E1" s="49">
        <f>COLUMN()</f>
        <v>5</v>
      </c>
      <c r="F1" s="49">
        <f>COLUMN()</f>
        <v>6</v>
      </c>
      <c r="G1" s="49">
        <f>COLUMN()</f>
        <v>7</v>
      </c>
      <c r="H1" s="49">
        <f>COLUMN()</f>
        <v>8</v>
      </c>
      <c r="I1" s="49">
        <f>COLUMN()</f>
        <v>9</v>
      </c>
      <c r="J1" s="49">
        <f>COLUMN()</f>
        <v>10</v>
      </c>
      <c r="K1" s="49">
        <f>COLUMN()</f>
        <v>11</v>
      </c>
      <c r="L1" s="49">
        <f>COLUMN()</f>
        <v>12</v>
      </c>
      <c r="M1" s="49">
        <f>COLUMN()</f>
        <v>13</v>
      </c>
      <c r="N1" s="49">
        <f>COLUMN()</f>
        <v>14</v>
      </c>
      <c r="O1" s="49">
        <f>COLUMN()</f>
        <v>15</v>
      </c>
      <c r="P1" s="49">
        <f>COLUMN()</f>
        <v>16</v>
      </c>
      <c r="Q1" s="49">
        <f>COLUMN()</f>
        <v>17</v>
      </c>
      <c r="R1" s="49">
        <f>COLUMN()</f>
        <v>18</v>
      </c>
      <c r="S1" s="49">
        <f>COLUMN()</f>
        <v>19</v>
      </c>
      <c r="T1" s="49">
        <f>COLUMN()</f>
        <v>20</v>
      </c>
      <c r="U1" s="49">
        <f>COLUMN()</f>
        <v>21</v>
      </c>
      <c r="V1" s="49">
        <f>COLUMN()</f>
        <v>22</v>
      </c>
      <c r="W1" s="49">
        <f>COLUMN()</f>
        <v>23</v>
      </c>
      <c r="X1" s="49">
        <f>COLUMN()</f>
        <v>24</v>
      </c>
      <c r="Y1" s="49">
        <f>COLUMN()</f>
        <v>25</v>
      </c>
      <c r="Z1" s="49">
        <f>COLUMN()</f>
        <v>26</v>
      </c>
      <c r="AA1" s="49">
        <f>COLUMN()</f>
        <v>27</v>
      </c>
      <c r="AB1" s="49">
        <f>COLUMN()</f>
        <v>28</v>
      </c>
      <c r="AC1" s="49">
        <f>COLUMN()</f>
        <v>29</v>
      </c>
      <c r="AD1" s="49">
        <f>COLUMN()</f>
        <v>30</v>
      </c>
      <c r="AE1" s="49">
        <f>COLUMN()</f>
        <v>31</v>
      </c>
    </row>
    <row r="2" spans="1:32" ht="78.75" x14ac:dyDescent="0.25">
      <c r="A2" s="131" t="s">
        <v>0</v>
      </c>
      <c r="B2" s="131" t="s">
        <v>1</v>
      </c>
      <c r="C2" s="131" t="s">
        <v>2</v>
      </c>
      <c r="D2" s="131" t="s">
        <v>235</v>
      </c>
      <c r="E2" s="131" t="s">
        <v>5</v>
      </c>
      <c r="F2" s="131" t="s">
        <v>540</v>
      </c>
      <c r="G2" s="111" t="s">
        <v>221</v>
      </c>
      <c r="H2" s="111" t="s">
        <v>226</v>
      </c>
      <c r="I2" s="111" t="s">
        <v>26</v>
      </c>
      <c r="J2" s="111" t="s">
        <v>27</v>
      </c>
      <c r="K2" s="111" t="s">
        <v>28</v>
      </c>
      <c r="L2" s="111" t="s">
        <v>29</v>
      </c>
      <c r="M2" s="131" t="s">
        <v>236</v>
      </c>
      <c r="N2" s="111" t="s">
        <v>63</v>
      </c>
      <c r="O2" s="111" t="s">
        <v>83</v>
      </c>
      <c r="P2" s="111" t="s">
        <v>78</v>
      </c>
      <c r="Q2" s="111" t="s">
        <v>80</v>
      </c>
      <c r="R2" s="111" t="s">
        <v>85</v>
      </c>
      <c r="S2" s="111" t="s">
        <v>436</v>
      </c>
      <c r="T2" s="111" t="s">
        <v>513</v>
      </c>
      <c r="U2" s="111" t="s">
        <v>515</v>
      </c>
      <c r="V2" s="111" t="s">
        <v>517</v>
      </c>
      <c r="W2" s="111" t="s">
        <v>519</v>
      </c>
      <c r="X2" s="111" t="s">
        <v>60</v>
      </c>
      <c r="Y2" s="111" t="s">
        <v>89</v>
      </c>
      <c r="Z2" s="111" t="s">
        <v>90</v>
      </c>
      <c r="AA2" s="111" t="s">
        <v>92</v>
      </c>
      <c r="AB2" s="111" t="s">
        <v>94</v>
      </c>
      <c r="AC2" s="111" t="s">
        <v>65</v>
      </c>
      <c r="AD2" s="111" t="s">
        <v>68</v>
      </c>
      <c r="AE2" s="111" t="s">
        <v>71</v>
      </c>
      <c r="AF2" s="2"/>
    </row>
    <row r="3" spans="1:32" x14ac:dyDescent="0.25">
      <c r="A3" t="s">
        <v>233</v>
      </c>
      <c r="C3" s="1"/>
      <c r="D3" t="s">
        <v>237</v>
      </c>
      <c r="F3" s="132"/>
      <c r="G3" s="134" t="str">
        <f>IFERROR(IF(_xlfn.XLOOKUP(TableHandbook[[#This Row],[UDC]],TableAvailabilities[Row Labels],TableAvailabilities[OpenUnis Session 1])&gt;0,"Y",""),"")</f>
        <v/>
      </c>
      <c r="H3" s="134" t="str">
        <f>IFERROR(IF(_xlfn.XLOOKUP(TableHandbook[[#This Row],[UDC]],TableAvailabilities[Row Labels],TableAvailabilities[OpenUnis Session 2])&gt;0,"Y",""),"")</f>
        <v/>
      </c>
      <c r="I3" s="134" t="str">
        <f>IFERROR(IF(_xlfn.XLOOKUP(TableHandbook[[#This Row],[UDC]],TableAvailabilities[Row Labels],TableAvailabilities[OpenUnis SP 1])&gt;0,"Y",""),"")</f>
        <v/>
      </c>
      <c r="J3" s="134" t="str">
        <f>IFERROR(IF(_xlfn.XLOOKUP(TableHandbook[[#This Row],[UDC]],TableAvailabilities[Row Labels],TableAvailabilities[OpenUnis SP 2])&gt;0,"Y",""),"")</f>
        <v/>
      </c>
      <c r="K3" s="134" t="str">
        <f>IFERROR(IF(_xlfn.XLOOKUP(TableHandbook[[#This Row],[UDC]],TableAvailabilities[Row Labels],TableAvailabilities[OpenUnis SP 3])&gt;0,"Y",""),"")</f>
        <v/>
      </c>
      <c r="L3" s="134" t="str">
        <f>IFERROR(IF(_xlfn.XLOOKUP(TableHandbook[[#This Row],[UDC]],TableAvailabilities[Row Labels],TableAvailabilities[OpenUnis SP 4])&gt;0,"Y",""),"")</f>
        <v/>
      </c>
      <c r="N3" s="133" t="str">
        <f>IFERROR(VLOOKUP(TableHandbook[[#This Row],[UDC]],TableOMARTS[],7,FALSE),"")</f>
        <v/>
      </c>
      <c r="O3" s="133" t="str">
        <f>IFERROR(VLOOKUP(TableHandbook[[#This Row],[UDC]],TableOUMPCWRI4[],7,FALSE),"")</f>
        <v/>
      </c>
      <c r="P3" s="133" t="str">
        <f>IFERROR(VLOOKUP(TableHandbook[[#This Row],[UDC]],TableOUMPDGCM1[],7,FALSE),"")</f>
        <v/>
      </c>
      <c r="Q3" s="133" t="str">
        <f>IFERROR(VLOOKUP(TableHandbook[[#This Row],[UDC]],TableOUMPFINA1[],7,FALSE),"")</f>
        <v/>
      </c>
      <c r="R3" s="133" t="str">
        <f>IFERROR(VLOOKUP(TableHandbook[[#This Row],[UDC]],TableOUMPPWRI4[],7,FALSE),"")</f>
        <v/>
      </c>
      <c r="S3" s="175" t="str">
        <f>IFERROR(VLOOKUP(TableHandbook[[#This Row],[UDC]],TableOGARTS[],7,FALSE),"")</f>
        <v/>
      </c>
      <c r="T3" s="133" t="str">
        <f>IFERROR(VLOOKUP(TableHandbook[[#This Row],[UDC]],TableOUMPCWRI3[],7,FALSE),"")</f>
        <v/>
      </c>
      <c r="U3" s="133" t="str">
        <f>IFERROR(VLOOKUP(TableHandbook[[#This Row],[UDC]],TableOUMPDGCM2[],7,FALSE),"")</f>
        <v/>
      </c>
      <c r="V3" s="133" t="str">
        <f>IFERROR(VLOOKUP(TableHandbook[[#This Row],[UDC]],TableOUMPFINA2[],7,FALSE),"")</f>
        <v/>
      </c>
      <c r="W3" s="133" t="str">
        <f>IFERROR(VLOOKUP(TableHandbook[[#This Row],[UDC]],TableOUMPPWRI3[],7,FALSE),"")</f>
        <v/>
      </c>
      <c r="X3" s="175" t="str">
        <f>IFERROR(VLOOKUP(TableHandbook[[#This Row],[UDC]],TableOCARTS[],7,FALSE),"")</f>
        <v/>
      </c>
      <c r="Y3" s="133" t="str">
        <f>IFERROR(VLOOKUP(TableHandbook[[#This Row],[UDC]],TableOUSPCWRI1[],7,FALSE),"")</f>
        <v/>
      </c>
      <c r="Z3" s="133" t="str">
        <f>IFERROR(VLOOKUP(TableHandbook[[#This Row],[UDC]],TableOUSPDGCM1[],7,FALSE),"")</f>
        <v/>
      </c>
      <c r="AA3" s="133" t="str">
        <f>IFERROR(VLOOKUP(TableHandbook[[#This Row],[UDC]],TableOUSPFINA1[],7,FALSE),"")</f>
        <v/>
      </c>
      <c r="AB3" s="133" t="str">
        <f>IFERROR(VLOOKUP(TableHandbook[[#This Row],[UDC]],TableOUSPPWRI1[],7,FALSE),"")</f>
        <v/>
      </c>
      <c r="AC3" s="175" t="str">
        <f>IFERROR(VLOOKUP(TableHandbook[[#This Row],[UDC]],TableOCHRIGHT[],7,FALSE),"")</f>
        <v/>
      </c>
      <c r="AD3" s="133" t="str">
        <f>IFERROR(VLOOKUP(TableHandbook[[#This Row],[UDC]],TableOGHRIGHT[],7,FALSE),"")</f>
        <v/>
      </c>
      <c r="AE3" s="133" t="str">
        <f>IFERROR(VLOOKUP(TableHandbook[[#This Row],[UDC]],TableOMHRIGHT[],7,FALSE),"")</f>
        <v/>
      </c>
      <c r="AF3" s="2"/>
    </row>
    <row r="4" spans="1:32" x14ac:dyDescent="0.25">
      <c r="A4" t="s">
        <v>158</v>
      </c>
      <c r="C4" s="1"/>
      <c r="D4" t="s">
        <v>238</v>
      </c>
      <c r="F4" s="132"/>
      <c r="G4" s="134" t="str">
        <f>IFERROR(IF(_xlfn.XLOOKUP(TableHandbook[[#This Row],[UDC]],TableAvailabilities[Row Labels],TableAvailabilities[OpenUnis Session 1])&gt;0,"Y",""),"")</f>
        <v/>
      </c>
      <c r="H4" s="134" t="str">
        <f>IFERROR(IF(_xlfn.XLOOKUP(TableHandbook[[#This Row],[UDC]],TableAvailabilities[Row Labels],TableAvailabilities[OpenUnis Session 2])&gt;0,"Y",""),"")</f>
        <v/>
      </c>
      <c r="I4" s="134" t="str">
        <f>IFERROR(IF(_xlfn.XLOOKUP(TableHandbook[[#This Row],[UDC]],TableAvailabilities[Row Labels],TableAvailabilities[OpenUnis SP 1])&gt;0,"Y",""),"")</f>
        <v/>
      </c>
      <c r="J4" s="134" t="str">
        <f>IFERROR(IF(_xlfn.XLOOKUP(TableHandbook[[#This Row],[UDC]],TableAvailabilities[Row Labels],TableAvailabilities[OpenUnis SP 2])&gt;0,"Y",""),"")</f>
        <v/>
      </c>
      <c r="K4" s="134" t="str">
        <f>IFERROR(IF(_xlfn.XLOOKUP(TableHandbook[[#This Row],[UDC]],TableAvailabilities[Row Labels],TableAvailabilities[OpenUnis SP 3])&gt;0,"Y",""),"")</f>
        <v/>
      </c>
      <c r="L4" s="134" t="str">
        <f>IFERROR(IF(_xlfn.XLOOKUP(TableHandbook[[#This Row],[UDC]],TableAvailabilities[Row Labels],TableAvailabilities[OpenUnis SP 4])&gt;0,"Y",""),"")</f>
        <v/>
      </c>
      <c r="N4" s="133" t="str">
        <f>IFERROR(VLOOKUP(TableHandbook[[#This Row],[UDC]],TableOMARTS[],7,FALSE),"")</f>
        <v/>
      </c>
      <c r="O4" s="133" t="str">
        <f>IFERROR(VLOOKUP(TableHandbook[[#This Row],[UDC]],TableOUMPCWRI4[],7,FALSE),"")</f>
        <v/>
      </c>
      <c r="P4" s="133" t="str">
        <f>IFERROR(VLOOKUP(TableHandbook[[#This Row],[UDC]],TableOUMPDGCM1[],7,FALSE),"")</f>
        <v/>
      </c>
      <c r="Q4" s="133" t="str">
        <f>IFERROR(VLOOKUP(TableHandbook[[#This Row],[UDC]],TableOUMPFINA1[],7,FALSE),"")</f>
        <v/>
      </c>
      <c r="R4" s="133" t="str">
        <f>IFERROR(VLOOKUP(TableHandbook[[#This Row],[UDC]],TableOUMPPWRI4[],7,FALSE),"")</f>
        <v/>
      </c>
      <c r="S4" s="175" t="str">
        <f>IFERROR(VLOOKUP(TableHandbook[[#This Row],[UDC]],TableOGARTS[],7,FALSE),"")</f>
        <v/>
      </c>
      <c r="T4" s="133" t="str">
        <f>IFERROR(VLOOKUP(TableHandbook[[#This Row],[UDC]],TableOUMPCWRI3[],7,FALSE),"")</f>
        <v/>
      </c>
      <c r="U4" s="133" t="str">
        <f>IFERROR(VLOOKUP(TableHandbook[[#This Row],[UDC]],TableOUMPDGCM2[],7,FALSE),"")</f>
        <v/>
      </c>
      <c r="V4" s="133" t="str">
        <f>IFERROR(VLOOKUP(TableHandbook[[#This Row],[UDC]],TableOUMPFINA2[],7,FALSE),"")</f>
        <v/>
      </c>
      <c r="W4" s="133" t="str">
        <f>IFERROR(VLOOKUP(TableHandbook[[#This Row],[UDC]],TableOUMPPWRI3[],7,FALSE),"")</f>
        <v/>
      </c>
      <c r="X4" s="175" t="str">
        <f>IFERROR(VLOOKUP(TableHandbook[[#This Row],[UDC]],TableOCARTS[],7,FALSE),"")</f>
        <v/>
      </c>
      <c r="Y4" s="133" t="str">
        <f>IFERROR(VLOOKUP(TableHandbook[[#This Row],[UDC]],TableOUSPCWRI1[],7,FALSE),"")</f>
        <v/>
      </c>
      <c r="Z4" s="133" t="str">
        <f>IFERROR(VLOOKUP(TableHandbook[[#This Row],[UDC]],TableOUSPDGCM1[],7,FALSE),"")</f>
        <v/>
      </c>
      <c r="AA4" s="133" t="str">
        <f>IFERROR(VLOOKUP(TableHandbook[[#This Row],[UDC]],TableOUSPFINA1[],7,FALSE),"")</f>
        <v/>
      </c>
      <c r="AB4" s="133" t="str">
        <f>IFERROR(VLOOKUP(TableHandbook[[#This Row],[UDC]],TableOUSPPWRI1[],7,FALSE),"")</f>
        <v/>
      </c>
      <c r="AC4" s="175" t="str">
        <f>IFERROR(VLOOKUP(TableHandbook[[#This Row],[UDC]],TableOCHRIGHT[],7,FALSE),"")</f>
        <v/>
      </c>
      <c r="AD4" s="133" t="str">
        <f>IFERROR(VLOOKUP(TableHandbook[[#This Row],[UDC]],TableOGHRIGHT[],7,FALSE),"")</f>
        <v/>
      </c>
      <c r="AE4" s="133" t="str">
        <f>IFERROR(VLOOKUP(TableHandbook[[#This Row],[UDC]],TableOMHRIGHT[],7,FALSE),"")</f>
        <v/>
      </c>
    </row>
    <row r="5" spans="1:32" x14ac:dyDescent="0.25">
      <c r="A5" t="s">
        <v>148</v>
      </c>
      <c r="C5" s="1"/>
      <c r="D5" t="s">
        <v>239</v>
      </c>
      <c r="F5" s="132"/>
      <c r="G5" s="134" t="str">
        <f>IFERROR(IF(_xlfn.XLOOKUP(TableHandbook[[#This Row],[UDC]],TableAvailabilities[Row Labels],TableAvailabilities[OpenUnis Session 1])&gt;0,"Y",""),"")</f>
        <v/>
      </c>
      <c r="H5" s="134" t="str">
        <f>IFERROR(IF(_xlfn.XLOOKUP(TableHandbook[[#This Row],[UDC]],TableAvailabilities[Row Labels],TableAvailabilities[OpenUnis Session 2])&gt;0,"Y",""),"")</f>
        <v/>
      </c>
      <c r="I5" s="134" t="str">
        <f>IFERROR(IF(_xlfn.XLOOKUP(TableHandbook[[#This Row],[UDC]],TableAvailabilities[Row Labels],TableAvailabilities[OpenUnis SP 1])&gt;0,"Y",""),"")</f>
        <v/>
      </c>
      <c r="J5" s="134" t="str">
        <f>IFERROR(IF(_xlfn.XLOOKUP(TableHandbook[[#This Row],[UDC]],TableAvailabilities[Row Labels],TableAvailabilities[OpenUnis SP 2])&gt;0,"Y",""),"")</f>
        <v/>
      </c>
      <c r="K5" s="134" t="str">
        <f>IFERROR(IF(_xlfn.XLOOKUP(TableHandbook[[#This Row],[UDC]],TableAvailabilities[Row Labels],TableAvailabilities[OpenUnis SP 3])&gt;0,"Y",""),"")</f>
        <v/>
      </c>
      <c r="L5" s="134" t="str">
        <f>IFERROR(IF(_xlfn.XLOOKUP(TableHandbook[[#This Row],[UDC]],TableAvailabilities[Row Labels],TableAvailabilities[OpenUnis SP 4])&gt;0,"Y",""),"")</f>
        <v/>
      </c>
      <c r="N5" s="133" t="str">
        <f>IFERROR(VLOOKUP(TableHandbook[[#This Row],[UDC]],TableOMARTS[],7,FALSE),"")</f>
        <v/>
      </c>
      <c r="O5" s="133" t="str">
        <f>IFERROR(VLOOKUP(TableHandbook[[#This Row],[UDC]],TableOUMPCWRI4[],7,FALSE),"")</f>
        <v/>
      </c>
      <c r="P5" s="133" t="str">
        <f>IFERROR(VLOOKUP(TableHandbook[[#This Row],[UDC]],TableOUMPDGCM1[],7,FALSE),"")</f>
        <v/>
      </c>
      <c r="Q5" s="133" t="str">
        <f>IFERROR(VLOOKUP(TableHandbook[[#This Row],[UDC]],TableOUMPFINA1[],7,FALSE),"")</f>
        <v/>
      </c>
      <c r="R5" s="133" t="str">
        <f>IFERROR(VLOOKUP(TableHandbook[[#This Row],[UDC]],TableOUMPPWRI4[],7,FALSE),"")</f>
        <v/>
      </c>
      <c r="S5" s="175" t="str">
        <f>IFERROR(VLOOKUP(TableHandbook[[#This Row],[UDC]],TableOGARTS[],7,FALSE),"")</f>
        <v/>
      </c>
      <c r="T5" s="133" t="str">
        <f>IFERROR(VLOOKUP(TableHandbook[[#This Row],[UDC]],TableOUMPCWRI3[],7,FALSE),"")</f>
        <v/>
      </c>
      <c r="U5" s="133" t="str">
        <f>IFERROR(VLOOKUP(TableHandbook[[#This Row],[UDC]],TableOUMPDGCM2[],7,FALSE),"")</f>
        <v/>
      </c>
      <c r="V5" s="133" t="str">
        <f>IFERROR(VLOOKUP(TableHandbook[[#This Row],[UDC]],TableOUMPFINA2[],7,FALSE),"")</f>
        <v/>
      </c>
      <c r="W5" s="133" t="str">
        <f>IFERROR(VLOOKUP(TableHandbook[[#This Row],[UDC]],TableOUMPPWRI3[],7,FALSE),"")</f>
        <v/>
      </c>
      <c r="X5" s="175" t="str">
        <f>IFERROR(VLOOKUP(TableHandbook[[#This Row],[UDC]],TableOCARTS[],7,FALSE),"")</f>
        <v/>
      </c>
      <c r="Y5" s="133" t="str">
        <f>IFERROR(VLOOKUP(TableHandbook[[#This Row],[UDC]],TableOUSPCWRI1[],7,FALSE),"")</f>
        <v/>
      </c>
      <c r="Z5" s="133" t="str">
        <f>IFERROR(VLOOKUP(TableHandbook[[#This Row],[UDC]],TableOUSPDGCM1[],7,FALSE),"")</f>
        <v/>
      </c>
      <c r="AA5" s="133" t="str">
        <f>IFERROR(VLOOKUP(TableHandbook[[#This Row],[UDC]],TableOUSPFINA1[],7,FALSE),"")</f>
        <v/>
      </c>
      <c r="AB5" s="133" t="str">
        <f>IFERROR(VLOOKUP(TableHandbook[[#This Row],[UDC]],TableOUSPPWRI1[],7,FALSE),"")</f>
        <v/>
      </c>
      <c r="AC5" s="175" t="str">
        <f>IFERROR(VLOOKUP(TableHandbook[[#This Row],[UDC]],TableOCHRIGHT[],7,FALSE),"")</f>
        <v/>
      </c>
      <c r="AD5" s="133" t="str">
        <f>IFERROR(VLOOKUP(TableHandbook[[#This Row],[UDC]],TableOGHRIGHT[],7,FALSE),"")</f>
        <v/>
      </c>
      <c r="AE5" s="133" t="str">
        <f>IFERROR(VLOOKUP(TableHandbook[[#This Row],[UDC]],TableOMHRIGHT[],7,FALSE),"")</f>
        <v/>
      </c>
    </row>
    <row r="6" spans="1:32" x14ac:dyDescent="0.25">
      <c r="A6" t="s">
        <v>133</v>
      </c>
      <c r="C6" s="1"/>
      <c r="D6" t="s">
        <v>241</v>
      </c>
      <c r="E6" s="1">
        <v>50</v>
      </c>
      <c r="F6" s="132" t="s">
        <v>242</v>
      </c>
      <c r="G6" s="134" t="str">
        <f>IFERROR(IF(_xlfn.XLOOKUP(TableHandbook[[#This Row],[UDC]],TableAvailabilities[Row Labels],TableAvailabilities[OpenUnis Session 1])&gt;0,"Y",""),"")</f>
        <v/>
      </c>
      <c r="H6" s="134" t="str">
        <f>IFERROR(IF(_xlfn.XLOOKUP(TableHandbook[[#This Row],[UDC]],TableAvailabilities[Row Labels],TableAvailabilities[OpenUnis Session 2])&gt;0,"Y",""),"")</f>
        <v/>
      </c>
      <c r="I6" s="134" t="str">
        <f>IFERROR(IF(_xlfn.XLOOKUP(TableHandbook[[#This Row],[UDC]],TableAvailabilities[Row Labels],TableAvailabilities[OpenUnis SP 1])&gt;0,"Y",""),"")</f>
        <v>Y</v>
      </c>
      <c r="J6" s="134" t="str">
        <f>IFERROR(IF(_xlfn.XLOOKUP(TableHandbook[[#This Row],[UDC]],TableAvailabilities[Row Labels],TableAvailabilities[OpenUnis SP 2])&gt;0,"Y",""),"")</f>
        <v/>
      </c>
      <c r="K6" s="134" t="str">
        <f>IFERROR(IF(_xlfn.XLOOKUP(TableHandbook[[#This Row],[UDC]],TableAvailabilities[Row Labels],TableAvailabilities[OpenUnis SP 3])&gt;0,"Y",""),"")</f>
        <v>Y</v>
      </c>
      <c r="L6" s="134" t="str">
        <f>IFERROR(IF(_xlfn.XLOOKUP(TableHandbook[[#This Row],[UDC]],TableAvailabilities[Row Labels],TableAvailabilities[OpenUnis SP 4])&gt;0,"Y",""),"")</f>
        <v/>
      </c>
      <c r="N6" s="133" t="str">
        <f>IFERROR(VLOOKUP(TableHandbook[[#This Row],[UDC]],TableOMARTS[],7,FALSE),"")</f>
        <v/>
      </c>
      <c r="O6" s="133" t="str">
        <f>IFERROR(VLOOKUP(TableHandbook[[#This Row],[UDC]],TableOUMPCWRI4[],7,FALSE),"")</f>
        <v>AltCore</v>
      </c>
      <c r="P6" s="133" t="str">
        <f>IFERROR(VLOOKUP(TableHandbook[[#This Row],[UDC]],TableOUMPDGCM1[],7,FALSE),"")</f>
        <v/>
      </c>
      <c r="Q6" s="133" t="str">
        <f>IFERROR(VLOOKUP(TableHandbook[[#This Row],[UDC]],TableOUMPFINA1[],7,FALSE),"")</f>
        <v/>
      </c>
      <c r="R6" s="133" t="str">
        <f>IFERROR(VLOOKUP(TableHandbook[[#This Row],[UDC]],TableOUMPPWRI4[],7,FALSE),"")</f>
        <v/>
      </c>
      <c r="S6" s="175" t="str">
        <f>IFERROR(VLOOKUP(TableHandbook[[#This Row],[UDC]],TableOGARTS[],7,FALSE),"")</f>
        <v/>
      </c>
      <c r="T6" s="133" t="str">
        <f>IFERROR(VLOOKUP(TableHandbook[[#This Row],[UDC]],TableOUMPCWRI3[],7,FALSE),"")</f>
        <v/>
      </c>
      <c r="U6" s="133" t="str">
        <f>IFERROR(VLOOKUP(TableHandbook[[#This Row],[UDC]],TableOUMPDGCM2[],7,FALSE),"")</f>
        <v/>
      </c>
      <c r="V6" s="133" t="str">
        <f>IFERROR(VLOOKUP(TableHandbook[[#This Row],[UDC]],TableOUMPFINA2[],7,FALSE),"")</f>
        <v/>
      </c>
      <c r="W6" s="133" t="str">
        <f>IFERROR(VLOOKUP(TableHandbook[[#This Row],[UDC]],TableOUMPPWRI3[],7,FALSE),"")</f>
        <v/>
      </c>
      <c r="X6" s="175" t="str">
        <f>IFERROR(VLOOKUP(TableHandbook[[#This Row],[UDC]],TableOCARTS[],7,FALSE),"")</f>
        <v/>
      </c>
      <c r="Y6" s="133" t="str">
        <f>IFERROR(VLOOKUP(TableHandbook[[#This Row],[UDC]],TableOUSPCWRI1[],7,FALSE),"")</f>
        <v/>
      </c>
      <c r="Z6" s="133" t="str">
        <f>IFERROR(VLOOKUP(TableHandbook[[#This Row],[UDC]],TableOUSPDGCM1[],7,FALSE),"")</f>
        <v/>
      </c>
      <c r="AA6" s="133" t="str">
        <f>IFERROR(VLOOKUP(TableHandbook[[#This Row],[UDC]],TableOUSPFINA1[],7,FALSE),"")</f>
        <v/>
      </c>
      <c r="AB6" s="133" t="str">
        <f>IFERROR(VLOOKUP(TableHandbook[[#This Row],[UDC]],TableOUSPPWRI1[],7,FALSE),"")</f>
        <v/>
      </c>
      <c r="AC6" s="175" t="str">
        <f>IFERROR(VLOOKUP(TableHandbook[[#This Row],[UDC]],TableOCHRIGHT[],7,FALSE),"")</f>
        <v/>
      </c>
      <c r="AD6" s="133" t="str">
        <f>IFERROR(VLOOKUP(TableHandbook[[#This Row],[UDC]],TableOGHRIGHT[],7,FALSE),"")</f>
        <v/>
      </c>
      <c r="AE6" s="133" t="str">
        <f>IFERROR(VLOOKUP(TableHandbook[[#This Row],[UDC]],TableOMHRIGHT[],7,FALSE),"")</f>
        <v/>
      </c>
    </row>
    <row r="7" spans="1:32" x14ac:dyDescent="0.25">
      <c r="A7" t="s">
        <v>134</v>
      </c>
      <c r="C7" s="1"/>
      <c r="D7" t="s">
        <v>243</v>
      </c>
      <c r="E7" s="1">
        <v>25</v>
      </c>
      <c r="F7" s="132" t="s">
        <v>242</v>
      </c>
      <c r="G7" s="134" t="str">
        <f>IFERROR(IF(_xlfn.XLOOKUP(TableHandbook[[#This Row],[UDC]],TableAvailabilities[Row Labels],TableAvailabilities[OpenUnis Session 1])&gt;0,"Y",""),"")</f>
        <v/>
      </c>
      <c r="H7" s="134" t="str">
        <f>IFERROR(IF(_xlfn.XLOOKUP(TableHandbook[[#This Row],[UDC]],TableAvailabilities[Row Labels],TableAvailabilities[OpenUnis Session 2])&gt;0,"Y",""),"")</f>
        <v/>
      </c>
      <c r="I7" s="134" t="str">
        <f>IFERROR(IF(_xlfn.XLOOKUP(TableHandbook[[#This Row],[UDC]],TableAvailabilities[Row Labels],TableAvailabilities[OpenUnis SP 1])&gt;0,"Y",""),"")</f>
        <v>Y</v>
      </c>
      <c r="J7" s="134" t="str">
        <f>IFERROR(IF(_xlfn.XLOOKUP(TableHandbook[[#This Row],[UDC]],TableAvailabilities[Row Labels],TableAvailabilities[OpenUnis SP 2])&gt;0,"Y",""),"")</f>
        <v>Y</v>
      </c>
      <c r="K7" s="134" t="str">
        <f>IFERROR(IF(_xlfn.XLOOKUP(TableHandbook[[#This Row],[UDC]],TableAvailabilities[Row Labels],TableAvailabilities[OpenUnis SP 3])&gt;0,"Y",""),"")</f>
        <v>Y</v>
      </c>
      <c r="L7" s="134" t="str">
        <f>IFERROR(IF(_xlfn.XLOOKUP(TableHandbook[[#This Row],[UDC]],TableAvailabilities[Row Labels],TableAvailabilities[OpenUnis SP 4])&gt;0,"Y",""),"")</f>
        <v>Y</v>
      </c>
      <c r="N7" s="133" t="str">
        <f>IFERROR(VLOOKUP(TableHandbook[[#This Row],[UDC]],TableOMARTS[],7,FALSE),"")</f>
        <v/>
      </c>
      <c r="O7" s="133" t="str">
        <f>IFERROR(VLOOKUP(TableHandbook[[#This Row],[UDC]],TableOUMPCWRI4[],7,FALSE),"")</f>
        <v/>
      </c>
      <c r="P7" s="133" t="str">
        <f>IFERROR(VLOOKUP(TableHandbook[[#This Row],[UDC]],TableOUMPDGCM1[],7,FALSE),"")</f>
        <v>AltCore</v>
      </c>
      <c r="Q7" s="133" t="str">
        <f>IFERROR(VLOOKUP(TableHandbook[[#This Row],[UDC]],TableOUMPFINA1[],7,FALSE),"")</f>
        <v/>
      </c>
      <c r="R7" s="133" t="str">
        <f>IFERROR(VLOOKUP(TableHandbook[[#This Row],[UDC]],TableOUMPPWRI4[],7,FALSE),"")</f>
        <v/>
      </c>
      <c r="S7" s="175" t="str">
        <f>IFERROR(VLOOKUP(TableHandbook[[#This Row],[UDC]],TableOGARTS[],7,FALSE),"")</f>
        <v/>
      </c>
      <c r="T7" s="133" t="str">
        <f>IFERROR(VLOOKUP(TableHandbook[[#This Row],[UDC]],TableOUMPCWRI3[],7,FALSE),"")</f>
        <v/>
      </c>
      <c r="U7" s="133" t="str">
        <f>IFERROR(VLOOKUP(TableHandbook[[#This Row],[UDC]],TableOUMPDGCM2[],7,FALSE),"")</f>
        <v/>
      </c>
      <c r="V7" s="133" t="str">
        <f>IFERROR(VLOOKUP(TableHandbook[[#This Row],[UDC]],TableOUMPFINA2[],7,FALSE),"")</f>
        <v/>
      </c>
      <c r="W7" s="133" t="str">
        <f>IFERROR(VLOOKUP(TableHandbook[[#This Row],[UDC]],TableOUMPPWRI3[],7,FALSE),"")</f>
        <v/>
      </c>
      <c r="X7" s="175" t="str">
        <f>IFERROR(VLOOKUP(TableHandbook[[#This Row],[UDC]],TableOCARTS[],7,FALSE),"")</f>
        <v/>
      </c>
      <c r="Y7" s="133" t="str">
        <f>IFERROR(VLOOKUP(TableHandbook[[#This Row],[UDC]],TableOUSPCWRI1[],7,FALSE),"")</f>
        <v/>
      </c>
      <c r="Z7" s="133" t="str">
        <f>IFERROR(VLOOKUP(TableHandbook[[#This Row],[UDC]],TableOUSPDGCM1[],7,FALSE),"")</f>
        <v/>
      </c>
      <c r="AA7" s="133" t="str">
        <f>IFERROR(VLOOKUP(TableHandbook[[#This Row],[UDC]],TableOUSPFINA1[],7,FALSE),"")</f>
        <v/>
      </c>
      <c r="AB7" s="133" t="str">
        <f>IFERROR(VLOOKUP(TableHandbook[[#This Row],[UDC]],TableOUSPPWRI1[],7,FALSE),"")</f>
        <v/>
      </c>
      <c r="AC7" s="175" t="str">
        <f>IFERROR(VLOOKUP(TableHandbook[[#This Row],[UDC]],TableOCHRIGHT[],7,FALSE),"")</f>
        <v/>
      </c>
      <c r="AD7" s="133" t="str">
        <f>IFERROR(VLOOKUP(TableHandbook[[#This Row],[UDC]],TableOGHRIGHT[],7,FALSE),"")</f>
        <v/>
      </c>
      <c r="AE7" s="133" t="str">
        <f>IFERROR(VLOOKUP(TableHandbook[[#This Row],[UDC]],TableOMHRIGHT[],7,FALSE),"")</f>
        <v/>
      </c>
    </row>
    <row r="8" spans="1:32" x14ac:dyDescent="0.25">
      <c r="A8" t="s">
        <v>142</v>
      </c>
      <c r="C8" s="1"/>
      <c r="D8" t="s">
        <v>241</v>
      </c>
      <c r="E8" s="1">
        <v>50</v>
      </c>
      <c r="F8" s="132" t="s">
        <v>242</v>
      </c>
      <c r="G8" s="134" t="str">
        <f>IFERROR(IF(_xlfn.XLOOKUP(TableHandbook[[#This Row],[UDC]],TableAvailabilities[Row Labels],TableAvailabilities[OpenUnis Session 1])&gt;0,"Y",""),"")</f>
        <v/>
      </c>
      <c r="H8" s="134" t="str">
        <f>IFERROR(IF(_xlfn.XLOOKUP(TableHandbook[[#This Row],[UDC]],TableAvailabilities[Row Labels],TableAvailabilities[OpenUnis Session 2])&gt;0,"Y",""),"")</f>
        <v/>
      </c>
      <c r="I8" s="134" t="str">
        <f>IFERROR(IF(_xlfn.XLOOKUP(TableHandbook[[#This Row],[UDC]],TableAvailabilities[Row Labels],TableAvailabilities[OpenUnis SP 1])&gt;0,"Y",""),"")</f>
        <v>Y</v>
      </c>
      <c r="J8" s="134" t="str">
        <f>IFERROR(IF(_xlfn.XLOOKUP(TableHandbook[[#This Row],[UDC]],TableAvailabilities[Row Labels],TableAvailabilities[OpenUnis SP 2])&gt;0,"Y",""),"")</f>
        <v/>
      </c>
      <c r="K8" s="134" t="str">
        <f>IFERROR(IF(_xlfn.XLOOKUP(TableHandbook[[#This Row],[UDC]],TableAvailabilities[Row Labels],TableAvailabilities[OpenUnis SP 3])&gt;0,"Y",""),"")</f>
        <v>Y</v>
      </c>
      <c r="L8" s="134" t="str">
        <f>IFERROR(IF(_xlfn.XLOOKUP(TableHandbook[[#This Row],[UDC]],TableAvailabilities[Row Labels],TableAvailabilities[OpenUnis SP 4])&gt;0,"Y",""),"")</f>
        <v/>
      </c>
      <c r="N8" s="133" t="str">
        <f>IFERROR(VLOOKUP(TableHandbook[[#This Row],[UDC]],TableOMARTS[],7,FALSE),"")</f>
        <v/>
      </c>
      <c r="O8" s="133" t="str">
        <f>IFERROR(VLOOKUP(TableHandbook[[#This Row],[UDC]],TableOUMPCWRI4[],7,FALSE),"")</f>
        <v/>
      </c>
      <c r="P8" s="133" t="str">
        <f>IFERROR(VLOOKUP(TableHandbook[[#This Row],[UDC]],TableOUMPDGCM1[],7,FALSE),"")</f>
        <v>AltCore</v>
      </c>
      <c r="Q8" s="133" t="str">
        <f>IFERROR(VLOOKUP(TableHandbook[[#This Row],[UDC]],TableOUMPFINA1[],7,FALSE),"")</f>
        <v/>
      </c>
      <c r="R8" s="133" t="str">
        <f>IFERROR(VLOOKUP(TableHandbook[[#This Row],[UDC]],TableOUMPPWRI4[],7,FALSE),"")</f>
        <v/>
      </c>
      <c r="S8" s="175" t="str">
        <f>IFERROR(VLOOKUP(TableHandbook[[#This Row],[UDC]],TableOGARTS[],7,FALSE),"")</f>
        <v/>
      </c>
      <c r="T8" s="133" t="str">
        <f>IFERROR(VLOOKUP(TableHandbook[[#This Row],[UDC]],TableOUMPCWRI3[],7,FALSE),"")</f>
        <v/>
      </c>
      <c r="U8" s="133" t="str">
        <f>IFERROR(VLOOKUP(TableHandbook[[#This Row],[UDC]],TableOUMPDGCM2[],7,FALSE),"")</f>
        <v/>
      </c>
      <c r="V8" s="133" t="str">
        <f>IFERROR(VLOOKUP(TableHandbook[[#This Row],[UDC]],TableOUMPFINA2[],7,FALSE),"")</f>
        <v/>
      </c>
      <c r="W8" s="133" t="str">
        <f>IFERROR(VLOOKUP(TableHandbook[[#This Row],[UDC]],TableOUMPPWRI3[],7,FALSE),"")</f>
        <v/>
      </c>
      <c r="X8" s="175" t="str">
        <f>IFERROR(VLOOKUP(TableHandbook[[#This Row],[UDC]],TableOCARTS[],7,FALSE),"")</f>
        <v/>
      </c>
      <c r="Y8" s="133" t="str">
        <f>IFERROR(VLOOKUP(TableHandbook[[#This Row],[UDC]],TableOUSPCWRI1[],7,FALSE),"")</f>
        <v/>
      </c>
      <c r="Z8" s="133" t="str">
        <f>IFERROR(VLOOKUP(TableHandbook[[#This Row],[UDC]],TableOUSPDGCM1[],7,FALSE),"")</f>
        <v/>
      </c>
      <c r="AA8" s="133" t="str">
        <f>IFERROR(VLOOKUP(TableHandbook[[#This Row],[UDC]],TableOUSPFINA1[],7,FALSE),"")</f>
        <v/>
      </c>
      <c r="AB8" s="133" t="str">
        <f>IFERROR(VLOOKUP(TableHandbook[[#This Row],[UDC]],TableOUSPPWRI1[],7,FALSE),"")</f>
        <v/>
      </c>
      <c r="AC8" s="175" t="str">
        <f>IFERROR(VLOOKUP(TableHandbook[[#This Row],[UDC]],TableOCHRIGHT[],7,FALSE),"")</f>
        <v/>
      </c>
      <c r="AD8" s="133" t="str">
        <f>IFERROR(VLOOKUP(TableHandbook[[#This Row],[UDC]],TableOGHRIGHT[],7,FALSE),"")</f>
        <v/>
      </c>
      <c r="AE8" s="133" t="str">
        <f>IFERROR(VLOOKUP(TableHandbook[[#This Row],[UDC]],TableOMHRIGHT[],7,FALSE),"")</f>
        <v/>
      </c>
    </row>
    <row r="9" spans="1:32" x14ac:dyDescent="0.25">
      <c r="A9" t="s">
        <v>194</v>
      </c>
      <c r="C9" s="1" t="s">
        <v>244</v>
      </c>
      <c r="D9" t="s">
        <v>243</v>
      </c>
      <c r="E9" s="1">
        <v>25</v>
      </c>
      <c r="F9" s="132" t="s">
        <v>242</v>
      </c>
      <c r="G9" s="134" t="str">
        <f>IFERROR(IF(_xlfn.XLOOKUP(TableHandbook[[#This Row],[UDC]],TableAvailabilities[Row Labels],TableAvailabilities[OpenUnis Session 1])&gt;0,"Y",""),"")</f>
        <v/>
      </c>
      <c r="H9" s="134" t="str">
        <f>IFERROR(IF(_xlfn.XLOOKUP(TableHandbook[[#This Row],[UDC]],TableAvailabilities[Row Labels],TableAvailabilities[OpenUnis Session 2])&gt;0,"Y",""),"")</f>
        <v/>
      </c>
      <c r="I9" s="134" t="str">
        <f>IFERROR(IF(_xlfn.XLOOKUP(TableHandbook[[#This Row],[UDC]],TableAvailabilities[Row Labels],TableAvailabilities[OpenUnis SP 1])&gt;0,"Y",""),"")</f>
        <v/>
      </c>
      <c r="J9" s="134" t="str">
        <f>IFERROR(IF(_xlfn.XLOOKUP(TableHandbook[[#This Row],[UDC]],TableAvailabilities[Row Labels],TableAvailabilities[OpenUnis SP 2])&gt;0,"Y",""),"")</f>
        <v/>
      </c>
      <c r="K9" s="134" t="str">
        <f>IFERROR(IF(_xlfn.XLOOKUP(TableHandbook[[#This Row],[UDC]],TableAvailabilities[Row Labels],TableAvailabilities[OpenUnis SP 3])&gt;0,"Y",""),"")</f>
        <v/>
      </c>
      <c r="L9" s="134" t="str">
        <f>IFERROR(IF(_xlfn.XLOOKUP(TableHandbook[[#This Row],[UDC]],TableAvailabilities[Row Labels],TableAvailabilities[OpenUnis SP 4])&gt;0,"Y",""),"")</f>
        <v/>
      </c>
      <c r="N9" s="133" t="str">
        <f>IFERROR(VLOOKUP(TableHandbook[[#This Row],[UDC]],TableOMARTS[],7,FALSE),"")</f>
        <v/>
      </c>
      <c r="O9" s="133" t="str">
        <f>IFERROR(VLOOKUP(TableHandbook[[#This Row],[UDC]],TableOUMPCWRI4[],7,FALSE),"")</f>
        <v/>
      </c>
      <c r="P9" s="133" t="str">
        <f>IFERROR(VLOOKUP(TableHandbook[[#This Row],[UDC]],TableOUMPDGCM1[],7,FALSE),"")</f>
        <v/>
      </c>
      <c r="Q9" s="133" t="str">
        <f>IFERROR(VLOOKUP(TableHandbook[[#This Row],[UDC]],TableOUMPFINA1[],7,FALSE),"")</f>
        <v/>
      </c>
      <c r="R9" s="133" t="str">
        <f>IFERROR(VLOOKUP(TableHandbook[[#This Row],[UDC]],TableOUMPPWRI4[],7,FALSE),"")</f>
        <v/>
      </c>
      <c r="S9" s="175" t="str">
        <f>IFERROR(VLOOKUP(TableHandbook[[#This Row],[UDC]],TableOGARTS[],7,FALSE),"")</f>
        <v/>
      </c>
      <c r="T9" s="133" t="str">
        <f>IFERROR(VLOOKUP(TableHandbook[[#This Row],[UDC]],TableOUMPCWRI3[],7,FALSE),"")</f>
        <v/>
      </c>
      <c r="U9" s="133" t="str">
        <f>IFERROR(VLOOKUP(TableHandbook[[#This Row],[UDC]],TableOUMPDGCM2[],7,FALSE),"")</f>
        <v/>
      </c>
      <c r="V9" s="133" t="str">
        <f>IFERROR(VLOOKUP(TableHandbook[[#This Row],[UDC]],TableOUMPFINA2[],7,FALSE),"")</f>
        <v/>
      </c>
      <c r="W9" s="133" t="str">
        <f>IFERROR(VLOOKUP(TableHandbook[[#This Row],[UDC]],TableOUMPPWRI3[],7,FALSE),"")</f>
        <v/>
      </c>
      <c r="X9" s="175" t="str">
        <f>IFERROR(VLOOKUP(TableHandbook[[#This Row],[UDC]],TableOCARTS[],7,FALSE),"")</f>
        <v/>
      </c>
      <c r="Y9" s="133" t="str">
        <f>IFERROR(VLOOKUP(TableHandbook[[#This Row],[UDC]],TableOUSPCWRI1[],7,FALSE),"")</f>
        <v/>
      </c>
      <c r="Z9" s="133" t="str">
        <f>IFERROR(VLOOKUP(TableHandbook[[#This Row],[UDC]],TableOUSPDGCM1[],7,FALSE),"")</f>
        <v>AltCore</v>
      </c>
      <c r="AA9" s="133" t="str">
        <f>IFERROR(VLOOKUP(TableHandbook[[#This Row],[UDC]],TableOUSPFINA1[],7,FALSE),"")</f>
        <v/>
      </c>
      <c r="AB9" s="133" t="str">
        <f>IFERROR(VLOOKUP(TableHandbook[[#This Row],[UDC]],TableOUSPPWRI1[],7,FALSE),"")</f>
        <v/>
      </c>
      <c r="AC9" s="175" t="str">
        <f>IFERROR(VLOOKUP(TableHandbook[[#This Row],[UDC]],TableOCHRIGHT[],7,FALSE),"")</f>
        <v/>
      </c>
      <c r="AD9" s="133" t="str">
        <f>IFERROR(VLOOKUP(TableHandbook[[#This Row],[UDC]],TableOGHRIGHT[],7,FALSE),"")</f>
        <v/>
      </c>
      <c r="AE9" s="133" t="str">
        <f>IFERROR(VLOOKUP(TableHandbook[[#This Row],[UDC]],TableOMHRIGHT[],7,FALSE),"")</f>
        <v/>
      </c>
    </row>
    <row r="10" spans="1:32" x14ac:dyDescent="0.25">
      <c r="A10" s="180" t="s">
        <v>522</v>
      </c>
      <c r="C10" s="1" t="s">
        <v>244</v>
      </c>
      <c r="D10" t="s">
        <v>243</v>
      </c>
      <c r="E10" s="1">
        <v>25</v>
      </c>
      <c r="F10" s="132" t="s">
        <v>242</v>
      </c>
      <c r="G10" s="134" t="str">
        <f>IFERROR(IF(_xlfn.XLOOKUP(TableHandbook[[#This Row],[UDC]],TableAvailabilities[Row Labels],TableAvailabilities[OpenUnis Session 1])&gt;0,"Y",""),"")</f>
        <v/>
      </c>
      <c r="H10" s="134" t="str">
        <f>IFERROR(IF(_xlfn.XLOOKUP(TableHandbook[[#This Row],[UDC]],TableAvailabilities[Row Labels],TableAvailabilities[OpenUnis Session 2])&gt;0,"Y",""),"")</f>
        <v/>
      </c>
      <c r="I10" s="134" t="str">
        <f>IFERROR(IF(_xlfn.XLOOKUP(TableHandbook[[#This Row],[UDC]],TableAvailabilities[Row Labels],TableAvailabilities[OpenUnis SP 1])&gt;0,"Y",""),"")</f>
        <v>Y</v>
      </c>
      <c r="J10" s="134" t="str">
        <f>IFERROR(IF(_xlfn.XLOOKUP(TableHandbook[[#This Row],[UDC]],TableAvailabilities[Row Labels],TableAvailabilities[OpenUnis SP 2])&gt;0,"Y",""),"")</f>
        <v>Y</v>
      </c>
      <c r="K10" s="134" t="str">
        <f>IFERROR(IF(_xlfn.XLOOKUP(TableHandbook[[#This Row],[UDC]],TableAvailabilities[Row Labels],TableAvailabilities[OpenUnis SP 3])&gt;0,"Y",""),"")</f>
        <v>Y</v>
      </c>
      <c r="L10" s="134" t="str">
        <f>IFERROR(IF(_xlfn.XLOOKUP(TableHandbook[[#This Row],[UDC]],TableAvailabilities[Row Labels],TableAvailabilities[OpenUnis SP 4])&gt;0,"Y",""),"")</f>
        <v>Y</v>
      </c>
      <c r="N10" s="133" t="str">
        <f>IFERROR(VLOOKUP(TableHandbook[[#This Row],[UDC]],TableOMARTS[],7,FALSE),"")</f>
        <v/>
      </c>
      <c r="O10" s="133" t="str">
        <f>IFERROR(VLOOKUP(TableHandbook[[#This Row],[UDC]],TableOUMPCWRI4[],7,FALSE),"")</f>
        <v/>
      </c>
      <c r="P10" s="133" t="str">
        <f>IFERROR(VLOOKUP(TableHandbook[[#This Row],[UDC]],TableOUMPDGCM1[],7,FALSE),"")</f>
        <v/>
      </c>
      <c r="Q10" s="133" t="str">
        <f>IFERROR(VLOOKUP(TableHandbook[[#This Row],[UDC]],TableOUMPFINA1[],7,FALSE),"")</f>
        <v/>
      </c>
      <c r="R10" s="133" t="str">
        <f>IFERROR(VLOOKUP(TableHandbook[[#This Row],[UDC]],TableOUMPPWRI4[],7,FALSE),"")</f>
        <v/>
      </c>
      <c r="S10" s="175" t="str">
        <f>IFERROR(VLOOKUP(TableHandbook[[#This Row],[UDC]],TableOGARTS[],7,FALSE),"")</f>
        <v/>
      </c>
      <c r="T10" s="133" t="str">
        <f>IFERROR(VLOOKUP(TableHandbook[[#This Row],[UDC]],TableOUMPCWRI3[],7,FALSE),"")</f>
        <v/>
      </c>
      <c r="U10" s="133" t="str">
        <f>IFERROR(VLOOKUP(TableHandbook[[#This Row],[UDC]],TableOUMPDGCM2[],7,FALSE),"")</f>
        <v>AltCore</v>
      </c>
      <c r="V10" s="133" t="str">
        <f>IFERROR(VLOOKUP(TableHandbook[[#This Row],[UDC]],TableOUMPFINA2[],7,FALSE),"")</f>
        <v/>
      </c>
      <c r="W10" s="133" t="str">
        <f>IFERROR(VLOOKUP(TableHandbook[[#This Row],[UDC]],TableOUMPPWRI3[],7,FALSE),"")</f>
        <v/>
      </c>
      <c r="X10" s="175" t="str">
        <f>IFERROR(VLOOKUP(TableHandbook[[#This Row],[UDC]],TableOCARTS[],7,FALSE),"")</f>
        <v/>
      </c>
      <c r="Y10" s="133" t="str">
        <f>IFERROR(VLOOKUP(TableHandbook[[#This Row],[UDC]],TableOUSPCWRI1[],7,FALSE),"")</f>
        <v/>
      </c>
      <c r="Z10" s="133" t="str">
        <f>IFERROR(VLOOKUP(TableHandbook[[#This Row],[UDC]],TableOUSPDGCM1[],7,FALSE),"")</f>
        <v/>
      </c>
      <c r="AA10" s="133" t="str">
        <f>IFERROR(VLOOKUP(TableHandbook[[#This Row],[UDC]],TableOUSPFINA1[],7,FALSE),"")</f>
        <v/>
      </c>
      <c r="AB10" s="133" t="str">
        <f>IFERROR(VLOOKUP(TableHandbook[[#This Row],[UDC]],TableOUSPPWRI1[],7,FALSE),"")</f>
        <v/>
      </c>
      <c r="AC10" s="175" t="str">
        <f>IFERROR(VLOOKUP(TableHandbook[[#This Row],[UDC]],TableOCHRIGHT[],7,FALSE),"")</f>
        <v/>
      </c>
      <c r="AD10" s="133" t="str">
        <f>IFERROR(VLOOKUP(TableHandbook[[#This Row],[UDC]],TableOGHRIGHT[],7,FALSE),"")</f>
        <v/>
      </c>
      <c r="AE10" s="133" t="str">
        <f>IFERROR(VLOOKUP(TableHandbook[[#This Row],[UDC]],TableOMHRIGHT[],7,FALSE),"")</f>
        <v/>
      </c>
    </row>
    <row r="11" spans="1:32" x14ac:dyDescent="0.25">
      <c r="A11" t="s">
        <v>135</v>
      </c>
      <c r="C11" s="1"/>
      <c r="D11" t="s">
        <v>245</v>
      </c>
      <c r="E11" s="1">
        <v>25</v>
      </c>
      <c r="F11" s="132" t="s">
        <v>242</v>
      </c>
      <c r="G11" s="134" t="str">
        <f>IFERROR(IF(_xlfn.XLOOKUP(TableHandbook[[#This Row],[UDC]],TableAvailabilities[Row Labels],TableAvailabilities[OpenUnis Session 1])&gt;0,"Y",""),"")</f>
        <v/>
      </c>
      <c r="H11" s="134" t="str">
        <f>IFERROR(IF(_xlfn.XLOOKUP(TableHandbook[[#This Row],[UDC]],TableAvailabilities[Row Labels],TableAvailabilities[OpenUnis Session 2])&gt;0,"Y",""),"")</f>
        <v/>
      </c>
      <c r="I11" s="134" t="str">
        <f>IFERROR(IF(_xlfn.XLOOKUP(TableHandbook[[#This Row],[UDC]],TableAvailabilities[Row Labels],TableAvailabilities[OpenUnis SP 1])&gt;0,"Y",""),"")</f>
        <v/>
      </c>
      <c r="J11" s="134" t="str">
        <f>IFERROR(IF(_xlfn.XLOOKUP(TableHandbook[[#This Row],[UDC]],TableAvailabilities[Row Labels],TableAvailabilities[OpenUnis SP 2])&gt;0,"Y",""),"")</f>
        <v/>
      </c>
      <c r="K11" s="134" t="str">
        <f>IFERROR(IF(_xlfn.XLOOKUP(TableHandbook[[#This Row],[UDC]],TableAvailabilities[Row Labels],TableAvailabilities[OpenUnis SP 3])&gt;0,"Y",""),"")</f>
        <v/>
      </c>
      <c r="L11" s="134" t="str">
        <f>IFERROR(IF(_xlfn.XLOOKUP(TableHandbook[[#This Row],[UDC]],TableAvailabilities[Row Labels],TableAvailabilities[OpenUnis SP 4])&gt;0,"Y",""),"")</f>
        <v/>
      </c>
      <c r="N11" s="133" t="str">
        <f>IFERROR(VLOOKUP(TableHandbook[[#This Row],[UDC]],TableOMARTS[],7,FALSE),"")</f>
        <v/>
      </c>
      <c r="O11" s="133" t="str">
        <f>IFERROR(VLOOKUP(TableHandbook[[#This Row],[UDC]],TableOUMPCWRI4[],7,FALSE),"")</f>
        <v/>
      </c>
      <c r="P11" s="133" t="str">
        <f>IFERROR(VLOOKUP(TableHandbook[[#This Row],[UDC]],TableOUMPDGCM1[],7,FALSE),"")</f>
        <v/>
      </c>
      <c r="Q11" s="133" t="str">
        <f>IFERROR(VLOOKUP(TableHandbook[[#This Row],[UDC]],TableOUMPFINA1[],7,FALSE),"")</f>
        <v>AltCore</v>
      </c>
      <c r="R11" s="133" t="str">
        <f>IFERROR(VLOOKUP(TableHandbook[[#This Row],[UDC]],TableOUMPPWRI4[],7,FALSE),"")</f>
        <v/>
      </c>
      <c r="S11" s="175" t="str">
        <f>IFERROR(VLOOKUP(TableHandbook[[#This Row],[UDC]],TableOGARTS[],7,FALSE),"")</f>
        <v/>
      </c>
      <c r="T11" s="133" t="str">
        <f>IFERROR(VLOOKUP(TableHandbook[[#This Row],[UDC]],TableOUMPCWRI3[],7,FALSE),"")</f>
        <v/>
      </c>
      <c r="U11" s="133" t="str">
        <f>IFERROR(VLOOKUP(TableHandbook[[#This Row],[UDC]],TableOUMPDGCM2[],7,FALSE),"")</f>
        <v/>
      </c>
      <c r="V11" s="133" t="str">
        <f>IFERROR(VLOOKUP(TableHandbook[[#This Row],[UDC]],TableOUMPFINA2[],7,FALSE),"")</f>
        <v/>
      </c>
      <c r="W11" s="133" t="str">
        <f>IFERROR(VLOOKUP(TableHandbook[[#This Row],[UDC]],TableOUMPPWRI3[],7,FALSE),"")</f>
        <v/>
      </c>
      <c r="X11" s="175" t="str">
        <f>IFERROR(VLOOKUP(TableHandbook[[#This Row],[UDC]],TableOCARTS[],7,FALSE),"")</f>
        <v/>
      </c>
      <c r="Y11" s="133" t="str">
        <f>IFERROR(VLOOKUP(TableHandbook[[#This Row],[UDC]],TableOUSPCWRI1[],7,FALSE),"")</f>
        <v/>
      </c>
      <c r="Z11" s="133" t="str">
        <f>IFERROR(VLOOKUP(TableHandbook[[#This Row],[UDC]],TableOUSPDGCM1[],7,FALSE),"")</f>
        <v/>
      </c>
      <c r="AA11" s="133" t="str">
        <f>IFERROR(VLOOKUP(TableHandbook[[#This Row],[UDC]],TableOUSPFINA1[],7,FALSE),"")</f>
        <v/>
      </c>
      <c r="AB11" s="133" t="str">
        <f>IFERROR(VLOOKUP(TableHandbook[[#This Row],[UDC]],TableOUSPPWRI1[],7,FALSE),"")</f>
        <v/>
      </c>
      <c r="AC11" s="175" t="str">
        <f>IFERROR(VLOOKUP(TableHandbook[[#This Row],[UDC]],TableOCHRIGHT[],7,FALSE),"")</f>
        <v/>
      </c>
      <c r="AD11" s="133" t="str">
        <f>IFERROR(VLOOKUP(TableHandbook[[#This Row],[UDC]],TableOGHRIGHT[],7,FALSE),"")</f>
        <v/>
      </c>
      <c r="AE11" s="133" t="str">
        <f>IFERROR(VLOOKUP(TableHandbook[[#This Row],[UDC]],TableOMHRIGHT[],7,FALSE),"")</f>
        <v/>
      </c>
    </row>
    <row r="12" spans="1:32" x14ac:dyDescent="0.25">
      <c r="A12" t="s">
        <v>143</v>
      </c>
      <c r="C12" s="1"/>
      <c r="D12" t="s">
        <v>241</v>
      </c>
      <c r="E12" s="1">
        <v>50</v>
      </c>
      <c r="F12" s="132" t="s">
        <v>242</v>
      </c>
      <c r="G12" s="134" t="str">
        <f>IFERROR(IF(_xlfn.XLOOKUP(TableHandbook[[#This Row],[UDC]],TableAvailabilities[Row Labels],TableAvailabilities[OpenUnis Session 1])&gt;0,"Y",""),"")</f>
        <v/>
      </c>
      <c r="H12" s="134" t="str">
        <f>IFERROR(IF(_xlfn.XLOOKUP(TableHandbook[[#This Row],[UDC]],TableAvailabilities[Row Labels],TableAvailabilities[OpenUnis Session 2])&gt;0,"Y",""),"")</f>
        <v/>
      </c>
      <c r="I12" s="134" t="str">
        <f>IFERROR(IF(_xlfn.XLOOKUP(TableHandbook[[#This Row],[UDC]],TableAvailabilities[Row Labels],TableAvailabilities[OpenUnis SP 1])&gt;0,"Y",""),"")</f>
        <v>Y</v>
      </c>
      <c r="J12" s="134" t="str">
        <f>IFERROR(IF(_xlfn.XLOOKUP(TableHandbook[[#This Row],[UDC]],TableAvailabilities[Row Labels],TableAvailabilities[OpenUnis SP 2])&gt;0,"Y",""),"")</f>
        <v/>
      </c>
      <c r="K12" s="134" t="str">
        <f>IFERROR(IF(_xlfn.XLOOKUP(TableHandbook[[#This Row],[UDC]],TableAvailabilities[Row Labels],TableAvailabilities[OpenUnis SP 3])&gt;0,"Y",""),"")</f>
        <v>Y</v>
      </c>
      <c r="L12" s="134" t="str">
        <f>IFERROR(IF(_xlfn.XLOOKUP(TableHandbook[[#This Row],[UDC]],TableAvailabilities[Row Labels],TableAvailabilities[OpenUnis SP 4])&gt;0,"Y",""),"")</f>
        <v/>
      </c>
      <c r="N12" s="133" t="str">
        <f>IFERROR(VLOOKUP(TableHandbook[[#This Row],[UDC]],TableOMARTS[],7,FALSE),"")</f>
        <v/>
      </c>
      <c r="O12" s="133" t="str">
        <f>IFERROR(VLOOKUP(TableHandbook[[#This Row],[UDC]],TableOUMPCWRI4[],7,FALSE),"")</f>
        <v/>
      </c>
      <c r="P12" s="133" t="str">
        <f>IFERROR(VLOOKUP(TableHandbook[[#This Row],[UDC]],TableOUMPDGCM1[],7,FALSE),"")</f>
        <v/>
      </c>
      <c r="Q12" s="133" t="str">
        <f>IFERROR(VLOOKUP(TableHandbook[[#This Row],[UDC]],TableOUMPFINA1[],7,FALSE),"")</f>
        <v>AltCore</v>
      </c>
      <c r="R12" s="133" t="str">
        <f>IFERROR(VLOOKUP(TableHandbook[[#This Row],[UDC]],TableOUMPPWRI4[],7,FALSE),"")</f>
        <v/>
      </c>
      <c r="S12" s="175" t="str">
        <f>IFERROR(VLOOKUP(TableHandbook[[#This Row],[UDC]],TableOGARTS[],7,FALSE),"")</f>
        <v/>
      </c>
      <c r="T12" s="133" t="str">
        <f>IFERROR(VLOOKUP(TableHandbook[[#This Row],[UDC]],TableOUMPCWRI3[],7,FALSE),"")</f>
        <v/>
      </c>
      <c r="U12" s="133" t="str">
        <f>IFERROR(VLOOKUP(TableHandbook[[#This Row],[UDC]],TableOUMPDGCM2[],7,FALSE),"")</f>
        <v/>
      </c>
      <c r="V12" s="133" t="str">
        <f>IFERROR(VLOOKUP(TableHandbook[[#This Row],[UDC]],TableOUMPFINA2[],7,FALSE),"")</f>
        <v/>
      </c>
      <c r="W12" s="133" t="str">
        <f>IFERROR(VLOOKUP(TableHandbook[[#This Row],[UDC]],TableOUMPPWRI3[],7,FALSE),"")</f>
        <v/>
      </c>
      <c r="X12" s="175" t="str">
        <f>IFERROR(VLOOKUP(TableHandbook[[#This Row],[UDC]],TableOCARTS[],7,FALSE),"")</f>
        <v/>
      </c>
      <c r="Y12" s="133" t="str">
        <f>IFERROR(VLOOKUP(TableHandbook[[#This Row],[UDC]],TableOUSPCWRI1[],7,FALSE),"")</f>
        <v/>
      </c>
      <c r="Z12" s="133" t="str">
        <f>IFERROR(VLOOKUP(TableHandbook[[#This Row],[UDC]],TableOUSPDGCM1[],7,FALSE),"")</f>
        <v/>
      </c>
      <c r="AA12" s="133" t="str">
        <f>IFERROR(VLOOKUP(TableHandbook[[#This Row],[UDC]],TableOUSPFINA1[],7,FALSE),"")</f>
        <v/>
      </c>
      <c r="AB12" s="133" t="str">
        <f>IFERROR(VLOOKUP(TableHandbook[[#This Row],[UDC]],TableOUSPPWRI1[],7,FALSE),"")</f>
        <v/>
      </c>
      <c r="AC12" s="175" t="str">
        <f>IFERROR(VLOOKUP(TableHandbook[[#This Row],[UDC]],TableOCHRIGHT[],7,FALSE),"")</f>
        <v/>
      </c>
      <c r="AD12" s="133" t="str">
        <f>IFERROR(VLOOKUP(TableHandbook[[#This Row],[UDC]],TableOGHRIGHT[],7,FALSE),"")</f>
        <v/>
      </c>
      <c r="AE12" s="133" t="str">
        <f>IFERROR(VLOOKUP(TableHandbook[[#This Row],[UDC]],TableOMHRIGHT[],7,FALSE),"")</f>
        <v/>
      </c>
    </row>
    <row r="13" spans="1:32" x14ac:dyDescent="0.25">
      <c r="A13" t="s">
        <v>195</v>
      </c>
      <c r="C13" s="1" t="s">
        <v>244</v>
      </c>
      <c r="D13" t="s">
        <v>245</v>
      </c>
      <c r="E13" s="1">
        <v>25</v>
      </c>
      <c r="F13" s="132" t="s">
        <v>242</v>
      </c>
      <c r="G13" s="134" t="str">
        <f>IFERROR(IF(_xlfn.XLOOKUP(TableHandbook[[#This Row],[UDC]],TableAvailabilities[Row Labels],TableAvailabilities[OpenUnis Session 1])&gt;0,"Y",""),"")</f>
        <v/>
      </c>
      <c r="H13" s="134" t="str">
        <f>IFERROR(IF(_xlfn.XLOOKUP(TableHandbook[[#This Row],[UDC]],TableAvailabilities[Row Labels],TableAvailabilities[OpenUnis Session 2])&gt;0,"Y",""),"")</f>
        <v/>
      </c>
      <c r="I13" s="134" t="str">
        <f>IFERROR(IF(_xlfn.XLOOKUP(TableHandbook[[#This Row],[UDC]],TableAvailabilities[Row Labels],TableAvailabilities[OpenUnis SP 1])&gt;0,"Y",""),"")</f>
        <v/>
      </c>
      <c r="J13" s="134" t="str">
        <f>IFERROR(IF(_xlfn.XLOOKUP(TableHandbook[[#This Row],[UDC]],TableAvailabilities[Row Labels],TableAvailabilities[OpenUnis SP 2])&gt;0,"Y",""),"")</f>
        <v/>
      </c>
      <c r="K13" s="134" t="str">
        <f>IFERROR(IF(_xlfn.XLOOKUP(TableHandbook[[#This Row],[UDC]],TableAvailabilities[Row Labels],TableAvailabilities[OpenUnis SP 3])&gt;0,"Y",""),"")</f>
        <v/>
      </c>
      <c r="L13" s="134" t="str">
        <f>IFERROR(IF(_xlfn.XLOOKUP(TableHandbook[[#This Row],[UDC]],TableAvailabilities[Row Labels],TableAvailabilities[OpenUnis SP 4])&gt;0,"Y",""),"")</f>
        <v/>
      </c>
      <c r="N13" s="133" t="str">
        <f>IFERROR(VLOOKUP(TableHandbook[[#This Row],[UDC]],TableOMARTS[],7,FALSE),"")</f>
        <v/>
      </c>
      <c r="O13" s="133" t="str">
        <f>IFERROR(VLOOKUP(TableHandbook[[#This Row],[UDC]],TableOUMPCWRI4[],7,FALSE),"")</f>
        <v/>
      </c>
      <c r="P13" s="133" t="str">
        <f>IFERROR(VLOOKUP(TableHandbook[[#This Row],[UDC]],TableOUMPDGCM1[],7,FALSE),"")</f>
        <v/>
      </c>
      <c r="Q13" s="133" t="str">
        <f>IFERROR(VLOOKUP(TableHandbook[[#This Row],[UDC]],TableOUMPFINA1[],7,FALSE),"")</f>
        <v/>
      </c>
      <c r="R13" s="133" t="str">
        <f>IFERROR(VLOOKUP(TableHandbook[[#This Row],[UDC]],TableOUMPPWRI4[],7,FALSE),"")</f>
        <v/>
      </c>
      <c r="S13" s="175" t="str">
        <f>IFERROR(VLOOKUP(TableHandbook[[#This Row],[UDC]],TableOGARTS[],7,FALSE),"")</f>
        <v/>
      </c>
      <c r="T13" s="133" t="str">
        <f>IFERROR(VLOOKUP(TableHandbook[[#This Row],[UDC]],TableOUMPCWRI3[],7,FALSE),"")</f>
        <v/>
      </c>
      <c r="U13" s="133" t="str">
        <f>IFERROR(VLOOKUP(TableHandbook[[#This Row],[UDC]],TableOUMPDGCM2[],7,FALSE),"")</f>
        <v/>
      </c>
      <c r="V13" s="133" t="str">
        <f>IFERROR(VLOOKUP(TableHandbook[[#This Row],[UDC]],TableOUMPFINA2[],7,FALSE),"")</f>
        <v/>
      </c>
      <c r="W13" s="133" t="str">
        <f>IFERROR(VLOOKUP(TableHandbook[[#This Row],[UDC]],TableOUMPPWRI3[],7,FALSE),"")</f>
        <v/>
      </c>
      <c r="X13" s="175" t="str">
        <f>IFERROR(VLOOKUP(TableHandbook[[#This Row],[UDC]],TableOCARTS[],7,FALSE),"")</f>
        <v/>
      </c>
      <c r="Y13" s="133" t="str">
        <f>IFERROR(VLOOKUP(TableHandbook[[#This Row],[UDC]],TableOUSPCWRI1[],7,FALSE),"")</f>
        <v/>
      </c>
      <c r="Z13" s="133" t="str">
        <f>IFERROR(VLOOKUP(TableHandbook[[#This Row],[UDC]],TableOUSPDGCM1[],7,FALSE),"")</f>
        <v/>
      </c>
      <c r="AA13" s="133" t="str">
        <f>IFERROR(VLOOKUP(TableHandbook[[#This Row],[UDC]],TableOUSPFINA1[],7,FALSE),"")</f>
        <v>AltCore</v>
      </c>
      <c r="AB13" s="133" t="str">
        <f>IFERROR(VLOOKUP(TableHandbook[[#This Row],[UDC]],TableOUSPPWRI1[],7,FALSE),"")</f>
        <v/>
      </c>
      <c r="AC13" s="175" t="str">
        <f>IFERROR(VLOOKUP(TableHandbook[[#This Row],[UDC]],TableOCHRIGHT[],7,FALSE),"")</f>
        <v/>
      </c>
      <c r="AD13" s="133" t="str">
        <f>IFERROR(VLOOKUP(TableHandbook[[#This Row],[UDC]],TableOGHRIGHT[],7,FALSE),"")</f>
        <v/>
      </c>
      <c r="AE13" s="133" t="str">
        <f>IFERROR(VLOOKUP(TableHandbook[[#This Row],[UDC]],TableOMHRIGHT[],7,FALSE),"")</f>
        <v/>
      </c>
    </row>
    <row r="14" spans="1:32" x14ac:dyDescent="0.25">
      <c r="A14" s="180" t="s">
        <v>524</v>
      </c>
      <c r="C14" s="1" t="s">
        <v>244</v>
      </c>
      <c r="D14" t="s">
        <v>245</v>
      </c>
      <c r="E14" s="1">
        <v>25</v>
      </c>
      <c r="F14" s="132" t="s">
        <v>242</v>
      </c>
      <c r="G14" s="134" t="str">
        <f>IFERROR(IF(_xlfn.XLOOKUP(TableHandbook[[#This Row],[UDC]],TableAvailabilities[Row Labels],TableAvailabilities[OpenUnis Session 1])&gt;0,"Y",""),"")</f>
        <v/>
      </c>
      <c r="H14" s="134" t="str">
        <f>IFERROR(IF(_xlfn.XLOOKUP(TableHandbook[[#This Row],[UDC]],TableAvailabilities[Row Labels],TableAvailabilities[OpenUnis Session 2])&gt;0,"Y",""),"")</f>
        <v/>
      </c>
      <c r="I14" s="134" t="str">
        <f>IFERROR(IF(_xlfn.XLOOKUP(TableHandbook[[#This Row],[UDC]],TableAvailabilities[Row Labels],TableAvailabilities[OpenUnis SP 1])&gt;0,"Y",""),"")</f>
        <v/>
      </c>
      <c r="J14" s="134" t="str">
        <f>IFERROR(IF(_xlfn.XLOOKUP(TableHandbook[[#This Row],[UDC]],TableAvailabilities[Row Labels],TableAvailabilities[OpenUnis SP 2])&gt;0,"Y",""),"")</f>
        <v/>
      </c>
      <c r="K14" s="134" t="str">
        <f>IFERROR(IF(_xlfn.XLOOKUP(TableHandbook[[#This Row],[UDC]],TableAvailabilities[Row Labels],TableAvailabilities[OpenUnis SP 3])&gt;0,"Y",""),"")</f>
        <v/>
      </c>
      <c r="L14" s="134" t="str">
        <f>IFERROR(IF(_xlfn.XLOOKUP(TableHandbook[[#This Row],[UDC]],TableAvailabilities[Row Labels],TableAvailabilities[OpenUnis SP 4])&gt;0,"Y",""),"")</f>
        <v/>
      </c>
      <c r="N14" s="133" t="str">
        <f>IFERROR(VLOOKUP(TableHandbook[[#This Row],[UDC]],TableOMARTS[],7,FALSE),"")</f>
        <v/>
      </c>
      <c r="O14" s="133" t="str">
        <f>IFERROR(VLOOKUP(TableHandbook[[#This Row],[UDC]],TableOUMPCWRI4[],7,FALSE),"")</f>
        <v/>
      </c>
      <c r="P14" s="133" t="str">
        <f>IFERROR(VLOOKUP(TableHandbook[[#This Row],[UDC]],TableOUMPDGCM1[],7,FALSE),"")</f>
        <v/>
      </c>
      <c r="Q14" s="133" t="str">
        <f>IFERROR(VLOOKUP(TableHandbook[[#This Row],[UDC]],TableOUMPFINA1[],7,FALSE),"")</f>
        <v/>
      </c>
      <c r="R14" s="133" t="str">
        <f>IFERROR(VLOOKUP(TableHandbook[[#This Row],[UDC]],TableOUMPPWRI4[],7,FALSE),"")</f>
        <v/>
      </c>
      <c r="S14" s="175" t="str">
        <f>IFERROR(VLOOKUP(TableHandbook[[#This Row],[UDC]],TableOGARTS[],7,FALSE),"")</f>
        <v/>
      </c>
      <c r="T14" s="133" t="str">
        <f>IFERROR(VLOOKUP(TableHandbook[[#This Row],[UDC]],TableOUMPCWRI3[],7,FALSE),"")</f>
        <v/>
      </c>
      <c r="U14" s="133" t="str">
        <f>IFERROR(VLOOKUP(TableHandbook[[#This Row],[UDC]],TableOUMPDGCM2[],7,FALSE),"")</f>
        <v/>
      </c>
      <c r="V14" s="133" t="str">
        <f>IFERROR(VLOOKUP(TableHandbook[[#This Row],[UDC]],TableOUMPFINA2[],7,FALSE),"")</f>
        <v>AltCore</v>
      </c>
      <c r="W14" s="133" t="str">
        <f>IFERROR(VLOOKUP(TableHandbook[[#This Row],[UDC]],TableOUMPPWRI3[],7,FALSE),"")</f>
        <v/>
      </c>
      <c r="X14" s="175" t="str">
        <f>IFERROR(VLOOKUP(TableHandbook[[#This Row],[UDC]],TableOCARTS[],7,FALSE),"")</f>
        <v/>
      </c>
      <c r="Y14" s="133" t="str">
        <f>IFERROR(VLOOKUP(TableHandbook[[#This Row],[UDC]],TableOUSPCWRI1[],7,FALSE),"")</f>
        <v/>
      </c>
      <c r="Z14" s="133" t="str">
        <f>IFERROR(VLOOKUP(TableHandbook[[#This Row],[UDC]],TableOUSPDGCM1[],7,FALSE),"")</f>
        <v/>
      </c>
      <c r="AA14" s="133" t="str">
        <f>IFERROR(VLOOKUP(TableHandbook[[#This Row],[UDC]],TableOUSPFINA1[],7,FALSE),"")</f>
        <v/>
      </c>
      <c r="AB14" s="133" t="str">
        <f>IFERROR(VLOOKUP(TableHandbook[[#This Row],[UDC]],TableOUSPPWRI1[],7,FALSE),"")</f>
        <v/>
      </c>
      <c r="AC14" s="175" t="str">
        <f>IFERROR(VLOOKUP(TableHandbook[[#This Row],[UDC]],TableOCHRIGHT[],7,FALSE),"")</f>
        <v/>
      </c>
      <c r="AD14" s="133" t="str">
        <f>IFERROR(VLOOKUP(TableHandbook[[#This Row],[UDC]],TableOGHRIGHT[],7,FALSE),"")</f>
        <v/>
      </c>
      <c r="AE14" s="133" t="str">
        <f>IFERROR(VLOOKUP(TableHandbook[[#This Row],[UDC]],TableOMHRIGHT[],7,FALSE),"")</f>
        <v/>
      </c>
    </row>
    <row r="15" spans="1:32" x14ac:dyDescent="0.25">
      <c r="A15" t="s">
        <v>246</v>
      </c>
      <c r="C15" s="1"/>
      <c r="D15" t="s">
        <v>247</v>
      </c>
      <c r="E15" s="1">
        <v>50</v>
      </c>
      <c r="F15" s="132"/>
      <c r="G15" s="134" t="str">
        <f>IFERROR(IF(_xlfn.XLOOKUP(TableHandbook[[#This Row],[UDC]],TableAvailabilities[Row Labels],TableAvailabilities[OpenUnis Session 1])&gt;0,"Y",""),"")</f>
        <v/>
      </c>
      <c r="H15" s="134" t="str">
        <f>IFERROR(IF(_xlfn.XLOOKUP(TableHandbook[[#This Row],[UDC]],TableAvailabilities[Row Labels],TableAvailabilities[OpenUnis Session 2])&gt;0,"Y",""),"")</f>
        <v/>
      </c>
      <c r="I15" s="134" t="str">
        <f>IFERROR(IF(_xlfn.XLOOKUP(TableHandbook[[#This Row],[UDC]],TableAvailabilities[Row Labels],TableAvailabilities[OpenUnis SP 1])&gt;0,"Y",""),"")</f>
        <v/>
      </c>
      <c r="J15" s="134" t="str">
        <f>IFERROR(IF(_xlfn.XLOOKUP(TableHandbook[[#This Row],[UDC]],TableAvailabilities[Row Labels],TableAvailabilities[OpenUnis SP 2])&gt;0,"Y",""),"")</f>
        <v/>
      </c>
      <c r="K15" s="134" t="str">
        <f>IFERROR(IF(_xlfn.XLOOKUP(TableHandbook[[#This Row],[UDC]],TableAvailabilities[Row Labels],TableAvailabilities[OpenUnis SP 3])&gt;0,"Y",""),"")</f>
        <v/>
      </c>
      <c r="L15" s="134" t="str">
        <f>IFERROR(IF(_xlfn.XLOOKUP(TableHandbook[[#This Row],[UDC]],TableAvailabilities[Row Labels],TableAvailabilities[OpenUnis SP 4])&gt;0,"Y",""),"")</f>
        <v/>
      </c>
      <c r="N15" s="133" t="str">
        <f>IFERROR(VLOOKUP(TableHandbook[[#This Row],[UDC]],TableOMARTS[],7,FALSE),"")</f>
        <v/>
      </c>
      <c r="O15" s="133" t="str">
        <f>IFERROR(VLOOKUP(TableHandbook[[#This Row],[UDC]],TableOUMPCWRI4[],7,FALSE),"")</f>
        <v/>
      </c>
      <c r="P15" s="133" t="str">
        <f>IFERROR(VLOOKUP(TableHandbook[[#This Row],[UDC]],TableOUMPDGCM1[],7,FALSE),"")</f>
        <v/>
      </c>
      <c r="Q15" s="133" t="str">
        <f>IFERROR(VLOOKUP(TableHandbook[[#This Row],[UDC]],TableOUMPFINA1[],7,FALSE),"")</f>
        <v/>
      </c>
      <c r="R15" s="133" t="str">
        <f>IFERROR(VLOOKUP(TableHandbook[[#This Row],[UDC]],TableOUMPPWRI4[],7,FALSE),"")</f>
        <v/>
      </c>
      <c r="S15" s="175" t="str">
        <f>IFERROR(VLOOKUP(TableHandbook[[#This Row],[UDC]],TableOGARTS[],7,FALSE),"")</f>
        <v/>
      </c>
      <c r="T15" s="133" t="str">
        <f>IFERROR(VLOOKUP(TableHandbook[[#This Row],[UDC]],TableOUMPCWRI3[],7,FALSE),"")</f>
        <v/>
      </c>
      <c r="U15" s="133" t="str">
        <f>IFERROR(VLOOKUP(TableHandbook[[#This Row],[UDC]],TableOUMPDGCM2[],7,FALSE),"")</f>
        <v/>
      </c>
      <c r="V15" s="133" t="str">
        <f>IFERROR(VLOOKUP(TableHandbook[[#This Row],[UDC]],TableOUMPFINA2[],7,FALSE),"")</f>
        <v/>
      </c>
      <c r="W15" s="133" t="str">
        <f>IFERROR(VLOOKUP(TableHandbook[[#This Row],[UDC]],TableOUMPPWRI3[],7,FALSE),"")</f>
        <v/>
      </c>
      <c r="X15" s="175" t="str">
        <f>IFERROR(VLOOKUP(TableHandbook[[#This Row],[UDC]],TableOCARTS[],7,FALSE),"")</f>
        <v/>
      </c>
      <c r="Y15" s="133" t="str">
        <f>IFERROR(VLOOKUP(TableHandbook[[#This Row],[UDC]],TableOUSPCWRI1[],7,FALSE),"")</f>
        <v/>
      </c>
      <c r="Z15" s="133" t="str">
        <f>IFERROR(VLOOKUP(TableHandbook[[#This Row],[UDC]],TableOUSPDGCM1[],7,FALSE),"")</f>
        <v/>
      </c>
      <c r="AA15" s="133" t="str">
        <f>IFERROR(VLOOKUP(TableHandbook[[#This Row],[UDC]],TableOUSPFINA1[],7,FALSE),"")</f>
        <v/>
      </c>
      <c r="AB15" s="133" t="str">
        <f>IFERROR(VLOOKUP(TableHandbook[[#This Row],[UDC]],TableOUSPPWRI1[],7,FALSE),"")</f>
        <v/>
      </c>
      <c r="AC15" s="175" t="str">
        <f>IFERROR(VLOOKUP(TableHandbook[[#This Row],[UDC]],TableOCHRIGHT[],7,FALSE),"")</f>
        <v/>
      </c>
      <c r="AD15" s="133" t="str">
        <f>IFERROR(VLOOKUP(TableHandbook[[#This Row],[UDC]],TableOGHRIGHT[],7,FALSE),"")</f>
        <v/>
      </c>
      <c r="AE15" s="133" t="str">
        <f>IFERROR(VLOOKUP(TableHandbook[[#This Row],[UDC]],TableOMHRIGHT[],7,FALSE),"")</f>
        <v>AltCore</v>
      </c>
    </row>
    <row r="16" spans="1:32" x14ac:dyDescent="0.25">
      <c r="A16" t="s">
        <v>248</v>
      </c>
      <c r="C16" s="1"/>
      <c r="D16" t="s">
        <v>249</v>
      </c>
      <c r="E16" s="1">
        <v>50</v>
      </c>
      <c r="F16" s="132"/>
      <c r="G16" s="134" t="str">
        <f>IFERROR(IF(_xlfn.XLOOKUP(TableHandbook[[#This Row],[UDC]],TableAvailabilities[Row Labels],TableAvailabilities[OpenUnis Session 1])&gt;0,"Y",""),"")</f>
        <v/>
      </c>
      <c r="H16" s="134" t="str">
        <f>IFERROR(IF(_xlfn.XLOOKUP(TableHandbook[[#This Row],[UDC]],TableAvailabilities[Row Labels],TableAvailabilities[OpenUnis Session 2])&gt;0,"Y",""),"")</f>
        <v/>
      </c>
      <c r="I16" s="134" t="str">
        <f>IFERROR(IF(_xlfn.XLOOKUP(TableHandbook[[#This Row],[UDC]],TableAvailabilities[Row Labels],TableAvailabilities[OpenUnis SP 1])&gt;0,"Y",""),"")</f>
        <v/>
      </c>
      <c r="J16" s="134" t="str">
        <f>IFERROR(IF(_xlfn.XLOOKUP(TableHandbook[[#This Row],[UDC]],TableAvailabilities[Row Labels],TableAvailabilities[OpenUnis SP 2])&gt;0,"Y",""),"")</f>
        <v/>
      </c>
      <c r="K16" s="134" t="str">
        <f>IFERROR(IF(_xlfn.XLOOKUP(TableHandbook[[#This Row],[UDC]],TableAvailabilities[Row Labels],TableAvailabilities[OpenUnis SP 3])&gt;0,"Y",""),"")</f>
        <v/>
      </c>
      <c r="L16" s="134" t="str">
        <f>IFERROR(IF(_xlfn.XLOOKUP(TableHandbook[[#This Row],[UDC]],TableAvailabilities[Row Labels],TableAvailabilities[OpenUnis SP 4])&gt;0,"Y",""),"")</f>
        <v/>
      </c>
      <c r="N16" s="133" t="str">
        <f>IFERROR(VLOOKUP(TableHandbook[[#This Row],[UDC]],TableOMARTS[],7,FALSE),"")</f>
        <v/>
      </c>
      <c r="O16" s="133" t="str">
        <f>IFERROR(VLOOKUP(TableHandbook[[#This Row],[UDC]],TableOUMPCWRI4[],7,FALSE),"")</f>
        <v/>
      </c>
      <c r="P16" s="133" t="str">
        <f>IFERROR(VLOOKUP(TableHandbook[[#This Row],[UDC]],TableOUMPDGCM1[],7,FALSE),"")</f>
        <v/>
      </c>
      <c r="Q16" s="133" t="str">
        <f>IFERROR(VLOOKUP(TableHandbook[[#This Row],[UDC]],TableOUMPFINA1[],7,FALSE),"")</f>
        <v/>
      </c>
      <c r="R16" s="133" t="str">
        <f>IFERROR(VLOOKUP(TableHandbook[[#This Row],[UDC]],TableOUMPPWRI4[],7,FALSE),"")</f>
        <v/>
      </c>
      <c r="S16" s="175" t="str">
        <f>IFERROR(VLOOKUP(TableHandbook[[#This Row],[UDC]],TableOGARTS[],7,FALSE),"")</f>
        <v/>
      </c>
      <c r="T16" s="133" t="str">
        <f>IFERROR(VLOOKUP(TableHandbook[[#This Row],[UDC]],TableOUMPCWRI3[],7,FALSE),"")</f>
        <v/>
      </c>
      <c r="U16" s="133" t="str">
        <f>IFERROR(VLOOKUP(TableHandbook[[#This Row],[UDC]],TableOUMPDGCM2[],7,FALSE),"")</f>
        <v/>
      </c>
      <c r="V16" s="133" t="str">
        <f>IFERROR(VLOOKUP(TableHandbook[[#This Row],[UDC]],TableOUMPFINA2[],7,FALSE),"")</f>
        <v/>
      </c>
      <c r="W16" s="133" t="str">
        <f>IFERROR(VLOOKUP(TableHandbook[[#This Row],[UDC]],TableOUMPPWRI3[],7,FALSE),"")</f>
        <v/>
      </c>
      <c r="X16" s="175" t="str">
        <f>IFERROR(VLOOKUP(TableHandbook[[#This Row],[UDC]],TableOCARTS[],7,FALSE),"")</f>
        <v/>
      </c>
      <c r="Y16" s="133" t="str">
        <f>IFERROR(VLOOKUP(TableHandbook[[#This Row],[UDC]],TableOUSPCWRI1[],7,FALSE),"")</f>
        <v/>
      </c>
      <c r="Z16" s="133" t="str">
        <f>IFERROR(VLOOKUP(TableHandbook[[#This Row],[UDC]],TableOUSPDGCM1[],7,FALSE),"")</f>
        <v/>
      </c>
      <c r="AA16" s="133" t="str">
        <f>IFERROR(VLOOKUP(TableHandbook[[#This Row],[UDC]],TableOUSPFINA1[],7,FALSE),"")</f>
        <v/>
      </c>
      <c r="AB16" s="133" t="str">
        <f>IFERROR(VLOOKUP(TableHandbook[[#This Row],[UDC]],TableOUSPPWRI1[],7,FALSE),"")</f>
        <v/>
      </c>
      <c r="AC16" s="175" t="str">
        <f>IFERROR(VLOOKUP(TableHandbook[[#This Row],[UDC]],TableOCHRIGHT[],7,FALSE),"")</f>
        <v/>
      </c>
      <c r="AD16" s="133" t="str">
        <f>IFERROR(VLOOKUP(TableHandbook[[#This Row],[UDC]],TableOGHRIGHT[],7,FALSE),"")</f>
        <v/>
      </c>
      <c r="AE16" s="133" t="str">
        <f>IFERROR(VLOOKUP(TableHandbook[[#This Row],[UDC]],TableOMHRIGHT[],7,FALSE),"")</f>
        <v>AltCore</v>
      </c>
    </row>
    <row r="17" spans="1:31" x14ac:dyDescent="0.25">
      <c r="A17" t="s">
        <v>136</v>
      </c>
      <c r="C17" s="1"/>
      <c r="D17" t="s">
        <v>241</v>
      </c>
      <c r="E17" s="1">
        <v>50</v>
      </c>
      <c r="F17" s="132" t="s">
        <v>242</v>
      </c>
      <c r="G17" s="134" t="str">
        <f>IFERROR(IF(_xlfn.XLOOKUP(TableHandbook[[#This Row],[UDC]],TableAvailabilities[Row Labels],TableAvailabilities[OpenUnis Session 1])&gt;0,"Y",""),"")</f>
        <v/>
      </c>
      <c r="H17" s="134" t="str">
        <f>IFERROR(IF(_xlfn.XLOOKUP(TableHandbook[[#This Row],[UDC]],TableAvailabilities[Row Labels],TableAvailabilities[OpenUnis Session 2])&gt;0,"Y",""),"")</f>
        <v/>
      </c>
      <c r="I17" s="134" t="str">
        <f>IFERROR(IF(_xlfn.XLOOKUP(TableHandbook[[#This Row],[UDC]],TableAvailabilities[Row Labels],TableAvailabilities[OpenUnis SP 1])&gt;0,"Y",""),"")</f>
        <v>Y</v>
      </c>
      <c r="J17" s="134" t="str">
        <f>IFERROR(IF(_xlfn.XLOOKUP(TableHandbook[[#This Row],[UDC]],TableAvailabilities[Row Labels],TableAvailabilities[OpenUnis SP 2])&gt;0,"Y",""),"")</f>
        <v/>
      </c>
      <c r="K17" s="134" t="str">
        <f>IFERROR(IF(_xlfn.XLOOKUP(TableHandbook[[#This Row],[UDC]],TableAvailabilities[Row Labels],TableAvailabilities[OpenUnis SP 3])&gt;0,"Y",""),"")</f>
        <v>Y</v>
      </c>
      <c r="L17" s="134" t="str">
        <f>IFERROR(IF(_xlfn.XLOOKUP(TableHandbook[[#This Row],[UDC]],TableAvailabilities[Row Labels],TableAvailabilities[OpenUnis SP 4])&gt;0,"Y",""),"")</f>
        <v/>
      </c>
      <c r="N17" s="133" t="str">
        <f>IFERROR(VLOOKUP(TableHandbook[[#This Row],[UDC]],TableOMARTS[],7,FALSE),"")</f>
        <v/>
      </c>
      <c r="O17" s="133" t="str">
        <f>IFERROR(VLOOKUP(TableHandbook[[#This Row],[UDC]],TableOUMPCWRI4[],7,FALSE),"")</f>
        <v/>
      </c>
      <c r="P17" s="133" t="str">
        <f>IFERROR(VLOOKUP(TableHandbook[[#This Row],[UDC]],TableOUMPDGCM1[],7,FALSE),"")</f>
        <v/>
      </c>
      <c r="Q17" s="133" t="str">
        <f>IFERROR(VLOOKUP(TableHandbook[[#This Row],[UDC]],TableOUMPFINA1[],7,FALSE),"")</f>
        <v/>
      </c>
      <c r="R17" s="133" t="str">
        <f>IFERROR(VLOOKUP(TableHandbook[[#This Row],[UDC]],TableOUMPPWRI4[],7,FALSE),"")</f>
        <v>AltCore</v>
      </c>
      <c r="S17" s="175" t="str">
        <f>IFERROR(VLOOKUP(TableHandbook[[#This Row],[UDC]],TableOGARTS[],7,FALSE),"")</f>
        <v/>
      </c>
      <c r="T17" s="133" t="str">
        <f>IFERROR(VLOOKUP(TableHandbook[[#This Row],[UDC]],TableOUMPCWRI3[],7,FALSE),"")</f>
        <v/>
      </c>
      <c r="U17" s="133" t="str">
        <f>IFERROR(VLOOKUP(TableHandbook[[#This Row],[UDC]],TableOUMPDGCM2[],7,FALSE),"")</f>
        <v/>
      </c>
      <c r="V17" s="133" t="str">
        <f>IFERROR(VLOOKUP(TableHandbook[[#This Row],[UDC]],TableOUMPFINA2[],7,FALSE),"")</f>
        <v/>
      </c>
      <c r="W17" s="133" t="str">
        <f>IFERROR(VLOOKUP(TableHandbook[[#This Row],[UDC]],TableOUMPPWRI3[],7,FALSE),"")</f>
        <v/>
      </c>
      <c r="X17" s="175" t="str">
        <f>IFERROR(VLOOKUP(TableHandbook[[#This Row],[UDC]],TableOCARTS[],7,FALSE),"")</f>
        <v/>
      </c>
      <c r="Y17" s="133" t="str">
        <f>IFERROR(VLOOKUP(TableHandbook[[#This Row],[UDC]],TableOUSPCWRI1[],7,FALSE),"")</f>
        <v/>
      </c>
      <c r="Z17" s="133" t="str">
        <f>IFERROR(VLOOKUP(TableHandbook[[#This Row],[UDC]],TableOUSPDGCM1[],7,FALSE),"")</f>
        <v/>
      </c>
      <c r="AA17" s="133" t="str">
        <f>IFERROR(VLOOKUP(TableHandbook[[#This Row],[UDC]],TableOUSPFINA1[],7,FALSE),"")</f>
        <v/>
      </c>
      <c r="AB17" s="133" t="str">
        <f>IFERROR(VLOOKUP(TableHandbook[[#This Row],[UDC]],TableOUSPPWRI1[],7,FALSE),"")</f>
        <v/>
      </c>
      <c r="AC17" s="175" t="str">
        <f>IFERROR(VLOOKUP(TableHandbook[[#This Row],[UDC]],TableOCHRIGHT[],7,FALSE),"")</f>
        <v/>
      </c>
      <c r="AD17" s="133" t="str">
        <f>IFERROR(VLOOKUP(TableHandbook[[#This Row],[UDC]],TableOGHRIGHT[],7,FALSE),"")</f>
        <v/>
      </c>
      <c r="AE17" s="133" t="str">
        <f>IFERROR(VLOOKUP(TableHandbook[[#This Row],[UDC]],TableOMHRIGHT[],7,FALSE),"")</f>
        <v/>
      </c>
    </row>
    <row r="18" spans="1:31" x14ac:dyDescent="0.25">
      <c r="A18" t="s">
        <v>250</v>
      </c>
      <c r="C18" s="1"/>
      <c r="D18" t="s">
        <v>251</v>
      </c>
      <c r="E18" s="1">
        <v>400</v>
      </c>
      <c r="F18" s="132"/>
      <c r="G18" s="134" t="str">
        <f>IFERROR(IF(_xlfn.XLOOKUP(TableHandbook[[#This Row],[UDC]],TableAvailabilities[Row Labels],TableAvailabilities[OpenUnis Session 1])&gt;0,"Y",""),"")</f>
        <v/>
      </c>
      <c r="H18" s="134" t="str">
        <f>IFERROR(IF(_xlfn.XLOOKUP(TableHandbook[[#This Row],[UDC]],TableAvailabilities[Row Labels],TableAvailabilities[OpenUnis Session 2])&gt;0,"Y",""),"")</f>
        <v/>
      </c>
      <c r="I18" s="134" t="str">
        <f>IFERROR(IF(_xlfn.XLOOKUP(TableHandbook[[#This Row],[UDC]],TableAvailabilities[Row Labels],TableAvailabilities[OpenUnis SP 1])&gt;0,"Y",""),"")</f>
        <v/>
      </c>
      <c r="J18" s="134" t="str">
        <f>IFERROR(IF(_xlfn.XLOOKUP(TableHandbook[[#This Row],[UDC]],TableAvailabilities[Row Labels],TableAvailabilities[OpenUnis SP 2])&gt;0,"Y",""),"")</f>
        <v/>
      </c>
      <c r="K18" s="134" t="str">
        <f>IFERROR(IF(_xlfn.XLOOKUP(TableHandbook[[#This Row],[UDC]],TableAvailabilities[Row Labels],TableAvailabilities[OpenUnis SP 3])&gt;0,"Y",""),"")</f>
        <v/>
      </c>
      <c r="L18" s="134" t="str">
        <f>IFERROR(IF(_xlfn.XLOOKUP(TableHandbook[[#This Row],[UDC]],TableAvailabilities[Row Labels],TableAvailabilities[OpenUnis SP 4])&gt;0,"Y",""),"")</f>
        <v/>
      </c>
      <c r="N18" s="133" t="str">
        <f>IFERROR(VLOOKUP(TableHandbook[[#This Row],[UDC]],TableOMARTS[],7,FALSE),"")</f>
        <v>Option</v>
      </c>
      <c r="O18" s="133" t="str">
        <f>IFERROR(VLOOKUP(TableHandbook[[#This Row],[UDC]],TableOUMPCWRI4[],7,FALSE),"")</f>
        <v/>
      </c>
      <c r="P18" s="133" t="str">
        <f>IFERROR(VLOOKUP(TableHandbook[[#This Row],[UDC]],TableOUMPDGCM1[],7,FALSE),"")</f>
        <v/>
      </c>
      <c r="Q18" s="133" t="str">
        <f>IFERROR(VLOOKUP(TableHandbook[[#This Row],[UDC]],TableOUMPFINA1[],7,FALSE),"")</f>
        <v/>
      </c>
      <c r="R18" s="133" t="str">
        <f>IFERROR(VLOOKUP(TableHandbook[[#This Row],[UDC]],TableOUMPPWRI4[],7,FALSE),"")</f>
        <v/>
      </c>
      <c r="S18" s="175" t="str">
        <f>IFERROR(VLOOKUP(TableHandbook[[#This Row],[UDC]],TableOGARTS[],7,FALSE),"")</f>
        <v/>
      </c>
      <c r="T18" s="133" t="str">
        <f>IFERROR(VLOOKUP(TableHandbook[[#This Row],[UDC]],TableOUMPCWRI3[],7,FALSE),"")</f>
        <v/>
      </c>
      <c r="U18" s="133" t="str">
        <f>IFERROR(VLOOKUP(TableHandbook[[#This Row],[UDC]],TableOUMPDGCM2[],7,FALSE),"")</f>
        <v/>
      </c>
      <c r="V18" s="133" t="str">
        <f>IFERROR(VLOOKUP(TableHandbook[[#This Row],[UDC]],TableOUMPFINA2[],7,FALSE),"")</f>
        <v/>
      </c>
      <c r="W18" s="133" t="str">
        <f>IFERROR(VLOOKUP(TableHandbook[[#This Row],[UDC]],TableOUMPPWRI3[],7,FALSE),"")</f>
        <v/>
      </c>
      <c r="X18" s="175" t="str">
        <f>IFERROR(VLOOKUP(TableHandbook[[#This Row],[UDC]],TableOCARTS[],7,FALSE),"")</f>
        <v/>
      </c>
      <c r="Y18" s="133" t="str">
        <f>IFERROR(VLOOKUP(TableHandbook[[#This Row],[UDC]],TableOUSPCWRI1[],7,FALSE),"")</f>
        <v/>
      </c>
      <c r="Z18" s="133" t="str">
        <f>IFERROR(VLOOKUP(TableHandbook[[#This Row],[UDC]],TableOUSPDGCM1[],7,FALSE),"")</f>
        <v/>
      </c>
      <c r="AA18" s="133" t="str">
        <f>IFERROR(VLOOKUP(TableHandbook[[#This Row],[UDC]],TableOUSPFINA1[],7,FALSE),"")</f>
        <v/>
      </c>
      <c r="AB18" s="133" t="str">
        <f>IFERROR(VLOOKUP(TableHandbook[[#This Row],[UDC]],TableOUSPPWRI1[],7,FALSE),"")</f>
        <v/>
      </c>
      <c r="AC18" s="175" t="str">
        <f>IFERROR(VLOOKUP(TableHandbook[[#This Row],[UDC]],TableOCHRIGHT[],7,FALSE),"")</f>
        <v/>
      </c>
      <c r="AD18" s="133" t="str">
        <f>IFERROR(VLOOKUP(TableHandbook[[#This Row],[UDC]],TableOGHRIGHT[],7,FALSE),"")</f>
        <v/>
      </c>
      <c r="AE18" s="133" t="str">
        <f>IFERROR(VLOOKUP(TableHandbook[[#This Row],[UDC]],TableOMHRIGHT[],7,FALSE),"")</f>
        <v/>
      </c>
    </row>
    <row r="19" spans="1:31" x14ac:dyDescent="0.25">
      <c r="A19" t="s">
        <v>199</v>
      </c>
      <c r="B19" s="1">
        <v>1</v>
      </c>
      <c r="C19" s="1" t="s">
        <v>252</v>
      </c>
      <c r="D19" t="s">
        <v>253</v>
      </c>
      <c r="E19" s="1">
        <v>25</v>
      </c>
      <c r="F19" s="132" t="s">
        <v>254</v>
      </c>
      <c r="G19" s="134" t="str">
        <f>IFERROR(IF(_xlfn.XLOOKUP(TableHandbook[[#This Row],[UDC]],TableAvailabilities[Row Labels],TableAvailabilities[OpenUnis Session 1])&gt;0,"Y",""),"")</f>
        <v/>
      </c>
      <c r="H19" s="134" t="str">
        <f>IFERROR(IF(_xlfn.XLOOKUP(TableHandbook[[#This Row],[UDC]],TableAvailabilities[Row Labels],TableAvailabilities[OpenUnis Session 2])&gt;0,"Y",""),"")</f>
        <v/>
      </c>
      <c r="I19" s="134" t="str">
        <f>IFERROR(IF(_xlfn.XLOOKUP(TableHandbook[[#This Row],[UDC]],TableAvailabilities[Row Labels],TableAvailabilities[OpenUnis SP 1])&gt;0,"Y",""),"")</f>
        <v/>
      </c>
      <c r="J19" s="134" t="str">
        <f>IFERROR(IF(_xlfn.XLOOKUP(TableHandbook[[#This Row],[UDC]],TableAvailabilities[Row Labels],TableAvailabilities[OpenUnis SP 2])&gt;0,"Y",""),"")</f>
        <v>Y</v>
      </c>
      <c r="K19" s="134" t="str">
        <f>IFERROR(IF(_xlfn.XLOOKUP(TableHandbook[[#This Row],[UDC]],TableAvailabilities[Row Labels],TableAvailabilities[OpenUnis SP 3])&gt;0,"Y",""),"")</f>
        <v/>
      </c>
      <c r="L19" s="134" t="str">
        <f>IFERROR(IF(_xlfn.XLOOKUP(TableHandbook[[#This Row],[UDC]],TableAvailabilities[Row Labels],TableAvailabilities[OpenUnis SP 4])&gt;0,"Y",""),"")</f>
        <v>Y</v>
      </c>
      <c r="N19" s="133" t="str">
        <f>IFERROR(VLOOKUP(TableHandbook[[#This Row],[UDC]],TableOMARTS[],7,FALSE),"")</f>
        <v/>
      </c>
      <c r="O19" s="133" t="str">
        <f>IFERROR(VLOOKUP(TableHandbook[[#This Row],[UDC]],TableOUMPCWRI4[],7,FALSE),"")</f>
        <v>Core</v>
      </c>
      <c r="P19" s="133" t="str">
        <f>IFERROR(VLOOKUP(TableHandbook[[#This Row],[UDC]],TableOUMPDGCM1[],7,FALSE),"")</f>
        <v>Core</v>
      </c>
      <c r="Q19" s="133" t="str">
        <f>IFERROR(VLOOKUP(TableHandbook[[#This Row],[UDC]],TableOUMPFINA1[],7,FALSE),"")</f>
        <v>Core</v>
      </c>
      <c r="R19" s="133" t="str">
        <f>IFERROR(VLOOKUP(TableHandbook[[#This Row],[UDC]],TableOUMPPWRI4[],7,FALSE),"")</f>
        <v>Core</v>
      </c>
      <c r="S19" s="175" t="str">
        <f>IFERROR(VLOOKUP(TableHandbook[[#This Row],[UDC]],TableOGARTS[],7,FALSE),"")</f>
        <v/>
      </c>
      <c r="T19" s="133" t="str">
        <f>IFERROR(VLOOKUP(TableHandbook[[#This Row],[UDC]],TableOUMPCWRI3[],7,FALSE),"")</f>
        <v>Core</v>
      </c>
      <c r="U19" s="133" t="str">
        <f>IFERROR(VLOOKUP(TableHandbook[[#This Row],[UDC]],TableOUMPDGCM2[],7,FALSE),"")</f>
        <v>Core</v>
      </c>
      <c r="V19" s="133" t="str">
        <f>IFERROR(VLOOKUP(TableHandbook[[#This Row],[UDC]],TableOUMPFINA2[],7,FALSE),"")</f>
        <v>Core</v>
      </c>
      <c r="W19" s="133" t="str">
        <f>IFERROR(VLOOKUP(TableHandbook[[#This Row],[UDC]],TableOUMPPWRI3[],7,FALSE),"")</f>
        <v>Core</v>
      </c>
      <c r="X19" s="175" t="str">
        <f>IFERROR(VLOOKUP(TableHandbook[[#This Row],[UDC]],TableOCARTS[],7,FALSE),"")</f>
        <v/>
      </c>
      <c r="Y19" s="133" t="str">
        <f>IFERROR(VLOOKUP(TableHandbook[[#This Row],[UDC]],TableOUSPCWRI1[],7,FALSE),"")</f>
        <v>Core</v>
      </c>
      <c r="Z19" s="133" t="str">
        <f>IFERROR(VLOOKUP(TableHandbook[[#This Row],[UDC]],TableOUSPDGCM1[],7,FALSE),"")</f>
        <v>Core</v>
      </c>
      <c r="AA19" s="133" t="str">
        <f>IFERROR(VLOOKUP(TableHandbook[[#This Row],[UDC]],TableOUSPFINA1[],7,FALSE),"")</f>
        <v>Core</v>
      </c>
      <c r="AB19" s="133" t="str">
        <f>IFERROR(VLOOKUP(TableHandbook[[#This Row],[UDC]],TableOUSPPWRI1[],7,FALSE),"")</f>
        <v>Core</v>
      </c>
      <c r="AC19" s="175" t="str">
        <f>IFERROR(VLOOKUP(TableHandbook[[#This Row],[UDC]],TableOCHRIGHT[],7,FALSE),"")</f>
        <v/>
      </c>
      <c r="AD19" s="133" t="str">
        <f>IFERROR(VLOOKUP(TableHandbook[[#This Row],[UDC]],TableOGHRIGHT[],7,FALSE),"")</f>
        <v/>
      </c>
      <c r="AE19" s="133" t="str">
        <f>IFERROR(VLOOKUP(TableHandbook[[#This Row],[UDC]],TableOMHRIGHT[],7,FALSE),"")</f>
        <v/>
      </c>
    </row>
    <row r="20" spans="1:31" x14ac:dyDescent="0.25">
      <c r="A20" t="s">
        <v>150</v>
      </c>
      <c r="B20" s="1">
        <v>2</v>
      </c>
      <c r="C20" s="1" t="s">
        <v>255</v>
      </c>
      <c r="D20" t="s">
        <v>256</v>
      </c>
      <c r="E20" s="1">
        <v>50</v>
      </c>
      <c r="F20" s="214" t="s">
        <v>541</v>
      </c>
      <c r="G20" s="134" t="str">
        <f>IFERROR(IF(_xlfn.XLOOKUP(TableHandbook[[#This Row],[UDC]],TableAvailabilities[Row Labels],TableAvailabilities[OpenUnis Session 1])&gt;0,"Y",""),"")</f>
        <v/>
      </c>
      <c r="H20" s="134" t="str">
        <f>IFERROR(IF(_xlfn.XLOOKUP(TableHandbook[[#This Row],[UDC]],TableAvailabilities[Row Labels],TableAvailabilities[OpenUnis Session 2])&gt;0,"Y",""),"")</f>
        <v/>
      </c>
      <c r="I20" s="134" t="str">
        <f>IFERROR(IF(_xlfn.XLOOKUP(TableHandbook[[#This Row],[UDC]],TableAvailabilities[Row Labels],TableAvailabilities[OpenUnis SP 1])&gt;0,"Y",""),"")</f>
        <v>Y</v>
      </c>
      <c r="J20" s="134" t="str">
        <f>IFERROR(IF(_xlfn.XLOOKUP(TableHandbook[[#This Row],[UDC]],TableAvailabilities[Row Labels],TableAvailabilities[OpenUnis SP 2])&gt;0,"Y",""),"")</f>
        <v/>
      </c>
      <c r="K20" s="134" t="str">
        <f>IFERROR(IF(_xlfn.XLOOKUP(TableHandbook[[#This Row],[UDC]],TableAvailabilities[Row Labels],TableAvailabilities[OpenUnis SP 3])&gt;0,"Y",""),"")</f>
        <v>Y</v>
      </c>
      <c r="L20" s="134" t="str">
        <f>IFERROR(IF(_xlfn.XLOOKUP(TableHandbook[[#This Row],[UDC]],TableAvailabilities[Row Labels],TableAvailabilities[OpenUnis SP 4])&gt;0,"Y",""),"")</f>
        <v/>
      </c>
      <c r="N20" s="133" t="str">
        <f>IFERROR(VLOOKUP(TableHandbook[[#This Row],[UDC]],TableOMARTS[],7,FALSE),"")</f>
        <v/>
      </c>
      <c r="O20" s="133" t="str">
        <f>IFERROR(VLOOKUP(TableHandbook[[#This Row],[UDC]],TableOUMPCWRI4[],7,FALSE),"")</f>
        <v>Option</v>
      </c>
      <c r="P20" s="133" t="str">
        <f>IFERROR(VLOOKUP(TableHandbook[[#This Row],[UDC]],TableOUMPDGCM1[],7,FALSE),"")</f>
        <v>Option</v>
      </c>
      <c r="Q20" s="133" t="str">
        <f>IFERROR(VLOOKUP(TableHandbook[[#This Row],[UDC]],TableOUMPFINA1[],7,FALSE),"")</f>
        <v>Option</v>
      </c>
      <c r="R20" s="133" t="str">
        <f>IFERROR(VLOOKUP(TableHandbook[[#This Row],[UDC]],TableOUMPPWRI4[],7,FALSE),"")</f>
        <v>Option</v>
      </c>
      <c r="S20" s="175" t="str">
        <f>IFERROR(VLOOKUP(TableHandbook[[#This Row],[UDC]],TableOGARTS[],7,FALSE),"")</f>
        <v/>
      </c>
      <c r="T20" s="133" t="str">
        <f>IFERROR(VLOOKUP(TableHandbook[[#This Row],[UDC]],TableOUMPCWRI3[],7,FALSE),"")</f>
        <v/>
      </c>
      <c r="U20" s="133" t="str">
        <f>IFERROR(VLOOKUP(TableHandbook[[#This Row],[UDC]],TableOUMPDGCM2[],7,FALSE),"")</f>
        <v/>
      </c>
      <c r="V20" s="133" t="str">
        <f>IFERROR(VLOOKUP(TableHandbook[[#This Row],[UDC]],TableOUMPFINA2[],7,FALSE),"")</f>
        <v/>
      </c>
      <c r="W20" s="133" t="str">
        <f>IFERROR(VLOOKUP(TableHandbook[[#This Row],[UDC]],TableOUMPPWRI3[],7,FALSE),"")</f>
        <v/>
      </c>
      <c r="X20" s="175" t="str">
        <f>IFERROR(VLOOKUP(TableHandbook[[#This Row],[UDC]],TableOCARTS[],7,FALSE),"")</f>
        <v/>
      </c>
      <c r="Y20" s="133" t="str">
        <f>IFERROR(VLOOKUP(TableHandbook[[#This Row],[UDC]],TableOUSPCWRI1[],7,FALSE),"")</f>
        <v/>
      </c>
      <c r="Z20" s="133" t="str">
        <f>IFERROR(VLOOKUP(TableHandbook[[#This Row],[UDC]],TableOUSPDGCM1[],7,FALSE),"")</f>
        <v/>
      </c>
      <c r="AA20" s="133" t="str">
        <f>IFERROR(VLOOKUP(TableHandbook[[#This Row],[UDC]],TableOUSPFINA1[],7,FALSE),"")</f>
        <v/>
      </c>
      <c r="AB20" s="133" t="str">
        <f>IFERROR(VLOOKUP(TableHandbook[[#This Row],[UDC]],TableOUSPPWRI1[],7,FALSE),"")</f>
        <v/>
      </c>
      <c r="AC20" s="175" t="str">
        <f>IFERROR(VLOOKUP(TableHandbook[[#This Row],[UDC]],TableOCHRIGHT[],7,FALSE),"")</f>
        <v/>
      </c>
      <c r="AD20" s="133" t="str">
        <f>IFERROR(VLOOKUP(TableHandbook[[#This Row],[UDC]],TableOGHRIGHT[],7,FALSE),"")</f>
        <v/>
      </c>
      <c r="AE20" s="133" t="str">
        <f>IFERROR(VLOOKUP(TableHandbook[[#This Row],[UDC]],TableOMHRIGHT[],7,FALSE),"")</f>
        <v>AltCore</v>
      </c>
    </row>
    <row r="21" spans="1:31" x14ac:dyDescent="0.25">
      <c r="A21" t="s">
        <v>123</v>
      </c>
      <c r="B21" s="1">
        <v>1</v>
      </c>
      <c r="C21" s="1" t="s">
        <v>257</v>
      </c>
      <c r="D21" t="s">
        <v>258</v>
      </c>
      <c r="E21" s="1">
        <v>50</v>
      </c>
      <c r="F21" s="214" t="s">
        <v>541</v>
      </c>
      <c r="G21" s="134" t="str">
        <f>IFERROR(IF(_xlfn.XLOOKUP(TableHandbook[[#This Row],[UDC]],TableAvailabilities[Row Labels],TableAvailabilities[OpenUnis Session 1])&gt;0,"Y",""),"")</f>
        <v/>
      </c>
      <c r="H21" s="134" t="str">
        <f>IFERROR(IF(_xlfn.XLOOKUP(TableHandbook[[#This Row],[UDC]],TableAvailabilities[Row Labels],TableAvailabilities[OpenUnis Session 2])&gt;0,"Y",""),"")</f>
        <v/>
      </c>
      <c r="I21" s="134" t="str">
        <f>IFERROR(IF(_xlfn.XLOOKUP(TableHandbook[[#This Row],[UDC]],TableAvailabilities[Row Labels],TableAvailabilities[OpenUnis SP 1])&gt;0,"Y",""),"")</f>
        <v>Y</v>
      </c>
      <c r="J21" s="134" t="str">
        <f>IFERROR(IF(_xlfn.XLOOKUP(TableHandbook[[#This Row],[UDC]],TableAvailabilities[Row Labels],TableAvailabilities[OpenUnis SP 2])&gt;0,"Y",""),"")</f>
        <v/>
      </c>
      <c r="K21" s="134" t="str">
        <f>IFERROR(IF(_xlfn.XLOOKUP(TableHandbook[[#This Row],[UDC]],TableAvailabilities[Row Labels],TableAvailabilities[OpenUnis SP 3])&gt;0,"Y",""),"")</f>
        <v>Y</v>
      </c>
      <c r="L21" s="134" t="str">
        <f>IFERROR(IF(_xlfn.XLOOKUP(TableHandbook[[#This Row],[UDC]],TableAvailabilities[Row Labels],TableAvailabilities[OpenUnis SP 4])&gt;0,"Y",""),"")</f>
        <v/>
      </c>
      <c r="N21" s="133" t="str">
        <f>IFERROR(VLOOKUP(TableHandbook[[#This Row],[UDC]],TableOMARTS[],7,FALSE),"")</f>
        <v/>
      </c>
      <c r="O21" s="133" t="str">
        <f>IFERROR(VLOOKUP(TableHandbook[[#This Row],[UDC]],TableOUMPCWRI4[],7,FALSE),"")</f>
        <v>AltCore</v>
      </c>
      <c r="P21" s="133" t="str">
        <f>IFERROR(VLOOKUP(TableHandbook[[#This Row],[UDC]],TableOUMPDGCM1[],7,FALSE),"")</f>
        <v>AltCore</v>
      </c>
      <c r="Q21" s="133" t="str">
        <f>IFERROR(VLOOKUP(TableHandbook[[#This Row],[UDC]],TableOUMPFINA1[],7,FALSE),"")</f>
        <v>AltCore</v>
      </c>
      <c r="R21" s="133" t="str">
        <f>IFERROR(VLOOKUP(TableHandbook[[#This Row],[UDC]],TableOUMPPWRI4[],7,FALSE),"")</f>
        <v>AltCore</v>
      </c>
      <c r="S21" s="175" t="str">
        <f>IFERROR(VLOOKUP(TableHandbook[[#This Row],[UDC]],TableOGARTS[],7,FALSE),"")</f>
        <v/>
      </c>
      <c r="T21" s="133" t="str">
        <f>IFERROR(VLOOKUP(TableHandbook[[#This Row],[UDC]],TableOUMPCWRI3[],7,FALSE),"")</f>
        <v/>
      </c>
      <c r="U21" s="133" t="str">
        <f>IFERROR(VLOOKUP(TableHandbook[[#This Row],[UDC]],TableOUMPDGCM2[],7,FALSE),"")</f>
        <v/>
      </c>
      <c r="V21" s="133" t="str">
        <f>IFERROR(VLOOKUP(TableHandbook[[#This Row],[UDC]],TableOUMPFINA2[],7,FALSE),"")</f>
        <v/>
      </c>
      <c r="W21" s="133" t="str">
        <f>IFERROR(VLOOKUP(TableHandbook[[#This Row],[UDC]],TableOUMPPWRI3[],7,FALSE),"")</f>
        <v/>
      </c>
      <c r="X21" s="175" t="str">
        <f>IFERROR(VLOOKUP(TableHandbook[[#This Row],[UDC]],TableOCARTS[],7,FALSE),"")</f>
        <v/>
      </c>
      <c r="Y21" s="133" t="str">
        <f>IFERROR(VLOOKUP(TableHandbook[[#This Row],[UDC]],TableOUSPCWRI1[],7,FALSE),"")</f>
        <v/>
      </c>
      <c r="Z21" s="133" t="str">
        <f>IFERROR(VLOOKUP(TableHandbook[[#This Row],[UDC]],TableOUSPDGCM1[],7,FALSE),"")</f>
        <v/>
      </c>
      <c r="AA21" s="133" t="str">
        <f>IFERROR(VLOOKUP(TableHandbook[[#This Row],[UDC]],TableOUSPFINA1[],7,FALSE),"")</f>
        <v/>
      </c>
      <c r="AB21" s="133" t="str">
        <f>IFERROR(VLOOKUP(TableHandbook[[#This Row],[UDC]],TableOUSPPWRI1[],7,FALSE),"")</f>
        <v/>
      </c>
      <c r="AC21" s="175" t="str">
        <f>IFERROR(VLOOKUP(TableHandbook[[#This Row],[UDC]],TableOCHRIGHT[],7,FALSE),"")</f>
        <v/>
      </c>
      <c r="AD21" s="133" t="str">
        <f>IFERROR(VLOOKUP(TableHandbook[[#This Row],[UDC]],TableOGHRIGHT[],7,FALSE),"")</f>
        <v/>
      </c>
      <c r="AE21" s="133" t="str">
        <f>IFERROR(VLOOKUP(TableHandbook[[#This Row],[UDC]],TableOMHRIGHT[],7,FALSE),"")</f>
        <v>AltCore</v>
      </c>
    </row>
    <row r="22" spans="1:31" x14ac:dyDescent="0.25">
      <c r="A22" t="s">
        <v>231</v>
      </c>
      <c r="B22" s="1">
        <v>1</v>
      </c>
      <c r="C22" s="1" t="s">
        <v>259</v>
      </c>
      <c r="D22" t="s">
        <v>527</v>
      </c>
      <c r="E22" s="1">
        <v>25</v>
      </c>
      <c r="F22" s="214" t="s">
        <v>252</v>
      </c>
      <c r="G22" s="134" t="str">
        <f>IFERROR(IF(_xlfn.XLOOKUP(TableHandbook[[#This Row],[UDC]],TableAvailabilities[Row Labels],TableAvailabilities[OpenUnis Session 1])&gt;0,"Y",""),"")</f>
        <v/>
      </c>
      <c r="H22" s="134" t="str">
        <f>IFERROR(IF(_xlfn.XLOOKUP(TableHandbook[[#This Row],[UDC]],TableAvailabilities[Row Labels],TableAvailabilities[OpenUnis Session 2])&gt;0,"Y",""),"")</f>
        <v/>
      </c>
      <c r="I22" s="134" t="str">
        <f>IFERROR(IF(_xlfn.XLOOKUP(TableHandbook[[#This Row],[UDC]],TableAvailabilities[Row Labels],TableAvailabilities[OpenUnis SP 1])&gt;0,"Y",""),"")</f>
        <v/>
      </c>
      <c r="J22" s="134" t="str">
        <f>IFERROR(IF(_xlfn.XLOOKUP(TableHandbook[[#This Row],[UDC]],TableAvailabilities[Row Labels],TableAvailabilities[OpenUnis SP 2])&gt;0,"Y",""),"")</f>
        <v>Y</v>
      </c>
      <c r="K22" s="134" t="str">
        <f>IFERROR(IF(_xlfn.XLOOKUP(TableHandbook[[#This Row],[UDC]],TableAvailabilities[Row Labels],TableAvailabilities[OpenUnis SP 3])&gt;0,"Y",""),"")</f>
        <v/>
      </c>
      <c r="L22" s="134" t="str">
        <f>IFERROR(IF(_xlfn.XLOOKUP(TableHandbook[[#This Row],[UDC]],TableAvailabilities[Row Labels],TableAvailabilities[OpenUnis SP 4])&gt;0,"Y",""),"")</f>
        <v>Y</v>
      </c>
      <c r="N22" s="133" t="str">
        <f>IFERROR(VLOOKUP(TableHandbook[[#This Row],[UDC]],TableOMARTS[],7,FALSE),"")</f>
        <v/>
      </c>
      <c r="O22" s="133" t="str">
        <f>IFERROR(VLOOKUP(TableHandbook[[#This Row],[UDC]],TableOUMPCWRI4[],7,FALSE),"")</f>
        <v>Core</v>
      </c>
      <c r="P22" s="133" t="str">
        <f>IFERROR(VLOOKUP(TableHandbook[[#This Row],[UDC]],TableOUMPDGCM1[],7,FALSE),"")</f>
        <v>Core</v>
      </c>
      <c r="Q22" s="133" t="str">
        <f>IFERROR(VLOOKUP(TableHandbook[[#This Row],[UDC]],TableOUMPFINA1[],7,FALSE),"")</f>
        <v>Core</v>
      </c>
      <c r="R22" s="133" t="str">
        <f>IFERROR(VLOOKUP(TableHandbook[[#This Row],[UDC]],TableOUMPPWRI4[],7,FALSE),"")</f>
        <v>Core</v>
      </c>
      <c r="S22" s="175" t="str">
        <f>IFERROR(VLOOKUP(TableHandbook[[#This Row],[UDC]],TableOGARTS[],7,FALSE),"")</f>
        <v/>
      </c>
      <c r="T22" s="133" t="str">
        <f>IFERROR(VLOOKUP(TableHandbook[[#This Row],[UDC]],TableOUMPCWRI3[],7,FALSE),"")</f>
        <v>Core</v>
      </c>
      <c r="U22" s="133" t="str">
        <f>IFERROR(VLOOKUP(TableHandbook[[#This Row],[UDC]],TableOUMPDGCM2[],7,FALSE),"")</f>
        <v>Core</v>
      </c>
      <c r="V22" s="133" t="str">
        <f>IFERROR(VLOOKUP(TableHandbook[[#This Row],[UDC]],TableOUMPFINA2[],7,FALSE),"")</f>
        <v>Core</v>
      </c>
      <c r="W22" s="133" t="str">
        <f>IFERROR(VLOOKUP(TableHandbook[[#This Row],[UDC]],TableOUMPPWRI3[],7,FALSE),"")</f>
        <v>Core</v>
      </c>
      <c r="X22" s="175" t="str">
        <f>IFERROR(VLOOKUP(TableHandbook[[#This Row],[UDC]],TableOCARTS[],7,FALSE),"")</f>
        <v/>
      </c>
      <c r="Y22" s="133" t="str">
        <f>IFERROR(VLOOKUP(TableHandbook[[#This Row],[UDC]],TableOUSPCWRI1[],7,FALSE),"")</f>
        <v/>
      </c>
      <c r="Z22" s="133" t="str">
        <f>IFERROR(VLOOKUP(TableHandbook[[#This Row],[UDC]],TableOUSPDGCM1[],7,FALSE),"")</f>
        <v/>
      </c>
      <c r="AA22" s="133" t="str">
        <f>IFERROR(VLOOKUP(TableHandbook[[#This Row],[UDC]],TableOUSPFINA1[],7,FALSE),"")</f>
        <v/>
      </c>
      <c r="AB22" s="133" t="str">
        <f>IFERROR(VLOOKUP(TableHandbook[[#This Row],[UDC]],TableOUSPPWRI1[],7,FALSE),"")</f>
        <v/>
      </c>
      <c r="AC22" s="175" t="str">
        <f>IFERROR(VLOOKUP(TableHandbook[[#This Row],[UDC]],TableOCHRIGHT[],7,FALSE),"")</f>
        <v/>
      </c>
      <c r="AD22" s="133" t="str">
        <f>IFERROR(VLOOKUP(TableHandbook[[#This Row],[UDC]],TableOGHRIGHT[],7,FALSE),"")</f>
        <v/>
      </c>
      <c r="AE22" s="133" t="str">
        <f>IFERROR(VLOOKUP(TableHandbook[[#This Row],[UDC]],TableOMHRIGHT[],7,FALSE),"")</f>
        <v/>
      </c>
    </row>
    <row r="23" spans="1:31" x14ac:dyDescent="0.25">
      <c r="A23" t="s">
        <v>147</v>
      </c>
      <c r="B23" s="1">
        <v>1</v>
      </c>
      <c r="C23" s="1" t="s">
        <v>260</v>
      </c>
      <c r="D23" t="s">
        <v>261</v>
      </c>
      <c r="E23" s="1">
        <v>25</v>
      </c>
      <c r="F23" s="214" t="s">
        <v>254</v>
      </c>
      <c r="G23" s="134" t="str">
        <f>IFERROR(IF(_xlfn.XLOOKUP(TableHandbook[[#This Row],[UDC]],TableAvailabilities[Row Labels],TableAvailabilities[OpenUnis Session 1])&gt;0,"Y",""),"")</f>
        <v/>
      </c>
      <c r="H23" s="134" t="str">
        <f>IFERROR(IF(_xlfn.XLOOKUP(TableHandbook[[#This Row],[UDC]],TableAvailabilities[Row Labels],TableAvailabilities[OpenUnis Session 2])&gt;0,"Y",""),"")</f>
        <v/>
      </c>
      <c r="I23" s="134" t="str">
        <f>IFERROR(IF(_xlfn.XLOOKUP(TableHandbook[[#This Row],[UDC]],TableAvailabilities[Row Labels],TableAvailabilities[OpenUnis SP 1])&gt;0,"Y",""),"")</f>
        <v>Y</v>
      </c>
      <c r="J23" s="134" t="str">
        <f>IFERROR(IF(_xlfn.XLOOKUP(TableHandbook[[#This Row],[UDC]],TableAvailabilities[Row Labels],TableAvailabilities[OpenUnis SP 2])&gt;0,"Y",""),"")</f>
        <v/>
      </c>
      <c r="K23" s="134" t="str">
        <f>IFERROR(IF(_xlfn.XLOOKUP(TableHandbook[[#This Row],[UDC]],TableAvailabilities[Row Labels],TableAvailabilities[OpenUnis SP 3])&gt;0,"Y",""),"")</f>
        <v>Y</v>
      </c>
      <c r="L23" s="134" t="str">
        <f>IFERROR(IF(_xlfn.XLOOKUP(TableHandbook[[#This Row],[UDC]],TableAvailabilities[Row Labels],TableAvailabilities[OpenUnis SP 4])&gt;0,"Y",""),"")</f>
        <v/>
      </c>
      <c r="N23" s="133" t="str">
        <f>IFERROR(VLOOKUP(TableHandbook[[#This Row],[UDC]],TableOMARTS[],7,FALSE),"")</f>
        <v/>
      </c>
      <c r="O23" s="133" t="str">
        <f>IFERROR(VLOOKUP(TableHandbook[[#This Row],[UDC]],TableOUMPCWRI4[],7,FALSE),"")</f>
        <v>Option</v>
      </c>
      <c r="P23" s="133" t="str">
        <f>IFERROR(VLOOKUP(TableHandbook[[#This Row],[UDC]],TableOUMPDGCM1[],7,FALSE),"")</f>
        <v/>
      </c>
      <c r="Q23" s="133" t="str">
        <f>IFERROR(VLOOKUP(TableHandbook[[#This Row],[UDC]],TableOUMPFINA1[],7,FALSE),"")</f>
        <v/>
      </c>
      <c r="R23" s="133" t="str">
        <f>IFERROR(VLOOKUP(TableHandbook[[#This Row],[UDC]],TableOUMPPWRI4[],7,FALSE),"")</f>
        <v>Option</v>
      </c>
      <c r="S23" s="175" t="str">
        <f>IFERROR(VLOOKUP(TableHandbook[[#This Row],[UDC]],TableOGARTS[],7,FALSE),"")</f>
        <v/>
      </c>
      <c r="T23" s="133" t="str">
        <f>IFERROR(VLOOKUP(TableHandbook[[#This Row],[UDC]],TableOUMPCWRI3[],7,FALSE),"")</f>
        <v>Option</v>
      </c>
      <c r="U23" s="133" t="str">
        <f>IFERROR(VLOOKUP(TableHandbook[[#This Row],[UDC]],TableOUMPDGCM2[],7,FALSE),"")</f>
        <v/>
      </c>
      <c r="V23" s="133" t="str">
        <f>IFERROR(VLOOKUP(TableHandbook[[#This Row],[UDC]],TableOUMPFINA2[],7,FALSE),"")</f>
        <v/>
      </c>
      <c r="W23" s="133" t="str">
        <f>IFERROR(VLOOKUP(TableHandbook[[#This Row],[UDC]],TableOUMPPWRI3[],7,FALSE),"")</f>
        <v/>
      </c>
      <c r="X23" s="175" t="str">
        <f>IFERROR(VLOOKUP(TableHandbook[[#This Row],[UDC]],TableOCARTS[],7,FALSE),"")</f>
        <v/>
      </c>
      <c r="Y23" s="133" t="str">
        <f>IFERROR(VLOOKUP(TableHandbook[[#This Row],[UDC]],TableOUSPCWRI1[],7,FALSE),"")</f>
        <v>Option</v>
      </c>
      <c r="Z23" s="133" t="str">
        <f>IFERROR(VLOOKUP(TableHandbook[[#This Row],[UDC]],TableOUSPDGCM1[],7,FALSE),"")</f>
        <v/>
      </c>
      <c r="AA23" s="133" t="str">
        <f>IFERROR(VLOOKUP(TableHandbook[[#This Row],[UDC]],TableOUSPFINA1[],7,FALSE),"")</f>
        <v/>
      </c>
      <c r="AB23" s="133" t="str">
        <f>IFERROR(VLOOKUP(TableHandbook[[#This Row],[UDC]],TableOUSPPWRI1[],7,FALSE),"")</f>
        <v/>
      </c>
      <c r="AC23" s="175" t="str">
        <f>IFERROR(VLOOKUP(TableHandbook[[#This Row],[UDC]],TableOCHRIGHT[],7,FALSE),"")</f>
        <v/>
      </c>
      <c r="AD23" s="133" t="str">
        <f>IFERROR(VLOOKUP(TableHandbook[[#This Row],[UDC]],TableOGHRIGHT[],7,FALSE),"")</f>
        <v/>
      </c>
      <c r="AE23" s="133" t="str">
        <f>IFERROR(VLOOKUP(TableHandbook[[#This Row],[UDC]],TableOMHRIGHT[],7,FALSE),"")</f>
        <v/>
      </c>
    </row>
    <row r="24" spans="1:31" x14ac:dyDescent="0.25">
      <c r="A24" t="s">
        <v>483</v>
      </c>
      <c r="B24" s="1">
        <v>1</v>
      </c>
      <c r="C24" s="1" t="s">
        <v>262</v>
      </c>
      <c r="D24" t="s">
        <v>263</v>
      </c>
      <c r="E24" s="1">
        <v>25</v>
      </c>
      <c r="F24" s="132" t="s">
        <v>254</v>
      </c>
      <c r="G24" s="134" t="str">
        <f>IFERROR(IF(_xlfn.XLOOKUP(TableHandbook[[#This Row],[UDC]],TableAvailabilities[Row Labels],TableAvailabilities[OpenUnis Session 1])&gt;0,"Y",""),"")</f>
        <v/>
      </c>
      <c r="H24" s="134" t="str">
        <f>IFERROR(IF(_xlfn.XLOOKUP(TableHandbook[[#This Row],[UDC]],TableAvailabilities[Row Labels],TableAvailabilities[OpenUnis Session 2])&gt;0,"Y",""),"")</f>
        <v/>
      </c>
      <c r="I24" s="134" t="str">
        <f>IFERROR(IF(_xlfn.XLOOKUP(TableHandbook[[#This Row],[UDC]],TableAvailabilities[Row Labels],TableAvailabilities[OpenUnis SP 1])&gt;0,"Y",""),"")</f>
        <v/>
      </c>
      <c r="J24" s="134" t="str">
        <f>IFERROR(IF(_xlfn.XLOOKUP(TableHandbook[[#This Row],[UDC]],TableAvailabilities[Row Labels],TableAvailabilities[OpenUnis SP 2])&gt;0,"Y",""),"")</f>
        <v/>
      </c>
      <c r="K24" s="134" t="str">
        <f>IFERROR(IF(_xlfn.XLOOKUP(TableHandbook[[#This Row],[UDC]],TableAvailabilities[Row Labels],TableAvailabilities[OpenUnis SP 3])&gt;0,"Y",""),"")</f>
        <v/>
      </c>
      <c r="L24" s="134" t="str">
        <f>IFERROR(IF(_xlfn.XLOOKUP(TableHandbook[[#This Row],[UDC]],TableAvailabilities[Row Labels],TableAvailabilities[OpenUnis SP 4])&gt;0,"Y",""),"")</f>
        <v/>
      </c>
      <c r="M24" t="s">
        <v>474</v>
      </c>
      <c r="N24" s="133" t="str">
        <f>IFERROR(VLOOKUP(TableHandbook[[#This Row],[UDC]],TableOMARTS[],7,FALSE),"")</f>
        <v/>
      </c>
      <c r="O24" s="133" t="str">
        <f>IFERROR(VLOOKUP(TableHandbook[[#This Row],[UDC]],TableOUMPCWRI4[],7,FALSE),"")</f>
        <v/>
      </c>
      <c r="P24" s="133" t="str">
        <f>IFERROR(VLOOKUP(TableHandbook[[#This Row],[UDC]],TableOUMPDGCM1[],7,FALSE),"")</f>
        <v/>
      </c>
      <c r="Q24" s="133" t="str">
        <f>IFERROR(VLOOKUP(TableHandbook[[#This Row],[UDC]],TableOUMPFINA1[],7,FALSE),"")</f>
        <v/>
      </c>
      <c r="R24" s="133" t="str">
        <f>IFERROR(VLOOKUP(TableHandbook[[#This Row],[UDC]],TableOUMPPWRI4[],7,FALSE),"")</f>
        <v/>
      </c>
      <c r="S24" s="175" t="str">
        <f>IFERROR(VLOOKUP(TableHandbook[[#This Row],[UDC]],TableOGARTS[],7,FALSE),"")</f>
        <v/>
      </c>
      <c r="T24" s="133" t="str">
        <f>IFERROR(VLOOKUP(TableHandbook[[#This Row],[UDC]],TableOUMPCWRI3[],7,FALSE),"")</f>
        <v/>
      </c>
      <c r="U24" s="133" t="str">
        <f>IFERROR(VLOOKUP(TableHandbook[[#This Row],[UDC]],TableOUMPDGCM2[],7,FALSE),"")</f>
        <v/>
      </c>
      <c r="V24" s="133" t="str">
        <f>IFERROR(VLOOKUP(TableHandbook[[#This Row],[UDC]],TableOUMPFINA2[],7,FALSE),"")</f>
        <v/>
      </c>
      <c r="W24" s="133" t="str">
        <f>IFERROR(VLOOKUP(TableHandbook[[#This Row],[UDC]],TableOUMPPWRI3[],7,FALSE),"")</f>
        <v/>
      </c>
      <c r="X24" s="175" t="str">
        <f>IFERROR(VLOOKUP(TableHandbook[[#This Row],[UDC]],TableOCARTS[],7,FALSE),"")</f>
        <v/>
      </c>
      <c r="Y24" s="133" t="str">
        <f>IFERROR(VLOOKUP(TableHandbook[[#This Row],[UDC]],TableOUSPCWRI1[],7,FALSE),"")</f>
        <v/>
      </c>
      <c r="Z24" s="133" t="str">
        <f>IFERROR(VLOOKUP(TableHandbook[[#This Row],[UDC]],TableOUSPDGCM1[],7,FALSE),"")</f>
        <v/>
      </c>
      <c r="AA24" s="133" t="str">
        <f>IFERROR(VLOOKUP(TableHandbook[[#This Row],[UDC]],TableOUSPFINA1[],7,FALSE),"")</f>
        <v/>
      </c>
      <c r="AB24" s="133" t="str">
        <f>IFERROR(VLOOKUP(TableHandbook[[#This Row],[UDC]],TableOUSPPWRI1[],7,FALSE),"")</f>
        <v/>
      </c>
      <c r="AC24" s="175" t="str">
        <f>IFERROR(VLOOKUP(TableHandbook[[#This Row],[UDC]],TableOCHRIGHT[],7,FALSE),"")</f>
        <v/>
      </c>
      <c r="AD24" s="133" t="str">
        <f>IFERROR(VLOOKUP(TableHandbook[[#This Row],[UDC]],TableOGHRIGHT[],7,FALSE),"")</f>
        <v/>
      </c>
      <c r="AE24" s="133" t="str">
        <f>IFERROR(VLOOKUP(TableHandbook[[#This Row],[UDC]],TableOMHRIGHT[],7,FALSE),"")</f>
        <v/>
      </c>
    </row>
    <row r="25" spans="1:31" x14ac:dyDescent="0.25">
      <c r="A25" t="s">
        <v>484</v>
      </c>
      <c r="B25" s="1">
        <v>1</v>
      </c>
      <c r="C25" s="1" t="s">
        <v>264</v>
      </c>
      <c r="D25" t="s">
        <v>265</v>
      </c>
      <c r="E25" s="1">
        <v>25</v>
      </c>
      <c r="F25" s="132" t="s">
        <v>254</v>
      </c>
      <c r="G25" s="134" t="str">
        <f>IFERROR(IF(_xlfn.XLOOKUP(TableHandbook[[#This Row],[UDC]],TableAvailabilities[Row Labels],TableAvailabilities[OpenUnis Session 1])&gt;0,"Y",""),"")</f>
        <v/>
      </c>
      <c r="H25" s="134" t="str">
        <f>IFERROR(IF(_xlfn.XLOOKUP(TableHandbook[[#This Row],[UDC]],TableAvailabilities[Row Labels],TableAvailabilities[OpenUnis Session 2])&gt;0,"Y",""),"")</f>
        <v/>
      </c>
      <c r="I25" s="134" t="str">
        <f>IFERROR(IF(_xlfn.XLOOKUP(TableHandbook[[#This Row],[UDC]],TableAvailabilities[Row Labels],TableAvailabilities[OpenUnis SP 1])&gt;0,"Y",""),"")</f>
        <v/>
      </c>
      <c r="J25" s="134" t="str">
        <f>IFERROR(IF(_xlfn.XLOOKUP(TableHandbook[[#This Row],[UDC]],TableAvailabilities[Row Labels],TableAvailabilities[OpenUnis SP 2])&gt;0,"Y",""),"")</f>
        <v/>
      </c>
      <c r="K25" s="134" t="str">
        <f>IFERROR(IF(_xlfn.XLOOKUP(TableHandbook[[#This Row],[UDC]],TableAvailabilities[Row Labels],TableAvailabilities[OpenUnis SP 3])&gt;0,"Y",""),"")</f>
        <v/>
      </c>
      <c r="L25" s="134" t="str">
        <f>IFERROR(IF(_xlfn.XLOOKUP(TableHandbook[[#This Row],[UDC]],TableAvailabilities[Row Labels],TableAvailabilities[OpenUnis SP 4])&gt;0,"Y",""),"")</f>
        <v/>
      </c>
      <c r="M25" t="s">
        <v>474</v>
      </c>
      <c r="N25" s="133" t="str">
        <f>IFERROR(VLOOKUP(TableHandbook[[#This Row],[UDC]],TableOMARTS[],7,FALSE),"")</f>
        <v/>
      </c>
      <c r="O25" s="133" t="str">
        <f>IFERROR(VLOOKUP(TableHandbook[[#This Row],[UDC]],TableOUMPCWRI4[],7,FALSE),"")</f>
        <v/>
      </c>
      <c r="P25" s="133" t="str">
        <f>IFERROR(VLOOKUP(TableHandbook[[#This Row],[UDC]],TableOUMPDGCM1[],7,FALSE),"")</f>
        <v/>
      </c>
      <c r="Q25" s="133" t="str">
        <f>IFERROR(VLOOKUP(TableHandbook[[#This Row],[UDC]],TableOUMPFINA1[],7,FALSE),"")</f>
        <v/>
      </c>
      <c r="R25" s="133" t="str">
        <f>IFERROR(VLOOKUP(TableHandbook[[#This Row],[UDC]],TableOUMPPWRI4[],7,FALSE),"")</f>
        <v/>
      </c>
      <c r="S25" s="175" t="str">
        <f>IFERROR(VLOOKUP(TableHandbook[[#This Row],[UDC]],TableOGARTS[],7,FALSE),"")</f>
        <v/>
      </c>
      <c r="T25" s="133" t="str">
        <f>IFERROR(VLOOKUP(TableHandbook[[#This Row],[UDC]],TableOUMPCWRI3[],7,FALSE),"")</f>
        <v/>
      </c>
      <c r="U25" s="133" t="str">
        <f>IFERROR(VLOOKUP(TableHandbook[[#This Row],[UDC]],TableOUMPDGCM2[],7,FALSE),"")</f>
        <v/>
      </c>
      <c r="V25" s="133" t="str">
        <f>IFERROR(VLOOKUP(TableHandbook[[#This Row],[UDC]],TableOUMPFINA2[],7,FALSE),"")</f>
        <v/>
      </c>
      <c r="W25" s="133" t="str">
        <f>IFERROR(VLOOKUP(TableHandbook[[#This Row],[UDC]],TableOUMPPWRI3[],7,FALSE),"")</f>
        <v/>
      </c>
      <c r="X25" s="175" t="str">
        <f>IFERROR(VLOOKUP(TableHandbook[[#This Row],[UDC]],TableOCARTS[],7,FALSE),"")</f>
        <v/>
      </c>
      <c r="Y25" s="133" t="str">
        <f>IFERROR(VLOOKUP(TableHandbook[[#This Row],[UDC]],TableOUSPCWRI1[],7,FALSE),"")</f>
        <v/>
      </c>
      <c r="Z25" s="133" t="str">
        <f>IFERROR(VLOOKUP(TableHandbook[[#This Row],[UDC]],TableOUSPDGCM1[],7,FALSE),"")</f>
        <v/>
      </c>
      <c r="AA25" s="133" t="str">
        <f>IFERROR(VLOOKUP(TableHandbook[[#This Row],[UDC]],TableOUSPFINA1[],7,FALSE),"")</f>
        <v/>
      </c>
      <c r="AB25" s="133" t="str">
        <f>IFERROR(VLOOKUP(TableHandbook[[#This Row],[UDC]],TableOUSPPWRI1[],7,FALSE),"")</f>
        <v/>
      </c>
      <c r="AC25" s="175" t="str">
        <f>IFERROR(VLOOKUP(TableHandbook[[#This Row],[UDC]],TableOCHRIGHT[],7,FALSE),"")</f>
        <v/>
      </c>
      <c r="AD25" s="133" t="str">
        <f>IFERROR(VLOOKUP(TableHandbook[[#This Row],[UDC]],TableOGHRIGHT[],7,FALSE),"")</f>
        <v/>
      </c>
      <c r="AE25" s="133" t="str">
        <f>IFERROR(VLOOKUP(TableHandbook[[#This Row],[UDC]],TableOMHRIGHT[],7,FALSE),"")</f>
        <v/>
      </c>
    </row>
    <row r="26" spans="1:31" x14ac:dyDescent="0.25">
      <c r="A26" t="s">
        <v>485</v>
      </c>
      <c r="B26" s="1">
        <v>1</v>
      </c>
      <c r="C26" s="1" t="s">
        <v>266</v>
      </c>
      <c r="D26" t="s">
        <v>267</v>
      </c>
      <c r="E26" s="1">
        <v>25</v>
      </c>
      <c r="F26" s="132" t="s">
        <v>254</v>
      </c>
      <c r="G26" s="134" t="str">
        <f>IFERROR(IF(_xlfn.XLOOKUP(TableHandbook[[#This Row],[UDC]],TableAvailabilities[Row Labels],TableAvailabilities[OpenUnis Session 1])&gt;0,"Y",""),"")</f>
        <v/>
      </c>
      <c r="H26" s="134" t="str">
        <f>IFERROR(IF(_xlfn.XLOOKUP(TableHandbook[[#This Row],[UDC]],TableAvailabilities[Row Labels],TableAvailabilities[OpenUnis Session 2])&gt;0,"Y",""),"")</f>
        <v/>
      </c>
      <c r="I26" s="134" t="str">
        <f>IFERROR(IF(_xlfn.XLOOKUP(TableHandbook[[#This Row],[UDC]],TableAvailabilities[Row Labels],TableAvailabilities[OpenUnis SP 1])&gt;0,"Y",""),"")</f>
        <v/>
      </c>
      <c r="J26" s="134" t="str">
        <f>IFERROR(IF(_xlfn.XLOOKUP(TableHandbook[[#This Row],[UDC]],TableAvailabilities[Row Labels],TableAvailabilities[OpenUnis SP 2])&gt;0,"Y",""),"")</f>
        <v/>
      </c>
      <c r="K26" s="134" t="str">
        <f>IFERROR(IF(_xlfn.XLOOKUP(TableHandbook[[#This Row],[UDC]],TableAvailabilities[Row Labels],TableAvailabilities[OpenUnis SP 3])&gt;0,"Y",""),"")</f>
        <v/>
      </c>
      <c r="L26" s="134" t="str">
        <f>IFERROR(IF(_xlfn.XLOOKUP(TableHandbook[[#This Row],[UDC]],TableAvailabilities[Row Labels],TableAvailabilities[OpenUnis SP 4])&gt;0,"Y",""),"")</f>
        <v/>
      </c>
      <c r="M26" t="s">
        <v>474</v>
      </c>
      <c r="N26" s="133" t="str">
        <f>IFERROR(VLOOKUP(TableHandbook[[#This Row],[UDC]],TableOMARTS[],7,FALSE),"")</f>
        <v/>
      </c>
      <c r="O26" s="133" t="str">
        <f>IFERROR(VLOOKUP(TableHandbook[[#This Row],[UDC]],TableOUMPCWRI4[],7,FALSE),"")</f>
        <v/>
      </c>
      <c r="P26" s="133" t="str">
        <f>IFERROR(VLOOKUP(TableHandbook[[#This Row],[UDC]],TableOUMPDGCM1[],7,FALSE),"")</f>
        <v/>
      </c>
      <c r="Q26" s="133" t="str">
        <f>IFERROR(VLOOKUP(TableHandbook[[#This Row],[UDC]],TableOUMPFINA1[],7,FALSE),"")</f>
        <v/>
      </c>
      <c r="R26" s="133" t="str">
        <f>IFERROR(VLOOKUP(TableHandbook[[#This Row],[UDC]],TableOUMPPWRI4[],7,FALSE),"")</f>
        <v/>
      </c>
      <c r="S26" s="175" t="str">
        <f>IFERROR(VLOOKUP(TableHandbook[[#This Row],[UDC]],TableOGARTS[],7,FALSE),"")</f>
        <v/>
      </c>
      <c r="T26" s="133" t="str">
        <f>IFERROR(VLOOKUP(TableHandbook[[#This Row],[UDC]],TableOUMPCWRI3[],7,FALSE),"")</f>
        <v/>
      </c>
      <c r="U26" s="133" t="str">
        <f>IFERROR(VLOOKUP(TableHandbook[[#This Row],[UDC]],TableOUMPDGCM2[],7,FALSE),"")</f>
        <v/>
      </c>
      <c r="V26" s="133" t="str">
        <f>IFERROR(VLOOKUP(TableHandbook[[#This Row],[UDC]],TableOUMPFINA2[],7,FALSE),"")</f>
        <v/>
      </c>
      <c r="W26" s="133" t="str">
        <f>IFERROR(VLOOKUP(TableHandbook[[#This Row],[UDC]],TableOUMPPWRI3[],7,FALSE),"")</f>
        <v/>
      </c>
      <c r="X26" s="175" t="str">
        <f>IFERROR(VLOOKUP(TableHandbook[[#This Row],[UDC]],TableOCARTS[],7,FALSE),"")</f>
        <v/>
      </c>
      <c r="Y26" s="133" t="str">
        <f>IFERROR(VLOOKUP(TableHandbook[[#This Row],[UDC]],TableOUSPCWRI1[],7,FALSE),"")</f>
        <v/>
      </c>
      <c r="Z26" s="133" t="str">
        <f>IFERROR(VLOOKUP(TableHandbook[[#This Row],[UDC]],TableOUSPDGCM1[],7,FALSE),"")</f>
        <v/>
      </c>
      <c r="AA26" s="133" t="str">
        <f>IFERROR(VLOOKUP(TableHandbook[[#This Row],[UDC]],TableOUSPFINA1[],7,FALSE),"")</f>
        <v/>
      </c>
      <c r="AB26" s="133" t="str">
        <f>IFERROR(VLOOKUP(TableHandbook[[#This Row],[UDC]],TableOUSPPWRI1[],7,FALSE),"")</f>
        <v/>
      </c>
      <c r="AC26" s="175" t="str">
        <f>IFERROR(VLOOKUP(TableHandbook[[#This Row],[UDC]],TableOCHRIGHT[],7,FALSE),"")</f>
        <v/>
      </c>
      <c r="AD26" s="133" t="str">
        <f>IFERROR(VLOOKUP(TableHandbook[[#This Row],[UDC]],TableOGHRIGHT[],7,FALSE),"")</f>
        <v/>
      </c>
      <c r="AE26" s="133" t="str">
        <f>IFERROR(VLOOKUP(TableHandbook[[#This Row],[UDC]],TableOMHRIGHT[],7,FALSE),"")</f>
        <v/>
      </c>
    </row>
    <row r="27" spans="1:31" x14ac:dyDescent="0.25">
      <c r="A27" t="s">
        <v>486</v>
      </c>
      <c r="B27" s="1">
        <v>1</v>
      </c>
      <c r="C27" s="1" t="s">
        <v>268</v>
      </c>
      <c r="D27" t="s">
        <v>269</v>
      </c>
      <c r="E27" s="1">
        <v>25</v>
      </c>
      <c r="F27" s="132" t="s">
        <v>254</v>
      </c>
      <c r="G27" s="134" t="str">
        <f>IFERROR(IF(_xlfn.XLOOKUP(TableHandbook[[#This Row],[UDC]],TableAvailabilities[Row Labels],TableAvailabilities[OpenUnis Session 1])&gt;0,"Y",""),"")</f>
        <v/>
      </c>
      <c r="H27" s="134" t="str">
        <f>IFERROR(IF(_xlfn.XLOOKUP(TableHandbook[[#This Row],[UDC]],TableAvailabilities[Row Labels],TableAvailabilities[OpenUnis Session 2])&gt;0,"Y",""),"")</f>
        <v/>
      </c>
      <c r="I27" s="134" t="str">
        <f>IFERROR(IF(_xlfn.XLOOKUP(TableHandbook[[#This Row],[UDC]],TableAvailabilities[Row Labels],TableAvailabilities[OpenUnis SP 1])&gt;0,"Y",""),"")</f>
        <v/>
      </c>
      <c r="J27" s="134" t="str">
        <f>IFERROR(IF(_xlfn.XLOOKUP(TableHandbook[[#This Row],[UDC]],TableAvailabilities[Row Labels],TableAvailabilities[OpenUnis SP 2])&gt;0,"Y",""),"")</f>
        <v/>
      </c>
      <c r="K27" s="134" t="str">
        <f>IFERROR(IF(_xlfn.XLOOKUP(TableHandbook[[#This Row],[UDC]],TableAvailabilities[Row Labels],TableAvailabilities[OpenUnis SP 3])&gt;0,"Y",""),"")</f>
        <v/>
      </c>
      <c r="L27" s="134" t="str">
        <f>IFERROR(IF(_xlfn.XLOOKUP(TableHandbook[[#This Row],[UDC]],TableAvailabilities[Row Labels],TableAvailabilities[OpenUnis SP 4])&gt;0,"Y",""),"")</f>
        <v/>
      </c>
      <c r="M27" t="s">
        <v>474</v>
      </c>
      <c r="N27" s="133" t="str">
        <f>IFERROR(VLOOKUP(TableHandbook[[#This Row],[UDC]],TableOMARTS[],7,FALSE),"")</f>
        <v/>
      </c>
      <c r="O27" s="133" t="str">
        <f>IFERROR(VLOOKUP(TableHandbook[[#This Row],[UDC]],TableOUMPCWRI4[],7,FALSE),"")</f>
        <v/>
      </c>
      <c r="P27" s="133" t="str">
        <f>IFERROR(VLOOKUP(TableHandbook[[#This Row],[UDC]],TableOUMPDGCM1[],7,FALSE),"")</f>
        <v/>
      </c>
      <c r="Q27" s="133" t="str">
        <f>IFERROR(VLOOKUP(TableHandbook[[#This Row],[UDC]],TableOUMPFINA1[],7,FALSE),"")</f>
        <v/>
      </c>
      <c r="R27" s="133" t="str">
        <f>IFERROR(VLOOKUP(TableHandbook[[#This Row],[UDC]],TableOUMPPWRI4[],7,FALSE),"")</f>
        <v/>
      </c>
      <c r="S27" s="175" t="str">
        <f>IFERROR(VLOOKUP(TableHandbook[[#This Row],[UDC]],TableOGARTS[],7,FALSE),"")</f>
        <v/>
      </c>
      <c r="T27" s="133" t="str">
        <f>IFERROR(VLOOKUP(TableHandbook[[#This Row],[UDC]],TableOUMPCWRI3[],7,FALSE),"")</f>
        <v/>
      </c>
      <c r="U27" s="133" t="str">
        <f>IFERROR(VLOOKUP(TableHandbook[[#This Row],[UDC]],TableOUMPDGCM2[],7,FALSE),"")</f>
        <v/>
      </c>
      <c r="V27" s="133" t="str">
        <f>IFERROR(VLOOKUP(TableHandbook[[#This Row],[UDC]],TableOUMPFINA2[],7,FALSE),"")</f>
        <v/>
      </c>
      <c r="W27" s="133" t="str">
        <f>IFERROR(VLOOKUP(TableHandbook[[#This Row],[UDC]],TableOUMPPWRI3[],7,FALSE),"")</f>
        <v/>
      </c>
      <c r="X27" s="175" t="str">
        <f>IFERROR(VLOOKUP(TableHandbook[[#This Row],[UDC]],TableOCARTS[],7,FALSE),"")</f>
        <v/>
      </c>
      <c r="Y27" s="133" t="str">
        <f>IFERROR(VLOOKUP(TableHandbook[[#This Row],[UDC]],TableOUSPCWRI1[],7,FALSE),"")</f>
        <v/>
      </c>
      <c r="Z27" s="133" t="str">
        <f>IFERROR(VLOOKUP(TableHandbook[[#This Row],[UDC]],TableOUSPDGCM1[],7,FALSE),"")</f>
        <v/>
      </c>
      <c r="AA27" s="133" t="str">
        <f>IFERROR(VLOOKUP(TableHandbook[[#This Row],[UDC]],TableOUSPFINA1[],7,FALSE),"")</f>
        <v/>
      </c>
      <c r="AB27" s="133" t="str">
        <f>IFERROR(VLOOKUP(TableHandbook[[#This Row],[UDC]],TableOUSPPWRI1[],7,FALSE),"")</f>
        <v/>
      </c>
      <c r="AC27" s="175" t="str">
        <f>IFERROR(VLOOKUP(TableHandbook[[#This Row],[UDC]],TableOCHRIGHT[],7,FALSE),"")</f>
        <v/>
      </c>
      <c r="AD27" s="133" t="str">
        <f>IFERROR(VLOOKUP(TableHandbook[[#This Row],[UDC]],TableOGHRIGHT[],7,FALSE),"")</f>
        <v/>
      </c>
      <c r="AE27" s="133" t="str">
        <f>IFERROR(VLOOKUP(TableHandbook[[#This Row],[UDC]],TableOMHRIGHT[],7,FALSE),"")</f>
        <v/>
      </c>
    </row>
    <row r="28" spans="1:31" x14ac:dyDescent="0.25">
      <c r="A28" t="s">
        <v>487</v>
      </c>
      <c r="B28" s="1">
        <v>1</v>
      </c>
      <c r="C28" s="1" t="s">
        <v>270</v>
      </c>
      <c r="D28" t="s">
        <v>271</v>
      </c>
      <c r="E28" s="1">
        <v>25</v>
      </c>
      <c r="F28" s="132" t="s">
        <v>254</v>
      </c>
      <c r="G28" s="134" t="str">
        <f>IFERROR(IF(_xlfn.XLOOKUP(TableHandbook[[#This Row],[UDC]],TableAvailabilities[Row Labels],TableAvailabilities[OpenUnis Session 1])&gt;0,"Y",""),"")</f>
        <v/>
      </c>
      <c r="H28" s="134" t="str">
        <f>IFERROR(IF(_xlfn.XLOOKUP(TableHandbook[[#This Row],[UDC]],TableAvailabilities[Row Labels],TableAvailabilities[OpenUnis Session 2])&gt;0,"Y",""),"")</f>
        <v/>
      </c>
      <c r="I28" s="134" t="str">
        <f>IFERROR(IF(_xlfn.XLOOKUP(TableHandbook[[#This Row],[UDC]],TableAvailabilities[Row Labels],TableAvailabilities[OpenUnis SP 1])&gt;0,"Y",""),"")</f>
        <v/>
      </c>
      <c r="J28" s="134" t="str">
        <f>IFERROR(IF(_xlfn.XLOOKUP(TableHandbook[[#This Row],[UDC]],TableAvailabilities[Row Labels],TableAvailabilities[OpenUnis SP 2])&gt;0,"Y",""),"")</f>
        <v/>
      </c>
      <c r="K28" s="134" t="str">
        <f>IFERROR(IF(_xlfn.XLOOKUP(TableHandbook[[#This Row],[UDC]],TableAvailabilities[Row Labels],TableAvailabilities[OpenUnis SP 3])&gt;0,"Y",""),"")</f>
        <v/>
      </c>
      <c r="L28" s="134" t="str">
        <f>IFERROR(IF(_xlfn.XLOOKUP(TableHandbook[[#This Row],[UDC]],TableAvailabilities[Row Labels],TableAvailabilities[OpenUnis SP 4])&gt;0,"Y",""),"")</f>
        <v/>
      </c>
      <c r="M28" t="s">
        <v>474</v>
      </c>
      <c r="N28" s="133" t="str">
        <f>IFERROR(VLOOKUP(TableHandbook[[#This Row],[UDC]],TableOMARTS[],7,FALSE),"")</f>
        <v/>
      </c>
      <c r="O28" s="133" t="str">
        <f>IFERROR(VLOOKUP(TableHandbook[[#This Row],[UDC]],TableOUMPCWRI4[],7,FALSE),"")</f>
        <v/>
      </c>
      <c r="P28" s="133" t="str">
        <f>IFERROR(VLOOKUP(TableHandbook[[#This Row],[UDC]],TableOUMPDGCM1[],7,FALSE),"")</f>
        <v/>
      </c>
      <c r="Q28" s="133" t="str">
        <f>IFERROR(VLOOKUP(TableHandbook[[#This Row],[UDC]],TableOUMPFINA1[],7,FALSE),"")</f>
        <v/>
      </c>
      <c r="R28" s="133" t="str">
        <f>IFERROR(VLOOKUP(TableHandbook[[#This Row],[UDC]],TableOUMPPWRI4[],7,FALSE),"")</f>
        <v/>
      </c>
      <c r="S28" s="175" t="str">
        <f>IFERROR(VLOOKUP(TableHandbook[[#This Row],[UDC]],TableOGARTS[],7,FALSE),"")</f>
        <v/>
      </c>
      <c r="T28" s="133" t="str">
        <f>IFERROR(VLOOKUP(TableHandbook[[#This Row],[UDC]],TableOUMPCWRI3[],7,FALSE),"")</f>
        <v/>
      </c>
      <c r="U28" s="133" t="str">
        <f>IFERROR(VLOOKUP(TableHandbook[[#This Row],[UDC]],TableOUMPDGCM2[],7,FALSE),"")</f>
        <v/>
      </c>
      <c r="V28" s="133" t="str">
        <f>IFERROR(VLOOKUP(TableHandbook[[#This Row],[UDC]],TableOUMPFINA2[],7,FALSE),"")</f>
        <v/>
      </c>
      <c r="W28" s="133" t="str">
        <f>IFERROR(VLOOKUP(TableHandbook[[#This Row],[UDC]],TableOUMPPWRI3[],7,FALSE),"")</f>
        <v/>
      </c>
      <c r="X28" s="175" t="str">
        <f>IFERROR(VLOOKUP(TableHandbook[[#This Row],[UDC]],TableOCARTS[],7,FALSE),"")</f>
        <v/>
      </c>
      <c r="Y28" s="133" t="str">
        <f>IFERROR(VLOOKUP(TableHandbook[[#This Row],[UDC]],TableOUSPCWRI1[],7,FALSE),"")</f>
        <v/>
      </c>
      <c r="Z28" s="133" t="str">
        <f>IFERROR(VLOOKUP(TableHandbook[[#This Row],[UDC]],TableOUSPDGCM1[],7,FALSE),"")</f>
        <v/>
      </c>
      <c r="AA28" s="133" t="str">
        <f>IFERROR(VLOOKUP(TableHandbook[[#This Row],[UDC]],TableOUSPFINA1[],7,FALSE),"")</f>
        <v/>
      </c>
      <c r="AB28" s="133" t="str">
        <f>IFERROR(VLOOKUP(TableHandbook[[#This Row],[UDC]],TableOUSPPWRI1[],7,FALSE),"")</f>
        <v/>
      </c>
      <c r="AC28" s="175" t="str">
        <f>IFERROR(VLOOKUP(TableHandbook[[#This Row],[UDC]],TableOCHRIGHT[],7,FALSE),"")</f>
        <v/>
      </c>
      <c r="AD28" s="133" t="str">
        <f>IFERROR(VLOOKUP(TableHandbook[[#This Row],[UDC]],TableOGHRIGHT[],7,FALSE),"")</f>
        <v/>
      </c>
      <c r="AE28" s="133" t="str">
        <f>IFERROR(VLOOKUP(TableHandbook[[#This Row],[UDC]],TableOMHRIGHT[],7,FALSE),"")</f>
        <v/>
      </c>
    </row>
    <row r="29" spans="1:31" x14ac:dyDescent="0.25">
      <c r="A29" t="s">
        <v>488</v>
      </c>
      <c r="B29" s="1">
        <v>1</v>
      </c>
      <c r="C29" s="1" t="s">
        <v>272</v>
      </c>
      <c r="D29" t="s">
        <v>273</v>
      </c>
      <c r="E29" s="1">
        <v>25</v>
      </c>
      <c r="F29" s="132" t="s">
        <v>254</v>
      </c>
      <c r="G29" s="134" t="str">
        <f>IFERROR(IF(_xlfn.XLOOKUP(TableHandbook[[#This Row],[UDC]],TableAvailabilities[Row Labels],TableAvailabilities[OpenUnis Session 1])&gt;0,"Y",""),"")</f>
        <v/>
      </c>
      <c r="H29" s="134" t="str">
        <f>IFERROR(IF(_xlfn.XLOOKUP(TableHandbook[[#This Row],[UDC]],TableAvailabilities[Row Labels],TableAvailabilities[OpenUnis Session 2])&gt;0,"Y",""),"")</f>
        <v/>
      </c>
      <c r="I29" s="134" t="str">
        <f>IFERROR(IF(_xlfn.XLOOKUP(TableHandbook[[#This Row],[UDC]],TableAvailabilities[Row Labels],TableAvailabilities[OpenUnis SP 1])&gt;0,"Y",""),"")</f>
        <v/>
      </c>
      <c r="J29" s="134" t="str">
        <f>IFERROR(IF(_xlfn.XLOOKUP(TableHandbook[[#This Row],[UDC]],TableAvailabilities[Row Labels],TableAvailabilities[OpenUnis SP 2])&gt;0,"Y",""),"")</f>
        <v/>
      </c>
      <c r="K29" s="134" t="str">
        <f>IFERROR(IF(_xlfn.XLOOKUP(TableHandbook[[#This Row],[UDC]],TableAvailabilities[Row Labels],TableAvailabilities[OpenUnis SP 3])&gt;0,"Y",""),"")</f>
        <v/>
      </c>
      <c r="L29" s="134" t="str">
        <f>IFERROR(IF(_xlfn.XLOOKUP(TableHandbook[[#This Row],[UDC]],TableAvailabilities[Row Labels],TableAvailabilities[OpenUnis SP 4])&gt;0,"Y",""),"")</f>
        <v/>
      </c>
      <c r="M29" t="s">
        <v>474</v>
      </c>
      <c r="N29" s="133" t="str">
        <f>IFERROR(VLOOKUP(TableHandbook[[#This Row],[UDC]],TableOMARTS[],7,FALSE),"")</f>
        <v/>
      </c>
      <c r="O29" s="133" t="str">
        <f>IFERROR(VLOOKUP(TableHandbook[[#This Row],[UDC]],TableOUMPCWRI4[],7,FALSE),"")</f>
        <v/>
      </c>
      <c r="P29" s="133" t="str">
        <f>IFERROR(VLOOKUP(TableHandbook[[#This Row],[UDC]],TableOUMPDGCM1[],7,FALSE),"")</f>
        <v/>
      </c>
      <c r="Q29" s="133" t="str">
        <f>IFERROR(VLOOKUP(TableHandbook[[#This Row],[UDC]],TableOUMPFINA1[],7,FALSE),"")</f>
        <v/>
      </c>
      <c r="R29" s="133" t="str">
        <f>IFERROR(VLOOKUP(TableHandbook[[#This Row],[UDC]],TableOUMPPWRI4[],7,FALSE),"")</f>
        <v/>
      </c>
      <c r="S29" s="175" t="str">
        <f>IFERROR(VLOOKUP(TableHandbook[[#This Row],[UDC]],TableOGARTS[],7,FALSE),"")</f>
        <v/>
      </c>
      <c r="T29" s="133" t="str">
        <f>IFERROR(VLOOKUP(TableHandbook[[#This Row],[UDC]],TableOUMPCWRI3[],7,FALSE),"")</f>
        <v/>
      </c>
      <c r="U29" s="133" t="str">
        <f>IFERROR(VLOOKUP(TableHandbook[[#This Row],[UDC]],TableOUMPDGCM2[],7,FALSE),"")</f>
        <v/>
      </c>
      <c r="V29" s="133" t="str">
        <f>IFERROR(VLOOKUP(TableHandbook[[#This Row],[UDC]],TableOUMPFINA2[],7,FALSE),"")</f>
        <v/>
      </c>
      <c r="W29" s="133" t="str">
        <f>IFERROR(VLOOKUP(TableHandbook[[#This Row],[UDC]],TableOUMPPWRI3[],7,FALSE),"")</f>
        <v/>
      </c>
      <c r="X29" s="175" t="str">
        <f>IFERROR(VLOOKUP(TableHandbook[[#This Row],[UDC]],TableOCARTS[],7,FALSE),"")</f>
        <v/>
      </c>
      <c r="Y29" s="133" t="str">
        <f>IFERROR(VLOOKUP(TableHandbook[[#This Row],[UDC]],TableOUSPCWRI1[],7,FALSE),"")</f>
        <v/>
      </c>
      <c r="Z29" s="133" t="str">
        <f>IFERROR(VLOOKUP(TableHandbook[[#This Row],[UDC]],TableOUSPDGCM1[],7,FALSE),"")</f>
        <v/>
      </c>
      <c r="AA29" s="133" t="str">
        <f>IFERROR(VLOOKUP(TableHandbook[[#This Row],[UDC]],TableOUSPFINA1[],7,FALSE),"")</f>
        <v/>
      </c>
      <c r="AB29" s="133" t="str">
        <f>IFERROR(VLOOKUP(TableHandbook[[#This Row],[UDC]],TableOUSPPWRI1[],7,FALSE),"")</f>
        <v/>
      </c>
      <c r="AC29" s="175" t="str">
        <f>IFERROR(VLOOKUP(TableHandbook[[#This Row],[UDC]],TableOCHRIGHT[],7,FALSE),"")</f>
        <v/>
      </c>
      <c r="AD29" s="133" t="str">
        <f>IFERROR(VLOOKUP(TableHandbook[[#This Row],[UDC]],TableOGHRIGHT[],7,FALSE),"")</f>
        <v/>
      </c>
      <c r="AE29" s="133" t="str">
        <f>IFERROR(VLOOKUP(TableHandbook[[#This Row],[UDC]],TableOMHRIGHT[],7,FALSE),"")</f>
        <v/>
      </c>
    </row>
    <row r="30" spans="1:31" x14ac:dyDescent="0.25">
      <c r="A30" t="s">
        <v>149</v>
      </c>
      <c r="B30" s="1">
        <v>1</v>
      </c>
      <c r="C30" s="1" t="s">
        <v>149</v>
      </c>
      <c r="D30" t="s">
        <v>267</v>
      </c>
      <c r="E30" s="1">
        <v>25</v>
      </c>
      <c r="F30" s="214" t="s">
        <v>254</v>
      </c>
      <c r="G30" s="134" t="str">
        <f>IFERROR(IF(_xlfn.XLOOKUP(TableHandbook[[#This Row],[UDC]],TableAvailabilities[Row Labels],TableAvailabilities[OpenUnis Session 1])&gt;0,"Y",""),"")</f>
        <v/>
      </c>
      <c r="H30" s="134" t="str">
        <f>IFERROR(IF(_xlfn.XLOOKUP(TableHandbook[[#This Row],[UDC]],TableAvailabilities[Row Labels],TableAvailabilities[OpenUnis Session 2])&gt;0,"Y",""),"")</f>
        <v/>
      </c>
      <c r="I30" s="134" t="str">
        <f>IFERROR(IF(_xlfn.XLOOKUP(TableHandbook[[#This Row],[UDC]],TableAvailabilities[Row Labels],TableAvailabilities[OpenUnis SP 1])&gt;0,"Y",""),"")</f>
        <v>Y</v>
      </c>
      <c r="J30" s="134" t="str">
        <f>IFERROR(IF(_xlfn.XLOOKUP(TableHandbook[[#This Row],[UDC]],TableAvailabilities[Row Labels],TableAvailabilities[OpenUnis SP 2])&gt;0,"Y",""),"")</f>
        <v/>
      </c>
      <c r="K30" s="134" t="str">
        <f>IFERROR(IF(_xlfn.XLOOKUP(TableHandbook[[#This Row],[UDC]],TableAvailabilities[Row Labels],TableAvailabilities[OpenUnis SP 3])&gt;0,"Y",""),"")</f>
        <v>Y</v>
      </c>
      <c r="L30" s="134" t="str">
        <f>IFERROR(IF(_xlfn.XLOOKUP(TableHandbook[[#This Row],[UDC]],TableAvailabilities[Row Labels],TableAvailabilities[OpenUnis SP 4])&gt;0,"Y",""),"")</f>
        <v/>
      </c>
      <c r="N30" s="133" t="str">
        <f>IFERROR(VLOOKUP(TableHandbook[[#This Row],[UDC]],TableOMARTS[],7,FALSE),"")</f>
        <v/>
      </c>
      <c r="O30" s="133" t="str">
        <f>IFERROR(VLOOKUP(TableHandbook[[#This Row],[UDC]],TableOUMPCWRI4[],7,FALSE),"")</f>
        <v>Option</v>
      </c>
      <c r="P30" s="133" t="str">
        <f>IFERROR(VLOOKUP(TableHandbook[[#This Row],[UDC]],TableOUMPDGCM1[],7,FALSE),"")</f>
        <v/>
      </c>
      <c r="Q30" s="133" t="str">
        <f>IFERROR(VLOOKUP(TableHandbook[[#This Row],[UDC]],TableOUMPFINA1[],7,FALSE),"")</f>
        <v/>
      </c>
      <c r="R30" s="133" t="str">
        <f>IFERROR(VLOOKUP(TableHandbook[[#This Row],[UDC]],TableOUMPPWRI4[],7,FALSE),"")</f>
        <v/>
      </c>
      <c r="S30" s="175" t="str">
        <f>IFERROR(VLOOKUP(TableHandbook[[#This Row],[UDC]],TableOGARTS[],7,FALSE),"")</f>
        <v/>
      </c>
      <c r="T30" s="133" t="str">
        <f>IFERROR(VLOOKUP(TableHandbook[[#This Row],[UDC]],TableOUMPCWRI3[],7,FALSE),"")</f>
        <v>Option</v>
      </c>
      <c r="U30" s="133" t="str">
        <f>IFERROR(VLOOKUP(TableHandbook[[#This Row],[UDC]],TableOUMPDGCM2[],7,FALSE),"")</f>
        <v/>
      </c>
      <c r="V30" s="133" t="str">
        <f>IFERROR(VLOOKUP(TableHandbook[[#This Row],[UDC]],TableOUMPFINA2[],7,FALSE),"")</f>
        <v/>
      </c>
      <c r="W30" s="133" t="str">
        <f>IFERROR(VLOOKUP(TableHandbook[[#This Row],[UDC]],TableOUMPPWRI3[],7,FALSE),"")</f>
        <v/>
      </c>
      <c r="X30" s="175" t="str">
        <f>IFERROR(VLOOKUP(TableHandbook[[#This Row],[UDC]],TableOCARTS[],7,FALSE),"")</f>
        <v/>
      </c>
      <c r="Y30" s="133" t="str">
        <f>IFERROR(VLOOKUP(TableHandbook[[#This Row],[UDC]],TableOUSPCWRI1[],7,FALSE),"")</f>
        <v>Option</v>
      </c>
      <c r="Z30" s="133" t="str">
        <f>IFERROR(VLOOKUP(TableHandbook[[#This Row],[UDC]],TableOUSPDGCM1[],7,FALSE),"")</f>
        <v/>
      </c>
      <c r="AA30" s="133" t="str">
        <f>IFERROR(VLOOKUP(TableHandbook[[#This Row],[UDC]],TableOUSPFINA1[],7,FALSE),"")</f>
        <v/>
      </c>
      <c r="AB30" s="133" t="str">
        <f>IFERROR(VLOOKUP(TableHandbook[[#This Row],[UDC]],TableOUSPPWRI1[],7,FALSE),"")</f>
        <v/>
      </c>
      <c r="AC30" s="175" t="str">
        <f>IFERROR(VLOOKUP(TableHandbook[[#This Row],[UDC]],TableOCHRIGHT[],7,FALSE),"")</f>
        <v/>
      </c>
      <c r="AD30" s="133" t="str">
        <f>IFERROR(VLOOKUP(TableHandbook[[#This Row],[UDC]],TableOGHRIGHT[],7,FALSE),"")</f>
        <v/>
      </c>
      <c r="AE30" s="133" t="str">
        <f>IFERROR(VLOOKUP(TableHandbook[[#This Row],[UDC]],TableOMHRIGHT[],7,FALSE),"")</f>
        <v/>
      </c>
    </row>
    <row r="31" spans="1:31" x14ac:dyDescent="0.25">
      <c r="A31" t="s">
        <v>152</v>
      </c>
      <c r="B31" s="1">
        <v>1</v>
      </c>
      <c r="C31" s="1" t="s">
        <v>152</v>
      </c>
      <c r="D31" t="s">
        <v>263</v>
      </c>
      <c r="E31" s="1">
        <v>25</v>
      </c>
      <c r="F31" s="214" t="s">
        <v>254</v>
      </c>
      <c r="G31" s="134" t="str">
        <f>IFERROR(IF(_xlfn.XLOOKUP(TableHandbook[[#This Row],[UDC]],TableAvailabilities[Row Labels],TableAvailabilities[OpenUnis Session 1])&gt;0,"Y",""),"")</f>
        <v/>
      </c>
      <c r="H31" s="134" t="str">
        <f>IFERROR(IF(_xlfn.XLOOKUP(TableHandbook[[#This Row],[UDC]],TableAvailabilities[Row Labels],TableAvailabilities[OpenUnis Session 2])&gt;0,"Y",""),"")</f>
        <v/>
      </c>
      <c r="I31" s="134" t="str">
        <f>IFERROR(IF(_xlfn.XLOOKUP(TableHandbook[[#This Row],[UDC]],TableAvailabilities[Row Labels],TableAvailabilities[OpenUnis SP 1])&gt;0,"Y",""),"")</f>
        <v/>
      </c>
      <c r="J31" s="134" t="str">
        <f>IFERROR(IF(_xlfn.XLOOKUP(TableHandbook[[#This Row],[UDC]],TableAvailabilities[Row Labels],TableAvailabilities[OpenUnis SP 2])&gt;0,"Y",""),"")</f>
        <v/>
      </c>
      <c r="K31" s="134" t="str">
        <f>IFERROR(IF(_xlfn.XLOOKUP(TableHandbook[[#This Row],[UDC]],TableAvailabilities[Row Labels],TableAvailabilities[OpenUnis SP 3])&gt;0,"Y",""),"")</f>
        <v/>
      </c>
      <c r="L31" s="134" t="str">
        <f>IFERROR(IF(_xlfn.XLOOKUP(TableHandbook[[#This Row],[UDC]],TableAvailabilities[Row Labels],TableAvailabilities[OpenUnis SP 4])&gt;0,"Y",""),"")</f>
        <v>Y</v>
      </c>
      <c r="N31" s="133" t="str">
        <f>IFERROR(VLOOKUP(TableHandbook[[#This Row],[UDC]],TableOMARTS[],7,FALSE),"")</f>
        <v/>
      </c>
      <c r="O31" s="133" t="str">
        <f>IFERROR(VLOOKUP(TableHandbook[[#This Row],[UDC]],TableOUMPCWRI4[],7,FALSE),"")</f>
        <v>Option</v>
      </c>
      <c r="P31" s="133" t="str">
        <f>IFERROR(VLOOKUP(TableHandbook[[#This Row],[UDC]],TableOUMPDGCM1[],7,FALSE),"")</f>
        <v/>
      </c>
      <c r="Q31" s="133" t="str">
        <f>IFERROR(VLOOKUP(TableHandbook[[#This Row],[UDC]],TableOUMPFINA1[],7,FALSE),"")</f>
        <v/>
      </c>
      <c r="R31" s="133" t="str">
        <f>IFERROR(VLOOKUP(TableHandbook[[#This Row],[UDC]],TableOUMPPWRI4[],7,FALSE),"")</f>
        <v/>
      </c>
      <c r="S31" s="175" t="str">
        <f>IFERROR(VLOOKUP(TableHandbook[[#This Row],[UDC]],TableOGARTS[],7,FALSE),"")</f>
        <v/>
      </c>
      <c r="T31" s="133" t="str">
        <f>IFERROR(VLOOKUP(TableHandbook[[#This Row],[UDC]],TableOUMPCWRI3[],7,FALSE),"")</f>
        <v>Option</v>
      </c>
      <c r="U31" s="133" t="str">
        <f>IFERROR(VLOOKUP(TableHandbook[[#This Row],[UDC]],TableOUMPDGCM2[],7,FALSE),"")</f>
        <v/>
      </c>
      <c r="V31" s="133" t="str">
        <f>IFERROR(VLOOKUP(TableHandbook[[#This Row],[UDC]],TableOUMPFINA2[],7,FALSE),"")</f>
        <v/>
      </c>
      <c r="W31" s="133" t="str">
        <f>IFERROR(VLOOKUP(TableHandbook[[#This Row],[UDC]],TableOUMPPWRI3[],7,FALSE),"")</f>
        <v/>
      </c>
      <c r="X31" s="175" t="str">
        <f>IFERROR(VLOOKUP(TableHandbook[[#This Row],[UDC]],TableOCARTS[],7,FALSE),"")</f>
        <v/>
      </c>
      <c r="Y31" s="133" t="str">
        <f>IFERROR(VLOOKUP(TableHandbook[[#This Row],[UDC]],TableOUSPCWRI1[],7,FALSE),"")</f>
        <v>Option</v>
      </c>
      <c r="Z31" s="133" t="str">
        <f>IFERROR(VLOOKUP(TableHandbook[[#This Row],[UDC]],TableOUSPDGCM1[],7,FALSE),"")</f>
        <v/>
      </c>
      <c r="AA31" s="133" t="str">
        <f>IFERROR(VLOOKUP(TableHandbook[[#This Row],[UDC]],TableOUSPFINA1[],7,FALSE),"")</f>
        <v/>
      </c>
      <c r="AB31" s="133" t="str">
        <f>IFERROR(VLOOKUP(TableHandbook[[#This Row],[UDC]],TableOUSPPWRI1[],7,FALSE),"")</f>
        <v/>
      </c>
      <c r="AC31" s="175" t="str">
        <f>IFERROR(VLOOKUP(TableHandbook[[#This Row],[UDC]],TableOCHRIGHT[],7,FALSE),"")</f>
        <v/>
      </c>
      <c r="AD31" s="133" t="str">
        <f>IFERROR(VLOOKUP(TableHandbook[[#This Row],[UDC]],TableOGHRIGHT[],7,FALSE),"")</f>
        <v/>
      </c>
      <c r="AE31" s="133" t="str">
        <f>IFERROR(VLOOKUP(TableHandbook[[#This Row],[UDC]],TableOMHRIGHT[],7,FALSE),"")</f>
        <v/>
      </c>
    </row>
    <row r="32" spans="1:31" x14ac:dyDescent="0.25">
      <c r="A32" t="s">
        <v>155</v>
      </c>
      <c r="B32" s="1">
        <v>1</v>
      </c>
      <c r="C32" s="1" t="s">
        <v>155</v>
      </c>
      <c r="D32" t="s">
        <v>265</v>
      </c>
      <c r="E32" s="1">
        <v>25</v>
      </c>
      <c r="F32" s="214" t="s">
        <v>254</v>
      </c>
      <c r="G32" s="134" t="str">
        <f>IFERROR(IF(_xlfn.XLOOKUP(TableHandbook[[#This Row],[UDC]],TableAvailabilities[Row Labels],TableAvailabilities[OpenUnis Session 1])&gt;0,"Y",""),"")</f>
        <v/>
      </c>
      <c r="H32" s="134" t="str">
        <f>IFERROR(IF(_xlfn.XLOOKUP(TableHandbook[[#This Row],[UDC]],TableAvailabilities[Row Labels],TableAvailabilities[OpenUnis Session 2])&gt;0,"Y",""),"")</f>
        <v/>
      </c>
      <c r="I32" s="134" t="str">
        <f>IFERROR(IF(_xlfn.XLOOKUP(TableHandbook[[#This Row],[UDC]],TableAvailabilities[Row Labels],TableAvailabilities[OpenUnis SP 1])&gt;0,"Y",""),"")</f>
        <v/>
      </c>
      <c r="J32" s="134" t="str">
        <f>IFERROR(IF(_xlfn.XLOOKUP(TableHandbook[[#This Row],[UDC]],TableAvailabilities[Row Labels],TableAvailabilities[OpenUnis SP 2])&gt;0,"Y",""),"")</f>
        <v/>
      </c>
      <c r="K32" s="134" t="str">
        <f>IFERROR(IF(_xlfn.XLOOKUP(TableHandbook[[#This Row],[UDC]],TableAvailabilities[Row Labels],TableAvailabilities[OpenUnis SP 3])&gt;0,"Y",""),"")</f>
        <v/>
      </c>
      <c r="L32" s="134" t="str">
        <f>IFERROR(IF(_xlfn.XLOOKUP(TableHandbook[[#This Row],[UDC]],TableAvailabilities[Row Labels],TableAvailabilities[OpenUnis SP 4])&gt;0,"Y",""),"")</f>
        <v>Y</v>
      </c>
      <c r="N32" s="133" t="str">
        <f>IFERROR(VLOOKUP(TableHandbook[[#This Row],[UDC]],TableOMARTS[],7,FALSE),"")</f>
        <v/>
      </c>
      <c r="O32" s="133" t="str">
        <f>IFERROR(VLOOKUP(TableHandbook[[#This Row],[UDC]],TableOUMPCWRI4[],7,FALSE),"")</f>
        <v>Option</v>
      </c>
      <c r="P32" s="133" t="str">
        <f>IFERROR(VLOOKUP(TableHandbook[[#This Row],[UDC]],TableOUMPDGCM1[],7,FALSE),"")</f>
        <v>Option</v>
      </c>
      <c r="Q32" s="133" t="str">
        <f>IFERROR(VLOOKUP(TableHandbook[[#This Row],[UDC]],TableOUMPFINA1[],7,FALSE),"")</f>
        <v/>
      </c>
      <c r="R32" s="133" t="str">
        <f>IFERROR(VLOOKUP(TableHandbook[[#This Row],[UDC]],TableOUMPPWRI4[],7,FALSE),"")</f>
        <v>Option</v>
      </c>
      <c r="S32" s="175" t="str">
        <f>IFERROR(VLOOKUP(TableHandbook[[#This Row],[UDC]],TableOGARTS[],7,FALSE),"")</f>
        <v/>
      </c>
      <c r="T32" s="133" t="str">
        <f>IFERROR(VLOOKUP(TableHandbook[[#This Row],[UDC]],TableOUMPCWRI3[],7,FALSE),"")</f>
        <v>Option</v>
      </c>
      <c r="U32" s="133" t="str">
        <f>IFERROR(VLOOKUP(TableHandbook[[#This Row],[UDC]],TableOUMPDGCM2[],7,FALSE),"")</f>
        <v/>
      </c>
      <c r="V32" s="133" t="str">
        <f>IFERROR(VLOOKUP(TableHandbook[[#This Row],[UDC]],TableOUMPFINA2[],7,FALSE),"")</f>
        <v/>
      </c>
      <c r="W32" s="133" t="str">
        <f>IFERROR(VLOOKUP(TableHandbook[[#This Row],[UDC]],TableOUMPPWRI3[],7,FALSE),"")</f>
        <v/>
      </c>
      <c r="X32" s="175" t="str">
        <f>IFERROR(VLOOKUP(TableHandbook[[#This Row],[UDC]],TableOCARTS[],7,FALSE),"")</f>
        <v/>
      </c>
      <c r="Y32" s="133" t="str">
        <f>IFERROR(VLOOKUP(TableHandbook[[#This Row],[UDC]],TableOUSPCWRI1[],7,FALSE),"")</f>
        <v>Option</v>
      </c>
      <c r="Z32" s="133" t="str">
        <f>IFERROR(VLOOKUP(TableHandbook[[#This Row],[UDC]],TableOUSPDGCM1[],7,FALSE),"")</f>
        <v/>
      </c>
      <c r="AA32" s="133" t="str">
        <f>IFERROR(VLOOKUP(TableHandbook[[#This Row],[UDC]],TableOUSPFINA1[],7,FALSE),"")</f>
        <v/>
      </c>
      <c r="AB32" s="133" t="str">
        <f>IFERROR(VLOOKUP(TableHandbook[[#This Row],[UDC]],TableOUSPPWRI1[],7,FALSE),"")</f>
        <v/>
      </c>
      <c r="AC32" s="175" t="str">
        <f>IFERROR(VLOOKUP(TableHandbook[[#This Row],[UDC]],TableOCHRIGHT[],7,FALSE),"")</f>
        <v/>
      </c>
      <c r="AD32" s="133" t="str">
        <f>IFERROR(VLOOKUP(TableHandbook[[#This Row],[UDC]],TableOGHRIGHT[],7,FALSE),"")</f>
        <v/>
      </c>
      <c r="AE32" s="133" t="str">
        <f>IFERROR(VLOOKUP(TableHandbook[[#This Row],[UDC]],TableOMHRIGHT[],7,FALSE),"")</f>
        <v/>
      </c>
    </row>
    <row r="33" spans="1:31" x14ac:dyDescent="0.25">
      <c r="A33" t="s">
        <v>157</v>
      </c>
      <c r="B33" s="1">
        <v>1</v>
      </c>
      <c r="C33" s="1" t="s">
        <v>157</v>
      </c>
      <c r="D33" t="s">
        <v>273</v>
      </c>
      <c r="E33" s="1">
        <v>25</v>
      </c>
      <c r="F33" s="214" t="s">
        <v>254</v>
      </c>
      <c r="G33" s="134" t="str">
        <f>IFERROR(IF(_xlfn.XLOOKUP(TableHandbook[[#This Row],[UDC]],TableAvailabilities[Row Labels],TableAvailabilities[OpenUnis Session 1])&gt;0,"Y",""),"")</f>
        <v/>
      </c>
      <c r="H33" s="134" t="str">
        <f>IFERROR(IF(_xlfn.XLOOKUP(TableHandbook[[#This Row],[UDC]],TableAvailabilities[Row Labels],TableAvailabilities[OpenUnis Session 2])&gt;0,"Y",""),"")</f>
        <v/>
      </c>
      <c r="I33" s="134" t="str">
        <f>IFERROR(IF(_xlfn.XLOOKUP(TableHandbook[[#This Row],[UDC]],TableAvailabilities[Row Labels],TableAvailabilities[OpenUnis SP 1])&gt;0,"Y",""),"")</f>
        <v>Y</v>
      </c>
      <c r="J33" s="134" t="str">
        <f>IFERROR(IF(_xlfn.XLOOKUP(TableHandbook[[#This Row],[UDC]],TableAvailabilities[Row Labels],TableAvailabilities[OpenUnis SP 2])&gt;0,"Y",""),"")</f>
        <v/>
      </c>
      <c r="K33" s="134" t="str">
        <f>IFERROR(IF(_xlfn.XLOOKUP(TableHandbook[[#This Row],[UDC]],TableAvailabilities[Row Labels],TableAvailabilities[OpenUnis SP 3])&gt;0,"Y",""),"")</f>
        <v>Y</v>
      </c>
      <c r="L33" s="134" t="str">
        <f>IFERROR(IF(_xlfn.XLOOKUP(TableHandbook[[#This Row],[UDC]],TableAvailabilities[Row Labels],TableAvailabilities[OpenUnis SP 4])&gt;0,"Y",""),"")</f>
        <v/>
      </c>
      <c r="N33" s="133" t="str">
        <f>IFERROR(VLOOKUP(TableHandbook[[#This Row],[UDC]],TableOMARTS[],7,FALSE),"")</f>
        <v/>
      </c>
      <c r="O33" s="133" t="str">
        <f>IFERROR(VLOOKUP(TableHandbook[[#This Row],[UDC]],TableOUMPCWRI4[],7,FALSE),"")</f>
        <v>Option</v>
      </c>
      <c r="P33" s="133" t="str">
        <f>IFERROR(VLOOKUP(TableHandbook[[#This Row],[UDC]],TableOUMPDGCM1[],7,FALSE),"")</f>
        <v/>
      </c>
      <c r="Q33" s="133" t="str">
        <f>IFERROR(VLOOKUP(TableHandbook[[#This Row],[UDC]],TableOUMPFINA1[],7,FALSE),"")</f>
        <v/>
      </c>
      <c r="R33" s="133" t="str">
        <f>IFERROR(VLOOKUP(TableHandbook[[#This Row],[UDC]],TableOUMPPWRI4[],7,FALSE),"")</f>
        <v/>
      </c>
      <c r="S33" s="175" t="str">
        <f>IFERROR(VLOOKUP(TableHandbook[[#This Row],[UDC]],TableOGARTS[],7,FALSE),"")</f>
        <v/>
      </c>
      <c r="T33" s="133" t="str">
        <f>IFERROR(VLOOKUP(TableHandbook[[#This Row],[UDC]],TableOUMPCWRI3[],7,FALSE),"")</f>
        <v>Option</v>
      </c>
      <c r="U33" s="133" t="str">
        <f>IFERROR(VLOOKUP(TableHandbook[[#This Row],[UDC]],TableOUMPDGCM2[],7,FALSE),"")</f>
        <v/>
      </c>
      <c r="V33" s="133" t="str">
        <f>IFERROR(VLOOKUP(TableHandbook[[#This Row],[UDC]],TableOUMPFINA2[],7,FALSE),"")</f>
        <v/>
      </c>
      <c r="W33" s="133" t="str">
        <f>IFERROR(VLOOKUP(TableHandbook[[#This Row],[UDC]],TableOUMPPWRI3[],7,FALSE),"")</f>
        <v/>
      </c>
      <c r="X33" s="175" t="str">
        <f>IFERROR(VLOOKUP(TableHandbook[[#This Row],[UDC]],TableOCARTS[],7,FALSE),"")</f>
        <v/>
      </c>
      <c r="Y33" s="133" t="str">
        <f>IFERROR(VLOOKUP(TableHandbook[[#This Row],[UDC]],TableOUSPCWRI1[],7,FALSE),"")</f>
        <v>Option</v>
      </c>
      <c r="Z33" s="133" t="str">
        <f>IFERROR(VLOOKUP(TableHandbook[[#This Row],[UDC]],TableOUSPDGCM1[],7,FALSE),"")</f>
        <v/>
      </c>
      <c r="AA33" s="133" t="str">
        <f>IFERROR(VLOOKUP(TableHandbook[[#This Row],[UDC]],TableOUSPFINA1[],7,FALSE),"")</f>
        <v/>
      </c>
      <c r="AB33" s="133" t="str">
        <f>IFERROR(VLOOKUP(TableHandbook[[#This Row],[UDC]],TableOUSPPWRI1[],7,FALSE),"")</f>
        <v/>
      </c>
      <c r="AC33" s="175" t="str">
        <f>IFERROR(VLOOKUP(TableHandbook[[#This Row],[UDC]],TableOCHRIGHT[],7,FALSE),"")</f>
        <v/>
      </c>
      <c r="AD33" s="133" t="str">
        <f>IFERROR(VLOOKUP(TableHandbook[[#This Row],[UDC]],TableOGHRIGHT[],7,FALSE),"")</f>
        <v/>
      </c>
      <c r="AE33" s="133" t="str">
        <f>IFERROR(VLOOKUP(TableHandbook[[#This Row],[UDC]],TableOMHRIGHT[],7,FALSE),"")</f>
        <v/>
      </c>
    </row>
    <row r="34" spans="1:31" x14ac:dyDescent="0.25">
      <c r="A34" t="s">
        <v>160</v>
      </c>
      <c r="B34" s="1">
        <v>1</v>
      </c>
      <c r="C34" s="1" t="s">
        <v>160</v>
      </c>
      <c r="D34" t="s">
        <v>271</v>
      </c>
      <c r="E34" s="1">
        <v>25</v>
      </c>
      <c r="F34" s="214" t="s">
        <v>254</v>
      </c>
      <c r="G34" s="134" t="str">
        <f>IFERROR(IF(_xlfn.XLOOKUP(TableHandbook[[#This Row],[UDC]],TableAvailabilities[Row Labels],TableAvailabilities[OpenUnis Session 1])&gt;0,"Y",""),"")</f>
        <v/>
      </c>
      <c r="H34" s="134" t="str">
        <f>IFERROR(IF(_xlfn.XLOOKUP(TableHandbook[[#This Row],[UDC]],TableAvailabilities[Row Labels],TableAvailabilities[OpenUnis Session 2])&gt;0,"Y",""),"")</f>
        <v/>
      </c>
      <c r="I34" s="134" t="str">
        <f>IFERROR(IF(_xlfn.XLOOKUP(TableHandbook[[#This Row],[UDC]],TableAvailabilities[Row Labels],TableAvailabilities[OpenUnis SP 1])&gt;0,"Y",""),"")</f>
        <v>Y</v>
      </c>
      <c r="J34" s="134" t="str">
        <f>IFERROR(IF(_xlfn.XLOOKUP(TableHandbook[[#This Row],[UDC]],TableAvailabilities[Row Labels],TableAvailabilities[OpenUnis SP 2])&gt;0,"Y",""),"")</f>
        <v/>
      </c>
      <c r="K34" s="134" t="str">
        <f>IFERROR(IF(_xlfn.XLOOKUP(TableHandbook[[#This Row],[UDC]],TableAvailabilities[Row Labels],TableAvailabilities[OpenUnis SP 3])&gt;0,"Y",""),"")</f>
        <v>Y</v>
      </c>
      <c r="L34" s="134" t="str">
        <f>IFERROR(IF(_xlfn.XLOOKUP(TableHandbook[[#This Row],[UDC]],TableAvailabilities[Row Labels],TableAvailabilities[OpenUnis SP 4])&gt;0,"Y",""),"")</f>
        <v/>
      </c>
      <c r="N34" s="133" t="str">
        <f>IFERROR(VLOOKUP(TableHandbook[[#This Row],[UDC]],TableOMARTS[],7,FALSE),"")</f>
        <v/>
      </c>
      <c r="O34" s="133" t="str">
        <f>IFERROR(VLOOKUP(TableHandbook[[#This Row],[UDC]],TableOUMPCWRI4[],7,FALSE),"")</f>
        <v>Option</v>
      </c>
      <c r="P34" s="133" t="str">
        <f>IFERROR(VLOOKUP(TableHandbook[[#This Row],[UDC]],TableOUMPDGCM1[],7,FALSE),"")</f>
        <v/>
      </c>
      <c r="Q34" s="133" t="str">
        <f>IFERROR(VLOOKUP(TableHandbook[[#This Row],[UDC]],TableOUMPFINA1[],7,FALSE),"")</f>
        <v/>
      </c>
      <c r="R34" s="133" t="str">
        <f>IFERROR(VLOOKUP(TableHandbook[[#This Row],[UDC]],TableOUMPPWRI4[],7,FALSE),"")</f>
        <v/>
      </c>
      <c r="S34" s="175" t="str">
        <f>IFERROR(VLOOKUP(TableHandbook[[#This Row],[UDC]],TableOGARTS[],7,FALSE),"")</f>
        <v/>
      </c>
      <c r="T34" s="133" t="str">
        <f>IFERROR(VLOOKUP(TableHandbook[[#This Row],[UDC]],TableOUMPCWRI3[],7,FALSE),"")</f>
        <v>Option</v>
      </c>
      <c r="U34" s="133" t="str">
        <f>IFERROR(VLOOKUP(TableHandbook[[#This Row],[UDC]],TableOUMPDGCM2[],7,FALSE),"")</f>
        <v/>
      </c>
      <c r="V34" s="133" t="str">
        <f>IFERROR(VLOOKUP(TableHandbook[[#This Row],[UDC]],TableOUMPFINA2[],7,FALSE),"")</f>
        <v/>
      </c>
      <c r="W34" s="133" t="str">
        <f>IFERROR(VLOOKUP(TableHandbook[[#This Row],[UDC]],TableOUMPPWRI3[],7,FALSE),"")</f>
        <v/>
      </c>
      <c r="X34" s="175" t="str">
        <f>IFERROR(VLOOKUP(TableHandbook[[#This Row],[UDC]],TableOCARTS[],7,FALSE),"")</f>
        <v/>
      </c>
      <c r="Y34" s="133" t="str">
        <f>IFERROR(VLOOKUP(TableHandbook[[#This Row],[UDC]],TableOUSPCWRI1[],7,FALSE),"")</f>
        <v>Option</v>
      </c>
      <c r="Z34" s="133" t="str">
        <f>IFERROR(VLOOKUP(TableHandbook[[#This Row],[UDC]],TableOUSPDGCM1[],7,FALSE),"")</f>
        <v/>
      </c>
      <c r="AA34" s="133" t="str">
        <f>IFERROR(VLOOKUP(TableHandbook[[#This Row],[UDC]],TableOUSPFINA1[],7,FALSE),"")</f>
        <v/>
      </c>
      <c r="AB34" s="133" t="str">
        <f>IFERROR(VLOOKUP(TableHandbook[[#This Row],[UDC]],TableOUSPPWRI1[],7,FALSE),"")</f>
        <v/>
      </c>
      <c r="AC34" s="175" t="str">
        <f>IFERROR(VLOOKUP(TableHandbook[[#This Row],[UDC]],TableOCHRIGHT[],7,FALSE),"")</f>
        <v/>
      </c>
      <c r="AD34" s="133" t="str">
        <f>IFERROR(VLOOKUP(TableHandbook[[#This Row],[UDC]],TableOGHRIGHT[],7,FALSE),"")</f>
        <v/>
      </c>
      <c r="AE34" s="133" t="str">
        <f>IFERROR(VLOOKUP(TableHandbook[[#This Row],[UDC]],TableOMHRIGHT[],7,FALSE),"")</f>
        <v/>
      </c>
    </row>
    <row r="35" spans="1:31" x14ac:dyDescent="0.25">
      <c r="A35" t="s">
        <v>164</v>
      </c>
      <c r="B35" s="1">
        <v>1</v>
      </c>
      <c r="C35" s="1" t="s">
        <v>164</v>
      </c>
      <c r="D35" t="s">
        <v>269</v>
      </c>
      <c r="E35" s="1">
        <v>25</v>
      </c>
      <c r="F35" s="214" t="s">
        <v>254</v>
      </c>
      <c r="G35" s="134" t="str">
        <f>IFERROR(IF(_xlfn.XLOOKUP(TableHandbook[[#This Row],[UDC]],TableAvailabilities[Row Labels],TableAvailabilities[OpenUnis Session 1])&gt;0,"Y",""),"")</f>
        <v/>
      </c>
      <c r="H35" s="134" t="str">
        <f>IFERROR(IF(_xlfn.XLOOKUP(TableHandbook[[#This Row],[UDC]],TableAvailabilities[Row Labels],TableAvailabilities[OpenUnis Session 2])&gt;0,"Y",""),"")</f>
        <v/>
      </c>
      <c r="I35" s="134" t="str">
        <f>IFERROR(IF(_xlfn.XLOOKUP(TableHandbook[[#This Row],[UDC]],TableAvailabilities[Row Labels],TableAvailabilities[OpenUnis SP 1])&gt;0,"Y",""),"")</f>
        <v/>
      </c>
      <c r="J35" s="134" t="str">
        <f>IFERROR(IF(_xlfn.XLOOKUP(TableHandbook[[#This Row],[UDC]],TableAvailabilities[Row Labels],TableAvailabilities[OpenUnis SP 2])&gt;0,"Y",""),"")</f>
        <v>Y</v>
      </c>
      <c r="K35" s="134" t="str">
        <f>IFERROR(IF(_xlfn.XLOOKUP(TableHandbook[[#This Row],[UDC]],TableAvailabilities[Row Labels],TableAvailabilities[OpenUnis SP 3])&gt;0,"Y",""),"")</f>
        <v/>
      </c>
      <c r="L35" s="134" t="str">
        <f>IFERROR(IF(_xlfn.XLOOKUP(TableHandbook[[#This Row],[UDC]],TableAvailabilities[Row Labels],TableAvailabilities[OpenUnis SP 4])&gt;0,"Y",""),"")</f>
        <v/>
      </c>
      <c r="N35" s="133" t="str">
        <f>IFERROR(VLOOKUP(TableHandbook[[#This Row],[UDC]],TableOMARTS[],7,FALSE),"")</f>
        <v/>
      </c>
      <c r="O35" s="133" t="str">
        <f>IFERROR(VLOOKUP(TableHandbook[[#This Row],[UDC]],TableOUMPCWRI4[],7,FALSE),"")</f>
        <v>Option</v>
      </c>
      <c r="P35" s="133" t="str">
        <f>IFERROR(VLOOKUP(TableHandbook[[#This Row],[UDC]],TableOUMPDGCM1[],7,FALSE),"")</f>
        <v/>
      </c>
      <c r="Q35" s="133" t="str">
        <f>IFERROR(VLOOKUP(TableHandbook[[#This Row],[UDC]],TableOUMPFINA1[],7,FALSE),"")</f>
        <v/>
      </c>
      <c r="R35" s="133" t="str">
        <f>IFERROR(VLOOKUP(TableHandbook[[#This Row],[UDC]],TableOUMPPWRI4[],7,FALSE),"")</f>
        <v>Option</v>
      </c>
      <c r="S35" s="175" t="str">
        <f>IFERROR(VLOOKUP(TableHandbook[[#This Row],[UDC]],TableOGARTS[],7,FALSE),"")</f>
        <v/>
      </c>
      <c r="T35" s="133" t="str">
        <f>IFERROR(VLOOKUP(TableHandbook[[#This Row],[UDC]],TableOUMPCWRI3[],7,FALSE),"")</f>
        <v>Option</v>
      </c>
      <c r="U35" s="133" t="str">
        <f>IFERROR(VLOOKUP(TableHandbook[[#This Row],[UDC]],TableOUMPDGCM2[],7,FALSE),"")</f>
        <v/>
      </c>
      <c r="V35" s="133" t="str">
        <f>IFERROR(VLOOKUP(TableHandbook[[#This Row],[UDC]],TableOUMPFINA2[],7,FALSE),"")</f>
        <v/>
      </c>
      <c r="W35" s="133" t="str">
        <f>IFERROR(VLOOKUP(TableHandbook[[#This Row],[UDC]],TableOUMPPWRI3[],7,FALSE),"")</f>
        <v/>
      </c>
      <c r="X35" s="175" t="str">
        <f>IFERROR(VLOOKUP(TableHandbook[[#This Row],[UDC]],TableOCARTS[],7,FALSE),"")</f>
        <v/>
      </c>
      <c r="Y35" s="133" t="str">
        <f>IFERROR(VLOOKUP(TableHandbook[[#This Row],[UDC]],TableOUSPCWRI1[],7,FALSE),"")</f>
        <v>Option</v>
      </c>
      <c r="Z35" s="133" t="str">
        <f>IFERROR(VLOOKUP(TableHandbook[[#This Row],[UDC]],TableOUSPDGCM1[],7,FALSE),"")</f>
        <v/>
      </c>
      <c r="AA35" s="133" t="str">
        <f>IFERROR(VLOOKUP(TableHandbook[[#This Row],[UDC]],TableOUSPFINA1[],7,FALSE),"")</f>
        <v/>
      </c>
      <c r="AB35" s="133" t="str">
        <f>IFERROR(VLOOKUP(TableHandbook[[#This Row],[UDC]],TableOUSPPWRI1[],7,FALSE),"")</f>
        <v/>
      </c>
      <c r="AC35" s="175" t="str">
        <f>IFERROR(VLOOKUP(TableHandbook[[#This Row],[UDC]],TableOCHRIGHT[],7,FALSE),"")</f>
        <v/>
      </c>
      <c r="AD35" s="133" t="str">
        <f>IFERROR(VLOOKUP(TableHandbook[[#This Row],[UDC]],TableOGHRIGHT[],7,FALSE),"")</f>
        <v/>
      </c>
      <c r="AE35" s="133" t="str">
        <f>IFERROR(VLOOKUP(TableHandbook[[#This Row],[UDC]],TableOMHRIGHT[],7,FALSE),"")</f>
        <v/>
      </c>
    </row>
    <row r="36" spans="1:31" x14ac:dyDescent="0.25">
      <c r="A36" t="s">
        <v>473</v>
      </c>
      <c r="B36" s="1">
        <v>1</v>
      </c>
      <c r="C36" s="1" t="s">
        <v>274</v>
      </c>
      <c r="D36" t="s">
        <v>275</v>
      </c>
      <c r="E36" s="1">
        <v>25</v>
      </c>
      <c r="F36" s="132" t="s">
        <v>254</v>
      </c>
      <c r="G36" s="134" t="str">
        <f>IFERROR(IF(_xlfn.XLOOKUP(TableHandbook[[#This Row],[UDC]],TableAvailabilities[Row Labels],TableAvailabilities[OpenUnis Session 1])&gt;0,"Y",""),"")</f>
        <v/>
      </c>
      <c r="H36" s="134" t="str">
        <f>IFERROR(IF(_xlfn.XLOOKUP(TableHandbook[[#This Row],[UDC]],TableAvailabilities[Row Labels],TableAvailabilities[OpenUnis Session 2])&gt;0,"Y",""),"")</f>
        <v/>
      </c>
      <c r="I36" s="134" t="str">
        <f>IFERROR(IF(_xlfn.XLOOKUP(TableHandbook[[#This Row],[UDC]],TableAvailabilities[Row Labels],TableAvailabilities[OpenUnis SP 1])&gt;0,"Y",""),"")</f>
        <v/>
      </c>
      <c r="J36" s="134" t="str">
        <f>IFERROR(IF(_xlfn.XLOOKUP(TableHandbook[[#This Row],[UDC]],TableAvailabilities[Row Labels],TableAvailabilities[OpenUnis SP 2])&gt;0,"Y",""),"")</f>
        <v/>
      </c>
      <c r="K36" s="134" t="str">
        <f>IFERROR(IF(_xlfn.XLOOKUP(TableHandbook[[#This Row],[UDC]],TableAvailabilities[Row Labels],TableAvailabilities[OpenUnis SP 3])&gt;0,"Y",""),"")</f>
        <v/>
      </c>
      <c r="L36" s="134" t="str">
        <f>IFERROR(IF(_xlfn.XLOOKUP(TableHandbook[[#This Row],[UDC]],TableAvailabilities[Row Labels],TableAvailabilities[OpenUnis SP 4])&gt;0,"Y",""),"")</f>
        <v/>
      </c>
      <c r="M36" t="s">
        <v>474</v>
      </c>
      <c r="N36" s="133" t="str">
        <f>IFERROR(VLOOKUP(TableHandbook[[#This Row],[UDC]],TableOMARTS[],7,FALSE),"")</f>
        <v/>
      </c>
      <c r="O36" s="133" t="str">
        <f>IFERROR(VLOOKUP(TableHandbook[[#This Row],[UDC]],TableOUMPCWRI4[],7,FALSE),"")</f>
        <v/>
      </c>
      <c r="P36" s="133" t="str">
        <f>IFERROR(VLOOKUP(TableHandbook[[#This Row],[UDC]],TableOUMPDGCM1[],7,FALSE),"")</f>
        <v/>
      </c>
      <c r="Q36" s="133" t="str">
        <f>IFERROR(VLOOKUP(TableHandbook[[#This Row],[UDC]],TableOUMPFINA1[],7,FALSE),"")</f>
        <v/>
      </c>
      <c r="R36" s="133" t="str">
        <f>IFERROR(VLOOKUP(TableHandbook[[#This Row],[UDC]],TableOUMPPWRI4[],7,FALSE),"")</f>
        <v/>
      </c>
      <c r="S36" s="175" t="str">
        <f>IFERROR(VLOOKUP(TableHandbook[[#This Row],[UDC]],TableOGARTS[],7,FALSE),"")</f>
        <v/>
      </c>
      <c r="T36" s="133" t="str">
        <f>IFERROR(VLOOKUP(TableHandbook[[#This Row],[UDC]],TableOUMPCWRI3[],7,FALSE),"")</f>
        <v/>
      </c>
      <c r="U36" s="133" t="str">
        <f>IFERROR(VLOOKUP(TableHandbook[[#This Row],[UDC]],TableOUMPDGCM2[],7,FALSE),"")</f>
        <v/>
      </c>
      <c r="V36" s="133" t="str">
        <f>IFERROR(VLOOKUP(TableHandbook[[#This Row],[UDC]],TableOUMPFINA2[],7,FALSE),"")</f>
        <v/>
      </c>
      <c r="W36" s="133" t="str">
        <f>IFERROR(VLOOKUP(TableHandbook[[#This Row],[UDC]],TableOUMPPWRI3[],7,FALSE),"")</f>
        <v/>
      </c>
      <c r="X36" s="175" t="str">
        <f>IFERROR(VLOOKUP(TableHandbook[[#This Row],[UDC]],TableOCARTS[],7,FALSE),"")</f>
        <v/>
      </c>
      <c r="Y36" s="133" t="str">
        <f>IFERROR(VLOOKUP(TableHandbook[[#This Row],[UDC]],TableOUSPCWRI1[],7,FALSE),"")</f>
        <v/>
      </c>
      <c r="Z36" s="133" t="str">
        <f>IFERROR(VLOOKUP(TableHandbook[[#This Row],[UDC]],TableOUSPDGCM1[],7,FALSE),"")</f>
        <v/>
      </c>
      <c r="AA36" s="133" t="str">
        <f>IFERROR(VLOOKUP(TableHandbook[[#This Row],[UDC]],TableOUSPFINA1[],7,FALSE),"")</f>
        <v/>
      </c>
      <c r="AB36" s="133" t="str">
        <f>IFERROR(VLOOKUP(TableHandbook[[#This Row],[UDC]],TableOUSPPWRI1[],7,FALSE),"")</f>
        <v/>
      </c>
      <c r="AC36" s="175" t="str">
        <f>IFERROR(VLOOKUP(TableHandbook[[#This Row],[UDC]],TableOCHRIGHT[],7,FALSE),"")</f>
        <v/>
      </c>
      <c r="AD36" s="133" t="str">
        <f>IFERROR(VLOOKUP(TableHandbook[[#This Row],[UDC]],TableOGHRIGHT[],7,FALSE),"")</f>
        <v/>
      </c>
      <c r="AE36" s="133" t="str">
        <f>IFERROR(VLOOKUP(TableHandbook[[#This Row],[UDC]],TableOMHRIGHT[],7,FALSE),"")</f>
        <v/>
      </c>
    </row>
    <row r="37" spans="1:31" x14ac:dyDescent="0.25">
      <c r="A37" t="s">
        <v>151</v>
      </c>
      <c r="B37" s="1">
        <v>1</v>
      </c>
      <c r="C37" s="1" t="s">
        <v>151</v>
      </c>
      <c r="D37" t="s">
        <v>275</v>
      </c>
      <c r="E37" s="1">
        <v>25</v>
      </c>
      <c r="F37" s="214" t="s">
        <v>254</v>
      </c>
      <c r="G37" s="134" t="str">
        <f>IFERROR(IF(_xlfn.XLOOKUP(TableHandbook[[#This Row],[UDC]],TableAvailabilities[Row Labels],TableAvailabilities[OpenUnis Session 1])&gt;0,"Y",""),"")</f>
        <v/>
      </c>
      <c r="H37" s="134" t="str">
        <f>IFERROR(IF(_xlfn.XLOOKUP(TableHandbook[[#This Row],[UDC]],TableAvailabilities[Row Labels],TableAvailabilities[OpenUnis Session 2])&gt;0,"Y",""),"")</f>
        <v/>
      </c>
      <c r="I37" s="134" t="str">
        <f>IFERROR(IF(_xlfn.XLOOKUP(TableHandbook[[#This Row],[UDC]],TableAvailabilities[Row Labels],TableAvailabilities[OpenUnis SP 1])&gt;0,"Y",""),"")</f>
        <v/>
      </c>
      <c r="J37" s="134" t="str">
        <f>IFERROR(IF(_xlfn.XLOOKUP(TableHandbook[[#This Row],[UDC]],TableAvailabilities[Row Labels],TableAvailabilities[OpenUnis SP 2])&gt;0,"Y",""),"")</f>
        <v/>
      </c>
      <c r="K37" s="134" t="str">
        <f>IFERROR(IF(_xlfn.XLOOKUP(TableHandbook[[#This Row],[UDC]],TableAvailabilities[Row Labels],TableAvailabilities[OpenUnis SP 3])&gt;0,"Y",""),"")</f>
        <v>Y</v>
      </c>
      <c r="L37" s="134" t="str">
        <f>IFERROR(IF(_xlfn.XLOOKUP(TableHandbook[[#This Row],[UDC]],TableAvailabilities[Row Labels],TableAvailabilities[OpenUnis SP 4])&gt;0,"Y",""),"")</f>
        <v/>
      </c>
      <c r="N37" s="133" t="str">
        <f>IFERROR(VLOOKUP(TableHandbook[[#This Row],[UDC]],TableOMARTS[],7,FALSE),"")</f>
        <v/>
      </c>
      <c r="O37" s="133" t="str">
        <f>IFERROR(VLOOKUP(TableHandbook[[#This Row],[UDC]],TableOUMPCWRI4[],7,FALSE),"")</f>
        <v>Option</v>
      </c>
      <c r="P37" s="133" t="str">
        <f>IFERROR(VLOOKUP(TableHandbook[[#This Row],[UDC]],TableOUMPDGCM1[],7,FALSE),"")</f>
        <v/>
      </c>
      <c r="Q37" s="133" t="str">
        <f>IFERROR(VLOOKUP(TableHandbook[[#This Row],[UDC]],TableOUMPFINA1[],7,FALSE),"")</f>
        <v/>
      </c>
      <c r="R37" s="133" t="str">
        <f>IFERROR(VLOOKUP(TableHandbook[[#This Row],[UDC]],TableOUMPPWRI4[],7,FALSE),"")</f>
        <v>Option</v>
      </c>
      <c r="S37" s="175" t="str">
        <f>IFERROR(VLOOKUP(TableHandbook[[#This Row],[UDC]],TableOGARTS[],7,FALSE),"")</f>
        <v/>
      </c>
      <c r="T37" s="133" t="str">
        <f>IFERROR(VLOOKUP(TableHandbook[[#This Row],[UDC]],TableOUMPCWRI3[],7,FALSE),"")</f>
        <v>Option</v>
      </c>
      <c r="U37" s="133" t="str">
        <f>IFERROR(VLOOKUP(TableHandbook[[#This Row],[UDC]],TableOUMPDGCM2[],7,FALSE),"")</f>
        <v/>
      </c>
      <c r="V37" s="133" t="str">
        <f>IFERROR(VLOOKUP(TableHandbook[[#This Row],[UDC]],TableOUMPFINA2[],7,FALSE),"")</f>
        <v/>
      </c>
      <c r="W37" s="133" t="str">
        <f>IFERROR(VLOOKUP(TableHandbook[[#This Row],[UDC]],TableOUMPPWRI3[],7,FALSE),"")</f>
        <v>Option</v>
      </c>
      <c r="X37" s="175" t="str">
        <f>IFERROR(VLOOKUP(TableHandbook[[#This Row],[UDC]],TableOCARTS[],7,FALSE),"")</f>
        <v/>
      </c>
      <c r="Y37" s="133" t="str">
        <f>IFERROR(VLOOKUP(TableHandbook[[#This Row],[UDC]],TableOUSPCWRI1[],7,FALSE),"")</f>
        <v>Option</v>
      </c>
      <c r="Z37" s="133" t="str">
        <f>IFERROR(VLOOKUP(TableHandbook[[#This Row],[UDC]],TableOUSPDGCM1[],7,FALSE),"")</f>
        <v/>
      </c>
      <c r="AA37" s="133" t="str">
        <f>IFERROR(VLOOKUP(TableHandbook[[#This Row],[UDC]],TableOUSPFINA1[],7,FALSE),"")</f>
        <v/>
      </c>
      <c r="AB37" s="133" t="str">
        <f>IFERROR(VLOOKUP(TableHandbook[[#This Row],[UDC]],TableOUSPPWRI1[],7,FALSE),"")</f>
        <v>Option</v>
      </c>
      <c r="AC37" s="175" t="str">
        <f>IFERROR(VLOOKUP(TableHandbook[[#This Row],[UDC]],TableOCHRIGHT[],7,FALSE),"")</f>
        <v/>
      </c>
      <c r="AD37" s="133" t="str">
        <f>IFERROR(VLOOKUP(TableHandbook[[#This Row],[UDC]],TableOGHRIGHT[],7,FALSE),"")</f>
        <v/>
      </c>
      <c r="AE37" s="133" t="str">
        <f>IFERROR(VLOOKUP(TableHandbook[[#This Row],[UDC]],TableOMHRIGHT[],7,FALSE),"")</f>
        <v/>
      </c>
    </row>
    <row r="38" spans="1:31" x14ac:dyDescent="0.25">
      <c r="A38" s="180" t="s">
        <v>461</v>
      </c>
      <c r="B38" s="1">
        <v>1</v>
      </c>
      <c r="C38" s="1" t="s">
        <v>471</v>
      </c>
      <c r="D38" t="s">
        <v>472</v>
      </c>
      <c r="E38" s="1">
        <v>25</v>
      </c>
      <c r="F38" s="214" t="s">
        <v>254</v>
      </c>
      <c r="G38" s="134" t="str">
        <f>IFERROR(IF(_xlfn.XLOOKUP(TableHandbook[[#This Row],[UDC]],TableAvailabilities[Row Labels],TableAvailabilities[OpenUnis Session 1])&gt;0,"Y",""),"")</f>
        <v/>
      </c>
      <c r="H38" s="134" t="str">
        <f>IFERROR(IF(_xlfn.XLOOKUP(TableHandbook[[#This Row],[UDC]],TableAvailabilities[Row Labels],TableAvailabilities[OpenUnis Session 2])&gt;0,"Y",""),"")</f>
        <v/>
      </c>
      <c r="I38" s="134" t="str">
        <f>IFERROR(IF(_xlfn.XLOOKUP(TableHandbook[[#This Row],[UDC]],TableAvailabilities[Row Labels],TableAvailabilities[OpenUnis SP 1])&gt;0,"Y",""),"")</f>
        <v/>
      </c>
      <c r="J38" s="134" t="str">
        <f>IFERROR(IF(_xlfn.XLOOKUP(TableHandbook[[#This Row],[UDC]],TableAvailabilities[Row Labels],TableAvailabilities[OpenUnis SP 2])&gt;0,"Y",""),"")</f>
        <v>Y</v>
      </c>
      <c r="K38" s="134" t="str">
        <f>IFERROR(IF(_xlfn.XLOOKUP(TableHandbook[[#This Row],[UDC]],TableAvailabilities[Row Labels],TableAvailabilities[OpenUnis SP 3])&gt;0,"Y",""),"")</f>
        <v/>
      </c>
      <c r="L38" s="134" t="str">
        <f>IFERROR(IF(_xlfn.XLOOKUP(TableHandbook[[#This Row],[UDC]],TableAvailabilities[Row Labels],TableAvailabilities[OpenUnis SP 4])&gt;0,"Y",""),"")</f>
        <v>Y</v>
      </c>
      <c r="N38" s="133" t="str">
        <f>IFERROR(VLOOKUP(TableHandbook[[#This Row],[UDC]],TableOMARTS[],7,FALSE),"")</f>
        <v/>
      </c>
      <c r="O38" s="133" t="str">
        <f>IFERROR(VLOOKUP(TableHandbook[[#This Row],[UDC]],TableOUMPCWRI4[],7,FALSE),"")</f>
        <v/>
      </c>
      <c r="P38" s="133" t="str">
        <f>IFERROR(VLOOKUP(TableHandbook[[#This Row],[UDC]],TableOUMPDGCM1[],7,FALSE),"")</f>
        <v>Option</v>
      </c>
      <c r="Q38" s="133" t="str">
        <f>IFERROR(VLOOKUP(TableHandbook[[#This Row],[UDC]],TableOUMPFINA1[],7,FALSE),"")</f>
        <v/>
      </c>
      <c r="R38" s="133" t="str">
        <f>IFERROR(VLOOKUP(TableHandbook[[#This Row],[UDC]],TableOUMPPWRI4[],7,FALSE),"")</f>
        <v/>
      </c>
      <c r="S38" s="175" t="str">
        <f>IFERROR(VLOOKUP(TableHandbook[[#This Row],[UDC]],TableOGARTS[],7,FALSE),"")</f>
        <v/>
      </c>
      <c r="T38" s="133" t="str">
        <f>IFERROR(VLOOKUP(TableHandbook[[#This Row],[UDC]],TableOUMPCWRI3[],7,FALSE),"")</f>
        <v/>
      </c>
      <c r="U38" s="133" t="str">
        <f>IFERROR(VLOOKUP(TableHandbook[[#This Row],[UDC]],TableOUMPDGCM2[],7,FALSE),"")</f>
        <v/>
      </c>
      <c r="V38" s="133" t="str">
        <f>IFERROR(VLOOKUP(TableHandbook[[#This Row],[UDC]],TableOUMPFINA2[],7,FALSE),"")</f>
        <v/>
      </c>
      <c r="W38" s="133" t="str">
        <f>IFERROR(VLOOKUP(TableHandbook[[#This Row],[UDC]],TableOUMPPWRI3[],7,FALSE),"")</f>
        <v/>
      </c>
      <c r="X38" s="175" t="str">
        <f>IFERROR(VLOOKUP(TableHandbook[[#This Row],[UDC]],TableOCARTS[],7,FALSE),"")</f>
        <v/>
      </c>
      <c r="Y38" s="133" t="str">
        <f>IFERROR(VLOOKUP(TableHandbook[[#This Row],[UDC]],TableOUSPCWRI1[],7,FALSE),"")</f>
        <v/>
      </c>
      <c r="Z38" s="133" t="str">
        <f>IFERROR(VLOOKUP(TableHandbook[[#This Row],[UDC]],TableOUSPDGCM1[],7,FALSE),"")</f>
        <v/>
      </c>
      <c r="AA38" s="133" t="str">
        <f>IFERROR(VLOOKUP(TableHandbook[[#This Row],[UDC]],TableOUSPFINA1[],7,FALSE),"")</f>
        <v/>
      </c>
      <c r="AB38" s="133" t="str">
        <f>IFERROR(VLOOKUP(TableHandbook[[#This Row],[UDC]],TableOUSPPWRI1[],7,FALSE),"")</f>
        <v/>
      </c>
      <c r="AC38" s="175" t="str">
        <f>IFERROR(VLOOKUP(TableHandbook[[#This Row],[UDC]],TableOCHRIGHT[],7,FALSE),"")</f>
        <v/>
      </c>
      <c r="AD38" s="133" t="str">
        <f>IFERROR(VLOOKUP(TableHandbook[[#This Row],[UDC]],TableOGHRIGHT[],7,FALSE),"")</f>
        <v/>
      </c>
      <c r="AE38" s="133" t="str">
        <f>IFERROR(VLOOKUP(TableHandbook[[#This Row],[UDC]],TableOMHRIGHT[],7,FALSE),"")</f>
        <v/>
      </c>
    </row>
    <row r="39" spans="1:31" x14ac:dyDescent="0.25">
      <c r="A39" t="s">
        <v>276</v>
      </c>
      <c r="B39" s="1">
        <v>0</v>
      </c>
      <c r="C39" s="1"/>
      <c r="D39" t="s">
        <v>277</v>
      </c>
      <c r="E39" s="1">
        <v>50</v>
      </c>
      <c r="F39" s="132"/>
      <c r="G39" s="134" t="str">
        <f>IFERROR(IF(_xlfn.XLOOKUP(TableHandbook[[#This Row],[UDC]],TableAvailabilities[Row Labels],TableAvailabilities[OpenUnis Session 1])&gt;0,"Y",""),"")</f>
        <v/>
      </c>
      <c r="H39" s="134" t="str">
        <f>IFERROR(IF(_xlfn.XLOOKUP(TableHandbook[[#This Row],[UDC]],TableAvailabilities[Row Labels],TableAvailabilities[OpenUnis Session 2])&gt;0,"Y",""),"")</f>
        <v/>
      </c>
      <c r="I39" s="134" t="str">
        <f>IFERROR(IF(_xlfn.XLOOKUP(TableHandbook[[#This Row],[UDC]],TableAvailabilities[Row Labels],TableAvailabilities[OpenUnis SP 1])&gt;0,"Y",""),"")</f>
        <v/>
      </c>
      <c r="J39" s="134" t="str">
        <f>IFERROR(IF(_xlfn.XLOOKUP(TableHandbook[[#This Row],[UDC]],TableAvailabilities[Row Labels],TableAvailabilities[OpenUnis SP 2])&gt;0,"Y",""),"")</f>
        <v/>
      </c>
      <c r="K39" s="134" t="str">
        <f>IFERROR(IF(_xlfn.XLOOKUP(TableHandbook[[#This Row],[UDC]],TableAvailabilities[Row Labels],TableAvailabilities[OpenUnis SP 3])&gt;0,"Y",""),"")</f>
        <v/>
      </c>
      <c r="L39" s="134" t="str">
        <f>IFERROR(IF(_xlfn.XLOOKUP(TableHandbook[[#This Row],[UDC]],TableAvailabilities[Row Labels],TableAvailabilities[OpenUnis SP 4])&gt;0,"Y",""),"")</f>
        <v/>
      </c>
      <c r="N39" s="133" t="str">
        <f>IFERROR(VLOOKUP(TableHandbook[[#This Row],[UDC]],TableOMARTS[],7,FALSE),"")</f>
        <v/>
      </c>
      <c r="O39" s="133" t="str">
        <f>IFERROR(VLOOKUP(TableHandbook[[#This Row],[UDC]],TableOUMPCWRI4[],7,FALSE),"")</f>
        <v/>
      </c>
      <c r="P39" s="133" t="str">
        <f>IFERROR(VLOOKUP(TableHandbook[[#This Row],[UDC]],TableOUMPDGCM1[],7,FALSE),"")</f>
        <v/>
      </c>
      <c r="Q39" s="133" t="str">
        <f>IFERROR(VLOOKUP(TableHandbook[[#This Row],[UDC]],TableOUMPFINA1[],7,FALSE),"")</f>
        <v/>
      </c>
      <c r="R39" s="133" t="str">
        <f>IFERROR(VLOOKUP(TableHandbook[[#This Row],[UDC]],TableOUMPPWRI4[],7,FALSE),"")</f>
        <v/>
      </c>
      <c r="S39" s="175" t="str">
        <f>IFERROR(VLOOKUP(TableHandbook[[#This Row],[UDC]],TableOGARTS[],7,FALSE),"")</f>
        <v/>
      </c>
      <c r="T39" s="133" t="str">
        <f>IFERROR(VLOOKUP(TableHandbook[[#This Row],[UDC]],TableOUMPCWRI3[],7,FALSE),"")</f>
        <v/>
      </c>
      <c r="U39" s="133" t="str">
        <f>IFERROR(VLOOKUP(TableHandbook[[#This Row],[UDC]],TableOUMPDGCM2[],7,FALSE),"")</f>
        <v/>
      </c>
      <c r="V39" s="133" t="str">
        <f>IFERROR(VLOOKUP(TableHandbook[[#This Row],[UDC]],TableOUMPFINA2[],7,FALSE),"")</f>
        <v/>
      </c>
      <c r="W39" s="133" t="str">
        <f>IFERROR(VLOOKUP(TableHandbook[[#This Row],[UDC]],TableOUMPPWRI3[],7,FALSE),"")</f>
        <v/>
      </c>
      <c r="X39" s="175" t="str">
        <f>IFERROR(VLOOKUP(TableHandbook[[#This Row],[UDC]],TableOCARTS[],7,FALSE),"")</f>
        <v/>
      </c>
      <c r="Y39" s="133" t="str">
        <f>IFERROR(VLOOKUP(TableHandbook[[#This Row],[UDC]],TableOUSPCWRI1[],7,FALSE),"")</f>
        <v/>
      </c>
      <c r="Z39" s="133" t="str">
        <f>IFERROR(VLOOKUP(TableHandbook[[#This Row],[UDC]],TableOUSPDGCM1[],7,FALSE),"")</f>
        <v/>
      </c>
      <c r="AA39" s="133" t="str">
        <f>IFERROR(VLOOKUP(TableHandbook[[#This Row],[UDC]],TableOUSPFINA1[],7,FALSE),"")</f>
        <v/>
      </c>
      <c r="AB39" s="133" t="str">
        <f>IFERROR(VLOOKUP(TableHandbook[[#This Row],[UDC]],TableOUSPPWRI1[],7,FALSE),"")</f>
        <v/>
      </c>
      <c r="AC39" s="175" t="str">
        <f>IFERROR(VLOOKUP(TableHandbook[[#This Row],[UDC]],TableOCHRIGHT[],7,FALSE),"")</f>
        <v/>
      </c>
      <c r="AD39" s="133" t="str">
        <f>IFERROR(VLOOKUP(TableHandbook[[#This Row],[UDC]],TableOGHRIGHT[],7,FALSE),"")</f>
        <v>Elective</v>
      </c>
      <c r="AE39" s="133" t="str">
        <f>IFERROR(VLOOKUP(TableHandbook[[#This Row],[UDC]],TableOMHRIGHT[],7,FALSE),"")</f>
        <v>Elective</v>
      </c>
    </row>
    <row r="40" spans="1:31" x14ac:dyDescent="0.25">
      <c r="A40" t="s">
        <v>223</v>
      </c>
      <c r="B40" s="1">
        <v>2</v>
      </c>
      <c r="C40" s="1" t="s">
        <v>278</v>
      </c>
      <c r="D40" t="s">
        <v>279</v>
      </c>
      <c r="E40" s="1">
        <v>25</v>
      </c>
      <c r="F40" s="214" t="s">
        <v>254</v>
      </c>
      <c r="G40" s="134" t="str">
        <f>IFERROR(IF(_xlfn.XLOOKUP(TableHandbook[[#This Row],[UDC]],TableAvailabilities[Row Labels],TableAvailabilities[OpenUnis Session 1])&gt;0,"Y",""),"")</f>
        <v>Y</v>
      </c>
      <c r="H40" s="134" t="str">
        <f>IFERROR(IF(_xlfn.XLOOKUP(TableHandbook[[#This Row],[UDC]],TableAvailabilities[Row Labels],TableAvailabilities[OpenUnis Session 2])&gt;0,"Y",""),"")</f>
        <v/>
      </c>
      <c r="I40" s="134" t="str">
        <f>IFERROR(IF(_xlfn.XLOOKUP(TableHandbook[[#This Row],[UDC]],TableAvailabilities[Row Labels],TableAvailabilities[OpenUnis SP 1])&gt;0,"Y",""),"")</f>
        <v/>
      </c>
      <c r="J40" s="134" t="str">
        <f>IFERROR(IF(_xlfn.XLOOKUP(TableHandbook[[#This Row],[UDC]],TableAvailabilities[Row Labels],TableAvailabilities[OpenUnis SP 2])&gt;0,"Y",""),"")</f>
        <v/>
      </c>
      <c r="K40" s="134" t="str">
        <f>IFERROR(IF(_xlfn.XLOOKUP(TableHandbook[[#This Row],[UDC]],TableAvailabilities[Row Labels],TableAvailabilities[OpenUnis SP 3])&gt;0,"Y",""),"")</f>
        <v/>
      </c>
      <c r="L40" s="134" t="str">
        <f>IFERROR(IF(_xlfn.XLOOKUP(TableHandbook[[#This Row],[UDC]],TableAvailabilities[Row Labels],TableAvailabilities[OpenUnis SP 4])&gt;0,"Y",""),"")</f>
        <v/>
      </c>
      <c r="N40" s="133" t="str">
        <f>IFERROR(VLOOKUP(TableHandbook[[#This Row],[UDC]],TableOMARTS[],7,FALSE),"")</f>
        <v/>
      </c>
      <c r="O40" s="133" t="str">
        <f>IFERROR(VLOOKUP(TableHandbook[[#This Row],[UDC]],TableOUMPCWRI4[],7,FALSE),"")</f>
        <v/>
      </c>
      <c r="P40" s="133" t="str">
        <f>IFERROR(VLOOKUP(TableHandbook[[#This Row],[UDC]],TableOUMPDGCM1[],7,FALSE),"")</f>
        <v/>
      </c>
      <c r="Q40" s="133" t="str">
        <f>IFERROR(VLOOKUP(TableHandbook[[#This Row],[UDC]],TableOUMPFINA1[],7,FALSE),"")</f>
        <v/>
      </c>
      <c r="R40" s="133" t="str">
        <f>IFERROR(VLOOKUP(TableHandbook[[#This Row],[UDC]],TableOUMPPWRI4[],7,FALSE),"")</f>
        <v/>
      </c>
      <c r="S40" s="175" t="str">
        <f>IFERROR(VLOOKUP(TableHandbook[[#This Row],[UDC]],TableOGARTS[],7,FALSE),"")</f>
        <v/>
      </c>
      <c r="T40" s="133" t="str">
        <f>IFERROR(VLOOKUP(TableHandbook[[#This Row],[UDC]],TableOUMPCWRI3[],7,FALSE),"")</f>
        <v/>
      </c>
      <c r="U40" s="133" t="str">
        <f>IFERROR(VLOOKUP(TableHandbook[[#This Row],[UDC]],TableOUMPDGCM2[],7,FALSE),"")</f>
        <v/>
      </c>
      <c r="V40" s="133" t="str">
        <f>IFERROR(VLOOKUP(TableHandbook[[#This Row],[UDC]],TableOUMPFINA2[],7,FALSE),"")</f>
        <v/>
      </c>
      <c r="W40" s="133" t="str">
        <f>IFERROR(VLOOKUP(TableHandbook[[#This Row],[UDC]],TableOUMPPWRI3[],7,FALSE),"")</f>
        <v/>
      </c>
      <c r="X40" s="175" t="str">
        <f>IFERROR(VLOOKUP(TableHandbook[[#This Row],[UDC]],TableOCARTS[],7,FALSE),"")</f>
        <v/>
      </c>
      <c r="Y40" s="133" t="str">
        <f>IFERROR(VLOOKUP(TableHandbook[[#This Row],[UDC]],TableOUSPCWRI1[],7,FALSE),"")</f>
        <v/>
      </c>
      <c r="Z40" s="133" t="str">
        <f>IFERROR(VLOOKUP(TableHandbook[[#This Row],[UDC]],TableOUSPDGCM1[],7,FALSE),"")</f>
        <v/>
      </c>
      <c r="AA40" s="133" t="str">
        <f>IFERROR(VLOOKUP(TableHandbook[[#This Row],[UDC]],TableOUSPFINA1[],7,FALSE),"")</f>
        <v/>
      </c>
      <c r="AB40" s="133" t="str">
        <f>IFERROR(VLOOKUP(TableHandbook[[#This Row],[UDC]],TableOUSPPWRI1[],7,FALSE),"")</f>
        <v/>
      </c>
      <c r="AC40" s="175" t="str">
        <f>IFERROR(VLOOKUP(TableHandbook[[#This Row],[UDC]],TableOCHRIGHT[],7,FALSE),"")</f>
        <v/>
      </c>
      <c r="AD40" s="133" t="str">
        <f>IFERROR(VLOOKUP(TableHandbook[[#This Row],[UDC]],TableOGHRIGHT[],7,FALSE),"")</f>
        <v>Core</v>
      </c>
      <c r="AE40" s="133" t="str">
        <f>IFERROR(VLOOKUP(TableHandbook[[#This Row],[UDC]],TableOMHRIGHT[],7,FALSE),"")</f>
        <v>Core</v>
      </c>
    </row>
    <row r="41" spans="1:31" x14ac:dyDescent="0.25">
      <c r="A41" t="s">
        <v>222</v>
      </c>
      <c r="B41" s="1">
        <v>2</v>
      </c>
      <c r="C41" s="1" t="s">
        <v>280</v>
      </c>
      <c r="D41" t="s">
        <v>281</v>
      </c>
      <c r="E41" s="1">
        <v>25</v>
      </c>
      <c r="F41" s="214" t="s">
        <v>254</v>
      </c>
      <c r="G41" s="134" t="str">
        <f>IFERROR(IF(_xlfn.XLOOKUP(TableHandbook[[#This Row],[UDC]],TableAvailabilities[Row Labels],TableAvailabilities[OpenUnis Session 1])&gt;0,"Y",""),"")</f>
        <v/>
      </c>
      <c r="H41" s="134" t="str">
        <f>IFERROR(IF(_xlfn.XLOOKUP(TableHandbook[[#This Row],[UDC]],TableAvailabilities[Row Labels],TableAvailabilities[OpenUnis Session 2])&gt;0,"Y",""),"")</f>
        <v>Y</v>
      </c>
      <c r="I41" s="134" t="str">
        <f>IFERROR(IF(_xlfn.XLOOKUP(TableHandbook[[#This Row],[UDC]],TableAvailabilities[Row Labels],TableAvailabilities[OpenUnis SP 1])&gt;0,"Y",""),"")</f>
        <v/>
      </c>
      <c r="J41" s="134" t="str">
        <f>IFERROR(IF(_xlfn.XLOOKUP(TableHandbook[[#This Row],[UDC]],TableAvailabilities[Row Labels],TableAvailabilities[OpenUnis SP 2])&gt;0,"Y",""),"")</f>
        <v/>
      </c>
      <c r="K41" s="134" t="str">
        <f>IFERROR(IF(_xlfn.XLOOKUP(TableHandbook[[#This Row],[UDC]],TableAvailabilities[Row Labels],TableAvailabilities[OpenUnis SP 3])&gt;0,"Y",""),"")</f>
        <v/>
      </c>
      <c r="L41" s="134" t="str">
        <f>IFERROR(IF(_xlfn.XLOOKUP(TableHandbook[[#This Row],[UDC]],TableAvailabilities[Row Labels],TableAvailabilities[OpenUnis SP 4])&gt;0,"Y",""),"")</f>
        <v/>
      </c>
      <c r="N41" s="133" t="str">
        <f>IFERROR(VLOOKUP(TableHandbook[[#This Row],[UDC]],TableOMARTS[],7,FALSE),"")</f>
        <v/>
      </c>
      <c r="O41" s="133" t="str">
        <f>IFERROR(VLOOKUP(TableHandbook[[#This Row],[UDC]],TableOUMPCWRI4[],7,FALSE),"")</f>
        <v/>
      </c>
      <c r="P41" s="133" t="str">
        <f>IFERROR(VLOOKUP(TableHandbook[[#This Row],[UDC]],TableOUMPDGCM1[],7,FALSE),"")</f>
        <v/>
      </c>
      <c r="Q41" s="133" t="str">
        <f>IFERROR(VLOOKUP(TableHandbook[[#This Row],[UDC]],TableOUMPFINA1[],7,FALSE),"")</f>
        <v/>
      </c>
      <c r="R41" s="133" t="str">
        <f>IFERROR(VLOOKUP(TableHandbook[[#This Row],[UDC]],TableOUMPPWRI4[],7,FALSE),"")</f>
        <v/>
      </c>
      <c r="S41" s="175" t="str">
        <f>IFERROR(VLOOKUP(TableHandbook[[#This Row],[UDC]],TableOGARTS[],7,FALSE),"")</f>
        <v/>
      </c>
      <c r="T41" s="133" t="str">
        <f>IFERROR(VLOOKUP(TableHandbook[[#This Row],[UDC]],TableOUMPCWRI3[],7,FALSE),"")</f>
        <v/>
      </c>
      <c r="U41" s="133" t="str">
        <f>IFERROR(VLOOKUP(TableHandbook[[#This Row],[UDC]],TableOUMPDGCM2[],7,FALSE),"")</f>
        <v/>
      </c>
      <c r="V41" s="133" t="str">
        <f>IFERROR(VLOOKUP(TableHandbook[[#This Row],[UDC]],TableOUMPFINA2[],7,FALSE),"")</f>
        <v/>
      </c>
      <c r="W41" s="133" t="str">
        <f>IFERROR(VLOOKUP(TableHandbook[[#This Row],[UDC]],TableOUMPPWRI3[],7,FALSE),"")</f>
        <v/>
      </c>
      <c r="X41" s="175" t="str">
        <f>IFERROR(VLOOKUP(TableHandbook[[#This Row],[UDC]],TableOCARTS[],7,FALSE),"")</f>
        <v/>
      </c>
      <c r="Y41" s="133" t="str">
        <f>IFERROR(VLOOKUP(TableHandbook[[#This Row],[UDC]],TableOUSPCWRI1[],7,FALSE),"")</f>
        <v/>
      </c>
      <c r="Z41" s="133" t="str">
        <f>IFERROR(VLOOKUP(TableHandbook[[#This Row],[UDC]],TableOUSPDGCM1[],7,FALSE),"")</f>
        <v/>
      </c>
      <c r="AA41" s="133" t="str">
        <f>IFERROR(VLOOKUP(TableHandbook[[#This Row],[UDC]],TableOUSPFINA1[],7,FALSE),"")</f>
        <v/>
      </c>
      <c r="AB41" s="133" t="str">
        <f>IFERROR(VLOOKUP(TableHandbook[[#This Row],[UDC]],TableOUSPPWRI1[],7,FALSE),"")</f>
        <v/>
      </c>
      <c r="AC41" s="175" t="str">
        <f>IFERROR(VLOOKUP(TableHandbook[[#This Row],[UDC]],TableOCHRIGHT[],7,FALSE),"")</f>
        <v>Option</v>
      </c>
      <c r="AD41" s="133" t="str">
        <f>IFERROR(VLOOKUP(TableHandbook[[#This Row],[UDC]],TableOGHRIGHT[],7,FALSE),"")</f>
        <v>Core</v>
      </c>
      <c r="AE41" s="133" t="str">
        <f>IFERROR(VLOOKUP(TableHandbook[[#This Row],[UDC]],TableOMHRIGHT[],7,FALSE),"")</f>
        <v>Core</v>
      </c>
    </row>
    <row r="42" spans="1:31" x14ac:dyDescent="0.25">
      <c r="A42" t="s">
        <v>225</v>
      </c>
      <c r="B42" s="1">
        <v>2</v>
      </c>
      <c r="C42" s="1" t="s">
        <v>282</v>
      </c>
      <c r="D42" t="s">
        <v>283</v>
      </c>
      <c r="E42" s="1">
        <v>25</v>
      </c>
      <c r="F42" s="214" t="s">
        <v>254</v>
      </c>
      <c r="G42" s="134" t="str">
        <f>IFERROR(IF(_xlfn.XLOOKUP(TableHandbook[[#This Row],[UDC]],TableAvailabilities[Row Labels],TableAvailabilities[OpenUnis Session 1])&gt;0,"Y",""),"")</f>
        <v/>
      </c>
      <c r="H42" s="134" t="str">
        <f>IFERROR(IF(_xlfn.XLOOKUP(TableHandbook[[#This Row],[UDC]],TableAvailabilities[Row Labels],TableAvailabilities[OpenUnis Session 2])&gt;0,"Y",""),"")</f>
        <v>Y</v>
      </c>
      <c r="I42" s="134" t="str">
        <f>IFERROR(IF(_xlfn.XLOOKUP(TableHandbook[[#This Row],[UDC]],TableAvailabilities[Row Labels],TableAvailabilities[OpenUnis SP 1])&gt;0,"Y",""),"")</f>
        <v/>
      </c>
      <c r="J42" s="134" t="str">
        <f>IFERROR(IF(_xlfn.XLOOKUP(TableHandbook[[#This Row],[UDC]],TableAvailabilities[Row Labels],TableAvailabilities[OpenUnis SP 2])&gt;0,"Y",""),"")</f>
        <v/>
      </c>
      <c r="K42" s="134" t="str">
        <f>IFERROR(IF(_xlfn.XLOOKUP(TableHandbook[[#This Row],[UDC]],TableAvailabilities[Row Labels],TableAvailabilities[OpenUnis SP 3])&gt;0,"Y",""),"")</f>
        <v/>
      </c>
      <c r="L42" s="134" t="str">
        <f>IFERROR(IF(_xlfn.XLOOKUP(TableHandbook[[#This Row],[UDC]],TableAvailabilities[Row Labels],TableAvailabilities[OpenUnis SP 4])&gt;0,"Y",""),"")</f>
        <v/>
      </c>
      <c r="N42" s="133" t="str">
        <f>IFERROR(VLOOKUP(TableHandbook[[#This Row],[UDC]],TableOMARTS[],7,FALSE),"")</f>
        <v/>
      </c>
      <c r="O42" s="133" t="str">
        <f>IFERROR(VLOOKUP(TableHandbook[[#This Row],[UDC]],TableOUMPCWRI4[],7,FALSE),"")</f>
        <v/>
      </c>
      <c r="P42" s="133" t="str">
        <f>IFERROR(VLOOKUP(TableHandbook[[#This Row],[UDC]],TableOUMPDGCM1[],7,FALSE),"")</f>
        <v/>
      </c>
      <c r="Q42" s="133" t="str">
        <f>IFERROR(VLOOKUP(TableHandbook[[#This Row],[UDC]],TableOUMPFINA1[],7,FALSE),"")</f>
        <v/>
      </c>
      <c r="R42" s="133" t="str">
        <f>IFERROR(VLOOKUP(TableHandbook[[#This Row],[UDC]],TableOUMPPWRI4[],7,FALSE),"")</f>
        <v/>
      </c>
      <c r="S42" s="175" t="str">
        <f>IFERROR(VLOOKUP(TableHandbook[[#This Row],[UDC]],TableOGARTS[],7,FALSE),"")</f>
        <v/>
      </c>
      <c r="T42" s="133" t="str">
        <f>IFERROR(VLOOKUP(TableHandbook[[#This Row],[UDC]],TableOUMPCWRI3[],7,FALSE),"")</f>
        <v/>
      </c>
      <c r="U42" s="133" t="str">
        <f>IFERROR(VLOOKUP(TableHandbook[[#This Row],[UDC]],TableOUMPDGCM2[],7,FALSE),"")</f>
        <v/>
      </c>
      <c r="V42" s="133" t="str">
        <f>IFERROR(VLOOKUP(TableHandbook[[#This Row],[UDC]],TableOUMPFINA2[],7,FALSE),"")</f>
        <v/>
      </c>
      <c r="W42" s="133" t="str">
        <f>IFERROR(VLOOKUP(TableHandbook[[#This Row],[UDC]],TableOUMPPWRI3[],7,FALSE),"")</f>
        <v/>
      </c>
      <c r="X42" s="175" t="str">
        <f>IFERROR(VLOOKUP(TableHandbook[[#This Row],[UDC]],TableOCARTS[],7,FALSE),"")</f>
        <v/>
      </c>
      <c r="Y42" s="133" t="str">
        <f>IFERROR(VLOOKUP(TableHandbook[[#This Row],[UDC]],TableOUSPCWRI1[],7,FALSE),"")</f>
        <v/>
      </c>
      <c r="Z42" s="133" t="str">
        <f>IFERROR(VLOOKUP(TableHandbook[[#This Row],[UDC]],TableOUSPDGCM1[],7,FALSE),"")</f>
        <v/>
      </c>
      <c r="AA42" s="133" t="str">
        <f>IFERROR(VLOOKUP(TableHandbook[[#This Row],[UDC]],TableOUSPFINA1[],7,FALSE),"")</f>
        <v/>
      </c>
      <c r="AB42" s="133" t="str">
        <f>IFERROR(VLOOKUP(TableHandbook[[#This Row],[UDC]],TableOUSPPWRI1[],7,FALSE),"")</f>
        <v/>
      </c>
      <c r="AC42" s="175" t="str">
        <f>IFERROR(VLOOKUP(TableHandbook[[#This Row],[UDC]],TableOCHRIGHT[],7,FALSE),"")</f>
        <v>Option</v>
      </c>
      <c r="AD42" s="133" t="str">
        <f>IFERROR(VLOOKUP(TableHandbook[[#This Row],[UDC]],TableOGHRIGHT[],7,FALSE),"")</f>
        <v>Core</v>
      </c>
      <c r="AE42" s="133" t="str">
        <f>IFERROR(VLOOKUP(TableHandbook[[#This Row],[UDC]],TableOMHRIGHT[],7,FALSE),"")</f>
        <v>Core</v>
      </c>
    </row>
    <row r="43" spans="1:31" x14ac:dyDescent="0.25">
      <c r="A43" t="s">
        <v>227</v>
      </c>
      <c r="B43" s="1">
        <v>2</v>
      </c>
      <c r="C43" s="1" t="s">
        <v>284</v>
      </c>
      <c r="D43" t="s">
        <v>285</v>
      </c>
      <c r="E43" s="1">
        <v>25</v>
      </c>
      <c r="F43" s="214" t="s">
        <v>254</v>
      </c>
      <c r="G43" s="134" t="str">
        <f>IFERROR(IF(_xlfn.XLOOKUP(TableHandbook[[#This Row],[UDC]],TableAvailabilities[Row Labels],TableAvailabilities[OpenUnis Session 1])&gt;0,"Y",""),"")</f>
        <v>Y</v>
      </c>
      <c r="H43" s="134" t="str">
        <f>IFERROR(IF(_xlfn.XLOOKUP(TableHandbook[[#This Row],[UDC]],TableAvailabilities[Row Labels],TableAvailabilities[OpenUnis Session 2])&gt;0,"Y",""),"")</f>
        <v/>
      </c>
      <c r="I43" s="134" t="str">
        <f>IFERROR(IF(_xlfn.XLOOKUP(TableHandbook[[#This Row],[UDC]],TableAvailabilities[Row Labels],TableAvailabilities[OpenUnis SP 1])&gt;0,"Y",""),"")</f>
        <v/>
      </c>
      <c r="J43" s="134" t="str">
        <f>IFERROR(IF(_xlfn.XLOOKUP(TableHandbook[[#This Row],[UDC]],TableAvailabilities[Row Labels],TableAvailabilities[OpenUnis SP 2])&gt;0,"Y",""),"")</f>
        <v/>
      </c>
      <c r="K43" s="134" t="str">
        <f>IFERROR(IF(_xlfn.XLOOKUP(TableHandbook[[#This Row],[UDC]],TableAvailabilities[Row Labels],TableAvailabilities[OpenUnis SP 3])&gt;0,"Y",""),"")</f>
        <v/>
      </c>
      <c r="L43" s="134" t="str">
        <f>IFERROR(IF(_xlfn.XLOOKUP(TableHandbook[[#This Row],[UDC]],TableAvailabilities[Row Labels],TableAvailabilities[OpenUnis SP 4])&gt;0,"Y",""),"")</f>
        <v/>
      </c>
      <c r="N43" s="133" t="str">
        <f>IFERROR(VLOOKUP(TableHandbook[[#This Row],[UDC]],TableOMARTS[],7,FALSE),"")</f>
        <v/>
      </c>
      <c r="O43" s="133" t="str">
        <f>IFERROR(VLOOKUP(TableHandbook[[#This Row],[UDC]],TableOUMPCWRI4[],7,FALSE),"")</f>
        <v/>
      </c>
      <c r="P43" s="133" t="str">
        <f>IFERROR(VLOOKUP(TableHandbook[[#This Row],[UDC]],TableOUMPDGCM1[],7,FALSE),"")</f>
        <v/>
      </c>
      <c r="Q43" s="133" t="str">
        <f>IFERROR(VLOOKUP(TableHandbook[[#This Row],[UDC]],TableOUMPFINA1[],7,FALSE),"")</f>
        <v/>
      </c>
      <c r="R43" s="133" t="str">
        <f>IFERROR(VLOOKUP(TableHandbook[[#This Row],[UDC]],TableOUMPPWRI4[],7,FALSE),"")</f>
        <v/>
      </c>
      <c r="S43" s="175" t="str">
        <f>IFERROR(VLOOKUP(TableHandbook[[#This Row],[UDC]],TableOGARTS[],7,FALSE),"")</f>
        <v/>
      </c>
      <c r="T43" s="133" t="str">
        <f>IFERROR(VLOOKUP(TableHandbook[[#This Row],[UDC]],TableOUMPCWRI3[],7,FALSE),"")</f>
        <v/>
      </c>
      <c r="U43" s="133" t="str">
        <f>IFERROR(VLOOKUP(TableHandbook[[#This Row],[UDC]],TableOUMPDGCM2[],7,FALSE),"")</f>
        <v/>
      </c>
      <c r="V43" s="133" t="str">
        <f>IFERROR(VLOOKUP(TableHandbook[[#This Row],[UDC]],TableOUMPFINA2[],7,FALSE),"")</f>
        <v/>
      </c>
      <c r="W43" s="133" t="str">
        <f>IFERROR(VLOOKUP(TableHandbook[[#This Row],[UDC]],TableOUMPPWRI3[],7,FALSE),"")</f>
        <v/>
      </c>
      <c r="X43" s="175" t="str">
        <f>IFERROR(VLOOKUP(TableHandbook[[#This Row],[UDC]],TableOCARTS[],7,FALSE),"")</f>
        <v/>
      </c>
      <c r="Y43" s="133" t="str">
        <f>IFERROR(VLOOKUP(TableHandbook[[#This Row],[UDC]],TableOUSPCWRI1[],7,FALSE),"")</f>
        <v/>
      </c>
      <c r="Z43" s="133" t="str">
        <f>IFERROR(VLOOKUP(TableHandbook[[#This Row],[UDC]],TableOUSPDGCM1[],7,FALSE),"")</f>
        <v/>
      </c>
      <c r="AA43" s="133" t="str">
        <f>IFERROR(VLOOKUP(TableHandbook[[#This Row],[UDC]],TableOUSPFINA1[],7,FALSE),"")</f>
        <v/>
      </c>
      <c r="AB43" s="133" t="str">
        <f>IFERROR(VLOOKUP(TableHandbook[[#This Row],[UDC]],TableOUSPPWRI1[],7,FALSE),"")</f>
        <v/>
      </c>
      <c r="AC43" s="175" t="str">
        <f>IFERROR(VLOOKUP(TableHandbook[[#This Row],[UDC]],TableOCHRIGHT[],7,FALSE),"")</f>
        <v>Option</v>
      </c>
      <c r="AD43" s="133" t="str">
        <f>IFERROR(VLOOKUP(TableHandbook[[#This Row],[UDC]],TableOGHRIGHT[],7,FALSE),"")</f>
        <v>Core</v>
      </c>
      <c r="AE43" s="133" t="str">
        <f>IFERROR(VLOOKUP(TableHandbook[[#This Row],[UDC]],TableOMHRIGHT[],7,FALSE),"")</f>
        <v>Core</v>
      </c>
    </row>
    <row r="44" spans="1:31" x14ac:dyDescent="0.25">
      <c r="A44" t="s">
        <v>228</v>
      </c>
      <c r="B44" s="1">
        <v>2</v>
      </c>
      <c r="C44" s="1" t="s">
        <v>286</v>
      </c>
      <c r="D44" t="s">
        <v>287</v>
      </c>
      <c r="E44" s="1">
        <v>25</v>
      </c>
      <c r="F44" s="214" t="s">
        <v>254</v>
      </c>
      <c r="G44" s="134" t="str">
        <f>IFERROR(IF(_xlfn.XLOOKUP(TableHandbook[[#This Row],[UDC]],TableAvailabilities[Row Labels],TableAvailabilities[OpenUnis Session 1])&gt;0,"Y",""),"")</f>
        <v/>
      </c>
      <c r="H44" s="134" t="str">
        <f>IFERROR(IF(_xlfn.XLOOKUP(TableHandbook[[#This Row],[UDC]],TableAvailabilities[Row Labels],TableAvailabilities[OpenUnis Session 2])&gt;0,"Y",""),"")</f>
        <v>Y</v>
      </c>
      <c r="I44" s="134" t="str">
        <f>IFERROR(IF(_xlfn.XLOOKUP(TableHandbook[[#This Row],[UDC]],TableAvailabilities[Row Labels],TableAvailabilities[OpenUnis SP 1])&gt;0,"Y",""),"")</f>
        <v/>
      </c>
      <c r="J44" s="134" t="str">
        <f>IFERROR(IF(_xlfn.XLOOKUP(TableHandbook[[#This Row],[UDC]],TableAvailabilities[Row Labels],TableAvailabilities[OpenUnis SP 2])&gt;0,"Y",""),"")</f>
        <v/>
      </c>
      <c r="K44" s="134" t="str">
        <f>IFERROR(IF(_xlfn.XLOOKUP(TableHandbook[[#This Row],[UDC]],TableAvailabilities[Row Labels],TableAvailabilities[OpenUnis SP 3])&gt;0,"Y",""),"")</f>
        <v/>
      </c>
      <c r="L44" s="134" t="str">
        <f>IFERROR(IF(_xlfn.XLOOKUP(TableHandbook[[#This Row],[UDC]],TableAvailabilities[Row Labels],TableAvailabilities[OpenUnis SP 4])&gt;0,"Y",""),"")</f>
        <v/>
      </c>
      <c r="N44" s="133" t="str">
        <f>IFERROR(VLOOKUP(TableHandbook[[#This Row],[UDC]],TableOMARTS[],7,FALSE),"")</f>
        <v/>
      </c>
      <c r="O44" s="133" t="str">
        <f>IFERROR(VLOOKUP(TableHandbook[[#This Row],[UDC]],TableOUMPCWRI4[],7,FALSE),"")</f>
        <v/>
      </c>
      <c r="P44" s="133" t="str">
        <f>IFERROR(VLOOKUP(TableHandbook[[#This Row],[UDC]],TableOUMPDGCM1[],7,FALSE),"")</f>
        <v/>
      </c>
      <c r="Q44" s="133" t="str">
        <f>IFERROR(VLOOKUP(TableHandbook[[#This Row],[UDC]],TableOUMPFINA1[],7,FALSE),"")</f>
        <v/>
      </c>
      <c r="R44" s="133" t="str">
        <f>IFERROR(VLOOKUP(TableHandbook[[#This Row],[UDC]],TableOUMPPWRI4[],7,FALSE),"")</f>
        <v/>
      </c>
      <c r="S44" s="175" t="str">
        <f>IFERROR(VLOOKUP(TableHandbook[[#This Row],[UDC]],TableOGARTS[],7,FALSE),"")</f>
        <v/>
      </c>
      <c r="T44" s="133" t="str">
        <f>IFERROR(VLOOKUP(TableHandbook[[#This Row],[UDC]],TableOUMPCWRI3[],7,FALSE),"")</f>
        <v/>
      </c>
      <c r="U44" s="133" t="str">
        <f>IFERROR(VLOOKUP(TableHandbook[[#This Row],[UDC]],TableOUMPDGCM2[],7,FALSE),"")</f>
        <v/>
      </c>
      <c r="V44" s="133" t="str">
        <f>IFERROR(VLOOKUP(TableHandbook[[#This Row],[UDC]],TableOUMPFINA2[],7,FALSE),"")</f>
        <v/>
      </c>
      <c r="W44" s="133" t="str">
        <f>IFERROR(VLOOKUP(TableHandbook[[#This Row],[UDC]],TableOUMPPWRI3[],7,FALSE),"")</f>
        <v/>
      </c>
      <c r="X44" s="175" t="str">
        <f>IFERROR(VLOOKUP(TableHandbook[[#This Row],[UDC]],TableOCARTS[],7,FALSE),"")</f>
        <v/>
      </c>
      <c r="Y44" s="133" t="str">
        <f>IFERROR(VLOOKUP(TableHandbook[[#This Row],[UDC]],TableOUSPCWRI1[],7,FALSE),"")</f>
        <v/>
      </c>
      <c r="Z44" s="133" t="str">
        <f>IFERROR(VLOOKUP(TableHandbook[[#This Row],[UDC]],TableOUSPDGCM1[],7,FALSE),"")</f>
        <v/>
      </c>
      <c r="AA44" s="133" t="str">
        <f>IFERROR(VLOOKUP(TableHandbook[[#This Row],[UDC]],TableOUSPFINA1[],7,FALSE),"")</f>
        <v/>
      </c>
      <c r="AB44" s="133" t="str">
        <f>IFERROR(VLOOKUP(TableHandbook[[#This Row],[UDC]],TableOUSPPWRI1[],7,FALSE),"")</f>
        <v/>
      </c>
      <c r="AC44" s="175" t="str">
        <f>IFERROR(VLOOKUP(TableHandbook[[#This Row],[UDC]],TableOCHRIGHT[],7,FALSE),"")</f>
        <v>Option</v>
      </c>
      <c r="AD44" s="133" t="str">
        <f>IFERROR(VLOOKUP(TableHandbook[[#This Row],[UDC]],TableOGHRIGHT[],7,FALSE),"")</f>
        <v>Core</v>
      </c>
      <c r="AE44" s="133" t="str">
        <f>IFERROR(VLOOKUP(TableHandbook[[#This Row],[UDC]],TableOMHRIGHT[],7,FALSE),"")</f>
        <v>Core</v>
      </c>
    </row>
    <row r="45" spans="1:31" x14ac:dyDescent="0.25">
      <c r="A45" t="s">
        <v>229</v>
      </c>
      <c r="B45" s="1">
        <v>3</v>
      </c>
      <c r="C45" s="1" t="s">
        <v>288</v>
      </c>
      <c r="D45" t="s">
        <v>289</v>
      </c>
      <c r="E45" s="1">
        <v>25</v>
      </c>
      <c r="F45" s="214" t="s">
        <v>254</v>
      </c>
      <c r="G45" s="134" t="str">
        <f>IFERROR(IF(_xlfn.XLOOKUP(TableHandbook[[#This Row],[UDC]],TableAvailabilities[Row Labels],TableAvailabilities[OpenUnis Session 1])&gt;0,"Y",""),"")</f>
        <v/>
      </c>
      <c r="H45" s="134" t="str">
        <f>IFERROR(IF(_xlfn.XLOOKUP(TableHandbook[[#This Row],[UDC]],TableAvailabilities[Row Labels],TableAvailabilities[OpenUnis Session 2])&gt;0,"Y",""),"")</f>
        <v/>
      </c>
      <c r="I45" s="134" t="str">
        <f>IFERROR(IF(_xlfn.XLOOKUP(TableHandbook[[#This Row],[UDC]],TableAvailabilities[Row Labels],TableAvailabilities[OpenUnis SP 1])&gt;0,"Y",""),"")</f>
        <v/>
      </c>
      <c r="J45" s="134" t="str">
        <f>IFERROR(IF(_xlfn.XLOOKUP(TableHandbook[[#This Row],[UDC]],TableAvailabilities[Row Labels],TableAvailabilities[OpenUnis SP 2])&gt;0,"Y",""),"")</f>
        <v/>
      </c>
      <c r="K45" s="134" t="str">
        <f>IFERROR(IF(_xlfn.XLOOKUP(TableHandbook[[#This Row],[UDC]],TableAvailabilities[Row Labels],TableAvailabilities[OpenUnis SP 3])&gt;0,"Y",""),"")</f>
        <v/>
      </c>
      <c r="L45" s="134" t="str">
        <f>IFERROR(IF(_xlfn.XLOOKUP(TableHandbook[[#This Row],[UDC]],TableAvailabilities[Row Labels],TableAvailabilities[OpenUnis SP 4])&gt;0,"Y",""),"")</f>
        <v/>
      </c>
      <c r="N45" s="133" t="str">
        <f>IFERROR(VLOOKUP(TableHandbook[[#This Row],[UDC]],TableOMARTS[],7,FALSE),"")</f>
        <v/>
      </c>
      <c r="O45" s="133" t="str">
        <f>IFERROR(VLOOKUP(TableHandbook[[#This Row],[UDC]],TableOUMPCWRI4[],7,FALSE),"")</f>
        <v/>
      </c>
      <c r="P45" s="133" t="str">
        <f>IFERROR(VLOOKUP(TableHandbook[[#This Row],[UDC]],TableOUMPDGCM1[],7,FALSE),"")</f>
        <v/>
      </c>
      <c r="Q45" s="133" t="str">
        <f>IFERROR(VLOOKUP(TableHandbook[[#This Row],[UDC]],TableOUMPFINA1[],7,FALSE),"")</f>
        <v/>
      </c>
      <c r="R45" s="133" t="str">
        <f>IFERROR(VLOOKUP(TableHandbook[[#This Row],[UDC]],TableOUMPPWRI4[],7,FALSE),"")</f>
        <v/>
      </c>
      <c r="S45" s="175" t="str">
        <f>IFERROR(VLOOKUP(TableHandbook[[#This Row],[UDC]],TableOGARTS[],7,FALSE),"")</f>
        <v/>
      </c>
      <c r="T45" s="133" t="str">
        <f>IFERROR(VLOOKUP(TableHandbook[[#This Row],[UDC]],TableOUMPCWRI3[],7,FALSE),"")</f>
        <v/>
      </c>
      <c r="U45" s="133" t="str">
        <f>IFERROR(VLOOKUP(TableHandbook[[#This Row],[UDC]],TableOUMPDGCM2[],7,FALSE),"")</f>
        <v/>
      </c>
      <c r="V45" s="133" t="str">
        <f>IFERROR(VLOOKUP(TableHandbook[[#This Row],[UDC]],TableOUMPFINA2[],7,FALSE),"")</f>
        <v/>
      </c>
      <c r="W45" s="133" t="str">
        <f>IFERROR(VLOOKUP(TableHandbook[[#This Row],[UDC]],TableOUMPPWRI3[],7,FALSE),"")</f>
        <v/>
      </c>
      <c r="X45" s="175" t="str">
        <f>IFERROR(VLOOKUP(TableHandbook[[#This Row],[UDC]],TableOCARTS[],7,FALSE),"")</f>
        <v/>
      </c>
      <c r="Y45" s="133" t="str">
        <f>IFERROR(VLOOKUP(TableHandbook[[#This Row],[UDC]],TableOUSPCWRI1[],7,FALSE),"")</f>
        <v/>
      </c>
      <c r="Z45" s="133" t="str">
        <f>IFERROR(VLOOKUP(TableHandbook[[#This Row],[UDC]],TableOUSPDGCM1[],7,FALSE),"")</f>
        <v/>
      </c>
      <c r="AA45" s="133" t="str">
        <f>IFERROR(VLOOKUP(TableHandbook[[#This Row],[UDC]],TableOUSPFINA1[],7,FALSE),"")</f>
        <v/>
      </c>
      <c r="AB45" s="133" t="str">
        <f>IFERROR(VLOOKUP(TableHandbook[[#This Row],[UDC]],TableOUSPPWRI1[],7,FALSE),"")</f>
        <v/>
      </c>
      <c r="AC45" s="175" t="str">
        <f>IFERROR(VLOOKUP(TableHandbook[[#This Row],[UDC]],TableOCHRIGHT[],7,FALSE),"")</f>
        <v>Option</v>
      </c>
      <c r="AD45" s="133" t="str">
        <f>IFERROR(VLOOKUP(TableHandbook[[#This Row],[UDC]],TableOGHRIGHT[],7,FALSE),"")</f>
        <v/>
      </c>
      <c r="AE45" s="133" t="str">
        <f>IFERROR(VLOOKUP(TableHandbook[[#This Row],[UDC]],TableOMHRIGHT[],7,FALSE),"")</f>
        <v/>
      </c>
    </row>
    <row r="46" spans="1:31" x14ac:dyDescent="0.25">
      <c r="A46" t="s">
        <v>153</v>
      </c>
      <c r="B46" s="1">
        <v>1</v>
      </c>
      <c r="C46" s="1" t="s">
        <v>290</v>
      </c>
      <c r="D46" t="s">
        <v>291</v>
      </c>
      <c r="E46" s="1">
        <v>50</v>
      </c>
      <c r="F46" s="214" t="s">
        <v>541</v>
      </c>
      <c r="G46" s="134" t="str">
        <f>IFERROR(IF(_xlfn.XLOOKUP(TableHandbook[[#This Row],[UDC]],TableAvailabilities[Row Labels],TableAvailabilities[OpenUnis Session 1])&gt;0,"Y",""),"")</f>
        <v/>
      </c>
      <c r="H46" s="134" t="str">
        <f>IFERROR(IF(_xlfn.XLOOKUP(TableHandbook[[#This Row],[UDC]],TableAvailabilities[Row Labels],TableAvailabilities[OpenUnis Session 2])&gt;0,"Y",""),"")</f>
        <v/>
      </c>
      <c r="I46" s="134" t="str">
        <f>IFERROR(IF(_xlfn.XLOOKUP(TableHandbook[[#This Row],[UDC]],TableAvailabilities[Row Labels],TableAvailabilities[OpenUnis SP 1])&gt;0,"Y",""),"")</f>
        <v>Y</v>
      </c>
      <c r="J46" s="134" t="str">
        <f>IFERROR(IF(_xlfn.XLOOKUP(TableHandbook[[#This Row],[UDC]],TableAvailabilities[Row Labels],TableAvailabilities[OpenUnis SP 2])&gt;0,"Y",""),"")</f>
        <v/>
      </c>
      <c r="K46" s="134" t="str">
        <f>IFERROR(IF(_xlfn.XLOOKUP(TableHandbook[[#This Row],[UDC]],TableAvailabilities[Row Labels],TableAvailabilities[OpenUnis SP 3])&gt;0,"Y",""),"")</f>
        <v>Y</v>
      </c>
      <c r="L46" s="134" t="str">
        <f>IFERROR(IF(_xlfn.XLOOKUP(TableHandbook[[#This Row],[UDC]],TableAvailabilities[Row Labels],TableAvailabilities[OpenUnis SP 4])&gt;0,"Y",""),"")</f>
        <v/>
      </c>
      <c r="N46" s="133" t="str">
        <f>IFERROR(VLOOKUP(TableHandbook[[#This Row],[UDC]],TableOMARTS[],7,FALSE),"")</f>
        <v/>
      </c>
      <c r="O46" s="133" t="str">
        <f>IFERROR(VLOOKUP(TableHandbook[[#This Row],[UDC]],TableOUMPCWRI4[],7,FALSE),"")</f>
        <v>Option</v>
      </c>
      <c r="P46" s="133" t="str">
        <f>IFERROR(VLOOKUP(TableHandbook[[#This Row],[UDC]],TableOUMPDGCM1[],7,FALSE),"")</f>
        <v>Option</v>
      </c>
      <c r="Q46" s="133" t="str">
        <f>IFERROR(VLOOKUP(TableHandbook[[#This Row],[UDC]],TableOUMPFINA1[],7,FALSE),"")</f>
        <v>Option</v>
      </c>
      <c r="R46" s="133" t="str">
        <f>IFERROR(VLOOKUP(TableHandbook[[#This Row],[UDC]],TableOUMPPWRI4[],7,FALSE),"")</f>
        <v>Option</v>
      </c>
      <c r="S46" s="175" t="str">
        <f>IFERROR(VLOOKUP(TableHandbook[[#This Row],[UDC]],TableOGARTS[],7,FALSE),"")</f>
        <v/>
      </c>
      <c r="T46" s="133" t="str">
        <f>IFERROR(VLOOKUP(TableHandbook[[#This Row],[UDC]],TableOUMPCWRI3[],7,FALSE),"")</f>
        <v/>
      </c>
      <c r="U46" s="133" t="str">
        <f>IFERROR(VLOOKUP(TableHandbook[[#This Row],[UDC]],TableOUMPDGCM2[],7,FALSE),"")</f>
        <v/>
      </c>
      <c r="V46" s="133" t="str">
        <f>IFERROR(VLOOKUP(TableHandbook[[#This Row],[UDC]],TableOUMPFINA2[],7,FALSE),"")</f>
        <v/>
      </c>
      <c r="W46" s="133" t="str">
        <f>IFERROR(VLOOKUP(TableHandbook[[#This Row],[UDC]],TableOUMPPWRI3[],7,FALSE),"")</f>
        <v/>
      </c>
      <c r="X46" s="175" t="str">
        <f>IFERROR(VLOOKUP(TableHandbook[[#This Row],[UDC]],TableOCARTS[],7,FALSE),"")</f>
        <v/>
      </c>
      <c r="Y46" s="133" t="str">
        <f>IFERROR(VLOOKUP(TableHandbook[[#This Row],[UDC]],TableOUSPCWRI1[],7,FALSE),"")</f>
        <v/>
      </c>
      <c r="Z46" s="133" t="str">
        <f>IFERROR(VLOOKUP(TableHandbook[[#This Row],[UDC]],TableOUSPDGCM1[],7,FALSE),"")</f>
        <v/>
      </c>
      <c r="AA46" s="133" t="str">
        <f>IFERROR(VLOOKUP(TableHandbook[[#This Row],[UDC]],TableOUSPFINA1[],7,FALSE),"")</f>
        <v/>
      </c>
      <c r="AB46" s="133" t="str">
        <f>IFERROR(VLOOKUP(TableHandbook[[#This Row],[UDC]],TableOUSPPWRI1[],7,FALSE),"")</f>
        <v/>
      </c>
      <c r="AC46" s="175" t="str">
        <f>IFERROR(VLOOKUP(TableHandbook[[#This Row],[UDC]],TableOCHRIGHT[],7,FALSE),"")</f>
        <v/>
      </c>
      <c r="AD46" s="133" t="str">
        <f>IFERROR(VLOOKUP(TableHandbook[[#This Row],[UDC]],TableOGHRIGHT[],7,FALSE),"")</f>
        <v/>
      </c>
      <c r="AE46" s="133" t="str">
        <f>IFERROR(VLOOKUP(TableHandbook[[#This Row],[UDC]],TableOMHRIGHT[],7,FALSE),"")</f>
        <v>AltCore</v>
      </c>
    </row>
    <row r="47" spans="1:31" x14ac:dyDescent="0.25">
      <c r="A47" t="s">
        <v>125</v>
      </c>
      <c r="B47" s="1">
        <v>1</v>
      </c>
      <c r="C47" s="1" t="s">
        <v>292</v>
      </c>
      <c r="D47" t="s">
        <v>293</v>
      </c>
      <c r="E47" s="1">
        <v>50</v>
      </c>
      <c r="F47" s="214" t="s">
        <v>290</v>
      </c>
      <c r="G47" s="134" t="str">
        <f>IFERROR(IF(_xlfn.XLOOKUP(TableHandbook[[#This Row],[UDC]],TableAvailabilities[Row Labels],TableAvailabilities[OpenUnis Session 1])&gt;0,"Y",""),"")</f>
        <v/>
      </c>
      <c r="H47" s="134" t="str">
        <f>IFERROR(IF(_xlfn.XLOOKUP(TableHandbook[[#This Row],[UDC]],TableAvailabilities[Row Labels],TableAvailabilities[OpenUnis Session 2])&gt;0,"Y",""),"")</f>
        <v/>
      </c>
      <c r="I47" s="134" t="str">
        <f>IFERROR(IF(_xlfn.XLOOKUP(TableHandbook[[#This Row],[UDC]],TableAvailabilities[Row Labels],TableAvailabilities[OpenUnis SP 1])&gt;0,"Y",""),"")</f>
        <v>Y</v>
      </c>
      <c r="J47" s="134" t="str">
        <f>IFERROR(IF(_xlfn.XLOOKUP(TableHandbook[[#This Row],[UDC]],TableAvailabilities[Row Labels],TableAvailabilities[OpenUnis SP 2])&gt;0,"Y",""),"")</f>
        <v/>
      </c>
      <c r="K47" s="134" t="str">
        <f>IFERROR(IF(_xlfn.XLOOKUP(TableHandbook[[#This Row],[UDC]],TableAvailabilities[Row Labels],TableAvailabilities[OpenUnis SP 3])&gt;0,"Y",""),"")</f>
        <v>Y</v>
      </c>
      <c r="L47" s="134" t="str">
        <f>IFERROR(IF(_xlfn.XLOOKUP(TableHandbook[[#This Row],[UDC]],TableAvailabilities[Row Labels],TableAvailabilities[OpenUnis SP 4])&gt;0,"Y",""),"")</f>
        <v/>
      </c>
      <c r="N47" s="133" t="str">
        <f>IFERROR(VLOOKUP(TableHandbook[[#This Row],[UDC]],TableOMARTS[],7,FALSE),"")</f>
        <v/>
      </c>
      <c r="O47" s="133" t="str">
        <f>IFERROR(VLOOKUP(TableHandbook[[#This Row],[UDC]],TableOUMPCWRI4[],7,FALSE),"")</f>
        <v>AltCore</v>
      </c>
      <c r="P47" s="133" t="str">
        <f>IFERROR(VLOOKUP(TableHandbook[[#This Row],[UDC]],TableOUMPDGCM1[],7,FALSE),"")</f>
        <v>AltCore</v>
      </c>
      <c r="Q47" s="133" t="str">
        <f>IFERROR(VLOOKUP(TableHandbook[[#This Row],[UDC]],TableOUMPFINA1[],7,FALSE),"")</f>
        <v>AltCore</v>
      </c>
      <c r="R47" s="133" t="str">
        <f>IFERROR(VLOOKUP(TableHandbook[[#This Row],[UDC]],TableOUMPPWRI4[],7,FALSE),"")</f>
        <v>AltCore</v>
      </c>
      <c r="S47" s="175" t="str">
        <f>IFERROR(VLOOKUP(TableHandbook[[#This Row],[UDC]],TableOGARTS[],7,FALSE),"")</f>
        <v/>
      </c>
      <c r="T47" s="133" t="str">
        <f>IFERROR(VLOOKUP(TableHandbook[[#This Row],[UDC]],TableOUMPCWRI3[],7,FALSE),"")</f>
        <v/>
      </c>
      <c r="U47" s="133" t="str">
        <f>IFERROR(VLOOKUP(TableHandbook[[#This Row],[UDC]],TableOUMPDGCM2[],7,FALSE),"")</f>
        <v/>
      </c>
      <c r="V47" s="133" t="str">
        <f>IFERROR(VLOOKUP(TableHandbook[[#This Row],[UDC]],TableOUMPFINA2[],7,FALSE),"")</f>
        <v/>
      </c>
      <c r="W47" s="133" t="str">
        <f>IFERROR(VLOOKUP(TableHandbook[[#This Row],[UDC]],TableOUMPPWRI3[],7,FALSE),"")</f>
        <v/>
      </c>
      <c r="X47" s="175" t="str">
        <f>IFERROR(VLOOKUP(TableHandbook[[#This Row],[UDC]],TableOCARTS[],7,FALSE),"")</f>
        <v/>
      </c>
      <c r="Y47" s="133" t="str">
        <f>IFERROR(VLOOKUP(TableHandbook[[#This Row],[UDC]],TableOUSPCWRI1[],7,FALSE),"")</f>
        <v/>
      </c>
      <c r="Z47" s="133" t="str">
        <f>IFERROR(VLOOKUP(TableHandbook[[#This Row],[UDC]],TableOUSPDGCM1[],7,FALSE),"")</f>
        <v/>
      </c>
      <c r="AA47" s="133" t="str">
        <f>IFERROR(VLOOKUP(TableHandbook[[#This Row],[UDC]],TableOUSPFINA1[],7,FALSE),"")</f>
        <v/>
      </c>
      <c r="AB47" s="133" t="str">
        <f>IFERROR(VLOOKUP(TableHandbook[[#This Row],[UDC]],TableOUSPPWRI1[],7,FALSE),"")</f>
        <v/>
      </c>
      <c r="AC47" s="175" t="str">
        <f>IFERROR(VLOOKUP(TableHandbook[[#This Row],[UDC]],TableOCHRIGHT[],7,FALSE),"")</f>
        <v/>
      </c>
      <c r="AD47" s="133" t="str">
        <f>IFERROR(VLOOKUP(TableHandbook[[#This Row],[UDC]],TableOGHRIGHT[],7,FALSE),"")</f>
        <v/>
      </c>
      <c r="AE47" s="133" t="str">
        <f>IFERROR(VLOOKUP(TableHandbook[[#This Row],[UDC]],TableOMHRIGHT[],7,FALSE),"")</f>
        <v>AltCore</v>
      </c>
    </row>
    <row r="48" spans="1:31" x14ac:dyDescent="0.25">
      <c r="A48" t="s">
        <v>161</v>
      </c>
      <c r="B48" s="1">
        <v>1</v>
      </c>
      <c r="C48" s="1" t="s">
        <v>294</v>
      </c>
      <c r="D48" t="s">
        <v>295</v>
      </c>
      <c r="E48" s="1">
        <v>25</v>
      </c>
      <c r="F48" s="214" t="s">
        <v>254</v>
      </c>
      <c r="G48" s="134" t="str">
        <f>IFERROR(IF(_xlfn.XLOOKUP(TableHandbook[[#This Row],[UDC]],TableAvailabilities[Row Labels],TableAvailabilities[OpenUnis Session 1])&gt;0,"Y",""),"")</f>
        <v/>
      </c>
      <c r="H48" s="134" t="str">
        <f>IFERROR(IF(_xlfn.XLOOKUP(TableHandbook[[#This Row],[UDC]],TableAvailabilities[Row Labels],TableAvailabilities[OpenUnis Session 2])&gt;0,"Y",""),"")</f>
        <v/>
      </c>
      <c r="I48" s="134" t="str">
        <f>IFERROR(IF(_xlfn.XLOOKUP(TableHandbook[[#This Row],[UDC]],TableAvailabilities[Row Labels],TableAvailabilities[OpenUnis SP 1])&gt;0,"Y",""),"")</f>
        <v>Y</v>
      </c>
      <c r="J48" s="134" t="str">
        <f>IFERROR(IF(_xlfn.XLOOKUP(TableHandbook[[#This Row],[UDC]],TableAvailabilities[Row Labels],TableAvailabilities[OpenUnis SP 2])&gt;0,"Y",""),"")</f>
        <v/>
      </c>
      <c r="K48" s="134" t="str">
        <f>IFERROR(IF(_xlfn.XLOOKUP(TableHandbook[[#This Row],[UDC]],TableAvailabilities[Row Labels],TableAvailabilities[OpenUnis SP 3])&gt;0,"Y",""),"")</f>
        <v/>
      </c>
      <c r="L48" s="134" t="str">
        <f>IFERROR(IF(_xlfn.XLOOKUP(TableHandbook[[#This Row],[UDC]],TableAvailabilities[Row Labels],TableAvailabilities[OpenUnis SP 4])&gt;0,"Y",""),"")</f>
        <v>Y</v>
      </c>
      <c r="N48" s="133" t="str">
        <f>IFERROR(VLOOKUP(TableHandbook[[#This Row],[UDC]],TableOMARTS[],7,FALSE),"")</f>
        <v/>
      </c>
      <c r="O48" s="133" t="str">
        <f>IFERROR(VLOOKUP(TableHandbook[[#This Row],[UDC]],TableOUMPCWRI4[],7,FALSE),"")</f>
        <v/>
      </c>
      <c r="P48" s="133" t="str">
        <f>IFERROR(VLOOKUP(TableHandbook[[#This Row],[UDC]],TableOUMPDGCM1[],7,FALSE),"")</f>
        <v>Option</v>
      </c>
      <c r="Q48" s="133" t="str">
        <f>IFERROR(VLOOKUP(TableHandbook[[#This Row],[UDC]],TableOUMPFINA1[],7,FALSE),"")</f>
        <v/>
      </c>
      <c r="R48" s="133" t="str">
        <f>IFERROR(VLOOKUP(TableHandbook[[#This Row],[UDC]],TableOUMPPWRI4[],7,FALSE),"")</f>
        <v/>
      </c>
      <c r="S48" s="175" t="str">
        <f>IFERROR(VLOOKUP(TableHandbook[[#This Row],[UDC]],TableOGARTS[],7,FALSE),"")</f>
        <v/>
      </c>
      <c r="T48" s="133" t="str">
        <f>IFERROR(VLOOKUP(TableHandbook[[#This Row],[UDC]],TableOUMPCWRI3[],7,FALSE),"")</f>
        <v/>
      </c>
      <c r="U48" s="133" t="str">
        <f>IFERROR(VLOOKUP(TableHandbook[[#This Row],[UDC]],TableOUMPDGCM2[],7,FALSE),"")</f>
        <v>Option</v>
      </c>
      <c r="V48" s="133" t="str">
        <f>IFERROR(VLOOKUP(TableHandbook[[#This Row],[UDC]],TableOUMPFINA2[],7,FALSE),"")</f>
        <v/>
      </c>
      <c r="W48" s="133" t="str">
        <f>IFERROR(VLOOKUP(TableHandbook[[#This Row],[UDC]],TableOUMPPWRI3[],7,FALSE),"")</f>
        <v/>
      </c>
      <c r="X48" s="175" t="str">
        <f>IFERROR(VLOOKUP(TableHandbook[[#This Row],[UDC]],TableOCARTS[],7,FALSE),"")</f>
        <v/>
      </c>
      <c r="Y48" s="133" t="str">
        <f>IFERROR(VLOOKUP(TableHandbook[[#This Row],[UDC]],TableOUSPCWRI1[],7,FALSE),"")</f>
        <v/>
      </c>
      <c r="Z48" s="133" t="str">
        <f>IFERROR(VLOOKUP(TableHandbook[[#This Row],[UDC]],TableOUSPDGCM1[],7,FALSE),"")</f>
        <v/>
      </c>
      <c r="AA48" s="133" t="str">
        <f>IFERROR(VLOOKUP(TableHandbook[[#This Row],[UDC]],TableOUSPFINA1[],7,FALSE),"")</f>
        <v/>
      </c>
      <c r="AB48" s="133" t="str">
        <f>IFERROR(VLOOKUP(TableHandbook[[#This Row],[UDC]],TableOUSPPWRI1[],7,FALSE),"")</f>
        <v/>
      </c>
      <c r="AC48" s="175" t="str">
        <f>IFERROR(VLOOKUP(TableHandbook[[#This Row],[UDC]],TableOCHRIGHT[],7,FALSE),"")</f>
        <v/>
      </c>
      <c r="AD48" s="133" t="str">
        <f>IFERROR(VLOOKUP(TableHandbook[[#This Row],[UDC]],TableOGHRIGHT[],7,FALSE),"")</f>
        <v/>
      </c>
      <c r="AE48" s="133" t="str">
        <f>IFERROR(VLOOKUP(TableHandbook[[#This Row],[UDC]],TableOMHRIGHT[],7,FALSE),"")</f>
        <v/>
      </c>
    </row>
    <row r="49" spans="1:31" x14ac:dyDescent="0.25">
      <c r="A49" t="s">
        <v>230</v>
      </c>
      <c r="B49" s="1">
        <v>2</v>
      </c>
      <c r="C49" s="1" t="s">
        <v>296</v>
      </c>
      <c r="D49" t="s">
        <v>297</v>
      </c>
      <c r="E49" s="1">
        <v>25</v>
      </c>
      <c r="F49" s="214" t="s">
        <v>254</v>
      </c>
      <c r="G49" s="134" t="str">
        <f>IFERROR(IF(_xlfn.XLOOKUP(TableHandbook[[#This Row],[UDC]],TableAvailabilities[Row Labels],TableAvailabilities[OpenUnis Session 1])&gt;0,"Y",""),"")</f>
        <v/>
      </c>
      <c r="H49" s="134" t="str">
        <f>IFERROR(IF(_xlfn.XLOOKUP(TableHandbook[[#This Row],[UDC]],TableAvailabilities[Row Labels],TableAvailabilities[OpenUnis Session 2])&gt;0,"Y",""),"")</f>
        <v>Y</v>
      </c>
      <c r="I49" s="134" t="str">
        <f>IFERROR(IF(_xlfn.XLOOKUP(TableHandbook[[#This Row],[UDC]],TableAvailabilities[Row Labels],TableAvailabilities[OpenUnis SP 1])&gt;0,"Y",""),"")</f>
        <v/>
      </c>
      <c r="J49" s="134" t="str">
        <f>IFERROR(IF(_xlfn.XLOOKUP(TableHandbook[[#This Row],[UDC]],TableAvailabilities[Row Labels],TableAvailabilities[OpenUnis SP 2])&gt;0,"Y",""),"")</f>
        <v/>
      </c>
      <c r="K49" s="134" t="str">
        <f>IFERROR(IF(_xlfn.XLOOKUP(TableHandbook[[#This Row],[UDC]],TableAvailabilities[Row Labels],TableAvailabilities[OpenUnis SP 3])&gt;0,"Y",""),"")</f>
        <v/>
      </c>
      <c r="L49" s="134" t="str">
        <f>IFERROR(IF(_xlfn.XLOOKUP(TableHandbook[[#This Row],[UDC]],TableAvailabilities[Row Labels],TableAvailabilities[OpenUnis SP 4])&gt;0,"Y",""),"")</f>
        <v/>
      </c>
      <c r="N49" s="133" t="str">
        <f>IFERROR(VLOOKUP(TableHandbook[[#This Row],[UDC]],TableOMARTS[],7,FALSE),"")</f>
        <v/>
      </c>
      <c r="O49" s="133" t="str">
        <f>IFERROR(VLOOKUP(TableHandbook[[#This Row],[UDC]],TableOUMPCWRI4[],7,FALSE),"")</f>
        <v/>
      </c>
      <c r="P49" s="133" t="str">
        <f>IFERROR(VLOOKUP(TableHandbook[[#This Row],[UDC]],TableOUMPDGCM1[],7,FALSE),"")</f>
        <v/>
      </c>
      <c r="Q49" s="133" t="str">
        <f>IFERROR(VLOOKUP(TableHandbook[[#This Row],[UDC]],TableOUMPFINA1[],7,FALSE),"")</f>
        <v/>
      </c>
      <c r="R49" s="133" t="str">
        <f>IFERROR(VLOOKUP(TableHandbook[[#This Row],[UDC]],TableOUMPPWRI4[],7,FALSE),"")</f>
        <v/>
      </c>
      <c r="S49" s="175" t="str">
        <f>IFERROR(VLOOKUP(TableHandbook[[#This Row],[UDC]],TableOGARTS[],7,FALSE),"")</f>
        <v/>
      </c>
      <c r="T49" s="133" t="str">
        <f>IFERROR(VLOOKUP(TableHandbook[[#This Row],[UDC]],TableOUMPCWRI3[],7,FALSE),"")</f>
        <v/>
      </c>
      <c r="U49" s="133" t="str">
        <f>IFERROR(VLOOKUP(TableHandbook[[#This Row],[UDC]],TableOUMPDGCM2[],7,FALSE),"")</f>
        <v/>
      </c>
      <c r="V49" s="133" t="str">
        <f>IFERROR(VLOOKUP(TableHandbook[[#This Row],[UDC]],TableOUMPFINA2[],7,FALSE),"")</f>
        <v/>
      </c>
      <c r="W49" s="133" t="str">
        <f>IFERROR(VLOOKUP(TableHandbook[[#This Row],[UDC]],TableOUMPPWRI3[],7,FALSE),"")</f>
        <v/>
      </c>
      <c r="X49" s="175" t="str">
        <f>IFERROR(VLOOKUP(TableHandbook[[#This Row],[UDC]],TableOCARTS[],7,FALSE),"")</f>
        <v/>
      </c>
      <c r="Y49" s="133" t="str">
        <f>IFERROR(VLOOKUP(TableHandbook[[#This Row],[UDC]],TableOUSPCWRI1[],7,FALSE),"")</f>
        <v/>
      </c>
      <c r="Z49" s="133" t="str">
        <f>IFERROR(VLOOKUP(TableHandbook[[#This Row],[UDC]],TableOUSPDGCM1[],7,FALSE),"")</f>
        <v/>
      </c>
      <c r="AA49" s="133" t="str">
        <f>IFERROR(VLOOKUP(TableHandbook[[#This Row],[UDC]],TableOUSPFINA1[],7,FALSE),"")</f>
        <v/>
      </c>
      <c r="AB49" s="133" t="str">
        <f>IFERROR(VLOOKUP(TableHandbook[[#This Row],[UDC]],TableOUSPPWRI1[],7,FALSE),"")</f>
        <v/>
      </c>
      <c r="AC49" s="175" t="str">
        <f>IFERROR(VLOOKUP(TableHandbook[[#This Row],[UDC]],TableOCHRIGHT[],7,FALSE),"")</f>
        <v>Option</v>
      </c>
      <c r="AD49" s="133" t="str">
        <f>IFERROR(VLOOKUP(TableHandbook[[#This Row],[UDC]],TableOGHRIGHT[],7,FALSE),"")</f>
        <v>Core</v>
      </c>
      <c r="AE49" s="133" t="str">
        <f>IFERROR(VLOOKUP(TableHandbook[[#This Row],[UDC]],TableOMHRIGHT[],7,FALSE),"")</f>
        <v>Core</v>
      </c>
    </row>
    <row r="50" spans="1:31" x14ac:dyDescent="0.25">
      <c r="A50" t="s">
        <v>154</v>
      </c>
      <c r="B50" s="1">
        <v>1</v>
      </c>
      <c r="C50" s="1" t="s">
        <v>154</v>
      </c>
      <c r="D50" t="s">
        <v>298</v>
      </c>
      <c r="E50" s="1">
        <v>25</v>
      </c>
      <c r="F50" s="214" t="s">
        <v>254</v>
      </c>
      <c r="G50" s="134" t="str">
        <f>IFERROR(IF(_xlfn.XLOOKUP(TableHandbook[[#This Row],[UDC]],TableAvailabilities[Row Labels],TableAvailabilities[OpenUnis Session 1])&gt;0,"Y",""),"")</f>
        <v/>
      </c>
      <c r="H50" s="134" t="str">
        <f>IFERROR(IF(_xlfn.XLOOKUP(TableHandbook[[#This Row],[UDC]],TableAvailabilities[Row Labels],TableAvailabilities[OpenUnis Session 2])&gt;0,"Y",""),"")</f>
        <v/>
      </c>
      <c r="I50" s="134" t="str">
        <f>IFERROR(IF(_xlfn.XLOOKUP(TableHandbook[[#This Row],[UDC]],TableAvailabilities[Row Labels],TableAvailabilities[OpenUnis SP 1])&gt;0,"Y",""),"")</f>
        <v>Y</v>
      </c>
      <c r="J50" s="134" t="str">
        <f>IFERROR(IF(_xlfn.XLOOKUP(TableHandbook[[#This Row],[UDC]],TableAvailabilities[Row Labels],TableAvailabilities[OpenUnis SP 2])&gt;0,"Y",""),"")</f>
        <v/>
      </c>
      <c r="K50" s="134" t="str">
        <f>IFERROR(IF(_xlfn.XLOOKUP(TableHandbook[[#This Row],[UDC]],TableAvailabilities[Row Labels],TableAvailabilities[OpenUnis SP 3])&gt;0,"Y",""),"")</f>
        <v>Y</v>
      </c>
      <c r="L50" s="134" t="str">
        <f>IFERROR(IF(_xlfn.XLOOKUP(TableHandbook[[#This Row],[UDC]],TableAvailabilities[Row Labels],TableAvailabilities[OpenUnis SP 4])&gt;0,"Y",""),"")</f>
        <v/>
      </c>
      <c r="N50" s="133" t="str">
        <f>IFERROR(VLOOKUP(TableHandbook[[#This Row],[UDC]],TableOMARTS[],7,FALSE),"")</f>
        <v/>
      </c>
      <c r="O50" s="133" t="str">
        <f>IFERROR(VLOOKUP(TableHandbook[[#This Row],[UDC]],TableOUMPCWRI4[],7,FALSE),"")</f>
        <v>Option</v>
      </c>
      <c r="P50" s="133" t="str">
        <f>IFERROR(VLOOKUP(TableHandbook[[#This Row],[UDC]],TableOUMPDGCM1[],7,FALSE),"")</f>
        <v/>
      </c>
      <c r="Q50" s="133" t="str">
        <f>IFERROR(VLOOKUP(TableHandbook[[#This Row],[UDC]],TableOUMPFINA1[],7,FALSE),"")</f>
        <v/>
      </c>
      <c r="R50" s="133" t="str">
        <f>IFERROR(VLOOKUP(TableHandbook[[#This Row],[UDC]],TableOUMPPWRI4[],7,FALSE),"")</f>
        <v>Option</v>
      </c>
      <c r="S50" s="175" t="str">
        <f>IFERROR(VLOOKUP(TableHandbook[[#This Row],[UDC]],TableOGARTS[],7,FALSE),"")</f>
        <v/>
      </c>
      <c r="T50" s="133" t="str">
        <f>IFERROR(VLOOKUP(TableHandbook[[#This Row],[UDC]],TableOUMPCWRI3[],7,FALSE),"")</f>
        <v>Option</v>
      </c>
      <c r="U50" s="133" t="str">
        <f>IFERROR(VLOOKUP(TableHandbook[[#This Row],[UDC]],TableOUMPDGCM2[],7,FALSE),"")</f>
        <v/>
      </c>
      <c r="V50" s="133" t="str">
        <f>IFERROR(VLOOKUP(TableHandbook[[#This Row],[UDC]],TableOUMPFINA2[],7,FALSE),"")</f>
        <v/>
      </c>
      <c r="W50" s="133" t="str">
        <f>IFERROR(VLOOKUP(TableHandbook[[#This Row],[UDC]],TableOUMPPWRI3[],7,FALSE),"")</f>
        <v>Option</v>
      </c>
      <c r="X50" s="175" t="str">
        <f>IFERROR(VLOOKUP(TableHandbook[[#This Row],[UDC]],TableOCARTS[],7,FALSE),"")</f>
        <v/>
      </c>
      <c r="Y50" s="133" t="str">
        <f>IFERROR(VLOOKUP(TableHandbook[[#This Row],[UDC]],TableOUSPCWRI1[],7,FALSE),"")</f>
        <v/>
      </c>
      <c r="Z50" s="133" t="str">
        <f>IFERROR(VLOOKUP(TableHandbook[[#This Row],[UDC]],TableOUSPDGCM1[],7,FALSE),"")</f>
        <v/>
      </c>
      <c r="AA50" s="133" t="str">
        <f>IFERROR(VLOOKUP(TableHandbook[[#This Row],[UDC]],TableOUSPFINA1[],7,FALSE),"")</f>
        <v/>
      </c>
      <c r="AB50" s="133" t="str">
        <f>IFERROR(VLOOKUP(TableHandbook[[#This Row],[UDC]],TableOUSPPWRI1[],7,FALSE),"")</f>
        <v>Option</v>
      </c>
      <c r="AC50" s="175" t="str">
        <f>IFERROR(VLOOKUP(TableHandbook[[#This Row],[UDC]],TableOCHRIGHT[],7,FALSE),"")</f>
        <v/>
      </c>
      <c r="AD50" s="133" t="str">
        <f>IFERROR(VLOOKUP(TableHandbook[[#This Row],[UDC]],TableOGHRIGHT[],7,FALSE),"")</f>
        <v/>
      </c>
      <c r="AE50" s="133" t="str">
        <f>IFERROR(VLOOKUP(TableHandbook[[#This Row],[UDC]],TableOMHRIGHT[],7,FALSE),"")</f>
        <v/>
      </c>
    </row>
    <row r="51" spans="1:31" x14ac:dyDescent="0.25">
      <c r="A51" t="s">
        <v>156</v>
      </c>
      <c r="B51" s="1">
        <v>1</v>
      </c>
      <c r="C51" s="1" t="s">
        <v>156</v>
      </c>
      <c r="D51" t="s">
        <v>299</v>
      </c>
      <c r="E51" s="1">
        <v>25</v>
      </c>
      <c r="F51" s="214" t="s">
        <v>254</v>
      </c>
      <c r="G51" s="134" t="str">
        <f>IFERROR(IF(_xlfn.XLOOKUP(TableHandbook[[#This Row],[UDC]],TableAvailabilities[Row Labels],TableAvailabilities[OpenUnis Session 1])&gt;0,"Y",""),"")</f>
        <v/>
      </c>
      <c r="H51" s="134" t="str">
        <f>IFERROR(IF(_xlfn.XLOOKUP(TableHandbook[[#This Row],[UDC]],TableAvailabilities[Row Labels],TableAvailabilities[OpenUnis Session 2])&gt;0,"Y",""),"")</f>
        <v/>
      </c>
      <c r="I51" s="134" t="str">
        <f>IFERROR(IF(_xlfn.XLOOKUP(TableHandbook[[#This Row],[UDC]],TableAvailabilities[Row Labels],TableAvailabilities[OpenUnis SP 1])&gt;0,"Y",""),"")</f>
        <v>Y</v>
      </c>
      <c r="J51" s="134" t="str">
        <f>IFERROR(IF(_xlfn.XLOOKUP(TableHandbook[[#This Row],[UDC]],TableAvailabilities[Row Labels],TableAvailabilities[OpenUnis SP 2])&gt;0,"Y",""),"")</f>
        <v/>
      </c>
      <c r="K51" s="134" t="str">
        <f>IFERROR(IF(_xlfn.XLOOKUP(TableHandbook[[#This Row],[UDC]],TableAvailabilities[Row Labels],TableAvailabilities[OpenUnis SP 3])&gt;0,"Y",""),"")</f>
        <v/>
      </c>
      <c r="L51" s="134" t="str">
        <f>IFERROR(IF(_xlfn.XLOOKUP(TableHandbook[[#This Row],[UDC]],TableAvailabilities[Row Labels],TableAvailabilities[OpenUnis SP 4])&gt;0,"Y",""),"")</f>
        <v/>
      </c>
      <c r="N51" s="133" t="str">
        <f>IFERROR(VLOOKUP(TableHandbook[[#This Row],[UDC]],TableOMARTS[],7,FALSE),"")</f>
        <v/>
      </c>
      <c r="O51" s="133" t="str">
        <f>IFERROR(VLOOKUP(TableHandbook[[#This Row],[UDC]],TableOUMPCWRI4[],7,FALSE),"")</f>
        <v>Option</v>
      </c>
      <c r="P51" s="133" t="str">
        <f>IFERROR(VLOOKUP(TableHandbook[[#This Row],[UDC]],TableOUMPDGCM1[],7,FALSE),"")</f>
        <v/>
      </c>
      <c r="Q51" s="133" t="str">
        <f>IFERROR(VLOOKUP(TableHandbook[[#This Row],[UDC]],TableOUMPFINA1[],7,FALSE),"")</f>
        <v/>
      </c>
      <c r="R51" s="133" t="str">
        <f>IFERROR(VLOOKUP(TableHandbook[[#This Row],[UDC]],TableOUMPPWRI4[],7,FALSE),"")</f>
        <v>Option</v>
      </c>
      <c r="S51" s="175" t="str">
        <f>IFERROR(VLOOKUP(TableHandbook[[#This Row],[UDC]],TableOGARTS[],7,FALSE),"")</f>
        <v/>
      </c>
      <c r="T51" s="133" t="str">
        <f>IFERROR(VLOOKUP(TableHandbook[[#This Row],[UDC]],TableOUMPCWRI3[],7,FALSE),"")</f>
        <v>Option</v>
      </c>
      <c r="U51" s="133" t="str">
        <f>IFERROR(VLOOKUP(TableHandbook[[#This Row],[UDC]],TableOUMPDGCM2[],7,FALSE),"")</f>
        <v/>
      </c>
      <c r="V51" s="133" t="str">
        <f>IFERROR(VLOOKUP(TableHandbook[[#This Row],[UDC]],TableOUMPFINA2[],7,FALSE),"")</f>
        <v/>
      </c>
      <c r="W51" s="133" t="str">
        <f>IFERROR(VLOOKUP(TableHandbook[[#This Row],[UDC]],TableOUMPPWRI3[],7,FALSE),"")</f>
        <v>Option</v>
      </c>
      <c r="X51" s="175" t="str">
        <f>IFERROR(VLOOKUP(TableHandbook[[#This Row],[UDC]],TableOCARTS[],7,FALSE),"")</f>
        <v/>
      </c>
      <c r="Y51" s="133" t="str">
        <f>IFERROR(VLOOKUP(TableHandbook[[#This Row],[UDC]],TableOUSPCWRI1[],7,FALSE),"")</f>
        <v/>
      </c>
      <c r="Z51" s="133" t="str">
        <f>IFERROR(VLOOKUP(TableHandbook[[#This Row],[UDC]],TableOUSPDGCM1[],7,FALSE),"")</f>
        <v/>
      </c>
      <c r="AA51" s="133" t="str">
        <f>IFERROR(VLOOKUP(TableHandbook[[#This Row],[UDC]],TableOUSPFINA1[],7,FALSE),"")</f>
        <v/>
      </c>
      <c r="AB51" s="133" t="str">
        <f>IFERROR(VLOOKUP(TableHandbook[[#This Row],[UDC]],TableOUSPPWRI1[],7,FALSE),"")</f>
        <v>Option</v>
      </c>
      <c r="AC51" s="175" t="str">
        <f>IFERROR(VLOOKUP(TableHandbook[[#This Row],[UDC]],TableOCHRIGHT[],7,FALSE),"")</f>
        <v/>
      </c>
      <c r="AD51" s="133" t="str">
        <f>IFERROR(VLOOKUP(TableHandbook[[#This Row],[UDC]],TableOGHRIGHT[],7,FALSE),"")</f>
        <v/>
      </c>
      <c r="AE51" s="133" t="str">
        <f>IFERROR(VLOOKUP(TableHandbook[[#This Row],[UDC]],TableOMHRIGHT[],7,FALSE),"")</f>
        <v/>
      </c>
    </row>
    <row r="52" spans="1:31" x14ac:dyDescent="0.25">
      <c r="A52" t="s">
        <v>159</v>
      </c>
      <c r="B52" s="1">
        <v>1</v>
      </c>
      <c r="C52" s="1" t="s">
        <v>159</v>
      </c>
      <c r="D52" t="s">
        <v>300</v>
      </c>
      <c r="E52" s="1">
        <v>25</v>
      </c>
      <c r="F52" s="214" t="s">
        <v>301</v>
      </c>
      <c r="G52" s="134" t="str">
        <f>IFERROR(IF(_xlfn.XLOOKUP(TableHandbook[[#This Row],[UDC]],TableAvailabilities[Row Labels],TableAvailabilities[OpenUnis Session 1])&gt;0,"Y",""),"")</f>
        <v/>
      </c>
      <c r="H52" s="134" t="str">
        <f>IFERROR(IF(_xlfn.XLOOKUP(TableHandbook[[#This Row],[UDC]],TableAvailabilities[Row Labels],TableAvailabilities[OpenUnis Session 2])&gt;0,"Y",""),"")</f>
        <v/>
      </c>
      <c r="I52" s="134" t="str">
        <f>IFERROR(IF(_xlfn.XLOOKUP(TableHandbook[[#This Row],[UDC]],TableAvailabilities[Row Labels],TableAvailabilities[OpenUnis SP 1])&gt;0,"Y",""),"")</f>
        <v/>
      </c>
      <c r="J52" s="134" t="str">
        <f>IFERROR(IF(_xlfn.XLOOKUP(TableHandbook[[#This Row],[UDC]],TableAvailabilities[Row Labels],TableAvailabilities[OpenUnis SP 2])&gt;0,"Y",""),"")</f>
        <v>Y</v>
      </c>
      <c r="K52" s="134" t="str">
        <f>IFERROR(IF(_xlfn.XLOOKUP(TableHandbook[[#This Row],[UDC]],TableAvailabilities[Row Labels],TableAvailabilities[OpenUnis SP 3])&gt;0,"Y",""),"")</f>
        <v/>
      </c>
      <c r="L52" s="134" t="str">
        <f>IFERROR(IF(_xlfn.XLOOKUP(TableHandbook[[#This Row],[UDC]],TableAvailabilities[Row Labels],TableAvailabilities[OpenUnis SP 4])&gt;0,"Y",""),"")</f>
        <v/>
      </c>
      <c r="N52" s="133" t="str">
        <f>IFERROR(VLOOKUP(TableHandbook[[#This Row],[UDC]],TableOMARTS[],7,FALSE),"")</f>
        <v/>
      </c>
      <c r="O52" s="133" t="str">
        <f>IFERROR(VLOOKUP(TableHandbook[[#This Row],[UDC]],TableOUMPCWRI4[],7,FALSE),"")</f>
        <v/>
      </c>
      <c r="P52" s="133" t="str">
        <f>IFERROR(VLOOKUP(TableHandbook[[#This Row],[UDC]],TableOUMPDGCM1[],7,FALSE),"")</f>
        <v/>
      </c>
      <c r="Q52" s="133" t="str">
        <f>IFERROR(VLOOKUP(TableHandbook[[#This Row],[UDC]],TableOUMPFINA1[],7,FALSE),"")</f>
        <v/>
      </c>
      <c r="R52" s="133" t="str">
        <f>IFERROR(VLOOKUP(TableHandbook[[#This Row],[UDC]],TableOUMPPWRI4[],7,FALSE),"")</f>
        <v>Option</v>
      </c>
      <c r="S52" s="175" t="str">
        <f>IFERROR(VLOOKUP(TableHandbook[[#This Row],[UDC]],TableOGARTS[],7,FALSE),"")</f>
        <v/>
      </c>
      <c r="T52" s="133" t="str">
        <f>IFERROR(VLOOKUP(TableHandbook[[#This Row],[UDC]],TableOUMPCWRI3[],7,FALSE),"")</f>
        <v/>
      </c>
      <c r="U52" s="133" t="str">
        <f>IFERROR(VLOOKUP(TableHandbook[[#This Row],[UDC]],TableOUMPDGCM2[],7,FALSE),"")</f>
        <v/>
      </c>
      <c r="V52" s="133" t="str">
        <f>IFERROR(VLOOKUP(TableHandbook[[#This Row],[UDC]],TableOUMPFINA2[],7,FALSE),"")</f>
        <v/>
      </c>
      <c r="W52" s="133" t="str">
        <f>IFERROR(VLOOKUP(TableHandbook[[#This Row],[UDC]],TableOUMPPWRI3[],7,FALSE),"")</f>
        <v>Option</v>
      </c>
      <c r="X52" s="175" t="str">
        <f>IFERROR(VLOOKUP(TableHandbook[[#This Row],[UDC]],TableOCARTS[],7,FALSE),"")</f>
        <v/>
      </c>
      <c r="Y52" s="133" t="str">
        <f>IFERROR(VLOOKUP(TableHandbook[[#This Row],[UDC]],TableOUSPCWRI1[],7,FALSE),"")</f>
        <v/>
      </c>
      <c r="Z52" s="133" t="str">
        <f>IFERROR(VLOOKUP(TableHandbook[[#This Row],[UDC]],TableOUSPDGCM1[],7,FALSE),"")</f>
        <v/>
      </c>
      <c r="AA52" s="133" t="str">
        <f>IFERROR(VLOOKUP(TableHandbook[[#This Row],[UDC]],TableOUSPFINA1[],7,FALSE),"")</f>
        <v/>
      </c>
      <c r="AB52" s="133" t="str">
        <f>IFERROR(VLOOKUP(TableHandbook[[#This Row],[UDC]],TableOUSPPWRI1[],7,FALSE),"")</f>
        <v>Option</v>
      </c>
      <c r="AC52" s="175" t="str">
        <f>IFERROR(VLOOKUP(TableHandbook[[#This Row],[UDC]],TableOCHRIGHT[],7,FALSE),"")</f>
        <v/>
      </c>
      <c r="AD52" s="133" t="str">
        <f>IFERROR(VLOOKUP(TableHandbook[[#This Row],[UDC]],TableOGHRIGHT[],7,FALSE),"")</f>
        <v/>
      </c>
      <c r="AE52" s="133" t="str">
        <f>IFERROR(VLOOKUP(TableHandbook[[#This Row],[UDC]],TableOMHRIGHT[],7,FALSE),"")</f>
        <v/>
      </c>
    </row>
    <row r="53" spans="1:31" x14ac:dyDescent="0.25">
      <c r="A53" t="s">
        <v>182</v>
      </c>
      <c r="B53" s="1">
        <v>1</v>
      </c>
      <c r="C53" s="1" t="s">
        <v>182</v>
      </c>
      <c r="D53" t="s">
        <v>302</v>
      </c>
      <c r="E53" s="1">
        <v>25</v>
      </c>
      <c r="F53" s="214" t="s">
        <v>303</v>
      </c>
      <c r="G53" s="134" t="str">
        <f>IFERROR(IF(_xlfn.XLOOKUP(TableHandbook[[#This Row],[UDC]],TableAvailabilities[Row Labels],TableAvailabilities[OpenUnis Session 1])&gt;0,"Y",""),"")</f>
        <v/>
      </c>
      <c r="H53" s="134" t="str">
        <f>IFERROR(IF(_xlfn.XLOOKUP(TableHandbook[[#This Row],[UDC]],TableAvailabilities[Row Labels],TableAvailabilities[OpenUnis Session 2])&gt;0,"Y",""),"")</f>
        <v/>
      </c>
      <c r="I53" s="134" t="str">
        <f>IFERROR(IF(_xlfn.XLOOKUP(TableHandbook[[#This Row],[UDC]],TableAvailabilities[Row Labels],TableAvailabilities[OpenUnis SP 1])&gt;0,"Y",""),"")</f>
        <v/>
      </c>
      <c r="J53" s="134" t="str">
        <f>IFERROR(IF(_xlfn.XLOOKUP(TableHandbook[[#This Row],[UDC]],TableAvailabilities[Row Labels],TableAvailabilities[OpenUnis SP 2])&gt;0,"Y",""),"")</f>
        <v/>
      </c>
      <c r="K53" s="134" t="str">
        <f>IFERROR(IF(_xlfn.XLOOKUP(TableHandbook[[#This Row],[UDC]],TableAvailabilities[Row Labels],TableAvailabilities[OpenUnis SP 3])&gt;0,"Y",""),"")</f>
        <v>Y</v>
      </c>
      <c r="L53" s="134" t="str">
        <f>IFERROR(IF(_xlfn.XLOOKUP(TableHandbook[[#This Row],[UDC]],TableAvailabilities[Row Labels],TableAvailabilities[OpenUnis SP 4])&gt;0,"Y",""),"")</f>
        <v/>
      </c>
      <c r="N53" s="133" t="str">
        <f>IFERROR(VLOOKUP(TableHandbook[[#This Row],[UDC]],TableOMARTS[],7,FALSE),"")</f>
        <v/>
      </c>
      <c r="O53" s="133" t="str">
        <f>IFERROR(VLOOKUP(TableHandbook[[#This Row],[UDC]],TableOUMPCWRI4[],7,FALSE),"")</f>
        <v/>
      </c>
      <c r="P53" s="133" t="str">
        <f>IFERROR(VLOOKUP(TableHandbook[[#This Row],[UDC]],TableOUMPDGCM1[],7,FALSE),"")</f>
        <v/>
      </c>
      <c r="Q53" s="133" t="str">
        <f>IFERROR(VLOOKUP(TableHandbook[[#This Row],[UDC]],TableOUMPFINA1[],7,FALSE),"")</f>
        <v/>
      </c>
      <c r="R53" s="133" t="str">
        <f>IFERROR(VLOOKUP(TableHandbook[[#This Row],[UDC]],TableOUMPPWRI4[],7,FALSE),"")</f>
        <v>Option</v>
      </c>
      <c r="S53" s="175" t="str">
        <f>IFERROR(VLOOKUP(TableHandbook[[#This Row],[UDC]],TableOGARTS[],7,FALSE),"")</f>
        <v/>
      </c>
      <c r="T53" s="133" t="str">
        <f>IFERROR(VLOOKUP(TableHandbook[[#This Row],[UDC]],TableOUMPCWRI3[],7,FALSE),"")</f>
        <v/>
      </c>
      <c r="U53" s="133" t="str">
        <f>IFERROR(VLOOKUP(TableHandbook[[#This Row],[UDC]],TableOUMPDGCM2[],7,FALSE),"")</f>
        <v/>
      </c>
      <c r="V53" s="133" t="str">
        <f>IFERROR(VLOOKUP(TableHandbook[[#This Row],[UDC]],TableOUMPFINA2[],7,FALSE),"")</f>
        <v/>
      </c>
      <c r="W53" s="133" t="str">
        <f>IFERROR(VLOOKUP(TableHandbook[[#This Row],[UDC]],TableOUMPPWRI3[],7,FALSE),"")</f>
        <v/>
      </c>
      <c r="X53" s="175" t="str">
        <f>IFERROR(VLOOKUP(TableHandbook[[#This Row],[UDC]],TableOCARTS[],7,FALSE),"")</f>
        <v/>
      </c>
      <c r="Y53" s="133" t="str">
        <f>IFERROR(VLOOKUP(TableHandbook[[#This Row],[UDC]],TableOUSPCWRI1[],7,FALSE),"")</f>
        <v/>
      </c>
      <c r="Z53" s="133" t="str">
        <f>IFERROR(VLOOKUP(TableHandbook[[#This Row],[UDC]],TableOUSPDGCM1[],7,FALSE),"")</f>
        <v/>
      </c>
      <c r="AA53" s="133" t="str">
        <f>IFERROR(VLOOKUP(TableHandbook[[#This Row],[UDC]],TableOUSPFINA1[],7,FALSE),"")</f>
        <v/>
      </c>
      <c r="AB53" s="133" t="str">
        <f>IFERROR(VLOOKUP(TableHandbook[[#This Row],[UDC]],TableOUSPPWRI1[],7,FALSE),"")</f>
        <v/>
      </c>
      <c r="AC53" s="175" t="str">
        <f>IFERROR(VLOOKUP(TableHandbook[[#This Row],[UDC]],TableOCHRIGHT[],7,FALSE),"")</f>
        <v/>
      </c>
      <c r="AD53" s="133" t="str">
        <f>IFERROR(VLOOKUP(TableHandbook[[#This Row],[UDC]],TableOGHRIGHT[],7,FALSE),"")</f>
        <v/>
      </c>
      <c r="AE53" s="133" t="str">
        <f>IFERROR(VLOOKUP(TableHandbook[[#This Row],[UDC]],TableOMHRIGHT[],7,FALSE),"")</f>
        <v/>
      </c>
    </row>
    <row r="54" spans="1:31" x14ac:dyDescent="0.25">
      <c r="A54" t="s">
        <v>163</v>
      </c>
      <c r="B54" s="1">
        <v>1</v>
      </c>
      <c r="C54" s="1" t="s">
        <v>163</v>
      </c>
      <c r="D54" t="s">
        <v>304</v>
      </c>
      <c r="E54" s="1">
        <v>25</v>
      </c>
      <c r="F54" s="214" t="s">
        <v>254</v>
      </c>
      <c r="G54" s="134" t="str">
        <f>IFERROR(IF(_xlfn.XLOOKUP(TableHandbook[[#This Row],[UDC]],TableAvailabilities[Row Labels],TableAvailabilities[OpenUnis Session 1])&gt;0,"Y",""),"")</f>
        <v/>
      </c>
      <c r="H54" s="134" t="str">
        <f>IFERROR(IF(_xlfn.XLOOKUP(TableHandbook[[#This Row],[UDC]],TableAvailabilities[Row Labels],TableAvailabilities[OpenUnis Session 2])&gt;0,"Y",""),"")</f>
        <v/>
      </c>
      <c r="I54" s="134" t="str">
        <f>IFERROR(IF(_xlfn.XLOOKUP(TableHandbook[[#This Row],[UDC]],TableAvailabilities[Row Labels],TableAvailabilities[OpenUnis SP 1])&gt;0,"Y",""),"")</f>
        <v>Y</v>
      </c>
      <c r="J54" s="134" t="str">
        <f>IFERROR(IF(_xlfn.XLOOKUP(TableHandbook[[#This Row],[UDC]],TableAvailabilities[Row Labels],TableAvailabilities[OpenUnis SP 2])&gt;0,"Y",""),"")</f>
        <v/>
      </c>
      <c r="K54" s="134" t="str">
        <f>IFERROR(IF(_xlfn.XLOOKUP(TableHandbook[[#This Row],[UDC]],TableAvailabilities[Row Labels],TableAvailabilities[OpenUnis SP 3])&gt;0,"Y",""),"")</f>
        <v>Y</v>
      </c>
      <c r="L54" s="134" t="str">
        <f>IFERROR(IF(_xlfn.XLOOKUP(TableHandbook[[#This Row],[UDC]],TableAvailabilities[Row Labels],TableAvailabilities[OpenUnis SP 4])&gt;0,"Y",""),"")</f>
        <v/>
      </c>
      <c r="N54" s="133" t="str">
        <f>IFERROR(VLOOKUP(TableHandbook[[#This Row],[UDC]],TableOMARTS[],7,FALSE),"")</f>
        <v/>
      </c>
      <c r="O54" s="133" t="str">
        <f>IFERROR(VLOOKUP(TableHandbook[[#This Row],[UDC]],TableOUMPCWRI4[],7,FALSE),"")</f>
        <v/>
      </c>
      <c r="P54" s="133" t="str">
        <f>IFERROR(VLOOKUP(TableHandbook[[#This Row],[UDC]],TableOUMPDGCM1[],7,FALSE),"")</f>
        <v/>
      </c>
      <c r="Q54" s="133" t="str">
        <f>IFERROR(VLOOKUP(TableHandbook[[#This Row],[UDC]],TableOUMPFINA1[],7,FALSE),"")</f>
        <v/>
      </c>
      <c r="R54" s="133" t="str">
        <f>IFERROR(VLOOKUP(TableHandbook[[#This Row],[UDC]],TableOUMPPWRI4[],7,FALSE),"")</f>
        <v>Option</v>
      </c>
      <c r="S54" s="175" t="str">
        <f>IFERROR(VLOOKUP(TableHandbook[[#This Row],[UDC]],TableOGARTS[],7,FALSE),"")</f>
        <v/>
      </c>
      <c r="T54" s="133" t="str">
        <f>IFERROR(VLOOKUP(TableHandbook[[#This Row],[UDC]],TableOUMPCWRI3[],7,FALSE),"")</f>
        <v/>
      </c>
      <c r="U54" s="133" t="str">
        <f>IFERROR(VLOOKUP(TableHandbook[[#This Row],[UDC]],TableOUMPDGCM2[],7,FALSE),"")</f>
        <v/>
      </c>
      <c r="V54" s="133" t="str">
        <f>IFERROR(VLOOKUP(TableHandbook[[#This Row],[UDC]],TableOUMPFINA2[],7,FALSE),"")</f>
        <v/>
      </c>
      <c r="W54" s="133" t="str">
        <f>IFERROR(VLOOKUP(TableHandbook[[#This Row],[UDC]],TableOUMPPWRI3[],7,FALSE),"")</f>
        <v>Option</v>
      </c>
      <c r="X54" s="175" t="str">
        <f>IFERROR(VLOOKUP(TableHandbook[[#This Row],[UDC]],TableOCARTS[],7,FALSE),"")</f>
        <v/>
      </c>
      <c r="Y54" s="133" t="str">
        <f>IFERROR(VLOOKUP(TableHandbook[[#This Row],[UDC]],TableOUSPCWRI1[],7,FALSE),"")</f>
        <v/>
      </c>
      <c r="Z54" s="133" t="str">
        <f>IFERROR(VLOOKUP(TableHandbook[[#This Row],[UDC]],TableOUSPDGCM1[],7,FALSE),"")</f>
        <v/>
      </c>
      <c r="AA54" s="133" t="str">
        <f>IFERROR(VLOOKUP(TableHandbook[[#This Row],[UDC]],TableOUSPFINA1[],7,FALSE),"")</f>
        <v/>
      </c>
      <c r="AB54" s="133" t="str">
        <f>IFERROR(VLOOKUP(TableHandbook[[#This Row],[UDC]],TableOUSPPWRI1[],7,FALSE),"")</f>
        <v>Option</v>
      </c>
      <c r="AC54" s="175" t="str">
        <f>IFERROR(VLOOKUP(TableHandbook[[#This Row],[UDC]],TableOCHRIGHT[],7,FALSE),"")</f>
        <v/>
      </c>
      <c r="AD54" s="133" t="str">
        <f>IFERROR(VLOOKUP(TableHandbook[[#This Row],[UDC]],TableOGHRIGHT[],7,FALSE),"")</f>
        <v/>
      </c>
      <c r="AE54" s="133" t="str">
        <f>IFERROR(VLOOKUP(TableHandbook[[#This Row],[UDC]],TableOMHRIGHT[],7,FALSE),"")</f>
        <v/>
      </c>
    </row>
    <row r="55" spans="1:31" x14ac:dyDescent="0.25">
      <c r="A55" t="s">
        <v>173</v>
      </c>
      <c r="B55" s="1">
        <v>1</v>
      </c>
      <c r="C55" s="1" t="s">
        <v>173</v>
      </c>
      <c r="D55" t="s">
        <v>305</v>
      </c>
      <c r="E55" s="1">
        <v>25</v>
      </c>
      <c r="F55" s="214" t="s">
        <v>306</v>
      </c>
      <c r="G55" s="134" t="str">
        <f>IFERROR(IF(_xlfn.XLOOKUP(TableHandbook[[#This Row],[UDC]],TableAvailabilities[Row Labels],TableAvailabilities[OpenUnis Session 1])&gt;0,"Y",""),"")</f>
        <v/>
      </c>
      <c r="H55" s="134" t="str">
        <f>IFERROR(IF(_xlfn.XLOOKUP(TableHandbook[[#This Row],[UDC]],TableAvailabilities[Row Labels],TableAvailabilities[OpenUnis Session 2])&gt;0,"Y",""),"")</f>
        <v/>
      </c>
      <c r="I55" s="134" t="str">
        <f>IFERROR(IF(_xlfn.XLOOKUP(TableHandbook[[#This Row],[UDC]],TableAvailabilities[Row Labels],TableAvailabilities[OpenUnis SP 1])&gt;0,"Y",""),"")</f>
        <v/>
      </c>
      <c r="J55" s="134" t="str">
        <f>IFERROR(IF(_xlfn.XLOOKUP(TableHandbook[[#This Row],[UDC]],TableAvailabilities[Row Labels],TableAvailabilities[OpenUnis SP 2])&gt;0,"Y",""),"")</f>
        <v/>
      </c>
      <c r="K55" s="134" t="str">
        <f>IFERROR(IF(_xlfn.XLOOKUP(TableHandbook[[#This Row],[UDC]],TableAvailabilities[Row Labels],TableAvailabilities[OpenUnis SP 3])&gt;0,"Y",""),"")</f>
        <v/>
      </c>
      <c r="L55" s="134" t="str">
        <f>IFERROR(IF(_xlfn.XLOOKUP(TableHandbook[[#This Row],[UDC]],TableAvailabilities[Row Labels],TableAvailabilities[OpenUnis SP 4])&gt;0,"Y",""),"")</f>
        <v/>
      </c>
      <c r="N55" s="133" t="str">
        <f>IFERROR(VLOOKUP(TableHandbook[[#This Row],[UDC]],TableOMARTS[],7,FALSE),"")</f>
        <v/>
      </c>
      <c r="O55" s="133" t="str">
        <f>IFERROR(VLOOKUP(TableHandbook[[#This Row],[UDC]],TableOUMPCWRI4[],7,FALSE),"")</f>
        <v>Option</v>
      </c>
      <c r="P55" s="133" t="str">
        <f>IFERROR(VLOOKUP(TableHandbook[[#This Row],[UDC]],TableOUMPDGCM1[],7,FALSE),"")</f>
        <v/>
      </c>
      <c r="Q55" s="133" t="str">
        <f>IFERROR(VLOOKUP(TableHandbook[[#This Row],[UDC]],TableOUMPFINA1[],7,FALSE),"")</f>
        <v/>
      </c>
      <c r="R55" s="133" t="str">
        <f>IFERROR(VLOOKUP(TableHandbook[[#This Row],[UDC]],TableOUMPPWRI4[],7,FALSE),"")</f>
        <v>Option</v>
      </c>
      <c r="S55" s="175" t="str">
        <f>IFERROR(VLOOKUP(TableHandbook[[#This Row],[UDC]],TableOGARTS[],7,FALSE),"")</f>
        <v/>
      </c>
      <c r="T55" s="133" t="str">
        <f>IFERROR(VLOOKUP(TableHandbook[[#This Row],[UDC]],TableOUMPCWRI3[],7,FALSE),"")</f>
        <v/>
      </c>
      <c r="U55" s="133" t="str">
        <f>IFERROR(VLOOKUP(TableHandbook[[#This Row],[UDC]],TableOUMPDGCM2[],7,FALSE),"")</f>
        <v/>
      </c>
      <c r="V55" s="133" t="str">
        <f>IFERROR(VLOOKUP(TableHandbook[[#This Row],[UDC]],TableOUMPFINA2[],7,FALSE),"")</f>
        <v/>
      </c>
      <c r="W55" s="133" t="str">
        <f>IFERROR(VLOOKUP(TableHandbook[[#This Row],[UDC]],TableOUMPPWRI3[],7,FALSE),"")</f>
        <v/>
      </c>
      <c r="X55" s="175" t="str">
        <f>IFERROR(VLOOKUP(TableHandbook[[#This Row],[UDC]],TableOCARTS[],7,FALSE),"")</f>
        <v/>
      </c>
      <c r="Y55" s="133" t="str">
        <f>IFERROR(VLOOKUP(TableHandbook[[#This Row],[UDC]],TableOUSPCWRI1[],7,FALSE),"")</f>
        <v/>
      </c>
      <c r="Z55" s="133" t="str">
        <f>IFERROR(VLOOKUP(TableHandbook[[#This Row],[UDC]],TableOUSPDGCM1[],7,FALSE),"")</f>
        <v/>
      </c>
      <c r="AA55" s="133" t="str">
        <f>IFERROR(VLOOKUP(TableHandbook[[#This Row],[UDC]],TableOUSPFINA1[],7,FALSE),"")</f>
        <v/>
      </c>
      <c r="AB55" s="133" t="str">
        <f>IFERROR(VLOOKUP(TableHandbook[[#This Row],[UDC]],TableOUSPPWRI1[],7,FALSE),"")</f>
        <v/>
      </c>
      <c r="AC55" s="175" t="str">
        <f>IFERROR(VLOOKUP(TableHandbook[[#This Row],[UDC]],TableOCHRIGHT[],7,FALSE),"")</f>
        <v/>
      </c>
      <c r="AD55" s="133" t="str">
        <f>IFERROR(VLOOKUP(TableHandbook[[#This Row],[UDC]],TableOGHRIGHT[],7,FALSE),"")</f>
        <v/>
      </c>
      <c r="AE55" s="133" t="str">
        <f>IFERROR(VLOOKUP(TableHandbook[[#This Row],[UDC]],TableOMHRIGHT[],7,FALSE),"")</f>
        <v/>
      </c>
    </row>
    <row r="56" spans="1:31" x14ac:dyDescent="0.25">
      <c r="A56" t="s">
        <v>137</v>
      </c>
      <c r="B56" s="1">
        <v>2</v>
      </c>
      <c r="C56" s="1" t="s">
        <v>307</v>
      </c>
      <c r="D56" t="s">
        <v>308</v>
      </c>
      <c r="E56" s="1">
        <v>25</v>
      </c>
      <c r="F56" s="214" t="s">
        <v>254</v>
      </c>
      <c r="G56" s="134" t="str">
        <f>IFERROR(IF(_xlfn.XLOOKUP(TableHandbook[[#This Row],[UDC]],TableAvailabilities[Row Labels],TableAvailabilities[OpenUnis Session 1])&gt;0,"Y",""),"")</f>
        <v/>
      </c>
      <c r="H56" s="134" t="str">
        <f>IFERROR(IF(_xlfn.XLOOKUP(TableHandbook[[#This Row],[UDC]],TableAvailabilities[Row Labels],TableAvailabilities[OpenUnis Session 2])&gt;0,"Y",""),"")</f>
        <v/>
      </c>
      <c r="I56" s="134" t="str">
        <f>IFERROR(IF(_xlfn.XLOOKUP(TableHandbook[[#This Row],[UDC]],TableAvailabilities[Row Labels],TableAvailabilities[OpenUnis SP 1])&gt;0,"Y",""),"")</f>
        <v>Y</v>
      </c>
      <c r="J56" s="134" t="str">
        <f>IFERROR(IF(_xlfn.XLOOKUP(TableHandbook[[#This Row],[UDC]],TableAvailabilities[Row Labels],TableAvailabilities[OpenUnis SP 2])&gt;0,"Y",""),"")</f>
        <v>Y</v>
      </c>
      <c r="K56" s="134" t="str">
        <f>IFERROR(IF(_xlfn.XLOOKUP(TableHandbook[[#This Row],[UDC]],TableAvailabilities[Row Labels],TableAvailabilities[OpenUnis SP 3])&gt;0,"Y",""),"")</f>
        <v>Y</v>
      </c>
      <c r="L56" s="134" t="str">
        <f>IFERROR(IF(_xlfn.XLOOKUP(TableHandbook[[#This Row],[UDC]],TableAvailabilities[Row Labels],TableAvailabilities[OpenUnis SP 4])&gt;0,"Y",""),"")</f>
        <v>Y</v>
      </c>
      <c r="N56" s="133" t="str">
        <f>IFERROR(VLOOKUP(TableHandbook[[#This Row],[UDC]],TableOMARTS[],7,FALSE),"")</f>
        <v/>
      </c>
      <c r="O56" s="133" t="str">
        <f>IFERROR(VLOOKUP(TableHandbook[[#This Row],[UDC]],TableOUMPCWRI4[],7,FALSE),"")</f>
        <v>Option</v>
      </c>
      <c r="P56" s="133" t="str">
        <f>IFERROR(VLOOKUP(TableHandbook[[#This Row],[UDC]],TableOUMPDGCM1[],7,FALSE),"")</f>
        <v>AltCore</v>
      </c>
      <c r="Q56" s="133" t="str">
        <f>IFERROR(VLOOKUP(TableHandbook[[#This Row],[UDC]],TableOUMPFINA1[],7,FALSE),"")</f>
        <v/>
      </c>
      <c r="R56" s="133" t="str">
        <f>IFERROR(VLOOKUP(TableHandbook[[#This Row],[UDC]],TableOUMPPWRI4[],7,FALSE),"")</f>
        <v>Option</v>
      </c>
      <c r="S56" s="175" t="str">
        <f>IFERROR(VLOOKUP(TableHandbook[[#This Row],[UDC]],TableOGARTS[],7,FALSE),"")</f>
        <v/>
      </c>
      <c r="T56" s="133" t="str">
        <f>IFERROR(VLOOKUP(TableHandbook[[#This Row],[UDC]],TableOUMPCWRI3[],7,FALSE),"")</f>
        <v/>
      </c>
      <c r="U56" s="133" t="str">
        <f>IFERROR(VLOOKUP(TableHandbook[[#This Row],[UDC]],TableOUMPDGCM2[],7,FALSE),"")</f>
        <v>AltCore</v>
      </c>
      <c r="V56" s="133" t="str">
        <f>IFERROR(VLOOKUP(TableHandbook[[#This Row],[UDC]],TableOUMPFINA2[],7,FALSE),"")</f>
        <v/>
      </c>
      <c r="W56" s="133" t="str">
        <f>IFERROR(VLOOKUP(TableHandbook[[#This Row],[UDC]],TableOUMPPWRI3[],7,FALSE),"")</f>
        <v>Option</v>
      </c>
      <c r="X56" s="175" t="str">
        <f>IFERROR(VLOOKUP(TableHandbook[[#This Row],[UDC]],TableOCARTS[],7,FALSE),"")</f>
        <v/>
      </c>
      <c r="Y56" s="133" t="str">
        <f>IFERROR(VLOOKUP(TableHandbook[[#This Row],[UDC]],TableOUSPCWRI1[],7,FALSE),"")</f>
        <v/>
      </c>
      <c r="Z56" s="133" t="str">
        <f>IFERROR(VLOOKUP(TableHandbook[[#This Row],[UDC]],TableOUSPDGCM1[],7,FALSE),"")</f>
        <v>AltCore</v>
      </c>
      <c r="AA56" s="133" t="str">
        <f>IFERROR(VLOOKUP(TableHandbook[[#This Row],[UDC]],TableOUSPFINA1[],7,FALSE),"")</f>
        <v/>
      </c>
      <c r="AB56" s="133" t="str">
        <f>IFERROR(VLOOKUP(TableHandbook[[#This Row],[UDC]],TableOUSPPWRI1[],7,FALSE),"")</f>
        <v/>
      </c>
      <c r="AC56" s="175" t="str">
        <f>IFERROR(VLOOKUP(TableHandbook[[#This Row],[UDC]],TableOCHRIGHT[],7,FALSE),"")</f>
        <v/>
      </c>
      <c r="AD56" s="133" t="str">
        <f>IFERROR(VLOOKUP(TableHandbook[[#This Row],[UDC]],TableOGHRIGHT[],7,FALSE),"")</f>
        <v/>
      </c>
      <c r="AE56" s="133" t="str">
        <f>IFERROR(VLOOKUP(TableHandbook[[#This Row],[UDC]],TableOMHRIGHT[],7,FALSE),"")</f>
        <v/>
      </c>
    </row>
    <row r="57" spans="1:31" x14ac:dyDescent="0.25">
      <c r="A57" t="s">
        <v>139</v>
      </c>
      <c r="B57" s="1">
        <v>2</v>
      </c>
      <c r="C57" s="1" t="s">
        <v>309</v>
      </c>
      <c r="D57" t="s">
        <v>310</v>
      </c>
      <c r="E57" s="1">
        <v>25</v>
      </c>
      <c r="F57" s="214" t="s">
        <v>254</v>
      </c>
      <c r="G57" s="134" t="str">
        <f>IFERROR(IF(_xlfn.XLOOKUP(TableHandbook[[#This Row],[UDC]],TableAvailabilities[Row Labels],TableAvailabilities[OpenUnis Session 1])&gt;0,"Y",""),"")</f>
        <v/>
      </c>
      <c r="H57" s="134" t="str">
        <f>IFERROR(IF(_xlfn.XLOOKUP(TableHandbook[[#This Row],[UDC]],TableAvailabilities[Row Labels],TableAvailabilities[OpenUnis Session 2])&gt;0,"Y",""),"")</f>
        <v/>
      </c>
      <c r="I57" s="134" t="str">
        <f>IFERROR(IF(_xlfn.XLOOKUP(TableHandbook[[#This Row],[UDC]],TableAvailabilities[Row Labels],TableAvailabilities[OpenUnis SP 1])&gt;0,"Y",""),"")</f>
        <v>Y</v>
      </c>
      <c r="J57" s="134" t="str">
        <f>IFERROR(IF(_xlfn.XLOOKUP(TableHandbook[[#This Row],[UDC]],TableAvailabilities[Row Labels],TableAvailabilities[OpenUnis SP 2])&gt;0,"Y",""),"")</f>
        <v>Y</v>
      </c>
      <c r="K57" s="134" t="str">
        <f>IFERROR(IF(_xlfn.XLOOKUP(TableHandbook[[#This Row],[UDC]],TableAvailabilities[Row Labels],TableAvailabilities[OpenUnis SP 3])&gt;0,"Y",""),"")</f>
        <v>Y</v>
      </c>
      <c r="L57" s="134" t="str">
        <f>IFERROR(IF(_xlfn.XLOOKUP(TableHandbook[[#This Row],[UDC]],TableAvailabilities[Row Labels],TableAvailabilities[OpenUnis SP 4])&gt;0,"Y",""),"")</f>
        <v>Y</v>
      </c>
      <c r="N57" s="133" t="str">
        <f>IFERROR(VLOOKUP(TableHandbook[[#This Row],[UDC]],TableOMARTS[],7,FALSE),"")</f>
        <v/>
      </c>
      <c r="O57" s="133" t="str">
        <f>IFERROR(VLOOKUP(TableHandbook[[#This Row],[UDC]],TableOUMPCWRI4[],7,FALSE),"")</f>
        <v/>
      </c>
      <c r="P57" s="133" t="str">
        <f>IFERROR(VLOOKUP(TableHandbook[[#This Row],[UDC]],TableOUMPDGCM1[],7,FALSE),"")</f>
        <v>AltCore</v>
      </c>
      <c r="Q57" s="133" t="str">
        <f>IFERROR(VLOOKUP(TableHandbook[[#This Row],[UDC]],TableOUMPFINA1[],7,FALSE),"")</f>
        <v>Option</v>
      </c>
      <c r="R57" s="133" t="str">
        <f>IFERROR(VLOOKUP(TableHandbook[[#This Row],[UDC]],TableOUMPPWRI4[],7,FALSE),"")</f>
        <v>Option</v>
      </c>
      <c r="S57" s="175" t="str">
        <f>IFERROR(VLOOKUP(TableHandbook[[#This Row],[UDC]],TableOGARTS[],7,FALSE),"")</f>
        <v/>
      </c>
      <c r="T57" s="133" t="str">
        <f>IFERROR(VLOOKUP(TableHandbook[[#This Row],[UDC]],TableOUMPCWRI3[],7,FALSE),"")</f>
        <v/>
      </c>
      <c r="U57" s="133" t="str">
        <f>IFERROR(VLOOKUP(TableHandbook[[#This Row],[UDC]],TableOUMPDGCM2[],7,FALSE),"")</f>
        <v>AltCore</v>
      </c>
      <c r="V57" s="133" t="str">
        <f>IFERROR(VLOOKUP(TableHandbook[[#This Row],[UDC]],TableOUMPFINA2[],7,FALSE),"")</f>
        <v/>
      </c>
      <c r="W57" s="133" t="str">
        <f>IFERROR(VLOOKUP(TableHandbook[[#This Row],[UDC]],TableOUMPPWRI3[],7,FALSE),"")</f>
        <v/>
      </c>
      <c r="X57" s="175" t="str">
        <f>IFERROR(VLOOKUP(TableHandbook[[#This Row],[UDC]],TableOCARTS[],7,FALSE),"")</f>
        <v/>
      </c>
      <c r="Y57" s="133" t="str">
        <f>IFERROR(VLOOKUP(TableHandbook[[#This Row],[UDC]],TableOUSPCWRI1[],7,FALSE),"")</f>
        <v/>
      </c>
      <c r="Z57" s="133" t="str">
        <f>IFERROR(VLOOKUP(TableHandbook[[#This Row],[UDC]],TableOUSPDGCM1[],7,FALSE),"")</f>
        <v>AltCore</v>
      </c>
      <c r="AA57" s="133" t="str">
        <f>IFERROR(VLOOKUP(TableHandbook[[#This Row],[UDC]],TableOUSPFINA1[],7,FALSE),"")</f>
        <v/>
      </c>
      <c r="AB57" s="133" t="str">
        <f>IFERROR(VLOOKUP(TableHandbook[[#This Row],[UDC]],TableOUSPPWRI1[],7,FALSE),"")</f>
        <v/>
      </c>
      <c r="AC57" s="175" t="str">
        <f>IFERROR(VLOOKUP(TableHandbook[[#This Row],[UDC]],TableOCHRIGHT[],7,FALSE),"")</f>
        <v/>
      </c>
      <c r="AD57" s="133" t="str">
        <f>IFERROR(VLOOKUP(TableHandbook[[#This Row],[UDC]],TableOGHRIGHT[],7,FALSE),"")</f>
        <v/>
      </c>
      <c r="AE57" s="133" t="str">
        <f>IFERROR(VLOOKUP(TableHandbook[[#This Row],[UDC]],TableOMHRIGHT[],7,FALSE),"")</f>
        <v/>
      </c>
    </row>
    <row r="58" spans="1:31" x14ac:dyDescent="0.25">
      <c r="A58" t="s">
        <v>168</v>
      </c>
      <c r="B58" s="1">
        <v>3</v>
      </c>
      <c r="C58" s="1" t="s">
        <v>311</v>
      </c>
      <c r="D58" t="s">
        <v>312</v>
      </c>
      <c r="E58" s="1">
        <v>25</v>
      </c>
      <c r="F58" s="214" t="s">
        <v>254</v>
      </c>
      <c r="G58" s="134" t="str">
        <f>IFERROR(IF(_xlfn.XLOOKUP(TableHandbook[[#This Row],[UDC]],TableAvailabilities[Row Labels],TableAvailabilities[OpenUnis Session 1])&gt;0,"Y",""),"")</f>
        <v/>
      </c>
      <c r="H58" s="134" t="str">
        <f>IFERROR(IF(_xlfn.XLOOKUP(TableHandbook[[#This Row],[UDC]],TableAvailabilities[Row Labels],TableAvailabilities[OpenUnis Session 2])&gt;0,"Y",""),"")</f>
        <v/>
      </c>
      <c r="I58" s="134" t="str">
        <f>IFERROR(IF(_xlfn.XLOOKUP(TableHandbook[[#This Row],[UDC]],TableAvailabilities[Row Labels],TableAvailabilities[OpenUnis SP 1])&gt;0,"Y",""),"")</f>
        <v/>
      </c>
      <c r="J58" s="134" t="str">
        <f>IFERROR(IF(_xlfn.XLOOKUP(TableHandbook[[#This Row],[UDC]],TableAvailabilities[Row Labels],TableAvailabilities[OpenUnis SP 2])&gt;0,"Y",""),"")</f>
        <v/>
      </c>
      <c r="K58" s="134" t="str">
        <f>IFERROR(IF(_xlfn.XLOOKUP(TableHandbook[[#This Row],[UDC]],TableAvailabilities[Row Labels],TableAvailabilities[OpenUnis SP 3])&gt;0,"Y",""),"")</f>
        <v>Y</v>
      </c>
      <c r="L58" s="134" t="str">
        <f>IFERROR(IF(_xlfn.XLOOKUP(TableHandbook[[#This Row],[UDC]],TableAvailabilities[Row Labels],TableAvailabilities[OpenUnis SP 4])&gt;0,"Y",""),"")</f>
        <v/>
      </c>
      <c r="N58" s="133" t="str">
        <f>IFERROR(VLOOKUP(TableHandbook[[#This Row],[UDC]],TableOMARTS[],7,FALSE),"")</f>
        <v/>
      </c>
      <c r="O58" s="133" t="str">
        <f>IFERROR(VLOOKUP(TableHandbook[[#This Row],[UDC]],TableOUMPCWRI4[],7,FALSE),"")</f>
        <v/>
      </c>
      <c r="P58" s="133" t="str">
        <f>IFERROR(VLOOKUP(TableHandbook[[#This Row],[UDC]],TableOUMPDGCM1[],7,FALSE),"")</f>
        <v>Option</v>
      </c>
      <c r="Q58" s="133" t="str">
        <f>IFERROR(VLOOKUP(TableHandbook[[#This Row],[UDC]],TableOUMPFINA1[],7,FALSE),"")</f>
        <v/>
      </c>
      <c r="R58" s="133" t="str">
        <f>IFERROR(VLOOKUP(TableHandbook[[#This Row],[UDC]],TableOUMPPWRI4[],7,FALSE),"")</f>
        <v/>
      </c>
      <c r="S58" s="175" t="str">
        <f>IFERROR(VLOOKUP(TableHandbook[[#This Row],[UDC]],TableOGARTS[],7,FALSE),"")</f>
        <v/>
      </c>
      <c r="T58" s="133" t="str">
        <f>IFERROR(VLOOKUP(TableHandbook[[#This Row],[UDC]],TableOUMPCWRI3[],7,FALSE),"")</f>
        <v/>
      </c>
      <c r="U58" s="133" t="str">
        <f>IFERROR(VLOOKUP(TableHandbook[[#This Row],[UDC]],TableOUMPDGCM2[],7,FALSE),"")</f>
        <v>Option</v>
      </c>
      <c r="V58" s="133" t="str">
        <f>IFERROR(VLOOKUP(TableHandbook[[#This Row],[UDC]],TableOUMPFINA2[],7,FALSE),"")</f>
        <v/>
      </c>
      <c r="W58" s="133" t="str">
        <f>IFERROR(VLOOKUP(TableHandbook[[#This Row],[UDC]],TableOUMPPWRI3[],7,FALSE),"")</f>
        <v/>
      </c>
      <c r="X58" s="175" t="str">
        <f>IFERROR(VLOOKUP(TableHandbook[[#This Row],[UDC]],TableOCARTS[],7,FALSE),"")</f>
        <v/>
      </c>
      <c r="Y58" s="133" t="str">
        <f>IFERROR(VLOOKUP(TableHandbook[[#This Row],[UDC]],TableOUSPCWRI1[],7,FALSE),"")</f>
        <v/>
      </c>
      <c r="Z58" s="133" t="str">
        <f>IFERROR(VLOOKUP(TableHandbook[[#This Row],[UDC]],TableOUSPDGCM1[],7,FALSE),"")</f>
        <v>Option</v>
      </c>
      <c r="AA58" s="133" t="str">
        <f>IFERROR(VLOOKUP(TableHandbook[[#This Row],[UDC]],TableOUSPFINA1[],7,FALSE),"")</f>
        <v/>
      </c>
      <c r="AB58" s="133" t="str">
        <f>IFERROR(VLOOKUP(TableHandbook[[#This Row],[UDC]],TableOUSPPWRI1[],7,FALSE),"")</f>
        <v/>
      </c>
      <c r="AC58" s="175" t="str">
        <f>IFERROR(VLOOKUP(TableHandbook[[#This Row],[UDC]],TableOCHRIGHT[],7,FALSE),"")</f>
        <v/>
      </c>
      <c r="AD58" s="133" t="str">
        <f>IFERROR(VLOOKUP(TableHandbook[[#This Row],[UDC]],TableOGHRIGHT[],7,FALSE),"")</f>
        <v/>
      </c>
      <c r="AE58" s="133" t="str">
        <f>IFERROR(VLOOKUP(TableHandbook[[#This Row],[UDC]],TableOMHRIGHT[],7,FALSE),"")</f>
        <v/>
      </c>
    </row>
    <row r="59" spans="1:31" x14ac:dyDescent="0.25">
      <c r="A59" t="s">
        <v>170</v>
      </c>
      <c r="B59" s="1">
        <v>2</v>
      </c>
      <c r="C59" s="1" t="s">
        <v>313</v>
      </c>
      <c r="D59" t="s">
        <v>314</v>
      </c>
      <c r="E59" s="1">
        <v>25</v>
      </c>
      <c r="F59" s="214" t="s">
        <v>254</v>
      </c>
      <c r="G59" s="134" t="str">
        <f>IFERROR(IF(_xlfn.XLOOKUP(TableHandbook[[#This Row],[UDC]],TableAvailabilities[Row Labels],TableAvailabilities[OpenUnis Session 1])&gt;0,"Y",""),"")</f>
        <v/>
      </c>
      <c r="H59" s="134" t="str">
        <f>IFERROR(IF(_xlfn.XLOOKUP(TableHandbook[[#This Row],[UDC]],TableAvailabilities[Row Labels],TableAvailabilities[OpenUnis Session 2])&gt;0,"Y",""),"")</f>
        <v/>
      </c>
      <c r="I59" s="134" t="str">
        <f>IFERROR(IF(_xlfn.XLOOKUP(TableHandbook[[#This Row],[UDC]],TableAvailabilities[Row Labels],TableAvailabilities[OpenUnis SP 1])&gt;0,"Y",""),"")</f>
        <v>Y</v>
      </c>
      <c r="J59" s="134" t="str">
        <f>IFERROR(IF(_xlfn.XLOOKUP(TableHandbook[[#This Row],[UDC]],TableAvailabilities[Row Labels],TableAvailabilities[OpenUnis SP 2])&gt;0,"Y",""),"")</f>
        <v/>
      </c>
      <c r="K59" s="134" t="str">
        <f>IFERROR(IF(_xlfn.XLOOKUP(TableHandbook[[#This Row],[UDC]],TableAvailabilities[Row Labels],TableAvailabilities[OpenUnis SP 3])&gt;0,"Y",""),"")</f>
        <v/>
      </c>
      <c r="L59" s="134" t="str">
        <f>IFERROR(IF(_xlfn.XLOOKUP(TableHandbook[[#This Row],[UDC]],TableAvailabilities[Row Labels],TableAvailabilities[OpenUnis SP 4])&gt;0,"Y",""),"")</f>
        <v/>
      </c>
      <c r="N59" s="133" t="str">
        <f>IFERROR(VLOOKUP(TableHandbook[[#This Row],[UDC]],TableOMARTS[],7,FALSE),"")</f>
        <v/>
      </c>
      <c r="O59" s="133" t="str">
        <f>IFERROR(VLOOKUP(TableHandbook[[#This Row],[UDC]],TableOUMPCWRI4[],7,FALSE),"")</f>
        <v/>
      </c>
      <c r="P59" s="133" t="str">
        <f>IFERROR(VLOOKUP(TableHandbook[[#This Row],[UDC]],TableOUMPDGCM1[],7,FALSE),"")</f>
        <v>Option</v>
      </c>
      <c r="Q59" s="133" t="str">
        <f>IFERROR(VLOOKUP(TableHandbook[[#This Row],[UDC]],TableOUMPFINA1[],7,FALSE),"")</f>
        <v>Option</v>
      </c>
      <c r="R59" s="133" t="str">
        <f>IFERROR(VLOOKUP(TableHandbook[[#This Row],[UDC]],TableOUMPPWRI4[],7,FALSE),"")</f>
        <v>Option</v>
      </c>
      <c r="S59" s="175" t="str">
        <f>IFERROR(VLOOKUP(TableHandbook[[#This Row],[UDC]],TableOGARTS[],7,FALSE),"")</f>
        <v/>
      </c>
      <c r="T59" s="133" t="str">
        <f>IFERROR(VLOOKUP(TableHandbook[[#This Row],[UDC]],TableOUMPCWRI3[],7,FALSE),"")</f>
        <v/>
      </c>
      <c r="U59" s="133" t="str">
        <f>IFERROR(VLOOKUP(TableHandbook[[#This Row],[UDC]],TableOUMPDGCM2[],7,FALSE),"")</f>
        <v>Option</v>
      </c>
      <c r="V59" s="133" t="str">
        <f>IFERROR(VLOOKUP(TableHandbook[[#This Row],[UDC]],TableOUMPFINA2[],7,FALSE),"")</f>
        <v/>
      </c>
      <c r="W59" s="133" t="str">
        <f>IFERROR(VLOOKUP(TableHandbook[[#This Row],[UDC]],TableOUMPPWRI3[],7,FALSE),"")</f>
        <v/>
      </c>
      <c r="X59" s="175" t="str">
        <f>IFERROR(VLOOKUP(TableHandbook[[#This Row],[UDC]],TableOCARTS[],7,FALSE),"")</f>
        <v/>
      </c>
      <c r="Y59" s="133" t="str">
        <f>IFERROR(VLOOKUP(TableHandbook[[#This Row],[UDC]],TableOUSPCWRI1[],7,FALSE),"")</f>
        <v/>
      </c>
      <c r="Z59" s="133" t="str">
        <f>IFERROR(VLOOKUP(TableHandbook[[#This Row],[UDC]],TableOUSPDGCM1[],7,FALSE),"")</f>
        <v>Option</v>
      </c>
      <c r="AA59" s="133" t="str">
        <f>IFERROR(VLOOKUP(TableHandbook[[#This Row],[UDC]],TableOUSPFINA1[],7,FALSE),"")</f>
        <v/>
      </c>
      <c r="AB59" s="133" t="str">
        <f>IFERROR(VLOOKUP(TableHandbook[[#This Row],[UDC]],TableOUSPPWRI1[],7,FALSE),"")</f>
        <v/>
      </c>
      <c r="AC59" s="175" t="str">
        <f>IFERROR(VLOOKUP(TableHandbook[[#This Row],[UDC]],TableOCHRIGHT[],7,FALSE),"")</f>
        <v/>
      </c>
      <c r="AD59" s="133" t="str">
        <f>IFERROR(VLOOKUP(TableHandbook[[#This Row],[UDC]],TableOGHRIGHT[],7,FALSE),"")</f>
        <v/>
      </c>
      <c r="AE59" s="133" t="str">
        <f>IFERROR(VLOOKUP(TableHandbook[[#This Row],[UDC]],TableOMHRIGHT[],7,FALSE),"")</f>
        <v/>
      </c>
    </row>
    <row r="60" spans="1:31" x14ac:dyDescent="0.25">
      <c r="A60" t="s">
        <v>167</v>
      </c>
      <c r="B60" s="1">
        <v>2</v>
      </c>
      <c r="C60" s="1" t="s">
        <v>315</v>
      </c>
      <c r="D60" t="s">
        <v>316</v>
      </c>
      <c r="E60" s="1">
        <v>25</v>
      </c>
      <c r="F60" s="214" t="s">
        <v>254</v>
      </c>
      <c r="G60" s="134" t="str">
        <f>IFERROR(IF(_xlfn.XLOOKUP(TableHandbook[[#This Row],[UDC]],TableAvailabilities[Row Labels],TableAvailabilities[OpenUnis Session 1])&gt;0,"Y",""),"")</f>
        <v/>
      </c>
      <c r="H60" s="134" t="str">
        <f>IFERROR(IF(_xlfn.XLOOKUP(TableHandbook[[#This Row],[UDC]],TableAvailabilities[Row Labels],TableAvailabilities[OpenUnis Session 2])&gt;0,"Y",""),"")</f>
        <v/>
      </c>
      <c r="I60" s="134" t="str">
        <f>IFERROR(IF(_xlfn.XLOOKUP(TableHandbook[[#This Row],[UDC]],TableAvailabilities[Row Labels],TableAvailabilities[OpenUnis SP 1])&gt;0,"Y",""),"")</f>
        <v/>
      </c>
      <c r="J60" s="134" t="str">
        <f>IFERROR(IF(_xlfn.XLOOKUP(TableHandbook[[#This Row],[UDC]],TableAvailabilities[Row Labels],TableAvailabilities[OpenUnis SP 2])&gt;0,"Y",""),"")</f>
        <v/>
      </c>
      <c r="K60" s="134" t="str">
        <f>IFERROR(IF(_xlfn.XLOOKUP(TableHandbook[[#This Row],[UDC]],TableAvailabilities[Row Labels],TableAvailabilities[OpenUnis SP 3])&gt;0,"Y",""),"")</f>
        <v>Y</v>
      </c>
      <c r="L60" s="134" t="str">
        <f>IFERROR(IF(_xlfn.XLOOKUP(TableHandbook[[#This Row],[UDC]],TableAvailabilities[Row Labels],TableAvailabilities[OpenUnis SP 4])&gt;0,"Y",""),"")</f>
        <v/>
      </c>
      <c r="N60" s="133" t="str">
        <f>IFERROR(VLOOKUP(TableHandbook[[#This Row],[UDC]],TableOMARTS[],7,FALSE),"")</f>
        <v/>
      </c>
      <c r="O60" s="133" t="str">
        <f>IFERROR(VLOOKUP(TableHandbook[[#This Row],[UDC]],TableOUMPCWRI4[],7,FALSE),"")</f>
        <v/>
      </c>
      <c r="P60" s="133" t="str">
        <f>IFERROR(VLOOKUP(TableHandbook[[#This Row],[UDC]],TableOUMPDGCM1[],7,FALSE),"")</f>
        <v>Option</v>
      </c>
      <c r="Q60" s="133" t="str">
        <f>IFERROR(VLOOKUP(TableHandbook[[#This Row],[UDC]],TableOUMPFINA1[],7,FALSE),"")</f>
        <v>Option</v>
      </c>
      <c r="R60" s="133" t="str">
        <f>IFERROR(VLOOKUP(TableHandbook[[#This Row],[UDC]],TableOUMPPWRI4[],7,FALSE),"")</f>
        <v>Option</v>
      </c>
      <c r="S60" s="175" t="str">
        <f>IFERROR(VLOOKUP(TableHandbook[[#This Row],[UDC]],TableOGARTS[],7,FALSE),"")</f>
        <v/>
      </c>
      <c r="T60" s="133" t="str">
        <f>IFERROR(VLOOKUP(TableHandbook[[#This Row],[UDC]],TableOUMPCWRI3[],7,FALSE),"")</f>
        <v/>
      </c>
      <c r="U60" s="133" t="str">
        <f>IFERROR(VLOOKUP(TableHandbook[[#This Row],[UDC]],TableOUMPDGCM2[],7,FALSE),"")</f>
        <v>Option</v>
      </c>
      <c r="V60" s="133" t="str">
        <f>IFERROR(VLOOKUP(TableHandbook[[#This Row],[UDC]],TableOUMPFINA2[],7,FALSE),"")</f>
        <v/>
      </c>
      <c r="W60" s="133" t="str">
        <f>IFERROR(VLOOKUP(TableHandbook[[#This Row],[UDC]],TableOUMPPWRI3[],7,FALSE),"")</f>
        <v>Option</v>
      </c>
      <c r="X60" s="175" t="str">
        <f>IFERROR(VLOOKUP(TableHandbook[[#This Row],[UDC]],TableOCARTS[],7,FALSE),"")</f>
        <v/>
      </c>
      <c r="Y60" s="133" t="str">
        <f>IFERROR(VLOOKUP(TableHandbook[[#This Row],[UDC]],TableOUSPCWRI1[],7,FALSE),"")</f>
        <v/>
      </c>
      <c r="Z60" s="133" t="str">
        <f>IFERROR(VLOOKUP(TableHandbook[[#This Row],[UDC]],TableOUSPDGCM1[],7,FALSE),"")</f>
        <v>Option</v>
      </c>
      <c r="AA60" s="133" t="str">
        <f>IFERROR(VLOOKUP(TableHandbook[[#This Row],[UDC]],TableOUSPFINA1[],7,FALSE),"")</f>
        <v/>
      </c>
      <c r="AB60" s="133" t="str">
        <f>IFERROR(VLOOKUP(TableHandbook[[#This Row],[UDC]],TableOUSPPWRI1[],7,FALSE),"")</f>
        <v/>
      </c>
      <c r="AC60" s="175" t="str">
        <f>IFERROR(VLOOKUP(TableHandbook[[#This Row],[UDC]],TableOCHRIGHT[],7,FALSE),"")</f>
        <v/>
      </c>
      <c r="AD60" s="133" t="str">
        <f>IFERROR(VLOOKUP(TableHandbook[[#This Row],[UDC]],TableOGHRIGHT[],7,FALSE),"")</f>
        <v/>
      </c>
      <c r="AE60" s="133" t="str">
        <f>IFERROR(VLOOKUP(TableHandbook[[#This Row],[UDC]],TableOMHRIGHT[],7,FALSE),"")</f>
        <v/>
      </c>
    </row>
    <row r="61" spans="1:31" x14ac:dyDescent="0.25">
      <c r="A61" t="s">
        <v>174</v>
      </c>
      <c r="B61" s="1">
        <v>2</v>
      </c>
      <c r="C61" s="1" t="s">
        <v>317</v>
      </c>
      <c r="D61" t="s">
        <v>318</v>
      </c>
      <c r="E61" s="1">
        <v>25</v>
      </c>
      <c r="F61" s="214" t="s">
        <v>254</v>
      </c>
      <c r="G61" s="134" t="str">
        <f>IFERROR(IF(_xlfn.XLOOKUP(TableHandbook[[#This Row],[UDC]],TableAvailabilities[Row Labels],TableAvailabilities[OpenUnis Session 1])&gt;0,"Y",""),"")</f>
        <v/>
      </c>
      <c r="H61" s="134" t="str">
        <f>IFERROR(IF(_xlfn.XLOOKUP(TableHandbook[[#This Row],[UDC]],TableAvailabilities[Row Labels],TableAvailabilities[OpenUnis Session 2])&gt;0,"Y",""),"")</f>
        <v/>
      </c>
      <c r="I61" s="134" t="str">
        <f>IFERROR(IF(_xlfn.XLOOKUP(TableHandbook[[#This Row],[UDC]],TableAvailabilities[Row Labels],TableAvailabilities[OpenUnis SP 1])&gt;0,"Y",""),"")</f>
        <v/>
      </c>
      <c r="J61" s="134" t="str">
        <f>IFERROR(IF(_xlfn.XLOOKUP(TableHandbook[[#This Row],[UDC]],TableAvailabilities[Row Labels],TableAvailabilities[OpenUnis SP 2])&gt;0,"Y",""),"")</f>
        <v>Y</v>
      </c>
      <c r="K61" s="134" t="str">
        <f>IFERROR(IF(_xlfn.XLOOKUP(TableHandbook[[#This Row],[UDC]],TableAvailabilities[Row Labels],TableAvailabilities[OpenUnis SP 3])&gt;0,"Y",""),"")</f>
        <v/>
      </c>
      <c r="L61" s="134" t="str">
        <f>IFERROR(IF(_xlfn.XLOOKUP(TableHandbook[[#This Row],[UDC]],TableAvailabilities[Row Labels],TableAvailabilities[OpenUnis SP 4])&gt;0,"Y",""),"")</f>
        <v>Y</v>
      </c>
      <c r="N61" s="133" t="str">
        <f>IFERROR(VLOOKUP(TableHandbook[[#This Row],[UDC]],TableOMARTS[],7,FALSE),"")</f>
        <v/>
      </c>
      <c r="O61" s="133" t="str">
        <f>IFERROR(VLOOKUP(TableHandbook[[#This Row],[UDC]],TableOUMPCWRI4[],7,FALSE),"")</f>
        <v/>
      </c>
      <c r="P61" s="133" t="str">
        <f>IFERROR(VLOOKUP(TableHandbook[[#This Row],[UDC]],TableOUMPDGCM1[],7,FALSE),"")</f>
        <v>Option</v>
      </c>
      <c r="Q61" s="133" t="str">
        <f>IFERROR(VLOOKUP(TableHandbook[[#This Row],[UDC]],TableOUMPFINA1[],7,FALSE),"")</f>
        <v/>
      </c>
      <c r="R61" s="133" t="str">
        <f>IFERROR(VLOOKUP(TableHandbook[[#This Row],[UDC]],TableOUMPPWRI4[],7,FALSE),"")</f>
        <v/>
      </c>
      <c r="S61" s="175" t="str">
        <f>IFERROR(VLOOKUP(TableHandbook[[#This Row],[UDC]],TableOGARTS[],7,FALSE),"")</f>
        <v/>
      </c>
      <c r="T61" s="133" t="str">
        <f>IFERROR(VLOOKUP(TableHandbook[[#This Row],[UDC]],TableOUMPCWRI3[],7,FALSE),"")</f>
        <v/>
      </c>
      <c r="U61" s="133" t="str">
        <f>IFERROR(VLOOKUP(TableHandbook[[#This Row],[UDC]],TableOUMPDGCM2[],7,FALSE),"")</f>
        <v>Option</v>
      </c>
      <c r="V61" s="133" t="str">
        <f>IFERROR(VLOOKUP(TableHandbook[[#This Row],[UDC]],TableOUMPFINA2[],7,FALSE),"")</f>
        <v/>
      </c>
      <c r="W61" s="133" t="str">
        <f>IFERROR(VLOOKUP(TableHandbook[[#This Row],[UDC]],TableOUMPPWRI3[],7,FALSE),"")</f>
        <v/>
      </c>
      <c r="X61" s="175" t="str">
        <f>IFERROR(VLOOKUP(TableHandbook[[#This Row],[UDC]],TableOCARTS[],7,FALSE),"")</f>
        <v/>
      </c>
      <c r="Y61" s="133" t="str">
        <f>IFERROR(VLOOKUP(TableHandbook[[#This Row],[UDC]],TableOUSPCWRI1[],7,FALSE),"")</f>
        <v/>
      </c>
      <c r="Z61" s="133" t="str">
        <f>IFERROR(VLOOKUP(TableHandbook[[#This Row],[UDC]],TableOUSPDGCM1[],7,FALSE),"")</f>
        <v>Option</v>
      </c>
      <c r="AA61" s="133" t="str">
        <f>IFERROR(VLOOKUP(TableHandbook[[#This Row],[UDC]],TableOUSPFINA1[],7,FALSE),"")</f>
        <v/>
      </c>
      <c r="AB61" s="133" t="str">
        <f>IFERROR(VLOOKUP(TableHandbook[[#This Row],[UDC]],TableOUSPPWRI1[],7,FALSE),"")</f>
        <v/>
      </c>
      <c r="AC61" s="175" t="str">
        <f>IFERROR(VLOOKUP(TableHandbook[[#This Row],[UDC]],TableOCHRIGHT[],7,FALSE),"")</f>
        <v/>
      </c>
      <c r="AD61" s="133" t="str">
        <f>IFERROR(VLOOKUP(TableHandbook[[#This Row],[UDC]],TableOGHRIGHT[],7,FALSE),"")</f>
        <v/>
      </c>
      <c r="AE61" s="133" t="str">
        <f>IFERROR(VLOOKUP(TableHandbook[[#This Row],[UDC]],TableOMHRIGHT[],7,FALSE),"")</f>
        <v/>
      </c>
    </row>
    <row r="62" spans="1:31" x14ac:dyDescent="0.25">
      <c r="A62" t="s">
        <v>176</v>
      </c>
      <c r="B62" s="1">
        <v>2</v>
      </c>
      <c r="C62" s="1" t="s">
        <v>319</v>
      </c>
      <c r="D62" t="s">
        <v>320</v>
      </c>
      <c r="E62" s="1">
        <v>25</v>
      </c>
      <c r="F62" s="214" t="s">
        <v>254</v>
      </c>
      <c r="G62" s="134" t="str">
        <f>IFERROR(IF(_xlfn.XLOOKUP(TableHandbook[[#This Row],[UDC]],TableAvailabilities[Row Labels],TableAvailabilities[OpenUnis Session 1])&gt;0,"Y",""),"")</f>
        <v/>
      </c>
      <c r="H62" s="134" t="str">
        <f>IFERROR(IF(_xlfn.XLOOKUP(TableHandbook[[#This Row],[UDC]],TableAvailabilities[Row Labels],TableAvailabilities[OpenUnis Session 2])&gt;0,"Y",""),"")</f>
        <v/>
      </c>
      <c r="I62" s="134" t="str">
        <f>IFERROR(IF(_xlfn.XLOOKUP(TableHandbook[[#This Row],[UDC]],TableAvailabilities[Row Labels],TableAvailabilities[OpenUnis SP 1])&gt;0,"Y",""),"")</f>
        <v/>
      </c>
      <c r="J62" s="134" t="str">
        <f>IFERROR(IF(_xlfn.XLOOKUP(TableHandbook[[#This Row],[UDC]],TableAvailabilities[Row Labels],TableAvailabilities[OpenUnis SP 2])&gt;0,"Y",""),"")</f>
        <v>Y</v>
      </c>
      <c r="K62" s="134" t="str">
        <f>IFERROR(IF(_xlfn.XLOOKUP(TableHandbook[[#This Row],[UDC]],TableAvailabilities[Row Labels],TableAvailabilities[OpenUnis SP 3])&gt;0,"Y",""),"")</f>
        <v/>
      </c>
      <c r="L62" s="134" t="str">
        <f>IFERROR(IF(_xlfn.XLOOKUP(TableHandbook[[#This Row],[UDC]],TableAvailabilities[Row Labels],TableAvailabilities[OpenUnis SP 4])&gt;0,"Y",""),"")</f>
        <v/>
      </c>
      <c r="N62" s="133" t="str">
        <f>IFERROR(VLOOKUP(TableHandbook[[#This Row],[UDC]],TableOMARTS[],7,FALSE),"")</f>
        <v/>
      </c>
      <c r="O62" s="133" t="str">
        <f>IFERROR(VLOOKUP(TableHandbook[[#This Row],[UDC]],TableOUMPCWRI4[],7,FALSE),"")</f>
        <v/>
      </c>
      <c r="P62" s="133" t="str">
        <f>IFERROR(VLOOKUP(TableHandbook[[#This Row],[UDC]],TableOUMPDGCM1[],7,FALSE),"")</f>
        <v>Option</v>
      </c>
      <c r="Q62" s="133" t="str">
        <f>IFERROR(VLOOKUP(TableHandbook[[#This Row],[UDC]],TableOUMPFINA1[],7,FALSE),"")</f>
        <v/>
      </c>
      <c r="R62" s="133" t="str">
        <f>IFERROR(VLOOKUP(TableHandbook[[#This Row],[UDC]],TableOUMPPWRI4[],7,FALSE),"")</f>
        <v/>
      </c>
      <c r="S62" s="175" t="str">
        <f>IFERROR(VLOOKUP(TableHandbook[[#This Row],[UDC]],TableOGARTS[],7,FALSE),"")</f>
        <v/>
      </c>
      <c r="T62" s="133" t="str">
        <f>IFERROR(VLOOKUP(TableHandbook[[#This Row],[UDC]],TableOUMPCWRI3[],7,FALSE),"")</f>
        <v/>
      </c>
      <c r="U62" s="133" t="str">
        <f>IFERROR(VLOOKUP(TableHandbook[[#This Row],[UDC]],TableOUMPDGCM2[],7,FALSE),"")</f>
        <v>Option</v>
      </c>
      <c r="V62" s="133" t="str">
        <f>IFERROR(VLOOKUP(TableHandbook[[#This Row],[UDC]],TableOUMPFINA2[],7,FALSE),"")</f>
        <v/>
      </c>
      <c r="W62" s="133" t="str">
        <f>IFERROR(VLOOKUP(TableHandbook[[#This Row],[UDC]],TableOUMPPWRI3[],7,FALSE),"")</f>
        <v/>
      </c>
      <c r="X62" s="175" t="str">
        <f>IFERROR(VLOOKUP(TableHandbook[[#This Row],[UDC]],TableOCARTS[],7,FALSE),"")</f>
        <v/>
      </c>
      <c r="Y62" s="133" t="str">
        <f>IFERROR(VLOOKUP(TableHandbook[[#This Row],[UDC]],TableOUSPCWRI1[],7,FALSE),"")</f>
        <v/>
      </c>
      <c r="Z62" s="133" t="str">
        <f>IFERROR(VLOOKUP(TableHandbook[[#This Row],[UDC]],TableOUSPDGCM1[],7,FALSE),"")</f>
        <v>Option</v>
      </c>
      <c r="AA62" s="133" t="str">
        <f>IFERROR(VLOOKUP(TableHandbook[[#This Row],[UDC]],TableOUSPFINA1[],7,FALSE),"")</f>
        <v/>
      </c>
      <c r="AB62" s="133" t="str">
        <f>IFERROR(VLOOKUP(TableHandbook[[#This Row],[UDC]],TableOUSPPWRI1[],7,FALSE),"")</f>
        <v/>
      </c>
      <c r="AC62" s="175" t="str">
        <f>IFERROR(VLOOKUP(TableHandbook[[#This Row],[UDC]],TableOCHRIGHT[],7,FALSE),"")</f>
        <v/>
      </c>
      <c r="AD62" s="133" t="str">
        <f>IFERROR(VLOOKUP(TableHandbook[[#This Row],[UDC]],TableOGHRIGHT[],7,FALSE),"")</f>
        <v/>
      </c>
      <c r="AE62" s="133" t="str">
        <f>IFERROR(VLOOKUP(TableHandbook[[#This Row],[UDC]],TableOMHRIGHT[],7,FALSE),"")</f>
        <v/>
      </c>
    </row>
    <row r="63" spans="1:31" x14ac:dyDescent="0.25">
      <c r="A63" t="s">
        <v>178</v>
      </c>
      <c r="B63" s="1">
        <v>3</v>
      </c>
      <c r="C63" s="1" t="s">
        <v>321</v>
      </c>
      <c r="D63" t="s">
        <v>322</v>
      </c>
      <c r="E63" s="1">
        <v>25</v>
      </c>
      <c r="F63" s="214" t="s">
        <v>254</v>
      </c>
      <c r="G63" s="134" t="str">
        <f>IFERROR(IF(_xlfn.XLOOKUP(TableHandbook[[#This Row],[UDC]],TableAvailabilities[Row Labels],TableAvailabilities[OpenUnis Session 1])&gt;0,"Y",""),"")</f>
        <v/>
      </c>
      <c r="H63" s="134" t="str">
        <f>IFERROR(IF(_xlfn.XLOOKUP(TableHandbook[[#This Row],[UDC]],TableAvailabilities[Row Labels],TableAvailabilities[OpenUnis Session 2])&gt;0,"Y",""),"")</f>
        <v/>
      </c>
      <c r="I63" s="134" t="str">
        <f>IFERROR(IF(_xlfn.XLOOKUP(TableHandbook[[#This Row],[UDC]],TableAvailabilities[Row Labels],TableAvailabilities[OpenUnis SP 1])&gt;0,"Y",""),"")</f>
        <v>Y</v>
      </c>
      <c r="J63" s="134" t="str">
        <f>IFERROR(IF(_xlfn.XLOOKUP(TableHandbook[[#This Row],[UDC]],TableAvailabilities[Row Labels],TableAvailabilities[OpenUnis SP 2])&gt;0,"Y",""),"")</f>
        <v/>
      </c>
      <c r="K63" s="134" t="str">
        <f>IFERROR(IF(_xlfn.XLOOKUP(TableHandbook[[#This Row],[UDC]],TableAvailabilities[Row Labels],TableAvailabilities[OpenUnis SP 3])&gt;0,"Y",""),"")</f>
        <v/>
      </c>
      <c r="L63" s="134" t="str">
        <f>IFERROR(IF(_xlfn.XLOOKUP(TableHandbook[[#This Row],[UDC]],TableAvailabilities[Row Labels],TableAvailabilities[OpenUnis SP 4])&gt;0,"Y",""),"")</f>
        <v/>
      </c>
      <c r="N63" s="133" t="str">
        <f>IFERROR(VLOOKUP(TableHandbook[[#This Row],[UDC]],TableOMARTS[],7,FALSE),"")</f>
        <v/>
      </c>
      <c r="O63" s="133" t="str">
        <f>IFERROR(VLOOKUP(TableHandbook[[#This Row],[UDC]],TableOUMPCWRI4[],7,FALSE),"")</f>
        <v/>
      </c>
      <c r="P63" s="133" t="str">
        <f>IFERROR(VLOOKUP(TableHandbook[[#This Row],[UDC]],TableOUMPDGCM1[],7,FALSE),"")</f>
        <v>Option</v>
      </c>
      <c r="Q63" s="133" t="str">
        <f>IFERROR(VLOOKUP(TableHandbook[[#This Row],[UDC]],TableOUMPFINA1[],7,FALSE),"")</f>
        <v/>
      </c>
      <c r="R63" s="133" t="str">
        <f>IFERROR(VLOOKUP(TableHandbook[[#This Row],[UDC]],TableOUMPPWRI4[],7,FALSE),"")</f>
        <v/>
      </c>
      <c r="S63" s="175" t="str">
        <f>IFERROR(VLOOKUP(TableHandbook[[#This Row],[UDC]],TableOGARTS[],7,FALSE),"")</f>
        <v/>
      </c>
      <c r="T63" s="133" t="str">
        <f>IFERROR(VLOOKUP(TableHandbook[[#This Row],[UDC]],TableOUMPCWRI3[],7,FALSE),"")</f>
        <v/>
      </c>
      <c r="U63" s="133" t="str">
        <f>IFERROR(VLOOKUP(TableHandbook[[#This Row],[UDC]],TableOUMPDGCM2[],7,FALSE),"")</f>
        <v>Option</v>
      </c>
      <c r="V63" s="133" t="str">
        <f>IFERROR(VLOOKUP(TableHandbook[[#This Row],[UDC]],TableOUMPFINA2[],7,FALSE),"")</f>
        <v/>
      </c>
      <c r="W63" s="133" t="str">
        <f>IFERROR(VLOOKUP(TableHandbook[[#This Row],[UDC]],TableOUMPPWRI3[],7,FALSE),"")</f>
        <v/>
      </c>
      <c r="X63" s="175" t="str">
        <f>IFERROR(VLOOKUP(TableHandbook[[#This Row],[UDC]],TableOCARTS[],7,FALSE),"")</f>
        <v/>
      </c>
      <c r="Y63" s="133" t="str">
        <f>IFERROR(VLOOKUP(TableHandbook[[#This Row],[UDC]],TableOUSPCWRI1[],7,FALSE),"")</f>
        <v/>
      </c>
      <c r="Z63" s="133" t="str">
        <f>IFERROR(VLOOKUP(TableHandbook[[#This Row],[UDC]],TableOUSPDGCM1[],7,FALSE),"")</f>
        <v/>
      </c>
      <c r="AA63" s="133" t="str">
        <f>IFERROR(VLOOKUP(TableHandbook[[#This Row],[UDC]],TableOUSPFINA1[],7,FALSE),"")</f>
        <v/>
      </c>
      <c r="AB63" s="133" t="str">
        <f>IFERROR(VLOOKUP(TableHandbook[[#This Row],[UDC]],TableOUSPPWRI1[],7,FALSE),"")</f>
        <v/>
      </c>
      <c r="AC63" s="175" t="str">
        <f>IFERROR(VLOOKUP(TableHandbook[[#This Row],[UDC]],TableOCHRIGHT[],7,FALSE),"")</f>
        <v/>
      </c>
      <c r="AD63" s="133" t="str">
        <f>IFERROR(VLOOKUP(TableHandbook[[#This Row],[UDC]],TableOGHRIGHT[],7,FALSE),"")</f>
        <v/>
      </c>
      <c r="AE63" s="133" t="str">
        <f>IFERROR(VLOOKUP(TableHandbook[[#This Row],[UDC]],TableOMHRIGHT[],7,FALSE),"")</f>
        <v/>
      </c>
    </row>
    <row r="64" spans="1:31" x14ac:dyDescent="0.25">
      <c r="A64" t="s">
        <v>180</v>
      </c>
      <c r="B64" s="1">
        <v>2</v>
      </c>
      <c r="C64" s="1" t="s">
        <v>323</v>
      </c>
      <c r="D64" t="s">
        <v>324</v>
      </c>
      <c r="E64" s="1">
        <v>25</v>
      </c>
      <c r="F64" s="214" t="s">
        <v>254</v>
      </c>
      <c r="G64" s="134" t="str">
        <f>IFERROR(IF(_xlfn.XLOOKUP(TableHandbook[[#This Row],[UDC]],TableAvailabilities[Row Labels],TableAvailabilities[OpenUnis Session 1])&gt;0,"Y",""),"")</f>
        <v/>
      </c>
      <c r="H64" s="134" t="str">
        <f>IFERROR(IF(_xlfn.XLOOKUP(TableHandbook[[#This Row],[UDC]],TableAvailabilities[Row Labels],TableAvailabilities[OpenUnis Session 2])&gt;0,"Y",""),"")</f>
        <v/>
      </c>
      <c r="I64" s="134" t="str">
        <f>IFERROR(IF(_xlfn.XLOOKUP(TableHandbook[[#This Row],[UDC]],TableAvailabilities[Row Labels],TableAvailabilities[OpenUnis SP 1])&gt;0,"Y",""),"")</f>
        <v/>
      </c>
      <c r="J64" s="134" t="str">
        <f>IFERROR(IF(_xlfn.XLOOKUP(TableHandbook[[#This Row],[UDC]],TableAvailabilities[Row Labels],TableAvailabilities[OpenUnis SP 2])&gt;0,"Y",""),"")</f>
        <v>Y</v>
      </c>
      <c r="K64" s="134" t="str">
        <f>IFERROR(IF(_xlfn.XLOOKUP(TableHandbook[[#This Row],[UDC]],TableAvailabilities[Row Labels],TableAvailabilities[OpenUnis SP 3])&gt;0,"Y",""),"")</f>
        <v/>
      </c>
      <c r="L64" s="134" t="str">
        <f>IFERROR(IF(_xlfn.XLOOKUP(TableHandbook[[#This Row],[UDC]],TableAvailabilities[Row Labels],TableAvailabilities[OpenUnis SP 4])&gt;0,"Y",""),"")</f>
        <v>Y</v>
      </c>
      <c r="N64" s="133" t="str">
        <f>IFERROR(VLOOKUP(TableHandbook[[#This Row],[UDC]],TableOMARTS[],7,FALSE),"")</f>
        <v/>
      </c>
      <c r="O64" s="133" t="str">
        <f>IFERROR(VLOOKUP(TableHandbook[[#This Row],[UDC]],TableOUMPCWRI4[],7,FALSE),"")</f>
        <v>Option</v>
      </c>
      <c r="P64" s="133" t="str">
        <f>IFERROR(VLOOKUP(TableHandbook[[#This Row],[UDC]],TableOUMPDGCM1[],7,FALSE),"")</f>
        <v>Option</v>
      </c>
      <c r="Q64" s="133" t="str">
        <f>IFERROR(VLOOKUP(TableHandbook[[#This Row],[UDC]],TableOUMPFINA1[],7,FALSE),"")</f>
        <v>Option</v>
      </c>
      <c r="R64" s="133" t="str">
        <f>IFERROR(VLOOKUP(TableHandbook[[#This Row],[UDC]],TableOUMPPWRI4[],7,FALSE),"")</f>
        <v/>
      </c>
      <c r="S64" s="175" t="str">
        <f>IFERROR(VLOOKUP(TableHandbook[[#This Row],[UDC]],TableOGARTS[],7,FALSE),"")</f>
        <v/>
      </c>
      <c r="T64" s="133" t="str">
        <f>IFERROR(VLOOKUP(TableHandbook[[#This Row],[UDC]],TableOUMPCWRI3[],7,FALSE),"")</f>
        <v/>
      </c>
      <c r="U64" s="133" t="str">
        <f>IFERROR(VLOOKUP(TableHandbook[[#This Row],[UDC]],TableOUMPDGCM2[],7,FALSE),"")</f>
        <v>Option</v>
      </c>
      <c r="V64" s="133" t="str">
        <f>IFERROR(VLOOKUP(TableHandbook[[#This Row],[UDC]],TableOUMPFINA2[],7,FALSE),"")</f>
        <v/>
      </c>
      <c r="W64" s="133" t="str">
        <f>IFERROR(VLOOKUP(TableHandbook[[#This Row],[UDC]],TableOUMPPWRI3[],7,FALSE),"")</f>
        <v/>
      </c>
      <c r="X64" s="175" t="str">
        <f>IFERROR(VLOOKUP(TableHandbook[[#This Row],[UDC]],TableOCARTS[],7,FALSE),"")</f>
        <v/>
      </c>
      <c r="Y64" s="133" t="str">
        <f>IFERROR(VLOOKUP(TableHandbook[[#This Row],[UDC]],TableOUSPCWRI1[],7,FALSE),"")</f>
        <v/>
      </c>
      <c r="Z64" s="133" t="str">
        <f>IFERROR(VLOOKUP(TableHandbook[[#This Row],[UDC]],TableOUSPDGCM1[],7,FALSE),"")</f>
        <v>Option</v>
      </c>
      <c r="AA64" s="133" t="str">
        <f>IFERROR(VLOOKUP(TableHandbook[[#This Row],[UDC]],TableOUSPFINA1[],7,FALSE),"")</f>
        <v/>
      </c>
      <c r="AB64" s="133" t="str">
        <f>IFERROR(VLOOKUP(TableHandbook[[#This Row],[UDC]],TableOUSPPWRI1[],7,FALSE),"")</f>
        <v/>
      </c>
      <c r="AC64" s="175" t="str">
        <f>IFERROR(VLOOKUP(TableHandbook[[#This Row],[UDC]],TableOCHRIGHT[],7,FALSE),"")</f>
        <v/>
      </c>
      <c r="AD64" s="133" t="str">
        <f>IFERROR(VLOOKUP(TableHandbook[[#This Row],[UDC]],TableOGHRIGHT[],7,FALSE),"")</f>
        <v/>
      </c>
      <c r="AE64" s="133" t="str">
        <f>IFERROR(VLOOKUP(TableHandbook[[#This Row],[UDC]],TableOMHRIGHT[],7,FALSE),"")</f>
        <v/>
      </c>
    </row>
    <row r="65" spans="1:31" x14ac:dyDescent="0.25">
      <c r="A65" t="s">
        <v>181</v>
      </c>
      <c r="B65" s="1">
        <v>3</v>
      </c>
      <c r="C65" s="1" t="s">
        <v>325</v>
      </c>
      <c r="D65" t="s">
        <v>326</v>
      </c>
      <c r="E65" s="1">
        <v>25</v>
      </c>
      <c r="F65" s="214" t="s">
        <v>254</v>
      </c>
      <c r="G65" s="134" t="str">
        <f>IFERROR(IF(_xlfn.XLOOKUP(TableHandbook[[#This Row],[UDC]],TableAvailabilities[Row Labels],TableAvailabilities[OpenUnis Session 1])&gt;0,"Y",""),"")</f>
        <v/>
      </c>
      <c r="H65" s="134" t="str">
        <f>IFERROR(IF(_xlfn.XLOOKUP(TableHandbook[[#This Row],[UDC]],TableAvailabilities[Row Labels],TableAvailabilities[OpenUnis Session 2])&gt;0,"Y",""),"")</f>
        <v/>
      </c>
      <c r="I65" s="134" t="str">
        <f>IFERROR(IF(_xlfn.XLOOKUP(TableHandbook[[#This Row],[UDC]],TableAvailabilities[Row Labels],TableAvailabilities[OpenUnis SP 1])&gt;0,"Y",""),"")</f>
        <v>Y</v>
      </c>
      <c r="J65" s="134" t="str">
        <f>IFERROR(IF(_xlfn.XLOOKUP(TableHandbook[[#This Row],[UDC]],TableAvailabilities[Row Labels],TableAvailabilities[OpenUnis SP 2])&gt;0,"Y",""),"")</f>
        <v/>
      </c>
      <c r="K65" s="134" t="str">
        <f>IFERROR(IF(_xlfn.XLOOKUP(TableHandbook[[#This Row],[UDC]],TableAvailabilities[Row Labels],TableAvailabilities[OpenUnis SP 3])&gt;0,"Y",""),"")</f>
        <v/>
      </c>
      <c r="L65" s="134" t="str">
        <f>IFERROR(IF(_xlfn.XLOOKUP(TableHandbook[[#This Row],[UDC]],TableAvailabilities[Row Labels],TableAvailabilities[OpenUnis SP 4])&gt;0,"Y",""),"")</f>
        <v/>
      </c>
      <c r="N65" s="133" t="str">
        <f>IFERROR(VLOOKUP(TableHandbook[[#This Row],[UDC]],TableOMARTS[],7,FALSE),"")</f>
        <v/>
      </c>
      <c r="O65" s="133" t="str">
        <f>IFERROR(VLOOKUP(TableHandbook[[#This Row],[UDC]],TableOUMPCWRI4[],7,FALSE),"")</f>
        <v/>
      </c>
      <c r="P65" s="133" t="str">
        <f>IFERROR(VLOOKUP(TableHandbook[[#This Row],[UDC]],TableOUMPDGCM1[],7,FALSE),"")</f>
        <v>Option</v>
      </c>
      <c r="Q65" s="133" t="str">
        <f>IFERROR(VLOOKUP(TableHandbook[[#This Row],[UDC]],TableOUMPFINA1[],7,FALSE),"")</f>
        <v/>
      </c>
      <c r="R65" s="133" t="str">
        <f>IFERROR(VLOOKUP(TableHandbook[[#This Row],[UDC]],TableOUMPPWRI4[],7,FALSE),"")</f>
        <v/>
      </c>
      <c r="S65" s="175" t="str">
        <f>IFERROR(VLOOKUP(TableHandbook[[#This Row],[UDC]],TableOGARTS[],7,FALSE),"")</f>
        <v/>
      </c>
      <c r="T65" s="133" t="str">
        <f>IFERROR(VLOOKUP(TableHandbook[[#This Row],[UDC]],TableOUMPCWRI3[],7,FALSE),"")</f>
        <v/>
      </c>
      <c r="U65" s="133" t="str">
        <f>IFERROR(VLOOKUP(TableHandbook[[#This Row],[UDC]],TableOUMPDGCM2[],7,FALSE),"")</f>
        <v>Option</v>
      </c>
      <c r="V65" s="133" t="str">
        <f>IFERROR(VLOOKUP(TableHandbook[[#This Row],[UDC]],TableOUMPFINA2[],7,FALSE),"")</f>
        <v/>
      </c>
      <c r="W65" s="133" t="str">
        <f>IFERROR(VLOOKUP(TableHandbook[[#This Row],[UDC]],TableOUMPPWRI3[],7,FALSE),"")</f>
        <v/>
      </c>
      <c r="X65" s="175" t="str">
        <f>IFERROR(VLOOKUP(TableHandbook[[#This Row],[UDC]],TableOCARTS[],7,FALSE),"")</f>
        <v/>
      </c>
      <c r="Y65" s="133" t="str">
        <f>IFERROR(VLOOKUP(TableHandbook[[#This Row],[UDC]],TableOUSPCWRI1[],7,FALSE),"")</f>
        <v/>
      </c>
      <c r="Z65" s="133" t="str">
        <f>IFERROR(VLOOKUP(TableHandbook[[#This Row],[UDC]],TableOUSPDGCM1[],7,FALSE),"")</f>
        <v>Option</v>
      </c>
      <c r="AA65" s="133" t="str">
        <f>IFERROR(VLOOKUP(TableHandbook[[#This Row],[UDC]],TableOUSPFINA1[],7,FALSE),"")</f>
        <v/>
      </c>
      <c r="AB65" s="133" t="str">
        <f>IFERROR(VLOOKUP(TableHandbook[[#This Row],[UDC]],TableOUSPPWRI1[],7,FALSE),"")</f>
        <v/>
      </c>
      <c r="AC65" s="175" t="str">
        <f>IFERROR(VLOOKUP(TableHandbook[[#This Row],[UDC]],TableOCHRIGHT[],7,FALSE),"")</f>
        <v/>
      </c>
      <c r="AD65" s="133" t="str">
        <f>IFERROR(VLOOKUP(TableHandbook[[#This Row],[UDC]],TableOGHRIGHT[],7,FALSE),"")</f>
        <v/>
      </c>
      <c r="AE65" s="133" t="str">
        <f>IFERROR(VLOOKUP(TableHandbook[[#This Row],[UDC]],TableOMHRIGHT[],7,FALSE),"")</f>
        <v/>
      </c>
    </row>
    <row r="66" spans="1:31" x14ac:dyDescent="0.25">
      <c r="A66" t="s">
        <v>209</v>
      </c>
      <c r="C66" s="1"/>
      <c r="D66" t="s">
        <v>327</v>
      </c>
      <c r="E66" s="1">
        <v>50</v>
      </c>
      <c r="F66" s="132"/>
      <c r="G66" s="134" t="str">
        <f>IFERROR(IF(_xlfn.XLOOKUP(TableHandbook[[#This Row],[UDC]],TableAvailabilities[Row Labels],TableAvailabilities[OpenUnis Session 1])&gt;0,"Y",""),"")</f>
        <v/>
      </c>
      <c r="H66" s="134" t="str">
        <f>IFERROR(IF(_xlfn.XLOOKUP(TableHandbook[[#This Row],[UDC]],TableAvailabilities[Row Labels],TableAvailabilities[OpenUnis Session 2])&gt;0,"Y",""),"")</f>
        <v/>
      </c>
      <c r="I66" s="134" t="str">
        <f>IFERROR(IF(_xlfn.XLOOKUP(TableHandbook[[#This Row],[UDC]],TableAvailabilities[Row Labels],TableAvailabilities[OpenUnis SP 1])&gt;0,"Y",""),"")</f>
        <v/>
      </c>
      <c r="J66" s="134" t="str">
        <f>IFERROR(IF(_xlfn.XLOOKUP(TableHandbook[[#This Row],[UDC]],TableAvailabilities[Row Labels],TableAvailabilities[OpenUnis SP 2])&gt;0,"Y",""),"")</f>
        <v/>
      </c>
      <c r="K66" s="134" t="str">
        <f>IFERROR(IF(_xlfn.XLOOKUP(TableHandbook[[#This Row],[UDC]],TableAvailabilities[Row Labels],TableAvailabilities[OpenUnis SP 3])&gt;0,"Y",""),"")</f>
        <v/>
      </c>
      <c r="L66" s="134" t="str">
        <f>IFERROR(IF(_xlfn.XLOOKUP(TableHandbook[[#This Row],[UDC]],TableAvailabilities[Row Labels],TableAvailabilities[OpenUnis SP 4])&gt;0,"Y",""),"")</f>
        <v/>
      </c>
      <c r="N66" s="133" t="str">
        <f>IFERROR(VLOOKUP(TableHandbook[[#This Row],[UDC]],TableOMARTS[],7,FALSE),"")</f>
        <v/>
      </c>
      <c r="O66" s="133" t="str">
        <f>IFERROR(VLOOKUP(TableHandbook[[#This Row],[UDC]],TableOUMPCWRI4[],7,FALSE),"")</f>
        <v/>
      </c>
      <c r="P66" s="133" t="str">
        <f>IFERROR(VLOOKUP(TableHandbook[[#This Row],[UDC]],TableOUMPDGCM1[],7,FALSE),"")</f>
        <v/>
      </c>
      <c r="Q66" s="133" t="str">
        <f>IFERROR(VLOOKUP(TableHandbook[[#This Row],[UDC]],TableOUMPFINA1[],7,FALSE),"")</f>
        <v/>
      </c>
      <c r="R66" s="133" t="str">
        <f>IFERROR(VLOOKUP(TableHandbook[[#This Row],[UDC]],TableOUMPPWRI4[],7,FALSE),"")</f>
        <v/>
      </c>
      <c r="S66" s="175" t="str">
        <f>IFERROR(VLOOKUP(TableHandbook[[#This Row],[UDC]],TableOGARTS[],7,FALSE),"")</f>
        <v/>
      </c>
      <c r="T66" s="133" t="str">
        <f>IFERROR(VLOOKUP(TableHandbook[[#This Row],[UDC]],TableOUMPCWRI3[],7,FALSE),"")</f>
        <v/>
      </c>
      <c r="U66" s="133" t="str">
        <f>IFERROR(VLOOKUP(TableHandbook[[#This Row],[UDC]],TableOUMPDGCM2[],7,FALSE),"")</f>
        <v/>
      </c>
      <c r="V66" s="133" t="str">
        <f>IFERROR(VLOOKUP(TableHandbook[[#This Row],[UDC]],TableOUMPFINA2[],7,FALSE),"")</f>
        <v/>
      </c>
      <c r="W66" s="133" t="str">
        <f>IFERROR(VLOOKUP(TableHandbook[[#This Row],[UDC]],TableOUMPPWRI3[],7,FALSE),"")</f>
        <v/>
      </c>
      <c r="X66" s="175" t="str">
        <f>IFERROR(VLOOKUP(TableHandbook[[#This Row],[UDC]],TableOCARTS[],7,FALSE),"")</f>
        <v/>
      </c>
      <c r="Y66" s="133" t="str">
        <f>IFERROR(VLOOKUP(TableHandbook[[#This Row],[UDC]],TableOUSPCWRI1[],7,FALSE),"")</f>
        <v/>
      </c>
      <c r="Z66" s="133" t="str">
        <f>IFERROR(VLOOKUP(TableHandbook[[#This Row],[UDC]],TableOUSPDGCM1[],7,FALSE),"")</f>
        <v/>
      </c>
      <c r="AA66" s="133" t="str">
        <f>IFERROR(VLOOKUP(TableHandbook[[#This Row],[UDC]],TableOUSPFINA1[],7,FALSE),"")</f>
        <v/>
      </c>
      <c r="AB66" s="133" t="str">
        <f>IFERROR(VLOOKUP(TableHandbook[[#This Row],[UDC]],TableOUSPPWRI1[],7,FALSE),"")</f>
        <v/>
      </c>
      <c r="AC66" s="175" t="str">
        <f>IFERROR(VLOOKUP(TableHandbook[[#This Row],[UDC]],TableOCHRIGHT[],7,FALSE),"")</f>
        <v/>
      </c>
      <c r="AD66" s="133" t="str">
        <f>IFERROR(VLOOKUP(TableHandbook[[#This Row],[UDC]],TableOGHRIGHT[],7,FALSE),"")</f>
        <v/>
      </c>
      <c r="AE66" s="133" t="str">
        <f>IFERROR(VLOOKUP(TableHandbook[[#This Row],[UDC]],TableOMHRIGHT[],7,FALSE),"")</f>
        <v/>
      </c>
    </row>
    <row r="67" spans="1:31" x14ac:dyDescent="0.25">
      <c r="A67" t="s">
        <v>201</v>
      </c>
      <c r="C67" s="1"/>
      <c r="D67" t="s">
        <v>328</v>
      </c>
      <c r="E67" s="1">
        <v>75</v>
      </c>
      <c r="F67" s="132"/>
      <c r="G67" s="134" t="str">
        <f>IFERROR(IF(_xlfn.XLOOKUP(TableHandbook[[#This Row],[UDC]],TableAvailabilities[Row Labels],TableAvailabilities[OpenUnis Session 1])&gt;0,"Y",""),"")</f>
        <v/>
      </c>
      <c r="H67" s="134" t="str">
        <f>IFERROR(IF(_xlfn.XLOOKUP(TableHandbook[[#This Row],[UDC]],TableAvailabilities[Row Labels],TableAvailabilities[OpenUnis Session 2])&gt;0,"Y",""),"")</f>
        <v/>
      </c>
      <c r="I67" s="134" t="str">
        <f>IFERROR(IF(_xlfn.XLOOKUP(TableHandbook[[#This Row],[UDC]],TableAvailabilities[Row Labels],TableAvailabilities[OpenUnis SP 1])&gt;0,"Y",""),"")</f>
        <v/>
      </c>
      <c r="J67" s="134" t="str">
        <f>IFERROR(IF(_xlfn.XLOOKUP(TableHandbook[[#This Row],[UDC]],TableAvailabilities[Row Labels],TableAvailabilities[OpenUnis SP 2])&gt;0,"Y",""),"")</f>
        <v/>
      </c>
      <c r="K67" s="134" t="str">
        <f>IFERROR(IF(_xlfn.XLOOKUP(TableHandbook[[#This Row],[UDC]],TableAvailabilities[Row Labels],TableAvailabilities[OpenUnis SP 3])&gt;0,"Y",""),"")</f>
        <v/>
      </c>
      <c r="L67" s="134" t="str">
        <f>IFERROR(IF(_xlfn.XLOOKUP(TableHandbook[[#This Row],[UDC]],TableAvailabilities[Row Labels],TableAvailabilities[OpenUnis SP 4])&gt;0,"Y",""),"")</f>
        <v/>
      </c>
      <c r="N67" s="133" t="str">
        <f>IFERROR(VLOOKUP(TableHandbook[[#This Row],[UDC]],TableOMARTS[],7,FALSE),"")</f>
        <v/>
      </c>
      <c r="O67" s="133" t="str">
        <f>IFERROR(VLOOKUP(TableHandbook[[#This Row],[UDC]],TableOUMPCWRI4[],7,FALSE),"")</f>
        <v/>
      </c>
      <c r="P67" s="133" t="str">
        <f>IFERROR(VLOOKUP(TableHandbook[[#This Row],[UDC]],TableOUMPDGCM1[],7,FALSE),"")</f>
        <v/>
      </c>
      <c r="Q67" s="133" t="str">
        <f>IFERROR(VLOOKUP(TableHandbook[[#This Row],[UDC]],TableOUMPFINA1[],7,FALSE),"")</f>
        <v/>
      </c>
      <c r="R67" s="133" t="str">
        <f>IFERROR(VLOOKUP(TableHandbook[[#This Row],[UDC]],TableOUMPPWRI4[],7,FALSE),"")</f>
        <v/>
      </c>
      <c r="S67" s="175" t="str">
        <f>IFERROR(VLOOKUP(TableHandbook[[#This Row],[UDC]],TableOGARTS[],7,FALSE),"")</f>
        <v/>
      </c>
      <c r="T67" s="133" t="str">
        <f>IFERROR(VLOOKUP(TableHandbook[[#This Row],[UDC]],TableOUMPCWRI3[],7,FALSE),"")</f>
        <v/>
      </c>
      <c r="U67" s="133" t="str">
        <f>IFERROR(VLOOKUP(TableHandbook[[#This Row],[UDC]],TableOUMPDGCM2[],7,FALSE),"")</f>
        <v/>
      </c>
      <c r="V67" s="133" t="str">
        <f>IFERROR(VLOOKUP(TableHandbook[[#This Row],[UDC]],TableOUMPFINA2[],7,FALSE),"")</f>
        <v/>
      </c>
      <c r="W67" s="133" t="str">
        <f>IFERROR(VLOOKUP(TableHandbook[[#This Row],[UDC]],TableOUMPPWRI3[],7,FALSE),"")</f>
        <v/>
      </c>
      <c r="X67" s="175" t="str">
        <f>IFERROR(VLOOKUP(TableHandbook[[#This Row],[UDC]],TableOCARTS[],7,FALSE),"")</f>
        <v/>
      </c>
      <c r="Y67" s="133" t="str">
        <f>IFERROR(VLOOKUP(TableHandbook[[#This Row],[UDC]],TableOUSPCWRI1[],7,FALSE),"")</f>
        <v/>
      </c>
      <c r="Z67" s="133" t="str">
        <f>IFERROR(VLOOKUP(TableHandbook[[#This Row],[UDC]],TableOUSPDGCM1[],7,FALSE),"")</f>
        <v/>
      </c>
      <c r="AA67" s="133" t="str">
        <f>IFERROR(VLOOKUP(TableHandbook[[#This Row],[UDC]],TableOUSPFINA1[],7,FALSE),"")</f>
        <v/>
      </c>
      <c r="AB67" s="133" t="str">
        <f>IFERROR(VLOOKUP(TableHandbook[[#This Row],[UDC]],TableOUSPPWRI1[],7,FALSE),"")</f>
        <v/>
      </c>
      <c r="AC67" s="175" t="str">
        <f>IFERROR(VLOOKUP(TableHandbook[[#This Row],[UDC]],TableOCHRIGHT[],7,FALSE),"")</f>
        <v/>
      </c>
      <c r="AD67" s="133" t="str">
        <f>IFERROR(VLOOKUP(TableHandbook[[#This Row],[UDC]],TableOGHRIGHT[],7,FALSE),"")</f>
        <v/>
      </c>
      <c r="AE67" s="133" t="str">
        <f>IFERROR(VLOOKUP(TableHandbook[[#This Row],[UDC]],TableOMHRIGHT[],7,FALSE),"")</f>
        <v/>
      </c>
    </row>
    <row r="68" spans="1:31" x14ac:dyDescent="0.25">
      <c r="A68" t="s">
        <v>193</v>
      </c>
      <c r="C68" s="1" t="s">
        <v>244</v>
      </c>
      <c r="D68" t="s">
        <v>330</v>
      </c>
      <c r="E68" s="1">
        <v>25</v>
      </c>
      <c r="F68" s="132" t="s">
        <v>242</v>
      </c>
      <c r="G68" s="134" t="str">
        <f>IFERROR(IF(_xlfn.XLOOKUP(TableHandbook[[#This Row],[UDC]],TableAvailabilities[Row Labels],TableAvailabilities[OpenUnis Session 1])&gt;0,"Y",""),"")</f>
        <v/>
      </c>
      <c r="H68" s="134" t="str">
        <f>IFERROR(IF(_xlfn.XLOOKUP(TableHandbook[[#This Row],[UDC]],TableAvailabilities[Row Labels],TableAvailabilities[OpenUnis Session 2])&gt;0,"Y",""),"")</f>
        <v/>
      </c>
      <c r="I68" s="134" t="str">
        <f>IFERROR(IF(_xlfn.XLOOKUP(TableHandbook[[#This Row],[UDC]],TableAvailabilities[Row Labels],TableAvailabilities[OpenUnis SP 1])&gt;0,"Y",""),"")</f>
        <v/>
      </c>
      <c r="J68" s="134" t="str">
        <f>IFERROR(IF(_xlfn.XLOOKUP(TableHandbook[[#This Row],[UDC]],TableAvailabilities[Row Labels],TableAvailabilities[OpenUnis SP 2])&gt;0,"Y",""),"")</f>
        <v/>
      </c>
      <c r="K68" s="134" t="str">
        <f>IFERROR(IF(_xlfn.XLOOKUP(TableHandbook[[#This Row],[UDC]],TableAvailabilities[Row Labels],TableAvailabilities[OpenUnis SP 3])&gt;0,"Y",""),"")</f>
        <v/>
      </c>
      <c r="L68" s="134" t="str">
        <f>IFERROR(IF(_xlfn.XLOOKUP(TableHandbook[[#This Row],[UDC]],TableAvailabilities[Row Labels],TableAvailabilities[OpenUnis SP 4])&gt;0,"Y",""),"")</f>
        <v/>
      </c>
      <c r="N68" s="133" t="str">
        <f>IFERROR(VLOOKUP(TableHandbook[[#This Row],[UDC]],TableOMARTS[],7,FALSE),"")</f>
        <v/>
      </c>
      <c r="O68" s="133" t="str">
        <f>IFERROR(VLOOKUP(TableHandbook[[#This Row],[UDC]],TableOUMPCWRI4[],7,FALSE),"")</f>
        <v/>
      </c>
      <c r="P68" s="133" t="str">
        <f>IFERROR(VLOOKUP(TableHandbook[[#This Row],[UDC]],TableOUMPDGCM1[],7,FALSE),"")</f>
        <v/>
      </c>
      <c r="Q68" s="133" t="str">
        <f>IFERROR(VLOOKUP(TableHandbook[[#This Row],[UDC]],TableOUMPFINA1[],7,FALSE),"")</f>
        <v/>
      </c>
      <c r="R68" s="133" t="str">
        <f>IFERROR(VLOOKUP(TableHandbook[[#This Row],[UDC]],TableOUMPPWRI4[],7,FALSE),"")</f>
        <v/>
      </c>
      <c r="S68" s="175" t="str">
        <f>IFERROR(VLOOKUP(TableHandbook[[#This Row],[UDC]],TableOGARTS[],7,FALSE),"")</f>
        <v/>
      </c>
      <c r="T68" s="133" t="str">
        <f>IFERROR(VLOOKUP(TableHandbook[[#This Row],[UDC]],TableOUMPCWRI3[],7,FALSE),"")</f>
        <v/>
      </c>
      <c r="U68" s="133" t="str">
        <f>IFERROR(VLOOKUP(TableHandbook[[#This Row],[UDC]],TableOUMPDGCM2[],7,FALSE),"")</f>
        <v/>
      </c>
      <c r="V68" s="133" t="str">
        <f>IFERROR(VLOOKUP(TableHandbook[[#This Row],[UDC]],TableOUMPFINA2[],7,FALSE),"")</f>
        <v/>
      </c>
      <c r="W68" s="133" t="str">
        <f>IFERROR(VLOOKUP(TableHandbook[[#This Row],[UDC]],TableOUMPPWRI3[],7,FALSE),"")</f>
        <v/>
      </c>
      <c r="X68" s="175" t="str">
        <f>IFERROR(VLOOKUP(TableHandbook[[#This Row],[UDC]],TableOCARTS[],7,FALSE),"")</f>
        <v/>
      </c>
      <c r="Y68" s="133" t="str">
        <f>IFERROR(VLOOKUP(TableHandbook[[#This Row],[UDC]],TableOUSPCWRI1[],7,FALSE),"")</f>
        <v>Option</v>
      </c>
      <c r="Z68" s="133" t="str">
        <f>IFERROR(VLOOKUP(TableHandbook[[#This Row],[UDC]],TableOUSPDGCM1[],7,FALSE),"")</f>
        <v/>
      </c>
      <c r="AA68" s="133" t="str">
        <f>IFERROR(VLOOKUP(TableHandbook[[#This Row],[UDC]],TableOUSPFINA1[],7,FALSE),"")</f>
        <v/>
      </c>
      <c r="AB68" s="133" t="str">
        <f>IFERROR(VLOOKUP(TableHandbook[[#This Row],[UDC]],TableOUSPPWRI1[],7,FALSE),"")</f>
        <v/>
      </c>
      <c r="AC68" s="175" t="str">
        <f>IFERROR(VLOOKUP(TableHandbook[[#This Row],[UDC]],TableOCHRIGHT[],7,FALSE),"")</f>
        <v/>
      </c>
      <c r="AD68" s="133" t="str">
        <f>IFERROR(VLOOKUP(TableHandbook[[#This Row],[UDC]],TableOGHRIGHT[],7,FALSE),"")</f>
        <v/>
      </c>
      <c r="AE68" s="133" t="str">
        <f>IFERROR(VLOOKUP(TableHandbook[[#This Row],[UDC]],TableOMHRIGHT[],7,FALSE),"")</f>
        <v/>
      </c>
    </row>
    <row r="69" spans="1:31" x14ac:dyDescent="0.25">
      <c r="A69" s="180" t="s">
        <v>521</v>
      </c>
      <c r="C69" s="1" t="s">
        <v>244</v>
      </c>
      <c r="D69" t="s">
        <v>330</v>
      </c>
      <c r="E69" s="1">
        <v>25</v>
      </c>
      <c r="F69" s="132" t="s">
        <v>242</v>
      </c>
      <c r="G69" s="134" t="str">
        <f>IFERROR(IF(_xlfn.XLOOKUP(TableHandbook[[#This Row],[UDC]],TableAvailabilities[Row Labels],TableAvailabilities[OpenUnis Session 1])&gt;0,"Y",""),"")</f>
        <v/>
      </c>
      <c r="H69" s="134" t="str">
        <f>IFERROR(IF(_xlfn.XLOOKUP(TableHandbook[[#This Row],[UDC]],TableAvailabilities[Row Labels],TableAvailabilities[OpenUnis Session 2])&gt;0,"Y",""),"")</f>
        <v/>
      </c>
      <c r="I69" s="134" t="str">
        <f>IFERROR(IF(_xlfn.XLOOKUP(TableHandbook[[#This Row],[UDC]],TableAvailabilities[Row Labels],TableAvailabilities[OpenUnis SP 1])&gt;0,"Y",""),"")</f>
        <v/>
      </c>
      <c r="J69" s="134" t="str">
        <f>IFERROR(IF(_xlfn.XLOOKUP(TableHandbook[[#This Row],[UDC]],TableAvailabilities[Row Labels],TableAvailabilities[OpenUnis SP 2])&gt;0,"Y",""),"")</f>
        <v/>
      </c>
      <c r="K69" s="134" t="str">
        <f>IFERROR(IF(_xlfn.XLOOKUP(TableHandbook[[#This Row],[UDC]],TableAvailabilities[Row Labels],TableAvailabilities[OpenUnis SP 3])&gt;0,"Y",""),"")</f>
        <v/>
      </c>
      <c r="L69" s="134" t="str">
        <f>IFERROR(IF(_xlfn.XLOOKUP(TableHandbook[[#This Row],[UDC]],TableAvailabilities[Row Labels],TableAvailabilities[OpenUnis SP 4])&gt;0,"Y",""),"")</f>
        <v/>
      </c>
      <c r="N69" s="133" t="str">
        <f>IFERROR(VLOOKUP(TableHandbook[[#This Row],[UDC]],TableOMARTS[],7,FALSE),"")</f>
        <v/>
      </c>
      <c r="O69" s="133" t="str">
        <f>IFERROR(VLOOKUP(TableHandbook[[#This Row],[UDC]],TableOUMPCWRI4[],7,FALSE),"")</f>
        <v/>
      </c>
      <c r="P69" s="133" t="str">
        <f>IFERROR(VLOOKUP(TableHandbook[[#This Row],[UDC]],TableOUMPDGCM1[],7,FALSE),"")</f>
        <v/>
      </c>
      <c r="Q69" s="133" t="str">
        <f>IFERROR(VLOOKUP(TableHandbook[[#This Row],[UDC]],TableOUMPFINA1[],7,FALSE),"")</f>
        <v/>
      </c>
      <c r="R69" s="133" t="str">
        <f>IFERROR(VLOOKUP(TableHandbook[[#This Row],[UDC]],TableOUMPPWRI4[],7,FALSE),"")</f>
        <v/>
      </c>
      <c r="S69" s="175" t="str">
        <f>IFERROR(VLOOKUP(TableHandbook[[#This Row],[UDC]],TableOGARTS[],7,FALSE),"")</f>
        <v/>
      </c>
      <c r="T69" s="133" t="str">
        <f>IFERROR(VLOOKUP(TableHandbook[[#This Row],[UDC]],TableOUMPCWRI3[],7,FALSE),"")</f>
        <v>Option</v>
      </c>
      <c r="U69" s="133" t="str">
        <f>IFERROR(VLOOKUP(TableHandbook[[#This Row],[UDC]],TableOUMPDGCM2[],7,FALSE),"")</f>
        <v/>
      </c>
      <c r="V69" s="133" t="str">
        <f>IFERROR(VLOOKUP(TableHandbook[[#This Row],[UDC]],TableOUMPFINA2[],7,FALSE),"")</f>
        <v/>
      </c>
      <c r="W69" s="133" t="str">
        <f>IFERROR(VLOOKUP(TableHandbook[[#This Row],[UDC]],TableOUMPPWRI3[],7,FALSE),"")</f>
        <v/>
      </c>
      <c r="X69" s="175" t="str">
        <f>IFERROR(VLOOKUP(TableHandbook[[#This Row],[UDC]],TableOCARTS[],7,FALSE),"")</f>
        <v/>
      </c>
      <c r="Y69" s="133" t="str">
        <f>IFERROR(VLOOKUP(TableHandbook[[#This Row],[UDC]],TableOUSPCWRI1[],7,FALSE),"")</f>
        <v/>
      </c>
      <c r="Z69" s="133" t="str">
        <f>IFERROR(VLOOKUP(TableHandbook[[#This Row],[UDC]],TableOUSPDGCM1[],7,FALSE),"")</f>
        <v/>
      </c>
      <c r="AA69" s="133" t="str">
        <f>IFERROR(VLOOKUP(TableHandbook[[#This Row],[UDC]],TableOUSPFINA1[],7,FALSE),"")</f>
        <v/>
      </c>
      <c r="AB69" s="133" t="str">
        <f>IFERROR(VLOOKUP(TableHandbook[[#This Row],[UDC]],TableOUSPPWRI1[],7,FALSE),"")</f>
        <v/>
      </c>
      <c r="AC69" s="175" t="str">
        <f>IFERROR(VLOOKUP(TableHandbook[[#This Row],[UDC]],TableOCHRIGHT[],7,FALSE),"")</f>
        <v/>
      </c>
      <c r="AD69" s="133" t="str">
        <f>IFERROR(VLOOKUP(TableHandbook[[#This Row],[UDC]],TableOGHRIGHT[],7,FALSE),"")</f>
        <v/>
      </c>
      <c r="AE69" s="133" t="str">
        <f>IFERROR(VLOOKUP(TableHandbook[[#This Row],[UDC]],TableOMHRIGHT[],7,FALSE),"")</f>
        <v/>
      </c>
    </row>
    <row r="70" spans="1:31" x14ac:dyDescent="0.25">
      <c r="A70" s="180" t="s">
        <v>456</v>
      </c>
      <c r="C70" s="1"/>
      <c r="D70" t="s">
        <v>331</v>
      </c>
      <c r="E70" s="1">
        <v>25</v>
      </c>
      <c r="F70" s="132" t="s">
        <v>242</v>
      </c>
      <c r="G70" s="134" t="str">
        <f>IFERROR(IF(_xlfn.XLOOKUP(TableHandbook[[#This Row],[UDC]],TableAvailabilities[Row Labels],TableAvailabilities[OpenUnis Session 1])&gt;0,"Y",""),"")</f>
        <v/>
      </c>
      <c r="H70" s="134" t="str">
        <f>IFERROR(IF(_xlfn.XLOOKUP(TableHandbook[[#This Row],[UDC]],TableAvailabilities[Row Labels],TableAvailabilities[OpenUnis Session 2])&gt;0,"Y",""),"")</f>
        <v/>
      </c>
      <c r="I70" s="134" t="str">
        <f>IFERROR(IF(_xlfn.XLOOKUP(TableHandbook[[#This Row],[UDC]],TableAvailabilities[Row Labels],TableAvailabilities[OpenUnis SP 1])&gt;0,"Y",""),"")</f>
        <v/>
      </c>
      <c r="J70" s="134" t="str">
        <f>IFERROR(IF(_xlfn.XLOOKUP(TableHandbook[[#This Row],[UDC]],TableAvailabilities[Row Labels],TableAvailabilities[OpenUnis SP 2])&gt;0,"Y",""),"")</f>
        <v/>
      </c>
      <c r="K70" s="134" t="str">
        <f>IFERROR(IF(_xlfn.XLOOKUP(TableHandbook[[#This Row],[UDC]],TableAvailabilities[Row Labels],TableAvailabilities[OpenUnis SP 3])&gt;0,"Y",""),"")</f>
        <v/>
      </c>
      <c r="L70" s="134" t="str">
        <f>IFERROR(IF(_xlfn.XLOOKUP(TableHandbook[[#This Row],[UDC]],TableAvailabilities[Row Labels],TableAvailabilities[OpenUnis SP 4])&gt;0,"Y",""),"")</f>
        <v/>
      </c>
      <c r="N70" s="133" t="str">
        <f>IFERROR(VLOOKUP(TableHandbook[[#This Row],[UDC]],TableOMARTS[],7,FALSE),"")</f>
        <v/>
      </c>
      <c r="O70" s="133" t="str">
        <f>IFERROR(VLOOKUP(TableHandbook[[#This Row],[UDC]],TableOUMPCWRI4[],7,FALSE),"")</f>
        <v>Option</v>
      </c>
      <c r="P70" s="133" t="str">
        <f>IFERROR(VLOOKUP(TableHandbook[[#This Row],[UDC]],TableOUMPDGCM1[],7,FALSE),"")</f>
        <v/>
      </c>
      <c r="Q70" s="133" t="str">
        <f>IFERROR(VLOOKUP(TableHandbook[[#This Row],[UDC]],TableOUMPFINA1[],7,FALSE),"")</f>
        <v/>
      </c>
      <c r="R70" s="133" t="str">
        <f>IFERROR(VLOOKUP(TableHandbook[[#This Row],[UDC]],TableOUMPPWRI4[],7,FALSE),"")</f>
        <v/>
      </c>
      <c r="S70" s="175" t="str">
        <f>IFERROR(VLOOKUP(TableHandbook[[#This Row],[UDC]],TableOGARTS[],7,FALSE),"")</f>
        <v/>
      </c>
      <c r="T70" s="133" t="str">
        <f>IFERROR(VLOOKUP(TableHandbook[[#This Row],[UDC]],TableOUMPCWRI3[],7,FALSE),"")</f>
        <v/>
      </c>
      <c r="U70" s="133" t="str">
        <f>IFERROR(VLOOKUP(TableHandbook[[#This Row],[UDC]],TableOUMPDGCM2[],7,FALSE),"")</f>
        <v/>
      </c>
      <c r="V70" s="133" t="str">
        <f>IFERROR(VLOOKUP(TableHandbook[[#This Row],[UDC]],TableOUMPFINA2[],7,FALSE),"")</f>
        <v/>
      </c>
      <c r="W70" s="133" t="str">
        <f>IFERROR(VLOOKUP(TableHandbook[[#This Row],[UDC]],TableOUMPPWRI3[],7,FALSE),"")</f>
        <v/>
      </c>
      <c r="X70" s="175" t="str">
        <f>IFERROR(VLOOKUP(TableHandbook[[#This Row],[UDC]],TableOCARTS[],7,FALSE),"")</f>
        <v/>
      </c>
      <c r="Y70" s="133" t="str">
        <f>IFERROR(VLOOKUP(TableHandbook[[#This Row],[UDC]],TableOUSPCWRI1[],7,FALSE),"")</f>
        <v/>
      </c>
      <c r="Z70" s="133" t="str">
        <f>IFERROR(VLOOKUP(TableHandbook[[#This Row],[UDC]],TableOUSPDGCM1[],7,FALSE),"")</f>
        <v/>
      </c>
      <c r="AA70" s="133" t="str">
        <f>IFERROR(VLOOKUP(TableHandbook[[#This Row],[UDC]],TableOUSPFINA1[],7,FALSE),"")</f>
        <v/>
      </c>
      <c r="AB70" s="133" t="str">
        <f>IFERROR(VLOOKUP(TableHandbook[[#This Row],[UDC]],TableOUSPPWRI1[],7,FALSE),"")</f>
        <v/>
      </c>
      <c r="AC70" s="175" t="str">
        <f>IFERROR(VLOOKUP(TableHandbook[[#This Row],[UDC]],TableOCHRIGHT[],7,FALSE),"")</f>
        <v/>
      </c>
      <c r="AD70" s="133" t="str">
        <f>IFERROR(VLOOKUP(TableHandbook[[#This Row],[UDC]],TableOGHRIGHT[],7,FALSE),"")</f>
        <v/>
      </c>
      <c r="AE70" s="133" t="str">
        <f>IFERROR(VLOOKUP(TableHandbook[[#This Row],[UDC]],TableOMHRIGHT[],7,FALSE),"")</f>
        <v/>
      </c>
    </row>
    <row r="71" spans="1:31" x14ac:dyDescent="0.25">
      <c r="A71" s="180" t="s">
        <v>495</v>
      </c>
      <c r="C71" s="1"/>
      <c r="D71" t="s">
        <v>496</v>
      </c>
      <c r="E71" s="1">
        <v>150</v>
      </c>
      <c r="F71" s="132"/>
      <c r="G71" s="134" t="str">
        <f>IFERROR(IF(_xlfn.XLOOKUP(TableHandbook[[#This Row],[UDC]],TableAvailabilities[Row Labels],TableAvailabilities[OpenUnis Session 1])&gt;0,"Y",""),"")</f>
        <v/>
      </c>
      <c r="H71" s="134" t="str">
        <f>IFERROR(IF(_xlfn.XLOOKUP(TableHandbook[[#This Row],[UDC]],TableAvailabilities[Row Labels],TableAvailabilities[OpenUnis Session 2])&gt;0,"Y",""),"")</f>
        <v/>
      </c>
      <c r="I71" s="134" t="str">
        <f>IFERROR(IF(_xlfn.XLOOKUP(TableHandbook[[#This Row],[UDC]],TableAvailabilities[Row Labels],TableAvailabilities[OpenUnis SP 1])&gt;0,"Y",""),"")</f>
        <v/>
      </c>
      <c r="J71" s="134" t="str">
        <f>IFERROR(IF(_xlfn.XLOOKUP(TableHandbook[[#This Row],[UDC]],TableAvailabilities[Row Labels],TableAvailabilities[OpenUnis SP 2])&gt;0,"Y",""),"")</f>
        <v/>
      </c>
      <c r="K71" s="134" t="str">
        <f>IFERROR(IF(_xlfn.XLOOKUP(TableHandbook[[#This Row],[UDC]],TableAvailabilities[Row Labels],TableAvailabilities[OpenUnis SP 3])&gt;0,"Y",""),"")</f>
        <v/>
      </c>
      <c r="L71" s="134" t="str">
        <f>IFERROR(IF(_xlfn.XLOOKUP(TableHandbook[[#This Row],[UDC]],TableAvailabilities[Row Labels],TableAvailabilities[OpenUnis SP 4])&gt;0,"Y",""),"")</f>
        <v/>
      </c>
      <c r="M71" t="s">
        <v>501</v>
      </c>
      <c r="N71" s="133" t="str">
        <f>IFERROR(VLOOKUP(TableHandbook[[#This Row],[UDC]],TableOMARTS[],7,FALSE),"")</f>
        <v/>
      </c>
      <c r="O71" s="133" t="str">
        <f>IFERROR(VLOOKUP(TableHandbook[[#This Row],[UDC]],TableOUMPCWRI4[],7,FALSE),"")</f>
        <v/>
      </c>
      <c r="P71" s="133" t="str">
        <f>IFERROR(VLOOKUP(TableHandbook[[#This Row],[UDC]],TableOUMPDGCM1[],7,FALSE),"")</f>
        <v/>
      </c>
      <c r="Q71" s="133" t="str">
        <f>IFERROR(VLOOKUP(TableHandbook[[#This Row],[UDC]],TableOUMPFINA1[],7,FALSE),"")</f>
        <v/>
      </c>
      <c r="R71" s="133" t="str">
        <f>IFERROR(VLOOKUP(TableHandbook[[#This Row],[UDC]],TableOUMPPWRI4[],7,FALSE),"")</f>
        <v/>
      </c>
      <c r="S71" s="175" t="str">
        <f>IFERROR(VLOOKUP(TableHandbook[[#This Row],[UDC]],TableOGARTS[],7,FALSE),"")</f>
        <v/>
      </c>
      <c r="T71" s="133" t="str">
        <f>IFERROR(VLOOKUP(TableHandbook[[#This Row],[UDC]],TableOUMPCWRI3[],7,FALSE),"")</f>
        <v/>
      </c>
      <c r="U71" s="133" t="str">
        <f>IFERROR(VLOOKUP(TableHandbook[[#This Row],[UDC]],TableOUMPDGCM2[],7,FALSE),"")</f>
        <v/>
      </c>
      <c r="V71" s="133" t="str">
        <f>IFERROR(VLOOKUP(TableHandbook[[#This Row],[UDC]],TableOUMPFINA2[],7,FALSE),"")</f>
        <v/>
      </c>
      <c r="W71" s="133" t="str">
        <f>IFERROR(VLOOKUP(TableHandbook[[#This Row],[UDC]],TableOUMPPWRI3[],7,FALSE),"")</f>
        <v/>
      </c>
      <c r="X71" s="175" t="str">
        <f>IFERROR(VLOOKUP(TableHandbook[[#This Row],[UDC]],TableOCARTS[],7,FALSE),"")</f>
        <v/>
      </c>
      <c r="Y71" s="133" t="str">
        <f>IFERROR(VLOOKUP(TableHandbook[[#This Row],[UDC]],TableOUSPCWRI1[],7,FALSE),"")</f>
        <v/>
      </c>
      <c r="Z71" s="133" t="str">
        <f>IFERROR(VLOOKUP(TableHandbook[[#This Row],[UDC]],TableOUSPDGCM1[],7,FALSE),"")</f>
        <v/>
      </c>
      <c r="AA71" s="133" t="str">
        <f>IFERROR(VLOOKUP(TableHandbook[[#This Row],[UDC]],TableOUSPFINA1[],7,FALSE),"")</f>
        <v/>
      </c>
      <c r="AB71" s="133" t="str">
        <f>IFERROR(VLOOKUP(TableHandbook[[#This Row],[UDC]],TableOUSPPWRI1[],7,FALSE),"")</f>
        <v/>
      </c>
      <c r="AC71" s="175" t="str">
        <f>IFERROR(VLOOKUP(TableHandbook[[#This Row],[UDC]],TableOCHRIGHT[],7,FALSE),"")</f>
        <v/>
      </c>
      <c r="AD71" s="133" t="str">
        <f>IFERROR(VLOOKUP(TableHandbook[[#This Row],[UDC]],TableOGHRIGHT[],7,FALSE),"")</f>
        <v/>
      </c>
      <c r="AE71" s="133" t="str">
        <f>IFERROR(VLOOKUP(TableHandbook[[#This Row],[UDC]],TableOMHRIGHT[],7,FALSE),"")</f>
        <v/>
      </c>
    </row>
    <row r="72" spans="1:31" x14ac:dyDescent="0.25">
      <c r="A72" s="180" t="s">
        <v>457</v>
      </c>
      <c r="C72" s="1"/>
      <c r="D72" t="s">
        <v>332</v>
      </c>
      <c r="E72" s="1">
        <v>25</v>
      </c>
      <c r="F72" s="132" t="s">
        <v>242</v>
      </c>
      <c r="G72" s="134" t="str">
        <f>IFERROR(IF(_xlfn.XLOOKUP(TableHandbook[[#This Row],[UDC]],TableAvailabilities[Row Labels],TableAvailabilities[OpenUnis Session 1])&gt;0,"Y",""),"")</f>
        <v/>
      </c>
      <c r="H72" s="134" t="str">
        <f>IFERROR(IF(_xlfn.XLOOKUP(TableHandbook[[#This Row],[UDC]],TableAvailabilities[Row Labels],TableAvailabilities[OpenUnis Session 2])&gt;0,"Y",""),"")</f>
        <v/>
      </c>
      <c r="I72" s="134" t="str">
        <f>IFERROR(IF(_xlfn.XLOOKUP(TableHandbook[[#This Row],[UDC]],TableAvailabilities[Row Labels],TableAvailabilities[OpenUnis SP 1])&gt;0,"Y",""),"")</f>
        <v/>
      </c>
      <c r="J72" s="134" t="str">
        <f>IFERROR(IF(_xlfn.XLOOKUP(TableHandbook[[#This Row],[UDC]],TableAvailabilities[Row Labels],TableAvailabilities[OpenUnis SP 2])&gt;0,"Y",""),"")</f>
        <v/>
      </c>
      <c r="K72" s="134" t="str">
        <f>IFERROR(IF(_xlfn.XLOOKUP(TableHandbook[[#This Row],[UDC]],TableAvailabilities[Row Labels],TableAvailabilities[OpenUnis SP 3])&gt;0,"Y",""),"")</f>
        <v/>
      </c>
      <c r="L72" s="134" t="str">
        <f>IFERROR(IF(_xlfn.XLOOKUP(TableHandbook[[#This Row],[UDC]],TableAvailabilities[Row Labels],TableAvailabilities[OpenUnis SP 4])&gt;0,"Y",""),"")</f>
        <v/>
      </c>
      <c r="N72" s="133" t="str">
        <f>IFERROR(VLOOKUP(TableHandbook[[#This Row],[UDC]],TableOMARTS[],7,FALSE),"")</f>
        <v/>
      </c>
      <c r="O72" s="133" t="str">
        <f>IFERROR(VLOOKUP(TableHandbook[[#This Row],[UDC]],TableOUMPCWRI4[],7,FALSE),"")</f>
        <v>Option</v>
      </c>
      <c r="P72" s="133" t="str">
        <f>IFERROR(VLOOKUP(TableHandbook[[#This Row],[UDC]],TableOUMPDGCM1[],7,FALSE),"")</f>
        <v/>
      </c>
      <c r="Q72" s="133" t="str">
        <f>IFERROR(VLOOKUP(TableHandbook[[#This Row],[UDC]],TableOUMPFINA1[],7,FALSE),"")</f>
        <v/>
      </c>
      <c r="R72" s="133" t="str">
        <f>IFERROR(VLOOKUP(TableHandbook[[#This Row],[UDC]],TableOUMPPWRI4[],7,FALSE),"")</f>
        <v/>
      </c>
      <c r="S72" s="175" t="str">
        <f>IFERROR(VLOOKUP(TableHandbook[[#This Row],[UDC]],TableOGARTS[],7,FALSE),"")</f>
        <v/>
      </c>
      <c r="T72" s="133" t="str">
        <f>IFERROR(VLOOKUP(TableHandbook[[#This Row],[UDC]],TableOUMPCWRI3[],7,FALSE),"")</f>
        <v/>
      </c>
      <c r="U72" s="133" t="str">
        <f>IFERROR(VLOOKUP(TableHandbook[[#This Row],[UDC]],TableOUMPDGCM2[],7,FALSE),"")</f>
        <v/>
      </c>
      <c r="V72" s="133" t="str">
        <f>IFERROR(VLOOKUP(TableHandbook[[#This Row],[UDC]],TableOUMPFINA2[],7,FALSE),"")</f>
        <v/>
      </c>
      <c r="W72" s="133" t="str">
        <f>IFERROR(VLOOKUP(TableHandbook[[#This Row],[UDC]],TableOUMPPWRI3[],7,FALSE),"")</f>
        <v/>
      </c>
      <c r="X72" s="175" t="str">
        <f>IFERROR(VLOOKUP(TableHandbook[[#This Row],[UDC]],TableOCARTS[],7,FALSE),"")</f>
        <v/>
      </c>
      <c r="Y72" s="133" t="str">
        <f>IFERROR(VLOOKUP(TableHandbook[[#This Row],[UDC]],TableOUSPCWRI1[],7,FALSE),"")</f>
        <v/>
      </c>
      <c r="Z72" s="133" t="str">
        <f>IFERROR(VLOOKUP(TableHandbook[[#This Row],[UDC]],TableOUSPDGCM1[],7,FALSE),"")</f>
        <v/>
      </c>
      <c r="AA72" s="133" t="str">
        <f>IFERROR(VLOOKUP(TableHandbook[[#This Row],[UDC]],TableOUSPFINA1[],7,FALSE),"")</f>
        <v/>
      </c>
      <c r="AB72" s="133" t="str">
        <f>IFERROR(VLOOKUP(TableHandbook[[#This Row],[UDC]],TableOUSPPWRI1[],7,FALSE),"")</f>
        <v/>
      </c>
      <c r="AC72" s="175" t="str">
        <f>IFERROR(VLOOKUP(TableHandbook[[#This Row],[UDC]],TableOCHRIGHT[],7,FALSE),"")</f>
        <v/>
      </c>
      <c r="AD72" s="133" t="str">
        <f>IFERROR(VLOOKUP(TableHandbook[[#This Row],[UDC]],TableOGHRIGHT[],7,FALSE),"")</f>
        <v/>
      </c>
      <c r="AE72" s="133" t="str">
        <f>IFERROR(VLOOKUP(TableHandbook[[#This Row],[UDC]],TableOMHRIGHT[],7,FALSE),"")</f>
        <v/>
      </c>
    </row>
    <row r="73" spans="1:31" x14ac:dyDescent="0.25">
      <c r="A73" s="180" t="s">
        <v>497</v>
      </c>
      <c r="C73" s="1"/>
      <c r="D73" t="s">
        <v>498</v>
      </c>
      <c r="E73" s="1">
        <v>150</v>
      </c>
      <c r="F73" s="132"/>
      <c r="G73" s="134" t="str">
        <f>IFERROR(IF(_xlfn.XLOOKUP(TableHandbook[[#This Row],[UDC]],TableAvailabilities[Row Labels],TableAvailabilities[OpenUnis Session 1])&gt;0,"Y",""),"")</f>
        <v/>
      </c>
      <c r="H73" s="134" t="str">
        <f>IFERROR(IF(_xlfn.XLOOKUP(TableHandbook[[#This Row],[UDC]],TableAvailabilities[Row Labels],TableAvailabilities[OpenUnis Session 2])&gt;0,"Y",""),"")</f>
        <v/>
      </c>
      <c r="I73" s="134" t="str">
        <f>IFERROR(IF(_xlfn.XLOOKUP(TableHandbook[[#This Row],[UDC]],TableAvailabilities[Row Labels],TableAvailabilities[OpenUnis SP 1])&gt;0,"Y",""),"")</f>
        <v/>
      </c>
      <c r="J73" s="134" t="str">
        <f>IFERROR(IF(_xlfn.XLOOKUP(TableHandbook[[#This Row],[UDC]],TableAvailabilities[Row Labels],TableAvailabilities[OpenUnis SP 2])&gt;0,"Y",""),"")</f>
        <v/>
      </c>
      <c r="K73" s="134" t="str">
        <f>IFERROR(IF(_xlfn.XLOOKUP(TableHandbook[[#This Row],[UDC]],TableAvailabilities[Row Labels],TableAvailabilities[OpenUnis SP 3])&gt;0,"Y",""),"")</f>
        <v/>
      </c>
      <c r="L73" s="134" t="str">
        <f>IFERROR(IF(_xlfn.XLOOKUP(TableHandbook[[#This Row],[UDC]],TableAvailabilities[Row Labels],TableAvailabilities[OpenUnis SP 4])&gt;0,"Y",""),"")</f>
        <v/>
      </c>
      <c r="M73" t="s">
        <v>501</v>
      </c>
      <c r="N73" s="133" t="str">
        <f>IFERROR(VLOOKUP(TableHandbook[[#This Row],[UDC]],TableOMARTS[],7,FALSE),"")</f>
        <v/>
      </c>
      <c r="O73" s="133" t="str">
        <f>IFERROR(VLOOKUP(TableHandbook[[#This Row],[UDC]],TableOUMPCWRI4[],7,FALSE),"")</f>
        <v/>
      </c>
      <c r="P73" s="133" t="str">
        <f>IFERROR(VLOOKUP(TableHandbook[[#This Row],[UDC]],TableOUMPDGCM1[],7,FALSE),"")</f>
        <v/>
      </c>
      <c r="Q73" s="133" t="str">
        <f>IFERROR(VLOOKUP(TableHandbook[[#This Row],[UDC]],TableOUMPFINA1[],7,FALSE),"")</f>
        <v/>
      </c>
      <c r="R73" s="133" t="str">
        <f>IFERROR(VLOOKUP(TableHandbook[[#This Row],[UDC]],TableOUMPPWRI4[],7,FALSE),"")</f>
        <v/>
      </c>
      <c r="S73" s="175" t="str">
        <f>IFERROR(VLOOKUP(TableHandbook[[#This Row],[UDC]],TableOGARTS[],7,FALSE),"")</f>
        <v/>
      </c>
      <c r="T73" s="133" t="str">
        <f>IFERROR(VLOOKUP(TableHandbook[[#This Row],[UDC]],TableOUMPCWRI3[],7,FALSE),"")</f>
        <v/>
      </c>
      <c r="U73" s="133" t="str">
        <f>IFERROR(VLOOKUP(TableHandbook[[#This Row],[UDC]],TableOUMPDGCM2[],7,FALSE),"")</f>
        <v/>
      </c>
      <c r="V73" s="133" t="str">
        <f>IFERROR(VLOOKUP(TableHandbook[[#This Row],[UDC]],TableOUMPFINA2[],7,FALSE),"")</f>
        <v/>
      </c>
      <c r="W73" s="133" t="str">
        <f>IFERROR(VLOOKUP(TableHandbook[[#This Row],[UDC]],TableOUMPPWRI3[],7,FALSE),"")</f>
        <v/>
      </c>
      <c r="X73" s="175" t="str">
        <f>IFERROR(VLOOKUP(TableHandbook[[#This Row],[UDC]],TableOCARTS[],7,FALSE),"")</f>
        <v/>
      </c>
      <c r="Y73" s="133" t="str">
        <f>IFERROR(VLOOKUP(TableHandbook[[#This Row],[UDC]],TableOUSPCWRI1[],7,FALSE),"")</f>
        <v/>
      </c>
      <c r="Z73" s="133" t="str">
        <f>IFERROR(VLOOKUP(TableHandbook[[#This Row],[UDC]],TableOUSPDGCM1[],7,FALSE),"")</f>
        <v/>
      </c>
      <c r="AA73" s="133" t="str">
        <f>IFERROR(VLOOKUP(TableHandbook[[#This Row],[UDC]],TableOUSPFINA1[],7,FALSE),"")</f>
        <v/>
      </c>
      <c r="AB73" s="133" t="str">
        <f>IFERROR(VLOOKUP(TableHandbook[[#This Row],[UDC]],TableOUSPPWRI1[],7,FALSE),"")</f>
        <v/>
      </c>
      <c r="AC73" s="175" t="str">
        <f>IFERROR(VLOOKUP(TableHandbook[[#This Row],[UDC]],TableOCHRIGHT[],7,FALSE),"")</f>
        <v/>
      </c>
      <c r="AD73" s="133" t="str">
        <f>IFERROR(VLOOKUP(TableHandbook[[#This Row],[UDC]],TableOGHRIGHT[],7,FALSE),"")</f>
        <v/>
      </c>
      <c r="AE73" s="133" t="str">
        <f>IFERROR(VLOOKUP(TableHandbook[[#This Row],[UDC]],TableOMHRIGHT[],7,FALSE),"")</f>
        <v/>
      </c>
    </row>
    <row r="74" spans="1:31" x14ac:dyDescent="0.25">
      <c r="A74" s="180" t="s">
        <v>459</v>
      </c>
      <c r="C74" s="1" t="s">
        <v>244</v>
      </c>
      <c r="D74" t="s">
        <v>479</v>
      </c>
      <c r="E74" s="1">
        <v>25</v>
      </c>
      <c r="F74" s="132" t="s">
        <v>242</v>
      </c>
      <c r="G74" s="134" t="str">
        <f>IFERROR(IF(_xlfn.XLOOKUP(TableHandbook[[#This Row],[UDC]],TableAvailabilities[Row Labels],TableAvailabilities[OpenUnis Session 1])&gt;0,"Y",""),"")</f>
        <v/>
      </c>
      <c r="H74" s="134" t="str">
        <f>IFERROR(IF(_xlfn.XLOOKUP(TableHandbook[[#This Row],[UDC]],TableAvailabilities[Row Labels],TableAvailabilities[OpenUnis Session 2])&gt;0,"Y",""),"")</f>
        <v/>
      </c>
      <c r="I74" s="134" t="str">
        <f>IFERROR(IF(_xlfn.XLOOKUP(TableHandbook[[#This Row],[UDC]],TableAvailabilities[Row Labels],TableAvailabilities[OpenUnis SP 1])&gt;0,"Y",""),"")</f>
        <v/>
      </c>
      <c r="J74" s="134" t="str">
        <f>IFERROR(IF(_xlfn.XLOOKUP(TableHandbook[[#This Row],[UDC]],TableAvailabilities[Row Labels],TableAvailabilities[OpenUnis SP 2])&gt;0,"Y",""),"")</f>
        <v/>
      </c>
      <c r="K74" s="134" t="str">
        <f>IFERROR(IF(_xlfn.XLOOKUP(TableHandbook[[#This Row],[UDC]],TableAvailabilities[Row Labels],TableAvailabilities[OpenUnis SP 3])&gt;0,"Y",""),"")</f>
        <v/>
      </c>
      <c r="L74" s="134" t="str">
        <f>IFERROR(IF(_xlfn.XLOOKUP(TableHandbook[[#This Row],[UDC]],TableAvailabilities[Row Labels],TableAvailabilities[OpenUnis SP 4])&gt;0,"Y",""),"")</f>
        <v/>
      </c>
      <c r="N74" s="133" t="str">
        <f>IFERROR(VLOOKUP(TableHandbook[[#This Row],[UDC]],TableOMARTS[],7,FALSE),"")</f>
        <v/>
      </c>
      <c r="O74" s="133" t="str">
        <f>IFERROR(VLOOKUP(TableHandbook[[#This Row],[UDC]],TableOUMPCWRI4[],7,FALSE),"")</f>
        <v/>
      </c>
      <c r="P74" s="133" t="str">
        <f>IFERROR(VLOOKUP(TableHandbook[[#This Row],[UDC]],TableOUMPDGCM1[],7,FALSE),"")</f>
        <v>Option</v>
      </c>
      <c r="Q74" s="133" t="str">
        <f>IFERROR(VLOOKUP(TableHandbook[[#This Row],[UDC]],TableOUMPFINA1[],7,FALSE),"")</f>
        <v/>
      </c>
      <c r="R74" s="133" t="str">
        <f>IFERROR(VLOOKUP(TableHandbook[[#This Row],[UDC]],TableOUMPPWRI4[],7,FALSE),"")</f>
        <v/>
      </c>
      <c r="S74" s="175" t="str">
        <f>IFERROR(VLOOKUP(TableHandbook[[#This Row],[UDC]],TableOGARTS[],7,FALSE),"")</f>
        <v/>
      </c>
      <c r="T74" s="133" t="str">
        <f>IFERROR(VLOOKUP(TableHandbook[[#This Row],[UDC]],TableOUMPCWRI3[],7,FALSE),"")</f>
        <v/>
      </c>
      <c r="U74" s="133" t="str">
        <f>IFERROR(VLOOKUP(TableHandbook[[#This Row],[UDC]],TableOUMPDGCM2[],7,FALSE),"")</f>
        <v/>
      </c>
      <c r="V74" s="133" t="str">
        <f>IFERROR(VLOOKUP(TableHandbook[[#This Row],[UDC]],TableOUMPFINA2[],7,FALSE),"")</f>
        <v/>
      </c>
      <c r="W74" s="133" t="str">
        <f>IFERROR(VLOOKUP(TableHandbook[[#This Row],[UDC]],TableOUMPPWRI3[],7,FALSE),"")</f>
        <v/>
      </c>
      <c r="X74" s="175" t="str">
        <f>IFERROR(VLOOKUP(TableHandbook[[#This Row],[UDC]],TableOCARTS[],7,FALSE),"")</f>
        <v/>
      </c>
      <c r="Y74" s="133" t="str">
        <f>IFERROR(VLOOKUP(TableHandbook[[#This Row],[UDC]],TableOUSPCWRI1[],7,FALSE),"")</f>
        <v/>
      </c>
      <c r="Z74" s="133" t="str">
        <f>IFERROR(VLOOKUP(TableHandbook[[#This Row],[UDC]],TableOUSPDGCM1[],7,FALSE),"")</f>
        <v/>
      </c>
      <c r="AA74" s="133" t="str">
        <f>IFERROR(VLOOKUP(TableHandbook[[#This Row],[UDC]],TableOUSPFINA1[],7,FALSE),"")</f>
        <v/>
      </c>
      <c r="AB74" s="133" t="str">
        <f>IFERROR(VLOOKUP(TableHandbook[[#This Row],[UDC]],TableOUSPPWRI1[],7,FALSE),"")</f>
        <v/>
      </c>
      <c r="AC74" s="175" t="str">
        <f>IFERROR(VLOOKUP(TableHandbook[[#This Row],[UDC]],TableOCHRIGHT[],7,FALSE),"")</f>
        <v/>
      </c>
      <c r="AD74" s="133" t="str">
        <f>IFERROR(VLOOKUP(TableHandbook[[#This Row],[UDC]],TableOGHRIGHT[],7,FALSE),"")</f>
        <v/>
      </c>
      <c r="AE74" s="133" t="str">
        <f>IFERROR(VLOOKUP(TableHandbook[[#This Row],[UDC]],TableOMHRIGHT[],7,FALSE),"")</f>
        <v/>
      </c>
    </row>
    <row r="75" spans="1:31" x14ac:dyDescent="0.25">
      <c r="A75" s="180" t="s">
        <v>499</v>
      </c>
      <c r="C75" s="1"/>
      <c r="D75" t="s">
        <v>500</v>
      </c>
      <c r="E75" s="1">
        <v>125</v>
      </c>
      <c r="F75" s="132"/>
      <c r="G75" s="134" t="str">
        <f>IFERROR(IF(_xlfn.XLOOKUP(TableHandbook[[#This Row],[UDC]],TableAvailabilities[Row Labels],TableAvailabilities[OpenUnis Session 1])&gt;0,"Y",""),"")</f>
        <v/>
      </c>
      <c r="H75" s="134" t="str">
        <f>IFERROR(IF(_xlfn.XLOOKUP(TableHandbook[[#This Row],[UDC]],TableAvailabilities[Row Labels],TableAvailabilities[OpenUnis Session 2])&gt;0,"Y",""),"")</f>
        <v/>
      </c>
      <c r="I75" s="134" t="str">
        <f>IFERROR(IF(_xlfn.XLOOKUP(TableHandbook[[#This Row],[UDC]],TableAvailabilities[Row Labels],TableAvailabilities[OpenUnis SP 1])&gt;0,"Y",""),"")</f>
        <v/>
      </c>
      <c r="J75" s="134" t="str">
        <f>IFERROR(IF(_xlfn.XLOOKUP(TableHandbook[[#This Row],[UDC]],TableAvailabilities[Row Labels],TableAvailabilities[OpenUnis SP 2])&gt;0,"Y",""),"")</f>
        <v/>
      </c>
      <c r="K75" s="134" t="str">
        <f>IFERROR(IF(_xlfn.XLOOKUP(TableHandbook[[#This Row],[UDC]],TableAvailabilities[Row Labels],TableAvailabilities[OpenUnis SP 3])&gt;0,"Y",""),"")</f>
        <v/>
      </c>
      <c r="L75" s="134" t="str">
        <f>IFERROR(IF(_xlfn.XLOOKUP(TableHandbook[[#This Row],[UDC]],TableAvailabilities[Row Labels],TableAvailabilities[OpenUnis SP 4])&gt;0,"Y",""),"")</f>
        <v/>
      </c>
      <c r="M75" t="s">
        <v>501</v>
      </c>
      <c r="N75" s="133" t="str">
        <f>IFERROR(VLOOKUP(TableHandbook[[#This Row],[UDC]],TableOMARTS[],7,FALSE),"")</f>
        <v/>
      </c>
      <c r="O75" s="133" t="str">
        <f>IFERROR(VLOOKUP(TableHandbook[[#This Row],[UDC]],TableOUMPCWRI4[],7,FALSE),"")</f>
        <v/>
      </c>
      <c r="P75" s="133" t="str">
        <f>IFERROR(VLOOKUP(TableHandbook[[#This Row],[UDC]],TableOUMPDGCM1[],7,FALSE),"")</f>
        <v/>
      </c>
      <c r="Q75" s="133" t="str">
        <f>IFERROR(VLOOKUP(TableHandbook[[#This Row],[UDC]],TableOUMPFINA1[],7,FALSE),"")</f>
        <v/>
      </c>
      <c r="R75" s="133" t="str">
        <f>IFERROR(VLOOKUP(TableHandbook[[#This Row],[UDC]],TableOUMPPWRI4[],7,FALSE),"")</f>
        <v/>
      </c>
      <c r="S75" s="175" t="str">
        <f>IFERROR(VLOOKUP(TableHandbook[[#This Row],[UDC]],TableOGARTS[],7,FALSE),"")</f>
        <v/>
      </c>
      <c r="T75" s="133" t="str">
        <f>IFERROR(VLOOKUP(TableHandbook[[#This Row],[UDC]],TableOUMPCWRI3[],7,FALSE),"")</f>
        <v/>
      </c>
      <c r="U75" s="133" t="str">
        <f>IFERROR(VLOOKUP(TableHandbook[[#This Row],[UDC]],TableOUMPDGCM2[],7,FALSE),"")</f>
        <v/>
      </c>
      <c r="V75" s="133" t="str">
        <f>IFERROR(VLOOKUP(TableHandbook[[#This Row],[UDC]],TableOUMPFINA2[],7,FALSE),"")</f>
        <v/>
      </c>
      <c r="W75" s="133" t="str">
        <f>IFERROR(VLOOKUP(TableHandbook[[#This Row],[UDC]],TableOUMPPWRI3[],7,FALSE),"")</f>
        <v/>
      </c>
      <c r="X75" s="175" t="str">
        <f>IFERROR(VLOOKUP(TableHandbook[[#This Row],[UDC]],TableOCARTS[],7,FALSE),"")</f>
        <v/>
      </c>
      <c r="Y75" s="133" t="str">
        <f>IFERROR(VLOOKUP(TableHandbook[[#This Row],[UDC]],TableOUSPCWRI1[],7,FALSE),"")</f>
        <v/>
      </c>
      <c r="Z75" s="133" t="str">
        <f>IFERROR(VLOOKUP(TableHandbook[[#This Row],[UDC]],TableOUSPDGCM1[],7,FALSE),"")</f>
        <v/>
      </c>
      <c r="AA75" s="133" t="str">
        <f>IFERROR(VLOOKUP(TableHandbook[[#This Row],[UDC]],TableOUSPFINA1[],7,FALSE),"")</f>
        <v/>
      </c>
      <c r="AB75" s="133" t="str">
        <f>IFERROR(VLOOKUP(TableHandbook[[#This Row],[UDC]],TableOUSPPWRI1[],7,FALSE),"")</f>
        <v/>
      </c>
      <c r="AC75" s="175" t="str">
        <f>IFERROR(VLOOKUP(TableHandbook[[#This Row],[UDC]],TableOCHRIGHT[],7,FALSE),"")</f>
        <v/>
      </c>
      <c r="AD75" s="133" t="str">
        <f>IFERROR(VLOOKUP(TableHandbook[[#This Row],[UDC]],TableOGHRIGHT[],7,FALSE),"")</f>
        <v/>
      </c>
      <c r="AE75" s="133" t="str">
        <f>IFERROR(VLOOKUP(TableHandbook[[#This Row],[UDC]],TableOMHRIGHT[],7,FALSE),"")</f>
        <v/>
      </c>
    </row>
    <row r="76" spans="1:31" x14ac:dyDescent="0.25">
      <c r="A76" s="180" t="s">
        <v>460</v>
      </c>
      <c r="C76" s="1" t="s">
        <v>244</v>
      </c>
      <c r="D76" t="s">
        <v>480</v>
      </c>
      <c r="E76" s="1">
        <v>25</v>
      </c>
      <c r="F76" s="132" t="s">
        <v>242</v>
      </c>
      <c r="G76" s="134" t="str">
        <f>IFERROR(IF(_xlfn.XLOOKUP(TableHandbook[[#This Row],[UDC]],TableAvailabilities[Row Labels],TableAvailabilities[OpenUnis Session 1])&gt;0,"Y",""),"")</f>
        <v/>
      </c>
      <c r="H76" s="134" t="str">
        <f>IFERROR(IF(_xlfn.XLOOKUP(TableHandbook[[#This Row],[UDC]],TableAvailabilities[Row Labels],TableAvailabilities[OpenUnis Session 2])&gt;0,"Y",""),"")</f>
        <v/>
      </c>
      <c r="I76" s="134" t="str">
        <f>IFERROR(IF(_xlfn.XLOOKUP(TableHandbook[[#This Row],[UDC]],TableAvailabilities[Row Labels],TableAvailabilities[OpenUnis SP 1])&gt;0,"Y",""),"")</f>
        <v/>
      </c>
      <c r="J76" s="134" t="str">
        <f>IFERROR(IF(_xlfn.XLOOKUP(TableHandbook[[#This Row],[UDC]],TableAvailabilities[Row Labels],TableAvailabilities[OpenUnis SP 2])&gt;0,"Y",""),"")</f>
        <v/>
      </c>
      <c r="K76" s="134" t="str">
        <f>IFERROR(IF(_xlfn.XLOOKUP(TableHandbook[[#This Row],[UDC]],TableAvailabilities[Row Labels],TableAvailabilities[OpenUnis SP 3])&gt;0,"Y",""),"")</f>
        <v/>
      </c>
      <c r="L76" s="134" t="str">
        <f>IFERROR(IF(_xlfn.XLOOKUP(TableHandbook[[#This Row],[UDC]],TableAvailabilities[Row Labels],TableAvailabilities[OpenUnis SP 4])&gt;0,"Y",""),"")</f>
        <v/>
      </c>
      <c r="N76" s="133" t="str">
        <f>IFERROR(VLOOKUP(TableHandbook[[#This Row],[UDC]],TableOMARTS[],7,FALSE),"")</f>
        <v/>
      </c>
      <c r="O76" s="133" t="str">
        <f>IFERROR(VLOOKUP(TableHandbook[[#This Row],[UDC]],TableOUMPCWRI4[],7,FALSE),"")</f>
        <v/>
      </c>
      <c r="P76" s="133" t="str">
        <f>IFERROR(VLOOKUP(TableHandbook[[#This Row],[UDC]],TableOUMPDGCM1[],7,FALSE),"")</f>
        <v>Option</v>
      </c>
      <c r="Q76" s="133" t="str">
        <f>IFERROR(VLOOKUP(TableHandbook[[#This Row],[UDC]],TableOUMPFINA1[],7,FALSE),"")</f>
        <v/>
      </c>
      <c r="R76" s="133" t="str">
        <f>IFERROR(VLOOKUP(TableHandbook[[#This Row],[UDC]],TableOUMPPWRI4[],7,FALSE),"")</f>
        <v/>
      </c>
      <c r="S76" s="175" t="str">
        <f>IFERROR(VLOOKUP(TableHandbook[[#This Row],[UDC]],TableOGARTS[],7,FALSE),"")</f>
        <v/>
      </c>
      <c r="T76" s="133" t="str">
        <f>IFERROR(VLOOKUP(TableHandbook[[#This Row],[UDC]],TableOUMPCWRI3[],7,FALSE),"")</f>
        <v/>
      </c>
      <c r="U76" s="133" t="str">
        <f>IFERROR(VLOOKUP(TableHandbook[[#This Row],[UDC]],TableOUMPDGCM2[],7,FALSE),"")</f>
        <v/>
      </c>
      <c r="V76" s="133" t="str">
        <f>IFERROR(VLOOKUP(TableHandbook[[#This Row],[UDC]],TableOUMPFINA2[],7,FALSE),"")</f>
        <v/>
      </c>
      <c r="W76" s="133" t="str">
        <f>IFERROR(VLOOKUP(TableHandbook[[#This Row],[UDC]],TableOUMPPWRI3[],7,FALSE),"")</f>
        <v/>
      </c>
      <c r="X76" s="175" t="str">
        <f>IFERROR(VLOOKUP(TableHandbook[[#This Row],[UDC]],TableOCARTS[],7,FALSE),"")</f>
        <v/>
      </c>
      <c r="Y76" s="133" t="str">
        <f>IFERROR(VLOOKUP(TableHandbook[[#This Row],[UDC]],TableOUSPCWRI1[],7,FALSE),"")</f>
        <v/>
      </c>
      <c r="Z76" s="133" t="str">
        <f>IFERROR(VLOOKUP(TableHandbook[[#This Row],[UDC]],TableOUSPDGCM1[],7,FALSE),"")</f>
        <v/>
      </c>
      <c r="AA76" s="133" t="str">
        <f>IFERROR(VLOOKUP(TableHandbook[[#This Row],[UDC]],TableOUSPFINA1[],7,FALSE),"")</f>
        <v/>
      </c>
      <c r="AB76" s="133" t="str">
        <f>IFERROR(VLOOKUP(TableHandbook[[#This Row],[UDC]],TableOUSPPWRI1[],7,FALSE),"")</f>
        <v/>
      </c>
      <c r="AC76" s="175" t="str">
        <f>IFERROR(VLOOKUP(TableHandbook[[#This Row],[UDC]],TableOCHRIGHT[],7,FALSE),"")</f>
        <v/>
      </c>
      <c r="AD76" s="133" t="str">
        <f>IFERROR(VLOOKUP(TableHandbook[[#This Row],[UDC]],TableOGHRIGHT[],7,FALSE),"")</f>
        <v/>
      </c>
      <c r="AE76" s="133" t="str">
        <f>IFERROR(VLOOKUP(TableHandbook[[#This Row],[UDC]],TableOMHRIGHT[],7,FALSE),"")</f>
        <v/>
      </c>
    </row>
    <row r="77" spans="1:31" x14ac:dyDescent="0.25">
      <c r="A77" s="180" t="s">
        <v>502</v>
      </c>
      <c r="C77" s="1"/>
      <c r="D77" t="s">
        <v>503</v>
      </c>
      <c r="E77" s="1">
        <v>150</v>
      </c>
      <c r="F77" s="132"/>
      <c r="G77" s="134" t="str">
        <f>IFERROR(IF(_xlfn.XLOOKUP(TableHandbook[[#This Row],[UDC]],TableAvailabilities[Row Labels],TableAvailabilities[OpenUnis Session 1])&gt;0,"Y",""),"")</f>
        <v/>
      </c>
      <c r="H77" s="134" t="str">
        <f>IFERROR(IF(_xlfn.XLOOKUP(TableHandbook[[#This Row],[UDC]],TableAvailabilities[Row Labels],TableAvailabilities[OpenUnis Session 2])&gt;0,"Y",""),"")</f>
        <v/>
      </c>
      <c r="I77" s="134" t="str">
        <f>IFERROR(IF(_xlfn.XLOOKUP(TableHandbook[[#This Row],[UDC]],TableAvailabilities[Row Labels],TableAvailabilities[OpenUnis SP 1])&gt;0,"Y",""),"")</f>
        <v/>
      </c>
      <c r="J77" s="134" t="str">
        <f>IFERROR(IF(_xlfn.XLOOKUP(TableHandbook[[#This Row],[UDC]],TableAvailabilities[Row Labels],TableAvailabilities[OpenUnis SP 2])&gt;0,"Y",""),"")</f>
        <v/>
      </c>
      <c r="K77" s="134" t="str">
        <f>IFERROR(IF(_xlfn.XLOOKUP(TableHandbook[[#This Row],[UDC]],TableAvailabilities[Row Labels],TableAvailabilities[OpenUnis SP 3])&gt;0,"Y",""),"")</f>
        <v/>
      </c>
      <c r="L77" s="134" t="str">
        <f>IFERROR(IF(_xlfn.XLOOKUP(TableHandbook[[#This Row],[UDC]],TableAvailabilities[Row Labels],TableAvailabilities[OpenUnis SP 4])&gt;0,"Y",""),"")</f>
        <v/>
      </c>
      <c r="M77" t="s">
        <v>501</v>
      </c>
      <c r="N77" s="133" t="str">
        <f>IFERROR(VLOOKUP(TableHandbook[[#This Row],[UDC]],TableOMARTS[],7,FALSE),"")</f>
        <v/>
      </c>
      <c r="O77" s="133" t="str">
        <f>IFERROR(VLOOKUP(TableHandbook[[#This Row],[UDC]],TableOUMPCWRI4[],7,FALSE),"")</f>
        <v/>
      </c>
      <c r="P77" s="133" t="str">
        <f>IFERROR(VLOOKUP(TableHandbook[[#This Row],[UDC]],TableOUMPDGCM1[],7,FALSE),"")</f>
        <v/>
      </c>
      <c r="Q77" s="133" t="str">
        <f>IFERROR(VLOOKUP(TableHandbook[[#This Row],[UDC]],TableOUMPFINA1[],7,FALSE),"")</f>
        <v/>
      </c>
      <c r="R77" s="133" t="str">
        <f>IFERROR(VLOOKUP(TableHandbook[[#This Row],[UDC]],TableOUMPPWRI4[],7,FALSE),"")</f>
        <v/>
      </c>
      <c r="S77" s="175" t="str">
        <f>IFERROR(VLOOKUP(TableHandbook[[#This Row],[UDC]],TableOGARTS[],7,FALSE),"")</f>
        <v/>
      </c>
      <c r="T77" s="133" t="str">
        <f>IFERROR(VLOOKUP(TableHandbook[[#This Row],[UDC]],TableOUMPCWRI3[],7,FALSE),"")</f>
        <v/>
      </c>
      <c r="U77" s="133" t="str">
        <f>IFERROR(VLOOKUP(TableHandbook[[#This Row],[UDC]],TableOUMPDGCM2[],7,FALSE),"")</f>
        <v/>
      </c>
      <c r="V77" s="133" t="str">
        <f>IFERROR(VLOOKUP(TableHandbook[[#This Row],[UDC]],TableOUMPFINA2[],7,FALSE),"")</f>
        <v/>
      </c>
      <c r="W77" s="133" t="str">
        <f>IFERROR(VLOOKUP(TableHandbook[[#This Row],[UDC]],TableOUMPPWRI3[],7,FALSE),"")</f>
        <v/>
      </c>
      <c r="X77" s="175" t="str">
        <f>IFERROR(VLOOKUP(TableHandbook[[#This Row],[UDC]],TableOCARTS[],7,FALSE),"")</f>
        <v/>
      </c>
      <c r="Y77" s="133" t="str">
        <f>IFERROR(VLOOKUP(TableHandbook[[#This Row],[UDC]],TableOUSPCWRI1[],7,FALSE),"")</f>
        <v/>
      </c>
      <c r="Z77" s="133" t="str">
        <f>IFERROR(VLOOKUP(TableHandbook[[#This Row],[UDC]],TableOUSPDGCM1[],7,FALSE),"")</f>
        <v/>
      </c>
      <c r="AA77" s="133" t="str">
        <f>IFERROR(VLOOKUP(TableHandbook[[#This Row],[UDC]],TableOUSPFINA1[],7,FALSE),"")</f>
        <v/>
      </c>
      <c r="AB77" s="133" t="str">
        <f>IFERROR(VLOOKUP(TableHandbook[[#This Row],[UDC]],TableOUSPPWRI1[],7,FALSE),"")</f>
        <v/>
      </c>
      <c r="AC77" s="175" t="str">
        <f>IFERROR(VLOOKUP(TableHandbook[[#This Row],[UDC]],TableOCHRIGHT[],7,FALSE),"")</f>
        <v/>
      </c>
      <c r="AD77" s="133" t="str">
        <f>IFERROR(VLOOKUP(TableHandbook[[#This Row],[UDC]],TableOGHRIGHT[],7,FALSE),"")</f>
        <v/>
      </c>
      <c r="AE77" s="133" t="str">
        <f>IFERROR(VLOOKUP(TableHandbook[[#This Row],[UDC]],TableOMHRIGHT[],7,FALSE),"")</f>
        <v/>
      </c>
    </row>
    <row r="78" spans="1:31" x14ac:dyDescent="0.25">
      <c r="A78" t="s">
        <v>197</v>
      </c>
      <c r="C78" s="1" t="s">
        <v>244</v>
      </c>
      <c r="D78" t="s">
        <v>333</v>
      </c>
      <c r="E78" s="1">
        <v>25</v>
      </c>
      <c r="F78" s="132" t="s">
        <v>242</v>
      </c>
      <c r="G78" s="134" t="str">
        <f>IFERROR(IF(_xlfn.XLOOKUP(TableHandbook[[#This Row],[UDC]],TableAvailabilities[Row Labels],TableAvailabilities[OpenUnis Session 1])&gt;0,"Y",""),"")</f>
        <v/>
      </c>
      <c r="H78" s="134" t="str">
        <f>IFERROR(IF(_xlfn.XLOOKUP(TableHandbook[[#This Row],[UDC]],TableAvailabilities[Row Labels],TableAvailabilities[OpenUnis Session 2])&gt;0,"Y",""),"")</f>
        <v/>
      </c>
      <c r="I78" s="134" t="str">
        <f>IFERROR(IF(_xlfn.XLOOKUP(TableHandbook[[#This Row],[UDC]],TableAvailabilities[Row Labels],TableAvailabilities[OpenUnis SP 1])&gt;0,"Y",""),"")</f>
        <v/>
      </c>
      <c r="J78" s="134" t="str">
        <f>IFERROR(IF(_xlfn.XLOOKUP(TableHandbook[[#This Row],[UDC]],TableAvailabilities[Row Labels],TableAvailabilities[OpenUnis SP 2])&gt;0,"Y",""),"")</f>
        <v/>
      </c>
      <c r="K78" s="134" t="str">
        <f>IFERROR(IF(_xlfn.XLOOKUP(TableHandbook[[#This Row],[UDC]],TableAvailabilities[Row Labels],TableAvailabilities[OpenUnis SP 3])&gt;0,"Y",""),"")</f>
        <v/>
      </c>
      <c r="L78" s="134" t="str">
        <f>IFERROR(IF(_xlfn.XLOOKUP(TableHandbook[[#This Row],[UDC]],TableAvailabilities[Row Labels],TableAvailabilities[OpenUnis SP 4])&gt;0,"Y",""),"")</f>
        <v/>
      </c>
      <c r="N78" s="133" t="str">
        <f>IFERROR(VLOOKUP(TableHandbook[[#This Row],[UDC]],TableOMARTS[],7,FALSE),"")</f>
        <v/>
      </c>
      <c r="O78" s="133" t="str">
        <f>IFERROR(VLOOKUP(TableHandbook[[#This Row],[UDC]],TableOUMPCWRI4[],7,FALSE),"")</f>
        <v/>
      </c>
      <c r="P78" s="133" t="str">
        <f>IFERROR(VLOOKUP(TableHandbook[[#This Row],[UDC]],TableOUMPDGCM1[],7,FALSE),"")</f>
        <v/>
      </c>
      <c r="Q78" s="133" t="str">
        <f>IFERROR(VLOOKUP(TableHandbook[[#This Row],[UDC]],TableOUMPFINA1[],7,FALSE),"")</f>
        <v/>
      </c>
      <c r="R78" s="133" t="str">
        <f>IFERROR(VLOOKUP(TableHandbook[[#This Row],[UDC]],TableOUMPPWRI4[],7,FALSE),"")</f>
        <v/>
      </c>
      <c r="S78" s="175" t="str">
        <f>IFERROR(VLOOKUP(TableHandbook[[#This Row],[UDC]],TableOGARTS[],7,FALSE),"")</f>
        <v/>
      </c>
      <c r="T78" s="133" t="str">
        <f>IFERROR(VLOOKUP(TableHandbook[[#This Row],[UDC]],TableOUMPCWRI3[],7,FALSE),"")</f>
        <v/>
      </c>
      <c r="U78" s="133" t="str">
        <f>IFERROR(VLOOKUP(TableHandbook[[#This Row],[UDC]],TableOUMPDGCM2[],7,FALSE),"")</f>
        <v/>
      </c>
      <c r="V78" s="133" t="str">
        <f>IFERROR(VLOOKUP(TableHandbook[[#This Row],[UDC]],TableOUMPFINA2[],7,FALSE),"")</f>
        <v/>
      </c>
      <c r="W78" s="133" t="str">
        <f>IFERROR(VLOOKUP(TableHandbook[[#This Row],[UDC]],TableOUMPPWRI3[],7,FALSE),"")</f>
        <v/>
      </c>
      <c r="X78" s="175" t="str">
        <f>IFERROR(VLOOKUP(TableHandbook[[#This Row],[UDC]],TableOCARTS[],7,FALSE),"")</f>
        <v/>
      </c>
      <c r="Y78" s="133" t="str">
        <f>IFERROR(VLOOKUP(TableHandbook[[#This Row],[UDC]],TableOUSPCWRI1[],7,FALSE),"")</f>
        <v/>
      </c>
      <c r="Z78" s="133" t="str">
        <f>IFERROR(VLOOKUP(TableHandbook[[#This Row],[UDC]],TableOUSPDGCM1[],7,FALSE),"")</f>
        <v>Option</v>
      </c>
      <c r="AA78" s="133" t="str">
        <f>IFERROR(VLOOKUP(TableHandbook[[#This Row],[UDC]],TableOUSPFINA1[],7,FALSE),"")</f>
        <v/>
      </c>
      <c r="AB78" s="133" t="str">
        <f>IFERROR(VLOOKUP(TableHandbook[[#This Row],[UDC]],TableOUSPPWRI1[],7,FALSE),"")</f>
        <v/>
      </c>
      <c r="AC78" s="175" t="str">
        <f>IFERROR(VLOOKUP(TableHandbook[[#This Row],[UDC]],TableOCHRIGHT[],7,FALSE),"")</f>
        <v/>
      </c>
      <c r="AD78" s="133" t="str">
        <f>IFERROR(VLOOKUP(TableHandbook[[#This Row],[UDC]],TableOGHRIGHT[],7,FALSE),"")</f>
        <v/>
      </c>
      <c r="AE78" s="133" t="str">
        <f>IFERROR(VLOOKUP(TableHandbook[[#This Row],[UDC]],TableOMHRIGHT[],7,FALSE),"")</f>
        <v/>
      </c>
    </row>
    <row r="79" spans="1:31" x14ac:dyDescent="0.25">
      <c r="A79" s="180" t="s">
        <v>523</v>
      </c>
      <c r="C79" s="1" t="s">
        <v>244</v>
      </c>
      <c r="D79" t="s">
        <v>333</v>
      </c>
      <c r="E79" s="1">
        <v>25</v>
      </c>
      <c r="F79" s="132" t="s">
        <v>242</v>
      </c>
      <c r="G79" s="134" t="str">
        <f>IFERROR(IF(_xlfn.XLOOKUP(TableHandbook[[#This Row],[UDC]],TableAvailabilities[Row Labels],TableAvailabilities[OpenUnis Session 1])&gt;0,"Y",""),"")</f>
        <v/>
      </c>
      <c r="H79" s="134" t="str">
        <f>IFERROR(IF(_xlfn.XLOOKUP(TableHandbook[[#This Row],[UDC]],TableAvailabilities[Row Labels],TableAvailabilities[OpenUnis Session 2])&gt;0,"Y",""),"")</f>
        <v/>
      </c>
      <c r="I79" s="134" t="str">
        <f>IFERROR(IF(_xlfn.XLOOKUP(TableHandbook[[#This Row],[UDC]],TableAvailabilities[Row Labels],TableAvailabilities[OpenUnis SP 1])&gt;0,"Y",""),"")</f>
        <v/>
      </c>
      <c r="J79" s="134" t="str">
        <f>IFERROR(IF(_xlfn.XLOOKUP(TableHandbook[[#This Row],[UDC]],TableAvailabilities[Row Labels],TableAvailabilities[OpenUnis SP 2])&gt;0,"Y",""),"")</f>
        <v/>
      </c>
      <c r="K79" s="134" t="str">
        <f>IFERROR(IF(_xlfn.XLOOKUP(TableHandbook[[#This Row],[UDC]],TableAvailabilities[Row Labels],TableAvailabilities[OpenUnis SP 3])&gt;0,"Y",""),"")</f>
        <v/>
      </c>
      <c r="L79" s="134" t="str">
        <f>IFERROR(IF(_xlfn.XLOOKUP(TableHandbook[[#This Row],[UDC]],TableAvailabilities[Row Labels],TableAvailabilities[OpenUnis SP 4])&gt;0,"Y",""),"")</f>
        <v/>
      </c>
      <c r="N79" s="133" t="str">
        <f>IFERROR(VLOOKUP(TableHandbook[[#This Row],[UDC]],TableOMARTS[],7,FALSE),"")</f>
        <v/>
      </c>
      <c r="O79" s="133" t="str">
        <f>IFERROR(VLOOKUP(TableHandbook[[#This Row],[UDC]],TableOUMPCWRI4[],7,FALSE),"")</f>
        <v/>
      </c>
      <c r="P79" s="133" t="str">
        <f>IFERROR(VLOOKUP(TableHandbook[[#This Row],[UDC]],TableOUMPDGCM1[],7,FALSE),"")</f>
        <v/>
      </c>
      <c r="Q79" s="133" t="str">
        <f>IFERROR(VLOOKUP(TableHandbook[[#This Row],[UDC]],TableOUMPFINA1[],7,FALSE),"")</f>
        <v/>
      </c>
      <c r="R79" s="133" t="str">
        <f>IFERROR(VLOOKUP(TableHandbook[[#This Row],[UDC]],TableOUMPPWRI4[],7,FALSE),"")</f>
        <v/>
      </c>
      <c r="S79" s="175" t="str">
        <f>IFERROR(VLOOKUP(TableHandbook[[#This Row],[UDC]],TableOGARTS[],7,FALSE),"")</f>
        <v/>
      </c>
      <c r="T79" s="133" t="str">
        <f>IFERROR(VLOOKUP(TableHandbook[[#This Row],[UDC]],TableOUMPCWRI3[],7,FALSE),"")</f>
        <v/>
      </c>
      <c r="U79" s="133" t="str">
        <f>IFERROR(VLOOKUP(TableHandbook[[#This Row],[UDC]],TableOUMPDGCM2[],7,FALSE),"")</f>
        <v>Option</v>
      </c>
      <c r="V79" s="133" t="str">
        <f>IFERROR(VLOOKUP(TableHandbook[[#This Row],[UDC]],TableOUMPFINA2[],7,FALSE),"")</f>
        <v/>
      </c>
      <c r="W79" s="133" t="str">
        <f>IFERROR(VLOOKUP(TableHandbook[[#This Row],[UDC]],TableOUMPPWRI3[],7,FALSE),"")</f>
        <v/>
      </c>
      <c r="X79" s="175" t="str">
        <f>IFERROR(VLOOKUP(TableHandbook[[#This Row],[UDC]],TableOCARTS[],7,FALSE),"")</f>
        <v/>
      </c>
      <c r="Y79" s="133" t="str">
        <f>IFERROR(VLOOKUP(TableHandbook[[#This Row],[UDC]],TableOUSPCWRI1[],7,FALSE),"")</f>
        <v/>
      </c>
      <c r="Z79" s="133" t="str">
        <f>IFERROR(VLOOKUP(TableHandbook[[#This Row],[UDC]],TableOUSPDGCM1[],7,FALSE),"")</f>
        <v/>
      </c>
      <c r="AA79" s="133" t="str">
        <f>IFERROR(VLOOKUP(TableHandbook[[#This Row],[UDC]],TableOUSPFINA1[],7,FALSE),"")</f>
        <v/>
      </c>
      <c r="AB79" s="133" t="str">
        <f>IFERROR(VLOOKUP(TableHandbook[[#This Row],[UDC]],TableOUSPPWRI1[],7,FALSE),"")</f>
        <v/>
      </c>
      <c r="AC79" s="175" t="str">
        <f>IFERROR(VLOOKUP(TableHandbook[[#This Row],[UDC]],TableOCHRIGHT[],7,FALSE),"")</f>
        <v/>
      </c>
      <c r="AD79" s="133" t="str">
        <f>IFERROR(VLOOKUP(TableHandbook[[#This Row],[UDC]],TableOGHRIGHT[],7,FALSE),"")</f>
        <v/>
      </c>
      <c r="AE79" s="133" t="str">
        <f>IFERROR(VLOOKUP(TableHandbook[[#This Row],[UDC]],TableOMHRIGHT[],7,FALSE),"")</f>
        <v/>
      </c>
    </row>
    <row r="80" spans="1:31" x14ac:dyDescent="0.25">
      <c r="A80" s="180" t="s">
        <v>466</v>
      </c>
      <c r="C80" s="1" t="s">
        <v>244</v>
      </c>
      <c r="D80" t="s">
        <v>481</v>
      </c>
      <c r="E80" s="1">
        <v>25</v>
      </c>
      <c r="F80" s="132" t="s">
        <v>242</v>
      </c>
      <c r="G80" s="134" t="str">
        <f>IFERROR(IF(_xlfn.XLOOKUP(TableHandbook[[#This Row],[UDC]],TableAvailabilities[Row Labels],TableAvailabilities[OpenUnis Session 1])&gt;0,"Y",""),"")</f>
        <v/>
      </c>
      <c r="H80" s="134" t="str">
        <f>IFERROR(IF(_xlfn.XLOOKUP(TableHandbook[[#This Row],[UDC]],TableAvailabilities[Row Labels],TableAvailabilities[OpenUnis Session 2])&gt;0,"Y",""),"")</f>
        <v/>
      </c>
      <c r="I80" s="134" t="str">
        <f>IFERROR(IF(_xlfn.XLOOKUP(TableHandbook[[#This Row],[UDC]],TableAvailabilities[Row Labels],TableAvailabilities[OpenUnis SP 1])&gt;0,"Y",""),"")</f>
        <v/>
      </c>
      <c r="J80" s="134" t="str">
        <f>IFERROR(IF(_xlfn.XLOOKUP(TableHandbook[[#This Row],[UDC]],TableAvailabilities[Row Labels],TableAvailabilities[OpenUnis SP 2])&gt;0,"Y",""),"")</f>
        <v/>
      </c>
      <c r="K80" s="134" t="str">
        <f>IFERROR(IF(_xlfn.XLOOKUP(TableHandbook[[#This Row],[UDC]],TableAvailabilities[Row Labels],TableAvailabilities[OpenUnis SP 3])&gt;0,"Y",""),"")</f>
        <v/>
      </c>
      <c r="L80" s="134" t="str">
        <f>IFERROR(IF(_xlfn.XLOOKUP(TableHandbook[[#This Row],[UDC]],TableAvailabilities[Row Labels],TableAvailabilities[OpenUnis SP 4])&gt;0,"Y",""),"")</f>
        <v/>
      </c>
      <c r="N80" s="133" t="str">
        <f>IFERROR(VLOOKUP(TableHandbook[[#This Row],[UDC]],TableOMARTS[],7,FALSE),"")</f>
        <v/>
      </c>
      <c r="O80" s="133" t="str">
        <f>IFERROR(VLOOKUP(TableHandbook[[#This Row],[UDC]],TableOUMPCWRI4[],7,FALSE),"")</f>
        <v/>
      </c>
      <c r="P80" s="133" t="str">
        <f>IFERROR(VLOOKUP(TableHandbook[[#This Row],[UDC]],TableOUMPDGCM1[],7,FALSE),"")</f>
        <v/>
      </c>
      <c r="Q80" s="133" t="str">
        <f>IFERROR(VLOOKUP(TableHandbook[[#This Row],[UDC]],TableOUMPFINA1[],7,FALSE),"")</f>
        <v>Option</v>
      </c>
      <c r="R80" s="133" t="str">
        <f>IFERROR(VLOOKUP(TableHandbook[[#This Row],[UDC]],TableOUMPPWRI4[],7,FALSE),"")</f>
        <v/>
      </c>
      <c r="S80" s="175" t="str">
        <f>IFERROR(VLOOKUP(TableHandbook[[#This Row],[UDC]],TableOGARTS[],7,FALSE),"")</f>
        <v/>
      </c>
      <c r="T80" s="133" t="str">
        <f>IFERROR(VLOOKUP(TableHandbook[[#This Row],[UDC]],TableOUMPCWRI3[],7,FALSE),"")</f>
        <v/>
      </c>
      <c r="U80" s="133" t="str">
        <f>IFERROR(VLOOKUP(TableHandbook[[#This Row],[UDC]],TableOUMPDGCM2[],7,FALSE),"")</f>
        <v/>
      </c>
      <c r="V80" s="133" t="str">
        <f>IFERROR(VLOOKUP(TableHandbook[[#This Row],[UDC]],TableOUMPFINA2[],7,FALSE),"")</f>
        <v/>
      </c>
      <c r="W80" s="133" t="str">
        <f>IFERROR(VLOOKUP(TableHandbook[[#This Row],[UDC]],TableOUMPPWRI3[],7,FALSE),"")</f>
        <v/>
      </c>
      <c r="X80" s="175" t="str">
        <f>IFERROR(VLOOKUP(TableHandbook[[#This Row],[UDC]],TableOCARTS[],7,FALSE),"")</f>
        <v/>
      </c>
      <c r="Y80" s="133" t="str">
        <f>IFERROR(VLOOKUP(TableHandbook[[#This Row],[UDC]],TableOUSPCWRI1[],7,FALSE),"")</f>
        <v/>
      </c>
      <c r="Z80" s="133" t="str">
        <f>IFERROR(VLOOKUP(TableHandbook[[#This Row],[UDC]],TableOUSPDGCM1[],7,FALSE),"")</f>
        <v/>
      </c>
      <c r="AA80" s="133" t="str">
        <f>IFERROR(VLOOKUP(TableHandbook[[#This Row],[UDC]],TableOUSPFINA1[],7,FALSE),"")</f>
        <v/>
      </c>
      <c r="AB80" s="133" t="str">
        <f>IFERROR(VLOOKUP(TableHandbook[[#This Row],[UDC]],TableOUSPPWRI1[],7,FALSE),"")</f>
        <v/>
      </c>
      <c r="AC80" s="175" t="str">
        <f>IFERROR(VLOOKUP(TableHandbook[[#This Row],[UDC]],TableOCHRIGHT[],7,FALSE),"")</f>
        <v/>
      </c>
      <c r="AD80" s="133" t="str">
        <f>IFERROR(VLOOKUP(TableHandbook[[#This Row],[UDC]],TableOGHRIGHT[],7,FALSE),"")</f>
        <v/>
      </c>
      <c r="AE80" s="133" t="str">
        <f>IFERROR(VLOOKUP(TableHandbook[[#This Row],[UDC]],TableOMHRIGHT[],7,FALSE),"")</f>
        <v/>
      </c>
    </row>
    <row r="81" spans="1:31" x14ac:dyDescent="0.25">
      <c r="A81" s="180" t="s">
        <v>504</v>
      </c>
      <c r="C81" s="1"/>
      <c r="D81" t="s">
        <v>505</v>
      </c>
      <c r="E81" s="1">
        <v>125</v>
      </c>
      <c r="F81" s="132"/>
      <c r="G81" s="134" t="str">
        <f>IFERROR(IF(_xlfn.XLOOKUP(TableHandbook[[#This Row],[UDC]],TableAvailabilities[Row Labels],TableAvailabilities[OpenUnis Session 1])&gt;0,"Y",""),"")</f>
        <v/>
      </c>
      <c r="H81" s="134" t="str">
        <f>IFERROR(IF(_xlfn.XLOOKUP(TableHandbook[[#This Row],[UDC]],TableAvailabilities[Row Labels],TableAvailabilities[OpenUnis Session 2])&gt;0,"Y",""),"")</f>
        <v/>
      </c>
      <c r="I81" s="134" t="str">
        <f>IFERROR(IF(_xlfn.XLOOKUP(TableHandbook[[#This Row],[UDC]],TableAvailabilities[Row Labels],TableAvailabilities[OpenUnis SP 1])&gt;0,"Y",""),"")</f>
        <v/>
      </c>
      <c r="J81" s="134" t="str">
        <f>IFERROR(IF(_xlfn.XLOOKUP(TableHandbook[[#This Row],[UDC]],TableAvailabilities[Row Labels],TableAvailabilities[OpenUnis SP 2])&gt;0,"Y",""),"")</f>
        <v/>
      </c>
      <c r="K81" s="134" t="str">
        <f>IFERROR(IF(_xlfn.XLOOKUP(TableHandbook[[#This Row],[UDC]],TableAvailabilities[Row Labels],TableAvailabilities[OpenUnis SP 3])&gt;0,"Y",""),"")</f>
        <v/>
      </c>
      <c r="L81" s="134" t="str">
        <f>IFERROR(IF(_xlfn.XLOOKUP(TableHandbook[[#This Row],[UDC]],TableAvailabilities[Row Labels],TableAvailabilities[OpenUnis SP 4])&gt;0,"Y",""),"")</f>
        <v/>
      </c>
      <c r="M81" t="s">
        <v>501</v>
      </c>
      <c r="N81" s="133" t="str">
        <f>IFERROR(VLOOKUP(TableHandbook[[#This Row],[UDC]],TableOMARTS[],7,FALSE),"")</f>
        <v/>
      </c>
      <c r="O81" s="133" t="str">
        <f>IFERROR(VLOOKUP(TableHandbook[[#This Row],[UDC]],TableOUMPCWRI4[],7,FALSE),"")</f>
        <v/>
      </c>
      <c r="P81" s="133" t="str">
        <f>IFERROR(VLOOKUP(TableHandbook[[#This Row],[UDC]],TableOUMPDGCM1[],7,FALSE),"")</f>
        <v/>
      </c>
      <c r="Q81" s="133" t="str">
        <f>IFERROR(VLOOKUP(TableHandbook[[#This Row],[UDC]],TableOUMPFINA1[],7,FALSE),"")</f>
        <v/>
      </c>
      <c r="R81" s="133" t="str">
        <f>IFERROR(VLOOKUP(TableHandbook[[#This Row],[UDC]],TableOUMPPWRI4[],7,FALSE),"")</f>
        <v/>
      </c>
      <c r="S81" s="175" t="str">
        <f>IFERROR(VLOOKUP(TableHandbook[[#This Row],[UDC]],TableOGARTS[],7,FALSE),"")</f>
        <v/>
      </c>
      <c r="T81" s="133" t="str">
        <f>IFERROR(VLOOKUP(TableHandbook[[#This Row],[UDC]],TableOUMPCWRI3[],7,FALSE),"")</f>
        <v/>
      </c>
      <c r="U81" s="133" t="str">
        <f>IFERROR(VLOOKUP(TableHandbook[[#This Row],[UDC]],TableOUMPDGCM2[],7,FALSE),"")</f>
        <v/>
      </c>
      <c r="V81" s="133" t="str">
        <f>IFERROR(VLOOKUP(TableHandbook[[#This Row],[UDC]],TableOUMPFINA2[],7,FALSE),"")</f>
        <v/>
      </c>
      <c r="W81" s="133" t="str">
        <f>IFERROR(VLOOKUP(TableHandbook[[#This Row],[UDC]],TableOUMPPWRI3[],7,FALSE),"")</f>
        <v/>
      </c>
      <c r="X81" s="175" t="str">
        <f>IFERROR(VLOOKUP(TableHandbook[[#This Row],[UDC]],TableOCARTS[],7,FALSE),"")</f>
        <v/>
      </c>
      <c r="Y81" s="133" t="str">
        <f>IFERROR(VLOOKUP(TableHandbook[[#This Row],[UDC]],TableOUSPCWRI1[],7,FALSE),"")</f>
        <v/>
      </c>
      <c r="Z81" s="133" t="str">
        <f>IFERROR(VLOOKUP(TableHandbook[[#This Row],[UDC]],TableOUSPDGCM1[],7,FALSE),"")</f>
        <v/>
      </c>
      <c r="AA81" s="133" t="str">
        <f>IFERROR(VLOOKUP(TableHandbook[[#This Row],[UDC]],TableOUSPFINA1[],7,FALSE),"")</f>
        <v/>
      </c>
      <c r="AB81" s="133" t="str">
        <f>IFERROR(VLOOKUP(TableHandbook[[#This Row],[UDC]],TableOUSPPWRI1[],7,FALSE),"")</f>
        <v/>
      </c>
      <c r="AC81" s="175" t="str">
        <f>IFERROR(VLOOKUP(TableHandbook[[#This Row],[UDC]],TableOCHRIGHT[],7,FALSE),"")</f>
        <v/>
      </c>
      <c r="AD81" s="133" t="str">
        <f>IFERROR(VLOOKUP(TableHandbook[[#This Row],[UDC]],TableOGHRIGHT[],7,FALSE),"")</f>
        <v/>
      </c>
      <c r="AE81" s="133" t="str">
        <f>IFERROR(VLOOKUP(TableHandbook[[#This Row],[UDC]],TableOMHRIGHT[],7,FALSE),"")</f>
        <v/>
      </c>
    </row>
    <row r="82" spans="1:31" x14ac:dyDescent="0.25">
      <c r="A82" s="180" t="s">
        <v>467</v>
      </c>
      <c r="C82" s="1" t="s">
        <v>244</v>
      </c>
      <c r="D82" t="s">
        <v>482</v>
      </c>
      <c r="E82" s="1">
        <v>25</v>
      </c>
      <c r="F82" s="132" t="s">
        <v>242</v>
      </c>
      <c r="G82" s="134" t="str">
        <f>IFERROR(IF(_xlfn.XLOOKUP(TableHandbook[[#This Row],[UDC]],TableAvailabilities[Row Labels],TableAvailabilities[OpenUnis Session 1])&gt;0,"Y",""),"")</f>
        <v/>
      </c>
      <c r="H82" s="134" t="str">
        <f>IFERROR(IF(_xlfn.XLOOKUP(TableHandbook[[#This Row],[UDC]],TableAvailabilities[Row Labels],TableAvailabilities[OpenUnis Session 2])&gt;0,"Y",""),"")</f>
        <v/>
      </c>
      <c r="I82" s="134" t="str">
        <f>IFERROR(IF(_xlfn.XLOOKUP(TableHandbook[[#This Row],[UDC]],TableAvailabilities[Row Labels],TableAvailabilities[OpenUnis SP 1])&gt;0,"Y",""),"")</f>
        <v/>
      </c>
      <c r="J82" s="134" t="str">
        <f>IFERROR(IF(_xlfn.XLOOKUP(TableHandbook[[#This Row],[UDC]],TableAvailabilities[Row Labels],TableAvailabilities[OpenUnis SP 2])&gt;0,"Y",""),"")</f>
        <v/>
      </c>
      <c r="K82" s="134" t="str">
        <f>IFERROR(IF(_xlfn.XLOOKUP(TableHandbook[[#This Row],[UDC]],TableAvailabilities[Row Labels],TableAvailabilities[OpenUnis SP 3])&gt;0,"Y",""),"")</f>
        <v/>
      </c>
      <c r="L82" s="134" t="str">
        <f>IFERROR(IF(_xlfn.XLOOKUP(TableHandbook[[#This Row],[UDC]],TableAvailabilities[Row Labels],TableAvailabilities[OpenUnis SP 4])&gt;0,"Y",""),"")</f>
        <v/>
      </c>
      <c r="N82" s="133" t="str">
        <f>IFERROR(VLOOKUP(TableHandbook[[#This Row],[UDC]],TableOMARTS[],7,FALSE),"")</f>
        <v/>
      </c>
      <c r="O82" s="133" t="str">
        <f>IFERROR(VLOOKUP(TableHandbook[[#This Row],[UDC]],TableOUMPCWRI4[],7,FALSE),"")</f>
        <v/>
      </c>
      <c r="P82" s="133" t="str">
        <f>IFERROR(VLOOKUP(TableHandbook[[#This Row],[UDC]],TableOUMPDGCM1[],7,FALSE),"")</f>
        <v/>
      </c>
      <c r="Q82" s="133" t="str">
        <f>IFERROR(VLOOKUP(TableHandbook[[#This Row],[UDC]],TableOUMPFINA1[],7,FALSE),"")</f>
        <v>Option</v>
      </c>
      <c r="R82" s="133" t="str">
        <f>IFERROR(VLOOKUP(TableHandbook[[#This Row],[UDC]],TableOUMPPWRI4[],7,FALSE),"")</f>
        <v/>
      </c>
      <c r="S82" s="175" t="str">
        <f>IFERROR(VLOOKUP(TableHandbook[[#This Row],[UDC]],TableOGARTS[],7,FALSE),"")</f>
        <v/>
      </c>
      <c r="T82" s="133" t="str">
        <f>IFERROR(VLOOKUP(TableHandbook[[#This Row],[UDC]],TableOUMPCWRI3[],7,FALSE),"")</f>
        <v/>
      </c>
      <c r="U82" s="133" t="str">
        <f>IFERROR(VLOOKUP(TableHandbook[[#This Row],[UDC]],TableOUMPDGCM2[],7,FALSE),"")</f>
        <v/>
      </c>
      <c r="V82" s="133" t="str">
        <f>IFERROR(VLOOKUP(TableHandbook[[#This Row],[UDC]],TableOUMPFINA2[],7,FALSE),"")</f>
        <v/>
      </c>
      <c r="W82" s="133" t="str">
        <f>IFERROR(VLOOKUP(TableHandbook[[#This Row],[UDC]],TableOUMPPWRI3[],7,FALSE),"")</f>
        <v/>
      </c>
      <c r="X82" s="175" t="str">
        <f>IFERROR(VLOOKUP(TableHandbook[[#This Row],[UDC]],TableOCARTS[],7,FALSE),"")</f>
        <v/>
      </c>
      <c r="Y82" s="133" t="str">
        <f>IFERROR(VLOOKUP(TableHandbook[[#This Row],[UDC]],TableOUSPCWRI1[],7,FALSE),"")</f>
        <v/>
      </c>
      <c r="Z82" s="133" t="str">
        <f>IFERROR(VLOOKUP(TableHandbook[[#This Row],[UDC]],TableOUSPDGCM1[],7,FALSE),"")</f>
        <v/>
      </c>
      <c r="AA82" s="133" t="str">
        <f>IFERROR(VLOOKUP(TableHandbook[[#This Row],[UDC]],TableOUSPFINA1[],7,FALSE),"")</f>
        <v/>
      </c>
      <c r="AB82" s="133" t="str">
        <f>IFERROR(VLOOKUP(TableHandbook[[#This Row],[UDC]],TableOUSPPWRI1[],7,FALSE),"")</f>
        <v/>
      </c>
      <c r="AC82" s="175" t="str">
        <f>IFERROR(VLOOKUP(TableHandbook[[#This Row],[UDC]],TableOCHRIGHT[],7,FALSE),"")</f>
        <v/>
      </c>
      <c r="AD82" s="133" t="str">
        <f>IFERROR(VLOOKUP(TableHandbook[[#This Row],[UDC]],TableOGHRIGHT[],7,FALSE),"")</f>
        <v/>
      </c>
      <c r="AE82" s="133" t="str">
        <f>IFERROR(VLOOKUP(TableHandbook[[#This Row],[UDC]],TableOMHRIGHT[],7,FALSE),"")</f>
        <v/>
      </c>
    </row>
    <row r="83" spans="1:31" x14ac:dyDescent="0.25">
      <c r="A83" s="180" t="s">
        <v>506</v>
      </c>
      <c r="C83" s="1"/>
      <c r="D83" t="s">
        <v>507</v>
      </c>
      <c r="E83" s="1">
        <v>150</v>
      </c>
      <c r="F83" s="132"/>
      <c r="G83" s="134" t="str">
        <f>IFERROR(IF(_xlfn.XLOOKUP(TableHandbook[[#This Row],[UDC]],TableAvailabilities[Row Labels],TableAvailabilities[OpenUnis Session 1])&gt;0,"Y",""),"")</f>
        <v/>
      </c>
      <c r="H83" s="134" t="str">
        <f>IFERROR(IF(_xlfn.XLOOKUP(TableHandbook[[#This Row],[UDC]],TableAvailabilities[Row Labels],TableAvailabilities[OpenUnis Session 2])&gt;0,"Y",""),"")</f>
        <v/>
      </c>
      <c r="I83" s="134" t="str">
        <f>IFERROR(IF(_xlfn.XLOOKUP(TableHandbook[[#This Row],[UDC]],TableAvailabilities[Row Labels],TableAvailabilities[OpenUnis SP 1])&gt;0,"Y",""),"")</f>
        <v/>
      </c>
      <c r="J83" s="134" t="str">
        <f>IFERROR(IF(_xlfn.XLOOKUP(TableHandbook[[#This Row],[UDC]],TableAvailabilities[Row Labels],TableAvailabilities[OpenUnis SP 2])&gt;0,"Y",""),"")</f>
        <v/>
      </c>
      <c r="K83" s="134" t="str">
        <f>IFERROR(IF(_xlfn.XLOOKUP(TableHandbook[[#This Row],[UDC]],TableAvailabilities[Row Labels],TableAvailabilities[OpenUnis SP 3])&gt;0,"Y",""),"")</f>
        <v/>
      </c>
      <c r="L83" s="134" t="str">
        <f>IFERROR(IF(_xlfn.XLOOKUP(TableHandbook[[#This Row],[UDC]],TableAvailabilities[Row Labels],TableAvailabilities[OpenUnis SP 4])&gt;0,"Y",""),"")</f>
        <v/>
      </c>
      <c r="M83" t="s">
        <v>501</v>
      </c>
      <c r="N83" s="133" t="str">
        <f>IFERROR(VLOOKUP(TableHandbook[[#This Row],[UDC]],TableOMARTS[],7,FALSE),"")</f>
        <v/>
      </c>
      <c r="O83" s="133" t="str">
        <f>IFERROR(VLOOKUP(TableHandbook[[#This Row],[UDC]],TableOUMPCWRI4[],7,FALSE),"")</f>
        <v/>
      </c>
      <c r="P83" s="133" t="str">
        <f>IFERROR(VLOOKUP(TableHandbook[[#This Row],[UDC]],TableOUMPDGCM1[],7,FALSE),"")</f>
        <v/>
      </c>
      <c r="Q83" s="133" t="str">
        <f>IFERROR(VLOOKUP(TableHandbook[[#This Row],[UDC]],TableOUMPFINA1[],7,FALSE),"")</f>
        <v/>
      </c>
      <c r="R83" s="133" t="str">
        <f>IFERROR(VLOOKUP(TableHandbook[[#This Row],[UDC]],TableOUMPPWRI4[],7,FALSE),"")</f>
        <v/>
      </c>
      <c r="S83" s="175" t="str">
        <f>IFERROR(VLOOKUP(TableHandbook[[#This Row],[UDC]],TableOGARTS[],7,FALSE),"")</f>
        <v/>
      </c>
      <c r="T83" s="133" t="str">
        <f>IFERROR(VLOOKUP(TableHandbook[[#This Row],[UDC]],TableOUMPCWRI3[],7,FALSE),"")</f>
        <v/>
      </c>
      <c r="U83" s="133" t="str">
        <f>IFERROR(VLOOKUP(TableHandbook[[#This Row],[UDC]],TableOUMPDGCM2[],7,FALSE),"")</f>
        <v/>
      </c>
      <c r="V83" s="133" t="str">
        <f>IFERROR(VLOOKUP(TableHandbook[[#This Row],[UDC]],TableOUMPFINA2[],7,FALSE),"")</f>
        <v/>
      </c>
      <c r="W83" s="133" t="str">
        <f>IFERROR(VLOOKUP(TableHandbook[[#This Row],[UDC]],TableOUMPPWRI3[],7,FALSE),"")</f>
        <v/>
      </c>
      <c r="X83" s="175" t="str">
        <f>IFERROR(VLOOKUP(TableHandbook[[#This Row],[UDC]],TableOCARTS[],7,FALSE),"")</f>
        <v/>
      </c>
      <c r="Y83" s="133" t="str">
        <f>IFERROR(VLOOKUP(TableHandbook[[#This Row],[UDC]],TableOUSPCWRI1[],7,FALSE),"")</f>
        <v/>
      </c>
      <c r="Z83" s="133" t="str">
        <f>IFERROR(VLOOKUP(TableHandbook[[#This Row],[UDC]],TableOUSPDGCM1[],7,FALSE),"")</f>
        <v/>
      </c>
      <c r="AA83" s="133" t="str">
        <f>IFERROR(VLOOKUP(TableHandbook[[#This Row],[UDC]],TableOUSPFINA1[],7,FALSE),"")</f>
        <v/>
      </c>
      <c r="AB83" s="133" t="str">
        <f>IFERROR(VLOOKUP(TableHandbook[[#This Row],[UDC]],TableOUSPPWRI1[],7,FALSE),"")</f>
        <v/>
      </c>
      <c r="AC83" s="175" t="str">
        <f>IFERROR(VLOOKUP(TableHandbook[[#This Row],[UDC]],TableOCHRIGHT[],7,FALSE),"")</f>
        <v/>
      </c>
      <c r="AD83" s="133" t="str">
        <f>IFERROR(VLOOKUP(TableHandbook[[#This Row],[UDC]],TableOGHRIGHT[],7,FALSE),"")</f>
        <v/>
      </c>
      <c r="AE83" s="133" t="str">
        <f>IFERROR(VLOOKUP(TableHandbook[[#This Row],[UDC]],TableOMHRIGHT[],7,FALSE),"")</f>
        <v/>
      </c>
    </row>
    <row r="84" spans="1:31" x14ac:dyDescent="0.25">
      <c r="A84" t="s">
        <v>198</v>
      </c>
      <c r="C84" s="1" t="s">
        <v>244</v>
      </c>
      <c r="D84" t="s">
        <v>334</v>
      </c>
      <c r="E84" s="1">
        <v>25</v>
      </c>
      <c r="F84" s="132" t="s">
        <v>242</v>
      </c>
      <c r="G84" s="134" t="str">
        <f>IFERROR(IF(_xlfn.XLOOKUP(TableHandbook[[#This Row],[UDC]],TableAvailabilities[Row Labels],TableAvailabilities[OpenUnis Session 1])&gt;0,"Y",""),"")</f>
        <v/>
      </c>
      <c r="H84" s="134" t="str">
        <f>IFERROR(IF(_xlfn.XLOOKUP(TableHandbook[[#This Row],[UDC]],TableAvailabilities[Row Labels],TableAvailabilities[OpenUnis Session 2])&gt;0,"Y",""),"")</f>
        <v/>
      </c>
      <c r="I84" s="134" t="str">
        <f>IFERROR(IF(_xlfn.XLOOKUP(TableHandbook[[#This Row],[UDC]],TableAvailabilities[Row Labels],TableAvailabilities[OpenUnis SP 1])&gt;0,"Y",""),"")</f>
        <v/>
      </c>
      <c r="J84" s="134" t="str">
        <f>IFERROR(IF(_xlfn.XLOOKUP(TableHandbook[[#This Row],[UDC]],TableAvailabilities[Row Labels],TableAvailabilities[OpenUnis SP 2])&gt;0,"Y",""),"")</f>
        <v/>
      </c>
      <c r="K84" s="134" t="str">
        <f>IFERROR(IF(_xlfn.XLOOKUP(TableHandbook[[#This Row],[UDC]],TableAvailabilities[Row Labels],TableAvailabilities[OpenUnis SP 3])&gt;0,"Y",""),"")</f>
        <v/>
      </c>
      <c r="L84" s="134" t="str">
        <f>IFERROR(IF(_xlfn.XLOOKUP(TableHandbook[[#This Row],[UDC]],TableAvailabilities[Row Labels],TableAvailabilities[OpenUnis SP 4])&gt;0,"Y",""),"")</f>
        <v/>
      </c>
      <c r="N84" s="133" t="str">
        <f>IFERROR(VLOOKUP(TableHandbook[[#This Row],[UDC]],TableOMARTS[],7,FALSE),"")</f>
        <v/>
      </c>
      <c r="O84" s="133" t="str">
        <f>IFERROR(VLOOKUP(TableHandbook[[#This Row],[UDC]],TableOUMPCWRI4[],7,FALSE),"")</f>
        <v/>
      </c>
      <c r="P84" s="133" t="str">
        <f>IFERROR(VLOOKUP(TableHandbook[[#This Row],[UDC]],TableOUMPDGCM1[],7,FALSE),"")</f>
        <v/>
      </c>
      <c r="Q84" s="133" t="str">
        <f>IFERROR(VLOOKUP(TableHandbook[[#This Row],[UDC]],TableOUMPFINA1[],7,FALSE),"")</f>
        <v/>
      </c>
      <c r="R84" s="133" t="str">
        <f>IFERROR(VLOOKUP(TableHandbook[[#This Row],[UDC]],TableOUMPPWRI4[],7,FALSE),"")</f>
        <v/>
      </c>
      <c r="S84" s="175" t="str">
        <f>IFERROR(VLOOKUP(TableHandbook[[#This Row],[UDC]],TableOGARTS[],7,FALSE),"")</f>
        <v/>
      </c>
      <c r="T84" s="133" t="str">
        <f>IFERROR(VLOOKUP(TableHandbook[[#This Row],[UDC]],TableOUMPCWRI3[],7,FALSE),"")</f>
        <v/>
      </c>
      <c r="U84" s="133" t="str">
        <f>IFERROR(VLOOKUP(TableHandbook[[#This Row],[UDC]],TableOUMPDGCM2[],7,FALSE),"")</f>
        <v/>
      </c>
      <c r="V84" s="133" t="str">
        <f>IFERROR(VLOOKUP(TableHandbook[[#This Row],[UDC]],TableOUMPFINA2[],7,FALSE),"")</f>
        <v/>
      </c>
      <c r="W84" s="133" t="str">
        <f>IFERROR(VLOOKUP(TableHandbook[[#This Row],[UDC]],TableOUMPPWRI3[],7,FALSE),"")</f>
        <v/>
      </c>
      <c r="X84" s="175" t="str">
        <f>IFERROR(VLOOKUP(TableHandbook[[#This Row],[UDC]],TableOCARTS[],7,FALSE),"")</f>
        <v/>
      </c>
      <c r="Y84" s="133" t="str">
        <f>IFERROR(VLOOKUP(TableHandbook[[#This Row],[UDC]],TableOUSPCWRI1[],7,FALSE),"")</f>
        <v/>
      </c>
      <c r="Z84" s="133" t="str">
        <f>IFERROR(VLOOKUP(TableHandbook[[#This Row],[UDC]],TableOUSPDGCM1[],7,FALSE),"")</f>
        <v/>
      </c>
      <c r="AA84" s="133" t="str">
        <f>IFERROR(VLOOKUP(TableHandbook[[#This Row],[UDC]],TableOUSPFINA1[],7,FALSE),"")</f>
        <v>Option</v>
      </c>
      <c r="AB84" s="133" t="str">
        <f>IFERROR(VLOOKUP(TableHandbook[[#This Row],[UDC]],TableOUSPPWRI1[],7,FALSE),"")</f>
        <v/>
      </c>
      <c r="AC84" s="175" t="str">
        <f>IFERROR(VLOOKUP(TableHandbook[[#This Row],[UDC]],TableOCHRIGHT[],7,FALSE),"")</f>
        <v/>
      </c>
      <c r="AD84" s="133" t="str">
        <f>IFERROR(VLOOKUP(TableHandbook[[#This Row],[UDC]],TableOGHRIGHT[],7,FALSE),"")</f>
        <v/>
      </c>
      <c r="AE84" s="133" t="str">
        <f>IFERROR(VLOOKUP(TableHandbook[[#This Row],[UDC]],TableOMHRIGHT[],7,FALSE),"")</f>
        <v/>
      </c>
    </row>
    <row r="85" spans="1:31" x14ac:dyDescent="0.25">
      <c r="A85" s="180" t="s">
        <v>525</v>
      </c>
      <c r="C85" s="1" t="s">
        <v>244</v>
      </c>
      <c r="D85" t="s">
        <v>334</v>
      </c>
      <c r="E85" s="1">
        <v>25</v>
      </c>
      <c r="F85" s="132" t="s">
        <v>242</v>
      </c>
      <c r="G85" s="134" t="str">
        <f>IFERROR(IF(_xlfn.XLOOKUP(TableHandbook[[#This Row],[UDC]],TableAvailabilities[Row Labels],TableAvailabilities[OpenUnis Session 1])&gt;0,"Y",""),"")</f>
        <v/>
      </c>
      <c r="H85" s="134" t="str">
        <f>IFERROR(IF(_xlfn.XLOOKUP(TableHandbook[[#This Row],[UDC]],TableAvailabilities[Row Labels],TableAvailabilities[OpenUnis Session 2])&gt;0,"Y",""),"")</f>
        <v/>
      </c>
      <c r="I85" s="134" t="str">
        <f>IFERROR(IF(_xlfn.XLOOKUP(TableHandbook[[#This Row],[UDC]],TableAvailabilities[Row Labels],TableAvailabilities[OpenUnis SP 1])&gt;0,"Y",""),"")</f>
        <v/>
      </c>
      <c r="J85" s="134" t="str">
        <f>IFERROR(IF(_xlfn.XLOOKUP(TableHandbook[[#This Row],[UDC]],TableAvailabilities[Row Labels],TableAvailabilities[OpenUnis SP 2])&gt;0,"Y",""),"")</f>
        <v/>
      </c>
      <c r="K85" s="134" t="str">
        <f>IFERROR(IF(_xlfn.XLOOKUP(TableHandbook[[#This Row],[UDC]],TableAvailabilities[Row Labels],TableAvailabilities[OpenUnis SP 3])&gt;0,"Y",""),"")</f>
        <v/>
      </c>
      <c r="L85" s="134" t="str">
        <f>IFERROR(IF(_xlfn.XLOOKUP(TableHandbook[[#This Row],[UDC]],TableAvailabilities[Row Labels],TableAvailabilities[OpenUnis SP 4])&gt;0,"Y",""),"")</f>
        <v/>
      </c>
      <c r="N85" s="133" t="str">
        <f>IFERROR(VLOOKUP(TableHandbook[[#This Row],[UDC]],TableOMARTS[],7,FALSE),"")</f>
        <v/>
      </c>
      <c r="O85" s="133" t="str">
        <f>IFERROR(VLOOKUP(TableHandbook[[#This Row],[UDC]],TableOUMPCWRI4[],7,FALSE),"")</f>
        <v/>
      </c>
      <c r="P85" s="133" t="str">
        <f>IFERROR(VLOOKUP(TableHandbook[[#This Row],[UDC]],TableOUMPDGCM1[],7,FALSE),"")</f>
        <v/>
      </c>
      <c r="Q85" s="133" t="str">
        <f>IFERROR(VLOOKUP(TableHandbook[[#This Row],[UDC]],TableOUMPFINA1[],7,FALSE),"")</f>
        <v/>
      </c>
      <c r="R85" s="133" t="str">
        <f>IFERROR(VLOOKUP(TableHandbook[[#This Row],[UDC]],TableOUMPPWRI4[],7,FALSE),"")</f>
        <v/>
      </c>
      <c r="S85" s="175" t="str">
        <f>IFERROR(VLOOKUP(TableHandbook[[#This Row],[UDC]],TableOGARTS[],7,FALSE),"")</f>
        <v/>
      </c>
      <c r="T85" s="133" t="str">
        <f>IFERROR(VLOOKUP(TableHandbook[[#This Row],[UDC]],TableOUMPCWRI3[],7,FALSE),"")</f>
        <v/>
      </c>
      <c r="U85" s="133" t="str">
        <f>IFERROR(VLOOKUP(TableHandbook[[#This Row],[UDC]],TableOUMPDGCM2[],7,FALSE),"")</f>
        <v/>
      </c>
      <c r="V85" s="133" t="str">
        <f>IFERROR(VLOOKUP(TableHandbook[[#This Row],[UDC]],TableOUMPFINA2[],7,FALSE),"")</f>
        <v>Option</v>
      </c>
      <c r="W85" s="133" t="str">
        <f>IFERROR(VLOOKUP(TableHandbook[[#This Row],[UDC]],TableOUMPPWRI3[],7,FALSE),"")</f>
        <v/>
      </c>
      <c r="X85" s="175" t="str">
        <f>IFERROR(VLOOKUP(TableHandbook[[#This Row],[UDC]],TableOCARTS[],7,FALSE),"")</f>
        <v/>
      </c>
      <c r="Y85" s="133" t="str">
        <f>IFERROR(VLOOKUP(TableHandbook[[#This Row],[UDC]],TableOUSPCWRI1[],7,FALSE),"")</f>
        <v/>
      </c>
      <c r="Z85" s="133" t="str">
        <f>IFERROR(VLOOKUP(TableHandbook[[#This Row],[UDC]],TableOUSPDGCM1[],7,FALSE),"")</f>
        <v/>
      </c>
      <c r="AA85" s="133" t="str">
        <f>IFERROR(VLOOKUP(TableHandbook[[#This Row],[UDC]],TableOUSPFINA1[],7,FALSE),"")</f>
        <v/>
      </c>
      <c r="AB85" s="133" t="str">
        <f>IFERROR(VLOOKUP(TableHandbook[[#This Row],[UDC]],TableOUSPPWRI1[],7,FALSE),"")</f>
        <v/>
      </c>
      <c r="AC85" s="175" t="str">
        <f>IFERROR(VLOOKUP(TableHandbook[[#This Row],[UDC]],TableOCHRIGHT[],7,FALSE),"")</f>
        <v/>
      </c>
      <c r="AD85" s="133" t="str">
        <f>IFERROR(VLOOKUP(TableHandbook[[#This Row],[UDC]],TableOGHRIGHT[],7,FALSE),"")</f>
        <v/>
      </c>
      <c r="AE85" s="133" t="str">
        <f>IFERROR(VLOOKUP(TableHandbook[[#This Row],[UDC]],TableOMHRIGHT[],7,FALSE),"")</f>
        <v/>
      </c>
    </row>
    <row r="86" spans="1:31" x14ac:dyDescent="0.25">
      <c r="A86" t="s">
        <v>335</v>
      </c>
      <c r="C86" s="1"/>
      <c r="D86" t="s">
        <v>336</v>
      </c>
      <c r="E86" s="1">
        <v>100</v>
      </c>
      <c r="F86" s="132"/>
      <c r="G86" s="134" t="str">
        <f>IFERROR(IF(_xlfn.XLOOKUP(TableHandbook[[#This Row],[UDC]],TableAvailabilities[Row Labels],TableAvailabilities[OpenUnis Session 1])&gt;0,"Y",""),"")</f>
        <v/>
      </c>
      <c r="H86" s="134" t="str">
        <f>IFERROR(IF(_xlfn.XLOOKUP(TableHandbook[[#This Row],[UDC]],TableAvailabilities[Row Labels],TableAvailabilities[OpenUnis Session 2])&gt;0,"Y",""),"")</f>
        <v/>
      </c>
      <c r="I86" s="134" t="str">
        <f>IFERROR(IF(_xlfn.XLOOKUP(TableHandbook[[#This Row],[UDC]],TableAvailabilities[Row Labels],TableAvailabilities[OpenUnis SP 1])&gt;0,"Y",""),"")</f>
        <v/>
      </c>
      <c r="J86" s="134" t="str">
        <f>IFERROR(IF(_xlfn.XLOOKUP(TableHandbook[[#This Row],[UDC]],TableAvailabilities[Row Labels],TableAvailabilities[OpenUnis SP 2])&gt;0,"Y",""),"")</f>
        <v/>
      </c>
      <c r="K86" s="134" t="str">
        <f>IFERROR(IF(_xlfn.XLOOKUP(TableHandbook[[#This Row],[UDC]],TableAvailabilities[Row Labels],TableAvailabilities[OpenUnis SP 3])&gt;0,"Y",""),"")</f>
        <v/>
      </c>
      <c r="L86" s="134" t="str">
        <f>IFERROR(IF(_xlfn.XLOOKUP(TableHandbook[[#This Row],[UDC]],TableAvailabilities[Row Labels],TableAvailabilities[OpenUnis SP 4])&gt;0,"Y",""),"")</f>
        <v/>
      </c>
      <c r="N86" s="133" t="str">
        <f>IFERROR(VLOOKUP(TableHandbook[[#This Row],[UDC]],TableOMARTS[],7,FALSE),"")</f>
        <v/>
      </c>
      <c r="O86" s="133" t="str">
        <f>IFERROR(VLOOKUP(TableHandbook[[#This Row],[UDC]],TableOUMPCWRI4[],7,FALSE),"")</f>
        <v/>
      </c>
      <c r="P86" s="133" t="str">
        <f>IFERROR(VLOOKUP(TableHandbook[[#This Row],[UDC]],TableOUMPDGCM1[],7,FALSE),"")</f>
        <v/>
      </c>
      <c r="Q86" s="133" t="str">
        <f>IFERROR(VLOOKUP(TableHandbook[[#This Row],[UDC]],TableOUMPFINA1[],7,FALSE),"")</f>
        <v/>
      </c>
      <c r="R86" s="133" t="str">
        <f>IFERROR(VLOOKUP(TableHandbook[[#This Row],[UDC]],TableOUMPPWRI4[],7,FALSE),"")</f>
        <v/>
      </c>
      <c r="S86" s="175" t="str">
        <f>IFERROR(VLOOKUP(TableHandbook[[#This Row],[UDC]],TableOGARTS[],7,FALSE),"")</f>
        <v/>
      </c>
      <c r="T86" s="133" t="str">
        <f>IFERROR(VLOOKUP(TableHandbook[[#This Row],[UDC]],TableOUMPCWRI3[],7,FALSE),"")</f>
        <v/>
      </c>
      <c r="U86" s="133" t="str">
        <f>IFERROR(VLOOKUP(TableHandbook[[#This Row],[UDC]],TableOUMPDGCM2[],7,FALSE),"")</f>
        <v/>
      </c>
      <c r="V86" s="133" t="str">
        <f>IFERROR(VLOOKUP(TableHandbook[[#This Row],[UDC]],TableOUMPFINA2[],7,FALSE),"")</f>
        <v/>
      </c>
      <c r="W86" s="133" t="str">
        <f>IFERROR(VLOOKUP(TableHandbook[[#This Row],[UDC]],TableOUMPPWRI3[],7,FALSE),"")</f>
        <v/>
      </c>
      <c r="X86" s="175" t="str">
        <f>IFERROR(VLOOKUP(TableHandbook[[#This Row],[UDC]],TableOCARTS[],7,FALSE),"")</f>
        <v/>
      </c>
      <c r="Y86" s="133" t="str">
        <f>IFERROR(VLOOKUP(TableHandbook[[#This Row],[UDC]],TableOUSPCWRI1[],7,FALSE),"")</f>
        <v/>
      </c>
      <c r="Z86" s="133" t="str">
        <f>IFERROR(VLOOKUP(TableHandbook[[#This Row],[UDC]],TableOUSPDGCM1[],7,FALSE),"")</f>
        <v/>
      </c>
      <c r="AA86" s="133" t="str">
        <f>IFERROR(VLOOKUP(TableHandbook[[#This Row],[UDC]],TableOUSPFINA1[],7,FALSE),"")</f>
        <v/>
      </c>
      <c r="AB86" s="133" t="str">
        <f>IFERROR(VLOOKUP(TableHandbook[[#This Row],[UDC]],TableOUSPPWRI1[],7,FALSE),"")</f>
        <v/>
      </c>
      <c r="AC86" s="175" t="str">
        <f>IFERROR(VLOOKUP(TableHandbook[[#This Row],[UDC]],TableOCHRIGHT[],7,FALSE),"")</f>
        <v>Option</v>
      </c>
      <c r="AD86" s="133" t="str">
        <f>IFERROR(VLOOKUP(TableHandbook[[#This Row],[UDC]],TableOGHRIGHT[],7,FALSE),"")</f>
        <v/>
      </c>
      <c r="AE86" s="133" t="str">
        <f>IFERROR(VLOOKUP(TableHandbook[[#This Row],[UDC]],TableOMHRIGHT[],7,FALSE),"")</f>
        <v/>
      </c>
    </row>
    <row r="87" spans="1:31" x14ac:dyDescent="0.25">
      <c r="A87" t="s">
        <v>196</v>
      </c>
      <c r="C87" s="1" t="s">
        <v>244</v>
      </c>
      <c r="D87" t="s">
        <v>337</v>
      </c>
      <c r="E87" s="1">
        <v>25</v>
      </c>
      <c r="F87" s="132" t="s">
        <v>242</v>
      </c>
      <c r="G87" s="134" t="str">
        <f>IFERROR(IF(_xlfn.XLOOKUP(TableHandbook[[#This Row],[UDC]],TableAvailabilities[Row Labels],TableAvailabilities[OpenUnis Session 1])&gt;0,"Y",""),"")</f>
        <v/>
      </c>
      <c r="H87" s="134" t="str">
        <f>IFERROR(IF(_xlfn.XLOOKUP(TableHandbook[[#This Row],[UDC]],TableAvailabilities[Row Labels],TableAvailabilities[OpenUnis Session 2])&gt;0,"Y",""),"")</f>
        <v/>
      </c>
      <c r="I87" s="134" t="str">
        <f>IFERROR(IF(_xlfn.XLOOKUP(TableHandbook[[#This Row],[UDC]],TableAvailabilities[Row Labels],TableAvailabilities[OpenUnis SP 1])&gt;0,"Y",""),"")</f>
        <v/>
      </c>
      <c r="J87" s="134" t="str">
        <f>IFERROR(IF(_xlfn.XLOOKUP(TableHandbook[[#This Row],[UDC]],TableAvailabilities[Row Labels],TableAvailabilities[OpenUnis SP 2])&gt;0,"Y",""),"")</f>
        <v/>
      </c>
      <c r="K87" s="134" t="str">
        <f>IFERROR(IF(_xlfn.XLOOKUP(TableHandbook[[#This Row],[UDC]],TableAvailabilities[Row Labels],TableAvailabilities[OpenUnis SP 3])&gt;0,"Y",""),"")</f>
        <v/>
      </c>
      <c r="L87" s="134" t="str">
        <f>IFERROR(IF(_xlfn.XLOOKUP(TableHandbook[[#This Row],[UDC]],TableAvailabilities[Row Labels],TableAvailabilities[OpenUnis SP 4])&gt;0,"Y",""),"")</f>
        <v/>
      </c>
      <c r="N87" s="133" t="str">
        <f>IFERROR(VLOOKUP(TableHandbook[[#This Row],[UDC]],TableOMARTS[],7,FALSE),"")</f>
        <v/>
      </c>
      <c r="O87" s="133" t="str">
        <f>IFERROR(VLOOKUP(TableHandbook[[#This Row],[UDC]],TableOUMPCWRI4[],7,FALSE),"")</f>
        <v/>
      </c>
      <c r="P87" s="133" t="str">
        <f>IFERROR(VLOOKUP(TableHandbook[[#This Row],[UDC]],TableOUMPDGCM1[],7,FALSE),"")</f>
        <v/>
      </c>
      <c r="Q87" s="133" t="str">
        <f>IFERROR(VLOOKUP(TableHandbook[[#This Row],[UDC]],TableOUMPFINA1[],7,FALSE),"")</f>
        <v/>
      </c>
      <c r="R87" s="133" t="str">
        <f>IFERROR(VLOOKUP(TableHandbook[[#This Row],[UDC]],TableOUMPPWRI4[],7,FALSE),"")</f>
        <v/>
      </c>
      <c r="S87" s="175" t="str">
        <f>IFERROR(VLOOKUP(TableHandbook[[#This Row],[UDC]],TableOGARTS[],7,FALSE),"")</f>
        <v/>
      </c>
      <c r="T87" s="133" t="str">
        <f>IFERROR(VLOOKUP(TableHandbook[[#This Row],[UDC]],TableOUMPCWRI3[],7,FALSE),"")</f>
        <v/>
      </c>
      <c r="U87" s="133" t="str">
        <f>IFERROR(VLOOKUP(TableHandbook[[#This Row],[UDC]],TableOUMPDGCM2[],7,FALSE),"")</f>
        <v/>
      </c>
      <c r="V87" s="133" t="str">
        <f>IFERROR(VLOOKUP(TableHandbook[[#This Row],[UDC]],TableOUMPFINA2[],7,FALSE),"")</f>
        <v/>
      </c>
      <c r="W87" s="133" t="str">
        <f>IFERROR(VLOOKUP(TableHandbook[[#This Row],[UDC]],TableOUMPPWRI3[],7,FALSE),"")</f>
        <v/>
      </c>
      <c r="X87" s="175" t="str">
        <f>IFERROR(VLOOKUP(TableHandbook[[#This Row],[UDC]],TableOCARTS[],7,FALSE),"")</f>
        <v/>
      </c>
      <c r="Y87" s="133" t="str">
        <f>IFERROR(VLOOKUP(TableHandbook[[#This Row],[UDC]],TableOUSPCWRI1[],7,FALSE),"")</f>
        <v/>
      </c>
      <c r="Z87" s="133" t="str">
        <f>IFERROR(VLOOKUP(TableHandbook[[#This Row],[UDC]],TableOUSPDGCM1[],7,FALSE),"")</f>
        <v/>
      </c>
      <c r="AA87" s="133" t="str">
        <f>IFERROR(VLOOKUP(TableHandbook[[#This Row],[UDC]],TableOUSPFINA1[],7,FALSE),"")</f>
        <v/>
      </c>
      <c r="AB87" s="133" t="str">
        <f>IFERROR(VLOOKUP(TableHandbook[[#This Row],[UDC]],TableOUSPPWRI1[],7,FALSE),"")</f>
        <v>Option</v>
      </c>
      <c r="AC87" s="175" t="str">
        <f>IFERROR(VLOOKUP(TableHandbook[[#This Row],[UDC]],TableOCHRIGHT[],7,FALSE),"")</f>
        <v/>
      </c>
      <c r="AD87" s="133" t="str">
        <f>IFERROR(VLOOKUP(TableHandbook[[#This Row],[UDC]],TableOGHRIGHT[],7,FALSE),"")</f>
        <v/>
      </c>
      <c r="AE87" s="133" t="str">
        <f>IFERROR(VLOOKUP(TableHandbook[[#This Row],[UDC]],TableOMHRIGHT[],7,FALSE),"")</f>
        <v/>
      </c>
    </row>
    <row r="88" spans="1:31" x14ac:dyDescent="0.25">
      <c r="A88" s="180" t="s">
        <v>526</v>
      </c>
      <c r="C88" s="1" t="s">
        <v>244</v>
      </c>
      <c r="D88" t="s">
        <v>337</v>
      </c>
      <c r="E88" s="1">
        <v>25</v>
      </c>
      <c r="F88" s="132" t="s">
        <v>242</v>
      </c>
      <c r="G88" s="134" t="str">
        <f>IFERROR(IF(_xlfn.XLOOKUP(TableHandbook[[#This Row],[UDC]],TableAvailabilities[Row Labels],TableAvailabilities[OpenUnis Session 1])&gt;0,"Y",""),"")</f>
        <v/>
      </c>
      <c r="H88" s="134" t="str">
        <f>IFERROR(IF(_xlfn.XLOOKUP(TableHandbook[[#This Row],[UDC]],TableAvailabilities[Row Labels],TableAvailabilities[OpenUnis Session 2])&gt;0,"Y",""),"")</f>
        <v/>
      </c>
      <c r="I88" s="134" t="str">
        <f>IFERROR(IF(_xlfn.XLOOKUP(TableHandbook[[#This Row],[UDC]],TableAvailabilities[Row Labels],TableAvailabilities[OpenUnis SP 1])&gt;0,"Y",""),"")</f>
        <v/>
      </c>
      <c r="J88" s="134" t="str">
        <f>IFERROR(IF(_xlfn.XLOOKUP(TableHandbook[[#This Row],[UDC]],TableAvailabilities[Row Labels],TableAvailabilities[OpenUnis SP 2])&gt;0,"Y",""),"")</f>
        <v/>
      </c>
      <c r="K88" s="134" t="str">
        <f>IFERROR(IF(_xlfn.XLOOKUP(TableHandbook[[#This Row],[UDC]],TableAvailabilities[Row Labels],TableAvailabilities[OpenUnis SP 3])&gt;0,"Y",""),"")</f>
        <v/>
      </c>
      <c r="L88" s="134" t="str">
        <f>IFERROR(IF(_xlfn.XLOOKUP(TableHandbook[[#This Row],[UDC]],TableAvailabilities[Row Labels],TableAvailabilities[OpenUnis SP 4])&gt;0,"Y",""),"")</f>
        <v/>
      </c>
      <c r="N88" s="133" t="str">
        <f>IFERROR(VLOOKUP(TableHandbook[[#This Row],[UDC]],TableOMARTS[],7,FALSE),"")</f>
        <v/>
      </c>
      <c r="O88" s="133" t="str">
        <f>IFERROR(VLOOKUP(TableHandbook[[#This Row],[UDC]],TableOUMPCWRI4[],7,FALSE),"")</f>
        <v/>
      </c>
      <c r="P88" s="133" t="str">
        <f>IFERROR(VLOOKUP(TableHandbook[[#This Row],[UDC]],TableOUMPDGCM1[],7,FALSE),"")</f>
        <v/>
      </c>
      <c r="Q88" s="133" t="str">
        <f>IFERROR(VLOOKUP(TableHandbook[[#This Row],[UDC]],TableOUMPFINA1[],7,FALSE),"")</f>
        <v/>
      </c>
      <c r="R88" s="133" t="str">
        <f>IFERROR(VLOOKUP(TableHandbook[[#This Row],[UDC]],TableOUMPPWRI4[],7,FALSE),"")</f>
        <v/>
      </c>
      <c r="S88" s="175" t="str">
        <f>IFERROR(VLOOKUP(TableHandbook[[#This Row],[UDC]],TableOGARTS[],7,FALSE),"")</f>
        <v/>
      </c>
      <c r="T88" s="133" t="str">
        <f>IFERROR(VLOOKUP(TableHandbook[[#This Row],[UDC]],TableOUMPCWRI3[],7,FALSE),"")</f>
        <v/>
      </c>
      <c r="U88" s="133" t="str">
        <f>IFERROR(VLOOKUP(TableHandbook[[#This Row],[UDC]],TableOUMPDGCM2[],7,FALSE),"")</f>
        <v/>
      </c>
      <c r="V88" s="133" t="str">
        <f>IFERROR(VLOOKUP(TableHandbook[[#This Row],[UDC]],TableOUMPFINA2[],7,FALSE),"")</f>
        <v/>
      </c>
      <c r="W88" s="133" t="str">
        <f>IFERROR(VLOOKUP(TableHandbook[[#This Row],[UDC]],TableOUMPPWRI3[],7,FALSE),"")</f>
        <v>Option</v>
      </c>
      <c r="X88" s="175" t="str">
        <f>IFERROR(VLOOKUP(TableHandbook[[#This Row],[UDC]],TableOCARTS[],7,FALSE),"")</f>
        <v/>
      </c>
      <c r="Y88" s="133" t="str">
        <f>IFERROR(VLOOKUP(TableHandbook[[#This Row],[UDC]],TableOUSPCWRI1[],7,FALSE),"")</f>
        <v/>
      </c>
      <c r="Z88" s="133" t="str">
        <f>IFERROR(VLOOKUP(TableHandbook[[#This Row],[UDC]],TableOUSPDGCM1[],7,FALSE),"")</f>
        <v/>
      </c>
      <c r="AA88" s="133" t="str">
        <f>IFERROR(VLOOKUP(TableHandbook[[#This Row],[UDC]],TableOUSPFINA1[],7,FALSE),"")</f>
        <v/>
      </c>
      <c r="AB88" s="133" t="str">
        <f>IFERROR(VLOOKUP(TableHandbook[[#This Row],[UDC]],TableOUSPPWRI1[],7,FALSE),"")</f>
        <v/>
      </c>
      <c r="AC88" s="175" t="str">
        <f>IFERROR(VLOOKUP(TableHandbook[[#This Row],[UDC]],TableOCHRIGHT[],7,FALSE),"")</f>
        <v/>
      </c>
      <c r="AD88" s="133" t="str">
        <f>IFERROR(VLOOKUP(TableHandbook[[#This Row],[UDC]],TableOGHRIGHT[],7,FALSE),"")</f>
        <v/>
      </c>
      <c r="AE88" s="133" t="str">
        <f>IFERROR(VLOOKUP(TableHandbook[[#This Row],[UDC]],TableOMHRIGHT[],7,FALSE),"")</f>
        <v/>
      </c>
    </row>
    <row r="89" spans="1:31" x14ac:dyDescent="0.25">
      <c r="A89" s="180" t="s">
        <v>468</v>
      </c>
      <c r="C89" s="1"/>
      <c r="D89" t="s">
        <v>338</v>
      </c>
      <c r="E89" s="1">
        <v>25</v>
      </c>
      <c r="F89" s="132" t="s">
        <v>242</v>
      </c>
      <c r="G89" s="134" t="str">
        <f>IFERROR(IF(_xlfn.XLOOKUP(TableHandbook[[#This Row],[UDC]],TableAvailabilities[Row Labels],TableAvailabilities[OpenUnis Session 1])&gt;0,"Y",""),"")</f>
        <v/>
      </c>
      <c r="H89" s="134" t="str">
        <f>IFERROR(IF(_xlfn.XLOOKUP(TableHandbook[[#This Row],[UDC]],TableAvailabilities[Row Labels],TableAvailabilities[OpenUnis Session 2])&gt;0,"Y",""),"")</f>
        <v/>
      </c>
      <c r="I89" s="134" t="str">
        <f>IFERROR(IF(_xlfn.XLOOKUP(TableHandbook[[#This Row],[UDC]],TableAvailabilities[Row Labels],TableAvailabilities[OpenUnis SP 1])&gt;0,"Y",""),"")</f>
        <v/>
      </c>
      <c r="J89" s="134" t="str">
        <f>IFERROR(IF(_xlfn.XLOOKUP(TableHandbook[[#This Row],[UDC]],TableAvailabilities[Row Labels],TableAvailabilities[OpenUnis SP 2])&gt;0,"Y",""),"")</f>
        <v/>
      </c>
      <c r="K89" s="134" t="str">
        <f>IFERROR(IF(_xlfn.XLOOKUP(TableHandbook[[#This Row],[UDC]],TableAvailabilities[Row Labels],TableAvailabilities[OpenUnis SP 3])&gt;0,"Y",""),"")</f>
        <v/>
      </c>
      <c r="L89" s="134" t="str">
        <f>IFERROR(IF(_xlfn.XLOOKUP(TableHandbook[[#This Row],[UDC]],TableAvailabilities[Row Labels],TableAvailabilities[OpenUnis SP 4])&gt;0,"Y",""),"")</f>
        <v/>
      </c>
      <c r="N89" s="133" t="str">
        <f>IFERROR(VLOOKUP(TableHandbook[[#This Row],[UDC]],TableOMARTS[],7,FALSE),"")</f>
        <v/>
      </c>
      <c r="O89" s="133" t="str">
        <f>IFERROR(VLOOKUP(TableHandbook[[#This Row],[UDC]],TableOUMPCWRI4[],7,FALSE),"")</f>
        <v/>
      </c>
      <c r="P89" s="133" t="str">
        <f>IFERROR(VLOOKUP(TableHandbook[[#This Row],[UDC]],TableOUMPDGCM1[],7,FALSE),"")</f>
        <v/>
      </c>
      <c r="Q89" s="133" t="str">
        <f>IFERROR(VLOOKUP(TableHandbook[[#This Row],[UDC]],TableOUMPFINA1[],7,FALSE),"")</f>
        <v/>
      </c>
      <c r="R89" s="133" t="str">
        <f>IFERROR(VLOOKUP(TableHandbook[[#This Row],[UDC]],TableOUMPPWRI4[],7,FALSE),"")</f>
        <v>Option</v>
      </c>
      <c r="S89" s="175" t="str">
        <f>IFERROR(VLOOKUP(TableHandbook[[#This Row],[UDC]],TableOGARTS[],7,FALSE),"")</f>
        <v/>
      </c>
      <c r="T89" s="133" t="str">
        <f>IFERROR(VLOOKUP(TableHandbook[[#This Row],[UDC]],TableOUMPCWRI3[],7,FALSE),"")</f>
        <v/>
      </c>
      <c r="U89" s="133" t="str">
        <f>IFERROR(VLOOKUP(TableHandbook[[#This Row],[UDC]],TableOUMPDGCM2[],7,FALSE),"")</f>
        <v/>
      </c>
      <c r="V89" s="133" t="str">
        <f>IFERROR(VLOOKUP(TableHandbook[[#This Row],[UDC]],TableOUMPFINA2[],7,FALSE),"")</f>
        <v/>
      </c>
      <c r="W89" s="133" t="str">
        <f>IFERROR(VLOOKUP(TableHandbook[[#This Row],[UDC]],TableOUMPPWRI3[],7,FALSE),"")</f>
        <v/>
      </c>
      <c r="X89" s="175" t="str">
        <f>IFERROR(VLOOKUP(TableHandbook[[#This Row],[UDC]],TableOCARTS[],7,FALSE),"")</f>
        <v/>
      </c>
      <c r="Y89" s="133" t="str">
        <f>IFERROR(VLOOKUP(TableHandbook[[#This Row],[UDC]],TableOUSPCWRI1[],7,FALSE),"")</f>
        <v/>
      </c>
      <c r="Z89" s="133" t="str">
        <f>IFERROR(VLOOKUP(TableHandbook[[#This Row],[UDC]],TableOUSPDGCM1[],7,FALSE),"")</f>
        <v/>
      </c>
      <c r="AA89" s="133" t="str">
        <f>IFERROR(VLOOKUP(TableHandbook[[#This Row],[UDC]],TableOUSPFINA1[],7,FALSE),"")</f>
        <v/>
      </c>
      <c r="AB89" s="133" t="str">
        <f>IFERROR(VLOOKUP(TableHandbook[[#This Row],[UDC]],TableOUSPPWRI1[],7,FALSE),"")</f>
        <v/>
      </c>
      <c r="AC89" s="175" t="str">
        <f>IFERROR(VLOOKUP(TableHandbook[[#This Row],[UDC]],TableOCHRIGHT[],7,FALSE),"")</f>
        <v/>
      </c>
      <c r="AD89" s="133" t="str">
        <f>IFERROR(VLOOKUP(TableHandbook[[#This Row],[UDC]],TableOGHRIGHT[],7,FALSE),"")</f>
        <v/>
      </c>
      <c r="AE89" s="133" t="str">
        <f>IFERROR(VLOOKUP(TableHandbook[[#This Row],[UDC]],TableOMHRIGHT[],7,FALSE),"")</f>
        <v/>
      </c>
    </row>
    <row r="90" spans="1:31" x14ac:dyDescent="0.25">
      <c r="A90" s="180" t="s">
        <v>508</v>
      </c>
      <c r="C90" s="1"/>
      <c r="D90" t="s">
        <v>509</v>
      </c>
      <c r="E90" s="1">
        <v>150</v>
      </c>
      <c r="F90" s="132"/>
      <c r="G90" s="134" t="str">
        <f>IFERROR(IF(_xlfn.XLOOKUP(TableHandbook[[#This Row],[UDC]],TableAvailabilities[Row Labels],TableAvailabilities[OpenUnis Session 1])&gt;0,"Y",""),"")</f>
        <v/>
      </c>
      <c r="H90" s="134" t="str">
        <f>IFERROR(IF(_xlfn.XLOOKUP(TableHandbook[[#This Row],[UDC]],TableAvailabilities[Row Labels],TableAvailabilities[OpenUnis Session 2])&gt;0,"Y",""),"")</f>
        <v/>
      </c>
      <c r="I90" s="134" t="str">
        <f>IFERROR(IF(_xlfn.XLOOKUP(TableHandbook[[#This Row],[UDC]],TableAvailabilities[Row Labels],TableAvailabilities[OpenUnis SP 1])&gt;0,"Y",""),"")</f>
        <v/>
      </c>
      <c r="J90" s="134" t="str">
        <f>IFERROR(IF(_xlfn.XLOOKUP(TableHandbook[[#This Row],[UDC]],TableAvailabilities[Row Labels],TableAvailabilities[OpenUnis SP 2])&gt;0,"Y",""),"")</f>
        <v/>
      </c>
      <c r="K90" s="134" t="str">
        <f>IFERROR(IF(_xlfn.XLOOKUP(TableHandbook[[#This Row],[UDC]],TableAvailabilities[Row Labels],TableAvailabilities[OpenUnis SP 3])&gt;0,"Y",""),"")</f>
        <v/>
      </c>
      <c r="L90" s="134" t="str">
        <f>IFERROR(IF(_xlfn.XLOOKUP(TableHandbook[[#This Row],[UDC]],TableAvailabilities[Row Labels],TableAvailabilities[OpenUnis SP 4])&gt;0,"Y",""),"")</f>
        <v/>
      </c>
      <c r="M90" t="s">
        <v>501</v>
      </c>
      <c r="N90" s="133" t="str">
        <f>IFERROR(VLOOKUP(TableHandbook[[#This Row],[UDC]],TableOMARTS[],7,FALSE),"")</f>
        <v/>
      </c>
      <c r="O90" s="133" t="str">
        <f>IFERROR(VLOOKUP(TableHandbook[[#This Row],[UDC]],TableOUMPCWRI4[],7,FALSE),"")</f>
        <v/>
      </c>
      <c r="P90" s="133" t="str">
        <f>IFERROR(VLOOKUP(TableHandbook[[#This Row],[UDC]],TableOUMPDGCM1[],7,FALSE),"")</f>
        <v/>
      </c>
      <c r="Q90" s="133" t="str">
        <f>IFERROR(VLOOKUP(TableHandbook[[#This Row],[UDC]],TableOUMPFINA1[],7,FALSE),"")</f>
        <v/>
      </c>
      <c r="R90" s="133" t="str">
        <f>IFERROR(VLOOKUP(TableHandbook[[#This Row],[UDC]],TableOUMPPWRI4[],7,FALSE),"")</f>
        <v/>
      </c>
      <c r="S90" s="175" t="str">
        <f>IFERROR(VLOOKUP(TableHandbook[[#This Row],[UDC]],TableOGARTS[],7,FALSE),"")</f>
        <v/>
      </c>
      <c r="T90" s="133" t="str">
        <f>IFERROR(VLOOKUP(TableHandbook[[#This Row],[UDC]],TableOUMPCWRI3[],7,FALSE),"")</f>
        <v/>
      </c>
      <c r="U90" s="133" t="str">
        <f>IFERROR(VLOOKUP(TableHandbook[[#This Row],[UDC]],TableOUMPDGCM2[],7,FALSE),"")</f>
        <v/>
      </c>
      <c r="V90" s="133" t="str">
        <f>IFERROR(VLOOKUP(TableHandbook[[#This Row],[UDC]],TableOUMPFINA2[],7,FALSE),"")</f>
        <v/>
      </c>
      <c r="W90" s="133" t="str">
        <f>IFERROR(VLOOKUP(TableHandbook[[#This Row],[UDC]],TableOUMPPWRI3[],7,FALSE),"")</f>
        <v/>
      </c>
      <c r="X90" s="175" t="str">
        <f>IFERROR(VLOOKUP(TableHandbook[[#This Row],[UDC]],TableOCARTS[],7,FALSE),"")</f>
        <v/>
      </c>
      <c r="Y90" s="133" t="str">
        <f>IFERROR(VLOOKUP(TableHandbook[[#This Row],[UDC]],TableOUSPCWRI1[],7,FALSE),"")</f>
        <v/>
      </c>
      <c r="Z90" s="133" t="str">
        <f>IFERROR(VLOOKUP(TableHandbook[[#This Row],[UDC]],TableOUSPDGCM1[],7,FALSE),"")</f>
        <v/>
      </c>
      <c r="AA90" s="133" t="str">
        <f>IFERROR(VLOOKUP(TableHandbook[[#This Row],[UDC]],TableOUSPFINA1[],7,FALSE),"")</f>
        <v/>
      </c>
      <c r="AB90" s="133" t="str">
        <f>IFERROR(VLOOKUP(TableHandbook[[#This Row],[UDC]],TableOUSPPWRI1[],7,FALSE),"")</f>
        <v/>
      </c>
      <c r="AC90" s="175" t="str">
        <f>IFERROR(VLOOKUP(TableHandbook[[#This Row],[UDC]],TableOCHRIGHT[],7,FALSE),"")</f>
        <v/>
      </c>
      <c r="AD90" s="133" t="str">
        <f>IFERROR(VLOOKUP(TableHandbook[[#This Row],[UDC]],TableOGHRIGHT[],7,FALSE),"")</f>
        <v/>
      </c>
      <c r="AE90" s="133" t="str">
        <f>IFERROR(VLOOKUP(TableHandbook[[#This Row],[UDC]],TableOMHRIGHT[],7,FALSE),"")</f>
        <v/>
      </c>
    </row>
    <row r="91" spans="1:31" x14ac:dyDescent="0.25">
      <c r="A91" s="180" t="s">
        <v>469</v>
      </c>
      <c r="C91" s="1"/>
      <c r="D91" t="s">
        <v>339</v>
      </c>
      <c r="E91" s="1">
        <v>25</v>
      </c>
      <c r="F91" s="132" t="s">
        <v>242</v>
      </c>
      <c r="G91" s="134" t="str">
        <f>IFERROR(IF(_xlfn.XLOOKUP(TableHandbook[[#This Row],[UDC]],TableAvailabilities[Row Labels],TableAvailabilities[OpenUnis Session 1])&gt;0,"Y",""),"")</f>
        <v/>
      </c>
      <c r="H91" s="134" t="str">
        <f>IFERROR(IF(_xlfn.XLOOKUP(TableHandbook[[#This Row],[UDC]],TableAvailabilities[Row Labels],TableAvailabilities[OpenUnis Session 2])&gt;0,"Y",""),"")</f>
        <v/>
      </c>
      <c r="I91" s="134" t="str">
        <f>IFERROR(IF(_xlfn.XLOOKUP(TableHandbook[[#This Row],[UDC]],TableAvailabilities[Row Labels],TableAvailabilities[OpenUnis SP 1])&gt;0,"Y",""),"")</f>
        <v/>
      </c>
      <c r="J91" s="134" t="str">
        <f>IFERROR(IF(_xlfn.XLOOKUP(TableHandbook[[#This Row],[UDC]],TableAvailabilities[Row Labels],TableAvailabilities[OpenUnis SP 2])&gt;0,"Y",""),"")</f>
        <v/>
      </c>
      <c r="K91" s="134" t="str">
        <f>IFERROR(IF(_xlfn.XLOOKUP(TableHandbook[[#This Row],[UDC]],TableAvailabilities[Row Labels],TableAvailabilities[OpenUnis SP 3])&gt;0,"Y",""),"")</f>
        <v/>
      </c>
      <c r="L91" s="134" t="str">
        <f>IFERROR(IF(_xlfn.XLOOKUP(TableHandbook[[#This Row],[UDC]],TableAvailabilities[Row Labels],TableAvailabilities[OpenUnis SP 4])&gt;0,"Y",""),"")</f>
        <v/>
      </c>
      <c r="N91" s="133" t="str">
        <f>IFERROR(VLOOKUP(TableHandbook[[#This Row],[UDC]],TableOMARTS[],7,FALSE),"")</f>
        <v/>
      </c>
      <c r="O91" s="133" t="str">
        <f>IFERROR(VLOOKUP(TableHandbook[[#This Row],[UDC]],TableOUMPCWRI4[],7,FALSE),"")</f>
        <v/>
      </c>
      <c r="P91" s="133" t="str">
        <f>IFERROR(VLOOKUP(TableHandbook[[#This Row],[UDC]],TableOUMPDGCM1[],7,FALSE),"")</f>
        <v/>
      </c>
      <c r="Q91" s="133" t="str">
        <f>IFERROR(VLOOKUP(TableHandbook[[#This Row],[UDC]],TableOUMPFINA1[],7,FALSE),"")</f>
        <v/>
      </c>
      <c r="R91" s="133" t="str">
        <f>IFERROR(VLOOKUP(TableHandbook[[#This Row],[UDC]],TableOUMPPWRI4[],7,FALSE),"")</f>
        <v>Option</v>
      </c>
      <c r="S91" s="175" t="str">
        <f>IFERROR(VLOOKUP(TableHandbook[[#This Row],[UDC]],TableOGARTS[],7,FALSE),"")</f>
        <v/>
      </c>
      <c r="T91" s="133" t="str">
        <f>IFERROR(VLOOKUP(TableHandbook[[#This Row],[UDC]],TableOUMPCWRI3[],7,FALSE),"")</f>
        <v/>
      </c>
      <c r="U91" s="133" t="str">
        <f>IFERROR(VLOOKUP(TableHandbook[[#This Row],[UDC]],TableOUMPDGCM2[],7,FALSE),"")</f>
        <v/>
      </c>
      <c r="V91" s="133" t="str">
        <f>IFERROR(VLOOKUP(TableHandbook[[#This Row],[UDC]],TableOUMPFINA2[],7,FALSE),"")</f>
        <v/>
      </c>
      <c r="W91" s="133" t="str">
        <f>IFERROR(VLOOKUP(TableHandbook[[#This Row],[UDC]],TableOUMPPWRI3[],7,FALSE),"")</f>
        <v/>
      </c>
      <c r="X91" s="175" t="str">
        <f>IFERROR(VLOOKUP(TableHandbook[[#This Row],[UDC]],TableOCARTS[],7,FALSE),"")</f>
        <v/>
      </c>
      <c r="Y91" s="133" t="str">
        <f>IFERROR(VLOOKUP(TableHandbook[[#This Row],[UDC]],TableOUSPCWRI1[],7,FALSE),"")</f>
        <v/>
      </c>
      <c r="Z91" s="133" t="str">
        <f>IFERROR(VLOOKUP(TableHandbook[[#This Row],[UDC]],TableOUSPDGCM1[],7,FALSE),"")</f>
        <v/>
      </c>
      <c r="AA91" s="133" t="str">
        <f>IFERROR(VLOOKUP(TableHandbook[[#This Row],[UDC]],TableOUSPFINA1[],7,FALSE),"")</f>
        <v/>
      </c>
      <c r="AB91" s="133" t="str">
        <f>IFERROR(VLOOKUP(TableHandbook[[#This Row],[UDC]],TableOUSPPWRI1[],7,FALSE),"")</f>
        <v/>
      </c>
      <c r="AC91" s="175" t="str">
        <f>IFERROR(VLOOKUP(TableHandbook[[#This Row],[UDC]],TableOCHRIGHT[],7,FALSE),"")</f>
        <v/>
      </c>
      <c r="AD91" s="133" t="str">
        <f>IFERROR(VLOOKUP(TableHandbook[[#This Row],[UDC]],TableOGHRIGHT[],7,FALSE),"")</f>
        <v/>
      </c>
      <c r="AE91" s="133" t="str">
        <f>IFERROR(VLOOKUP(TableHandbook[[#This Row],[UDC]],TableOMHRIGHT[],7,FALSE),"")</f>
        <v/>
      </c>
    </row>
    <row r="92" spans="1:31" x14ac:dyDescent="0.25">
      <c r="A92" s="180" t="s">
        <v>510</v>
      </c>
      <c r="C92" s="1"/>
      <c r="D92" t="s">
        <v>511</v>
      </c>
      <c r="E92" s="1">
        <v>150</v>
      </c>
      <c r="F92" s="132"/>
      <c r="G92" s="134" t="str">
        <f>IFERROR(IF(_xlfn.XLOOKUP(TableHandbook[[#This Row],[UDC]],TableAvailabilities[Row Labels],TableAvailabilities[OpenUnis Session 1])&gt;0,"Y",""),"")</f>
        <v/>
      </c>
      <c r="H92" s="134" t="str">
        <f>IFERROR(IF(_xlfn.XLOOKUP(TableHandbook[[#This Row],[UDC]],TableAvailabilities[Row Labels],TableAvailabilities[OpenUnis Session 2])&gt;0,"Y",""),"")</f>
        <v/>
      </c>
      <c r="I92" s="134" t="str">
        <f>IFERROR(IF(_xlfn.XLOOKUP(TableHandbook[[#This Row],[UDC]],TableAvailabilities[Row Labels],TableAvailabilities[OpenUnis SP 1])&gt;0,"Y",""),"")</f>
        <v/>
      </c>
      <c r="J92" s="134" t="str">
        <f>IFERROR(IF(_xlfn.XLOOKUP(TableHandbook[[#This Row],[UDC]],TableAvailabilities[Row Labels],TableAvailabilities[OpenUnis SP 2])&gt;0,"Y",""),"")</f>
        <v/>
      </c>
      <c r="K92" s="134" t="str">
        <f>IFERROR(IF(_xlfn.XLOOKUP(TableHandbook[[#This Row],[UDC]],TableAvailabilities[Row Labels],TableAvailabilities[OpenUnis SP 3])&gt;0,"Y",""),"")</f>
        <v/>
      </c>
      <c r="L92" s="134" t="str">
        <f>IFERROR(IF(_xlfn.XLOOKUP(TableHandbook[[#This Row],[UDC]],TableAvailabilities[Row Labels],TableAvailabilities[OpenUnis SP 4])&gt;0,"Y",""),"")</f>
        <v/>
      </c>
      <c r="M92" t="s">
        <v>501</v>
      </c>
      <c r="N92" s="133" t="str">
        <f>IFERROR(VLOOKUP(TableHandbook[[#This Row],[UDC]],TableOMARTS[],7,FALSE),"")</f>
        <v/>
      </c>
      <c r="O92" s="133" t="str">
        <f>IFERROR(VLOOKUP(TableHandbook[[#This Row],[UDC]],TableOUMPCWRI4[],7,FALSE),"")</f>
        <v/>
      </c>
      <c r="P92" s="133" t="str">
        <f>IFERROR(VLOOKUP(TableHandbook[[#This Row],[UDC]],TableOUMPDGCM1[],7,FALSE),"")</f>
        <v/>
      </c>
      <c r="Q92" s="133" t="str">
        <f>IFERROR(VLOOKUP(TableHandbook[[#This Row],[UDC]],TableOUMPFINA1[],7,FALSE),"")</f>
        <v/>
      </c>
      <c r="R92" s="133" t="str">
        <f>IFERROR(VLOOKUP(TableHandbook[[#This Row],[UDC]],TableOUMPPWRI4[],7,FALSE),"")</f>
        <v/>
      </c>
      <c r="S92" s="175" t="str">
        <f>IFERROR(VLOOKUP(TableHandbook[[#This Row],[UDC]],TableOGARTS[],7,FALSE),"")</f>
        <v/>
      </c>
      <c r="T92" s="133" t="str">
        <f>IFERROR(VLOOKUP(TableHandbook[[#This Row],[UDC]],TableOUMPCWRI3[],7,FALSE),"")</f>
        <v/>
      </c>
      <c r="U92" s="133" t="str">
        <f>IFERROR(VLOOKUP(TableHandbook[[#This Row],[UDC]],TableOUMPDGCM2[],7,FALSE),"")</f>
        <v/>
      </c>
      <c r="V92" s="133" t="str">
        <f>IFERROR(VLOOKUP(TableHandbook[[#This Row],[UDC]],TableOUMPFINA2[],7,FALSE),"")</f>
        <v/>
      </c>
      <c r="W92" s="133" t="str">
        <f>IFERROR(VLOOKUP(TableHandbook[[#This Row],[UDC]],TableOUMPPWRI3[],7,FALSE),"")</f>
        <v/>
      </c>
      <c r="X92" s="175" t="str">
        <f>IFERROR(VLOOKUP(TableHandbook[[#This Row],[UDC]],TableOCARTS[],7,FALSE),"")</f>
        <v/>
      </c>
      <c r="Y92" s="133" t="str">
        <f>IFERROR(VLOOKUP(TableHandbook[[#This Row],[UDC]],TableOUSPCWRI1[],7,FALSE),"")</f>
        <v/>
      </c>
      <c r="Z92" s="133" t="str">
        <f>IFERROR(VLOOKUP(TableHandbook[[#This Row],[UDC]],TableOUSPDGCM1[],7,FALSE),"")</f>
        <v/>
      </c>
      <c r="AA92" s="133" t="str">
        <f>IFERROR(VLOOKUP(TableHandbook[[#This Row],[UDC]],TableOUSPFINA1[],7,FALSE),"")</f>
        <v/>
      </c>
      <c r="AB92" s="133" t="str">
        <f>IFERROR(VLOOKUP(TableHandbook[[#This Row],[UDC]],TableOUSPPWRI1[],7,FALSE),"")</f>
        <v/>
      </c>
      <c r="AC92" s="175" t="str">
        <f>IFERROR(VLOOKUP(TableHandbook[[#This Row],[UDC]],TableOCHRIGHT[],7,FALSE),"")</f>
        <v/>
      </c>
      <c r="AD92" s="133" t="str">
        <f>IFERROR(VLOOKUP(TableHandbook[[#This Row],[UDC]],TableOGHRIGHT[],7,FALSE),"")</f>
        <v/>
      </c>
      <c r="AE92" s="133" t="str">
        <f>IFERROR(VLOOKUP(TableHandbook[[#This Row],[UDC]],TableOMHRIGHT[],7,FALSE),"")</f>
        <v/>
      </c>
    </row>
    <row r="93" spans="1:31" x14ac:dyDescent="0.25">
      <c r="A93" t="s">
        <v>475</v>
      </c>
      <c r="B93" s="1">
        <v>1</v>
      </c>
      <c r="C93" s="1"/>
      <c r="D93" t="s">
        <v>14</v>
      </c>
      <c r="E93" s="1">
        <v>400</v>
      </c>
      <c r="F93" s="132"/>
      <c r="G93" s="134" t="str">
        <f>IFERROR(IF(_xlfn.XLOOKUP(TableHandbook[[#This Row],[UDC]],TableAvailabilities[Row Labels],TableAvailabilities[OpenUnis Session 1])&gt;0,"Y",""),"")</f>
        <v/>
      </c>
      <c r="H93" s="134" t="str">
        <f>IFERROR(IF(_xlfn.XLOOKUP(TableHandbook[[#This Row],[UDC]],TableAvailabilities[Row Labels],TableAvailabilities[OpenUnis Session 2])&gt;0,"Y",""),"")</f>
        <v/>
      </c>
      <c r="I93" s="134" t="str">
        <f>IFERROR(IF(_xlfn.XLOOKUP(TableHandbook[[#This Row],[UDC]],TableAvailabilities[Row Labels],TableAvailabilities[OpenUnis SP 1])&gt;0,"Y",""),"")</f>
        <v/>
      </c>
      <c r="J93" s="134" t="str">
        <f>IFERROR(IF(_xlfn.XLOOKUP(TableHandbook[[#This Row],[UDC]],TableAvailabilities[Row Labels],TableAvailabilities[OpenUnis SP 2])&gt;0,"Y",""),"")</f>
        <v/>
      </c>
      <c r="K93" s="134" t="str">
        <f>IFERROR(IF(_xlfn.XLOOKUP(TableHandbook[[#This Row],[UDC]],TableAvailabilities[Row Labels],TableAvailabilities[OpenUnis SP 3])&gt;0,"Y",""),"")</f>
        <v/>
      </c>
      <c r="L93" s="134" t="str">
        <f>IFERROR(IF(_xlfn.XLOOKUP(TableHandbook[[#This Row],[UDC]],TableAvailabilities[Row Labels],TableAvailabilities[OpenUnis SP 4])&gt;0,"Y",""),"")</f>
        <v/>
      </c>
      <c r="M93" t="s">
        <v>474</v>
      </c>
      <c r="N93" s="133" t="str">
        <f>IFERROR(VLOOKUP(TableHandbook[[#This Row],[UDC]],TableOMARTS[],7,FALSE),"")</f>
        <v/>
      </c>
      <c r="O93" s="133" t="str">
        <f>IFERROR(VLOOKUP(TableHandbook[[#This Row],[UDC]],TableOUMPCWRI4[],7,FALSE),"")</f>
        <v/>
      </c>
      <c r="P93" s="133" t="str">
        <f>IFERROR(VLOOKUP(TableHandbook[[#This Row],[UDC]],TableOUMPDGCM1[],7,FALSE),"")</f>
        <v/>
      </c>
      <c r="Q93" s="133" t="str">
        <f>IFERROR(VLOOKUP(TableHandbook[[#This Row],[UDC]],TableOUMPFINA1[],7,FALSE),"")</f>
        <v/>
      </c>
      <c r="R93" s="133" t="str">
        <f>IFERROR(VLOOKUP(TableHandbook[[#This Row],[UDC]],TableOUMPPWRI4[],7,FALSE),"")</f>
        <v/>
      </c>
      <c r="S93" s="175" t="str">
        <f>IFERROR(VLOOKUP(TableHandbook[[#This Row],[UDC]],TableOGARTS[],7,FALSE),"")</f>
        <v/>
      </c>
      <c r="T93" s="133" t="str">
        <f>IFERROR(VLOOKUP(TableHandbook[[#This Row],[UDC]],TableOUMPCWRI3[],7,FALSE),"")</f>
        <v/>
      </c>
      <c r="U93" s="133" t="str">
        <f>IFERROR(VLOOKUP(TableHandbook[[#This Row],[UDC]],TableOUMPDGCM2[],7,FALSE),"")</f>
        <v/>
      </c>
      <c r="V93" s="133" t="str">
        <f>IFERROR(VLOOKUP(TableHandbook[[#This Row],[UDC]],TableOUMPFINA2[],7,FALSE),"")</f>
        <v/>
      </c>
      <c r="W93" s="133" t="str">
        <f>IFERROR(VLOOKUP(TableHandbook[[#This Row],[UDC]],TableOUMPPWRI3[],7,FALSE),"")</f>
        <v/>
      </c>
      <c r="X93" s="175" t="str">
        <f>IFERROR(VLOOKUP(TableHandbook[[#This Row],[UDC]],TableOCARTS[],7,FALSE),"")</f>
        <v/>
      </c>
      <c r="Y93" s="133" t="str">
        <f>IFERROR(VLOOKUP(TableHandbook[[#This Row],[UDC]],TableOUSPCWRI1[],7,FALSE),"")</f>
        <v/>
      </c>
      <c r="Z93" s="133" t="str">
        <f>IFERROR(VLOOKUP(TableHandbook[[#This Row],[UDC]],TableOUSPDGCM1[],7,FALSE),"")</f>
        <v/>
      </c>
      <c r="AA93" s="133" t="str">
        <f>IFERROR(VLOOKUP(TableHandbook[[#This Row],[UDC]],TableOUSPFINA1[],7,FALSE),"")</f>
        <v/>
      </c>
      <c r="AB93" s="133" t="str">
        <f>IFERROR(VLOOKUP(TableHandbook[[#This Row],[UDC]],TableOUSPPWRI1[],7,FALSE),"")</f>
        <v/>
      </c>
      <c r="AC93" s="175" t="str">
        <f>IFERROR(VLOOKUP(TableHandbook[[#This Row],[UDC]],TableOCHRIGHT[],7,FALSE),"")</f>
        <v/>
      </c>
      <c r="AD93" s="133" t="str">
        <f>IFERROR(VLOOKUP(TableHandbook[[#This Row],[UDC]],TableOGHRIGHT[],7,FALSE),"")</f>
        <v/>
      </c>
      <c r="AE93" s="133" t="str">
        <f>IFERROR(VLOOKUP(TableHandbook[[#This Row],[UDC]],TableOMHRIGHT[],7,FALSE),"")</f>
        <v/>
      </c>
    </row>
    <row r="94" spans="1:31" x14ac:dyDescent="0.25">
      <c r="A94" s="180" t="s">
        <v>513</v>
      </c>
      <c r="B94" s="1">
        <v>1</v>
      </c>
      <c r="C94" s="1"/>
      <c r="D94" t="s">
        <v>514</v>
      </c>
      <c r="E94" s="1">
        <v>200</v>
      </c>
      <c r="F94" s="132"/>
      <c r="G94" s="134" t="str">
        <f>IFERROR(IF(_xlfn.XLOOKUP(TableHandbook[[#This Row],[UDC]],TableAvailabilities[Row Labels],TableAvailabilities[OpenUnis Session 1])&gt;0,"Y",""),"")</f>
        <v/>
      </c>
      <c r="H94" s="134" t="str">
        <f>IFERROR(IF(_xlfn.XLOOKUP(TableHandbook[[#This Row],[UDC]],TableAvailabilities[Row Labels],TableAvailabilities[OpenUnis Session 2])&gt;0,"Y",""),"")</f>
        <v/>
      </c>
      <c r="I94" s="134" t="str">
        <f>IFERROR(IF(_xlfn.XLOOKUP(TableHandbook[[#This Row],[UDC]],TableAvailabilities[Row Labels],TableAvailabilities[OpenUnis SP 1])&gt;0,"Y",""),"")</f>
        <v/>
      </c>
      <c r="J94" s="134" t="str">
        <f>IFERROR(IF(_xlfn.XLOOKUP(TableHandbook[[#This Row],[UDC]],TableAvailabilities[Row Labels],TableAvailabilities[OpenUnis SP 2])&gt;0,"Y",""),"")</f>
        <v/>
      </c>
      <c r="K94" s="134" t="str">
        <f>IFERROR(IF(_xlfn.XLOOKUP(TableHandbook[[#This Row],[UDC]],TableAvailabilities[Row Labels],TableAvailabilities[OpenUnis SP 3])&gt;0,"Y",""),"")</f>
        <v/>
      </c>
      <c r="L94" s="134" t="str">
        <f>IFERROR(IF(_xlfn.XLOOKUP(TableHandbook[[#This Row],[UDC]],TableAvailabilities[Row Labels],TableAvailabilities[OpenUnis SP 4])&gt;0,"Y",""),"")</f>
        <v/>
      </c>
      <c r="N94" s="133" t="str">
        <f>IFERROR(VLOOKUP(TableHandbook[[#This Row],[UDC]],TableOMARTS[],7,FALSE),"")</f>
        <v/>
      </c>
      <c r="O94" s="133" t="str">
        <f>IFERROR(VLOOKUP(TableHandbook[[#This Row],[UDC]],TableOUMPCWRI4[],7,FALSE),"")</f>
        <v/>
      </c>
      <c r="P94" s="133" t="str">
        <f>IFERROR(VLOOKUP(TableHandbook[[#This Row],[UDC]],TableOUMPDGCM1[],7,FALSE),"")</f>
        <v/>
      </c>
      <c r="Q94" s="133" t="str">
        <f>IFERROR(VLOOKUP(TableHandbook[[#This Row],[UDC]],TableOUMPFINA1[],7,FALSE),"")</f>
        <v/>
      </c>
      <c r="R94" s="133" t="str">
        <f>IFERROR(VLOOKUP(TableHandbook[[#This Row],[UDC]],TableOUMPPWRI4[],7,FALSE),"")</f>
        <v/>
      </c>
      <c r="S94" s="175" t="str">
        <f>IFERROR(VLOOKUP(TableHandbook[[#This Row],[UDC]],TableOGARTS[],7,FALSE),"")</f>
        <v>AltCore</v>
      </c>
      <c r="T94" s="133" t="str">
        <f>IFERROR(VLOOKUP(TableHandbook[[#This Row],[UDC]],TableOUMPCWRI3[],7,FALSE),"")</f>
        <v/>
      </c>
      <c r="U94" s="133" t="str">
        <f>IFERROR(VLOOKUP(TableHandbook[[#This Row],[UDC]],TableOUMPDGCM2[],7,FALSE),"")</f>
        <v/>
      </c>
      <c r="V94" s="133" t="str">
        <f>IFERROR(VLOOKUP(TableHandbook[[#This Row],[UDC]],TableOUMPFINA2[],7,FALSE),"")</f>
        <v/>
      </c>
      <c r="W94" s="133" t="str">
        <f>IFERROR(VLOOKUP(TableHandbook[[#This Row],[UDC]],TableOUMPPWRI3[],7,FALSE),"")</f>
        <v/>
      </c>
      <c r="X94" s="175" t="str">
        <f>IFERROR(VLOOKUP(TableHandbook[[#This Row],[UDC]],TableOCARTS[],7,FALSE),"")</f>
        <v/>
      </c>
      <c r="Y94" s="133" t="str">
        <f>IFERROR(VLOOKUP(TableHandbook[[#This Row],[UDC]],TableOUSPCWRI1[],7,FALSE),"")</f>
        <v/>
      </c>
      <c r="Z94" s="133" t="str">
        <f>IFERROR(VLOOKUP(TableHandbook[[#This Row],[UDC]],TableOUSPDGCM1[],7,FALSE),"")</f>
        <v/>
      </c>
      <c r="AA94" s="133" t="str">
        <f>IFERROR(VLOOKUP(TableHandbook[[#This Row],[UDC]],TableOUSPFINA1[],7,FALSE),"")</f>
        <v/>
      </c>
      <c r="AB94" s="133" t="str">
        <f>IFERROR(VLOOKUP(TableHandbook[[#This Row],[UDC]],TableOUSPPWRI1[],7,FALSE),"")</f>
        <v/>
      </c>
      <c r="AC94" s="175" t="str">
        <f>IFERROR(VLOOKUP(TableHandbook[[#This Row],[UDC]],TableOCHRIGHT[],7,FALSE),"")</f>
        <v/>
      </c>
      <c r="AD94" s="133" t="str">
        <f>IFERROR(VLOOKUP(TableHandbook[[#This Row],[UDC]],TableOGHRIGHT[],7,FALSE),"")</f>
        <v/>
      </c>
      <c r="AE94" s="133" t="str">
        <f>IFERROR(VLOOKUP(TableHandbook[[#This Row],[UDC]],TableOMHRIGHT[],7,FALSE),"")</f>
        <v/>
      </c>
    </row>
    <row r="95" spans="1:31" x14ac:dyDescent="0.25">
      <c r="A95" t="s">
        <v>76</v>
      </c>
      <c r="B95" s="1">
        <v>1</v>
      </c>
      <c r="C95" s="1"/>
      <c r="D95" t="s">
        <v>14</v>
      </c>
      <c r="E95" s="1">
        <v>400</v>
      </c>
      <c r="F95" s="132"/>
      <c r="G95" s="134" t="str">
        <f>IFERROR(IF(_xlfn.XLOOKUP(TableHandbook[[#This Row],[UDC]],TableAvailabilities[Row Labels],TableAvailabilities[OpenUnis Session 1])&gt;0,"Y",""),"")</f>
        <v/>
      </c>
      <c r="H95" s="134" t="str">
        <f>IFERROR(IF(_xlfn.XLOOKUP(TableHandbook[[#This Row],[UDC]],TableAvailabilities[Row Labels],TableAvailabilities[OpenUnis Session 2])&gt;0,"Y",""),"")</f>
        <v/>
      </c>
      <c r="I95" s="134" t="str">
        <f>IFERROR(IF(_xlfn.XLOOKUP(TableHandbook[[#This Row],[UDC]],TableAvailabilities[Row Labels],TableAvailabilities[OpenUnis SP 1])&gt;0,"Y",""),"")</f>
        <v/>
      </c>
      <c r="J95" s="134" t="str">
        <f>IFERROR(IF(_xlfn.XLOOKUP(TableHandbook[[#This Row],[UDC]],TableAvailabilities[Row Labels],TableAvailabilities[OpenUnis SP 2])&gt;0,"Y",""),"")</f>
        <v/>
      </c>
      <c r="K95" s="134" t="str">
        <f>IFERROR(IF(_xlfn.XLOOKUP(TableHandbook[[#This Row],[UDC]],TableAvailabilities[Row Labels],TableAvailabilities[OpenUnis SP 3])&gt;0,"Y",""),"")</f>
        <v/>
      </c>
      <c r="L95" s="134" t="str">
        <f>IFERROR(IF(_xlfn.XLOOKUP(TableHandbook[[#This Row],[UDC]],TableAvailabilities[Row Labels],TableAvailabilities[OpenUnis SP 4])&gt;0,"Y",""),"")</f>
        <v/>
      </c>
      <c r="N95" s="133" t="str">
        <f>IFERROR(VLOOKUP(TableHandbook[[#This Row],[UDC]],TableOMARTS[],7,FALSE),"")</f>
        <v>Option</v>
      </c>
      <c r="O95" s="133" t="str">
        <f>IFERROR(VLOOKUP(TableHandbook[[#This Row],[UDC]],TableOUMPCWRI4[],7,FALSE),"")</f>
        <v/>
      </c>
      <c r="P95" s="133" t="str">
        <f>IFERROR(VLOOKUP(TableHandbook[[#This Row],[UDC]],TableOUMPDGCM1[],7,FALSE),"")</f>
        <v/>
      </c>
      <c r="Q95" s="133" t="str">
        <f>IFERROR(VLOOKUP(TableHandbook[[#This Row],[UDC]],TableOUMPFINA1[],7,FALSE),"")</f>
        <v/>
      </c>
      <c r="R95" s="133" t="str">
        <f>IFERROR(VLOOKUP(TableHandbook[[#This Row],[UDC]],TableOUMPPWRI4[],7,FALSE),"")</f>
        <v/>
      </c>
      <c r="S95" s="175" t="str">
        <f>IFERROR(VLOOKUP(TableHandbook[[#This Row],[UDC]],TableOGARTS[],7,FALSE),"")</f>
        <v/>
      </c>
      <c r="T95" s="133" t="str">
        <f>IFERROR(VLOOKUP(TableHandbook[[#This Row],[UDC]],TableOUMPCWRI3[],7,FALSE),"")</f>
        <v/>
      </c>
      <c r="U95" s="133" t="str">
        <f>IFERROR(VLOOKUP(TableHandbook[[#This Row],[UDC]],TableOUMPDGCM2[],7,FALSE),"")</f>
        <v/>
      </c>
      <c r="V95" s="133" t="str">
        <f>IFERROR(VLOOKUP(TableHandbook[[#This Row],[UDC]],TableOUMPFINA2[],7,FALSE),"")</f>
        <v/>
      </c>
      <c r="W95" s="133" t="str">
        <f>IFERROR(VLOOKUP(TableHandbook[[#This Row],[UDC]],TableOUMPPWRI3[],7,FALSE),"")</f>
        <v/>
      </c>
      <c r="X95" s="175" t="str">
        <f>IFERROR(VLOOKUP(TableHandbook[[#This Row],[UDC]],TableOCARTS[],7,FALSE),"")</f>
        <v/>
      </c>
      <c r="Y95" s="133" t="str">
        <f>IFERROR(VLOOKUP(TableHandbook[[#This Row],[UDC]],TableOUSPCWRI1[],7,FALSE),"")</f>
        <v/>
      </c>
      <c r="Z95" s="133" t="str">
        <f>IFERROR(VLOOKUP(TableHandbook[[#This Row],[UDC]],TableOUSPDGCM1[],7,FALSE),"")</f>
        <v/>
      </c>
      <c r="AA95" s="133" t="str">
        <f>IFERROR(VLOOKUP(TableHandbook[[#This Row],[UDC]],TableOUSPFINA1[],7,FALSE),"")</f>
        <v/>
      </c>
      <c r="AB95" s="133" t="str">
        <f>IFERROR(VLOOKUP(TableHandbook[[#This Row],[UDC]],TableOUSPPWRI1[],7,FALSE),"")</f>
        <v/>
      </c>
      <c r="AC95" s="175" t="str">
        <f>IFERROR(VLOOKUP(TableHandbook[[#This Row],[UDC]],TableOCHRIGHT[],7,FALSE),"")</f>
        <v/>
      </c>
      <c r="AD95" s="133" t="str">
        <f>IFERROR(VLOOKUP(TableHandbook[[#This Row],[UDC]],TableOGHRIGHT[],7,FALSE),"")</f>
        <v/>
      </c>
      <c r="AE95" s="133" t="str">
        <f>IFERROR(VLOOKUP(TableHandbook[[#This Row],[UDC]],TableOMHRIGHT[],7,FALSE),"")</f>
        <v/>
      </c>
    </row>
    <row r="96" spans="1:31" x14ac:dyDescent="0.25">
      <c r="A96" s="180" t="s">
        <v>78</v>
      </c>
      <c r="B96" s="1">
        <v>2</v>
      </c>
      <c r="C96" s="1"/>
      <c r="D96" t="s">
        <v>77</v>
      </c>
      <c r="E96" s="1">
        <v>400</v>
      </c>
      <c r="F96" s="132"/>
      <c r="G96" s="134" t="str">
        <f>IFERROR(IF(_xlfn.XLOOKUP(TableHandbook[[#This Row],[UDC]],TableAvailabilities[Row Labels],TableAvailabilities[OpenUnis Session 1])&gt;0,"Y",""),"")</f>
        <v/>
      </c>
      <c r="H96" s="134" t="str">
        <f>IFERROR(IF(_xlfn.XLOOKUP(TableHandbook[[#This Row],[UDC]],TableAvailabilities[Row Labels],TableAvailabilities[OpenUnis Session 2])&gt;0,"Y",""),"")</f>
        <v/>
      </c>
      <c r="I96" s="134" t="str">
        <f>IFERROR(IF(_xlfn.XLOOKUP(TableHandbook[[#This Row],[UDC]],TableAvailabilities[Row Labels],TableAvailabilities[OpenUnis SP 1])&gt;0,"Y",""),"")</f>
        <v/>
      </c>
      <c r="J96" s="134" t="str">
        <f>IFERROR(IF(_xlfn.XLOOKUP(TableHandbook[[#This Row],[UDC]],TableAvailabilities[Row Labels],TableAvailabilities[OpenUnis SP 2])&gt;0,"Y",""),"")</f>
        <v/>
      </c>
      <c r="K96" s="134" t="str">
        <f>IFERROR(IF(_xlfn.XLOOKUP(TableHandbook[[#This Row],[UDC]],TableAvailabilities[Row Labels],TableAvailabilities[OpenUnis SP 3])&gt;0,"Y",""),"")</f>
        <v/>
      </c>
      <c r="L96" s="134" t="str">
        <f>IFERROR(IF(_xlfn.XLOOKUP(TableHandbook[[#This Row],[UDC]],TableAvailabilities[Row Labels],TableAvailabilities[OpenUnis SP 4])&gt;0,"Y",""),"")</f>
        <v/>
      </c>
      <c r="M96" t="s">
        <v>453</v>
      </c>
      <c r="N96" s="133" t="str">
        <f>IFERROR(VLOOKUP(TableHandbook[[#This Row],[UDC]],TableOMARTS[],7,FALSE),"")</f>
        <v>Option</v>
      </c>
      <c r="O96" s="133" t="str">
        <f>IFERROR(VLOOKUP(TableHandbook[[#This Row],[UDC]],TableOUMPCWRI4[],7,FALSE),"")</f>
        <v/>
      </c>
      <c r="P96" s="133" t="str">
        <f>IFERROR(VLOOKUP(TableHandbook[[#This Row],[UDC]],TableOUMPDGCM1[],7,FALSE),"")</f>
        <v/>
      </c>
      <c r="Q96" s="133" t="str">
        <f>IFERROR(VLOOKUP(TableHandbook[[#This Row],[UDC]],TableOUMPFINA1[],7,FALSE),"")</f>
        <v/>
      </c>
      <c r="R96" s="133" t="str">
        <f>IFERROR(VLOOKUP(TableHandbook[[#This Row],[UDC]],TableOUMPPWRI4[],7,FALSE),"")</f>
        <v/>
      </c>
      <c r="S96" s="175" t="str">
        <f>IFERROR(VLOOKUP(TableHandbook[[#This Row],[UDC]],TableOGARTS[],7,FALSE),"")</f>
        <v/>
      </c>
      <c r="T96" s="133" t="str">
        <f>IFERROR(VLOOKUP(TableHandbook[[#This Row],[UDC]],TableOUMPCWRI3[],7,FALSE),"")</f>
        <v/>
      </c>
      <c r="U96" s="133" t="str">
        <f>IFERROR(VLOOKUP(TableHandbook[[#This Row],[UDC]],TableOUMPDGCM2[],7,FALSE),"")</f>
        <v/>
      </c>
      <c r="V96" s="133" t="str">
        <f>IFERROR(VLOOKUP(TableHandbook[[#This Row],[UDC]],TableOUMPFINA2[],7,FALSE),"")</f>
        <v/>
      </c>
      <c r="W96" s="133" t="str">
        <f>IFERROR(VLOOKUP(TableHandbook[[#This Row],[UDC]],TableOUMPPWRI3[],7,FALSE),"")</f>
        <v/>
      </c>
      <c r="X96" s="175" t="str">
        <f>IFERROR(VLOOKUP(TableHandbook[[#This Row],[UDC]],TableOCARTS[],7,FALSE),"")</f>
        <v/>
      </c>
      <c r="Y96" s="133" t="str">
        <f>IFERROR(VLOOKUP(TableHandbook[[#This Row],[UDC]],TableOUSPCWRI1[],7,FALSE),"")</f>
        <v/>
      </c>
      <c r="Z96" s="133" t="str">
        <f>IFERROR(VLOOKUP(TableHandbook[[#This Row],[UDC]],TableOUSPDGCM1[],7,FALSE),"")</f>
        <v/>
      </c>
      <c r="AA96" s="133" t="str">
        <f>IFERROR(VLOOKUP(TableHandbook[[#This Row],[UDC]],TableOUSPFINA1[],7,FALSE),"")</f>
        <v/>
      </c>
      <c r="AB96" s="133" t="str">
        <f>IFERROR(VLOOKUP(TableHandbook[[#This Row],[UDC]],TableOUSPPWRI1[],7,FALSE),"")</f>
        <v/>
      </c>
      <c r="AC96" s="175" t="str">
        <f>IFERROR(VLOOKUP(TableHandbook[[#This Row],[UDC]],TableOCHRIGHT[],7,FALSE),"")</f>
        <v/>
      </c>
      <c r="AD96" s="133" t="str">
        <f>IFERROR(VLOOKUP(TableHandbook[[#This Row],[UDC]],TableOGHRIGHT[],7,FALSE),"")</f>
        <v/>
      </c>
      <c r="AE96" s="133" t="str">
        <f>IFERROR(VLOOKUP(TableHandbook[[#This Row],[UDC]],TableOMHRIGHT[],7,FALSE),"")</f>
        <v/>
      </c>
    </row>
    <row r="97" spans="1:31" x14ac:dyDescent="0.25">
      <c r="A97" t="s">
        <v>476</v>
      </c>
      <c r="B97" s="1">
        <v>1</v>
      </c>
      <c r="C97" s="1"/>
      <c r="D97" t="s">
        <v>77</v>
      </c>
      <c r="E97" s="1">
        <v>400</v>
      </c>
      <c r="F97" s="132"/>
      <c r="G97" s="134" t="str">
        <f>IFERROR(IF(_xlfn.XLOOKUP(TableHandbook[[#This Row],[UDC]],TableAvailabilities[Row Labels],TableAvailabilities[OpenUnis Session 1])&gt;0,"Y",""),"")</f>
        <v/>
      </c>
      <c r="H97" s="134" t="str">
        <f>IFERROR(IF(_xlfn.XLOOKUP(TableHandbook[[#This Row],[UDC]],TableAvailabilities[Row Labels],TableAvailabilities[OpenUnis Session 2])&gt;0,"Y",""),"")</f>
        <v/>
      </c>
      <c r="I97" s="134" t="str">
        <f>IFERROR(IF(_xlfn.XLOOKUP(TableHandbook[[#This Row],[UDC]],TableAvailabilities[Row Labels],TableAvailabilities[OpenUnis SP 1])&gt;0,"Y",""),"")</f>
        <v/>
      </c>
      <c r="J97" s="134" t="str">
        <f>IFERROR(IF(_xlfn.XLOOKUP(TableHandbook[[#This Row],[UDC]],TableAvailabilities[Row Labels],TableAvailabilities[OpenUnis SP 2])&gt;0,"Y",""),"")</f>
        <v/>
      </c>
      <c r="K97" s="134" t="str">
        <f>IFERROR(IF(_xlfn.XLOOKUP(TableHandbook[[#This Row],[UDC]],TableAvailabilities[Row Labels],TableAvailabilities[OpenUnis SP 3])&gt;0,"Y",""),"")</f>
        <v/>
      </c>
      <c r="L97" s="134" t="str">
        <f>IFERROR(IF(_xlfn.XLOOKUP(TableHandbook[[#This Row],[UDC]],TableAvailabilities[Row Labels],TableAvailabilities[OpenUnis SP 4])&gt;0,"Y",""),"")</f>
        <v/>
      </c>
      <c r="M97" t="s">
        <v>451</v>
      </c>
      <c r="N97" s="133" t="str">
        <f>IFERROR(VLOOKUP(TableHandbook[[#This Row],[UDC]],TableOMARTS[],7,FALSE),"")</f>
        <v/>
      </c>
      <c r="O97" s="133" t="str">
        <f>IFERROR(VLOOKUP(TableHandbook[[#This Row],[UDC]],TableOUMPCWRI4[],7,FALSE),"")</f>
        <v/>
      </c>
      <c r="P97" s="133" t="str">
        <f>IFERROR(VLOOKUP(TableHandbook[[#This Row],[UDC]],TableOUMPDGCM1[],7,FALSE),"")</f>
        <v/>
      </c>
      <c r="Q97" s="133" t="str">
        <f>IFERROR(VLOOKUP(TableHandbook[[#This Row],[UDC]],TableOUMPFINA1[],7,FALSE),"")</f>
        <v/>
      </c>
      <c r="R97" s="133" t="str">
        <f>IFERROR(VLOOKUP(TableHandbook[[#This Row],[UDC]],TableOUMPPWRI4[],7,FALSE),"")</f>
        <v/>
      </c>
      <c r="S97" s="175" t="str">
        <f>IFERROR(VLOOKUP(TableHandbook[[#This Row],[UDC]],TableOGARTS[],7,FALSE),"")</f>
        <v/>
      </c>
      <c r="T97" s="133" t="str">
        <f>IFERROR(VLOOKUP(TableHandbook[[#This Row],[UDC]],TableOUMPCWRI3[],7,FALSE),"")</f>
        <v/>
      </c>
      <c r="U97" s="133" t="str">
        <f>IFERROR(VLOOKUP(TableHandbook[[#This Row],[UDC]],TableOUMPDGCM2[],7,FALSE),"")</f>
        <v/>
      </c>
      <c r="V97" s="133" t="str">
        <f>IFERROR(VLOOKUP(TableHandbook[[#This Row],[UDC]],TableOUMPFINA2[],7,FALSE),"")</f>
        <v/>
      </c>
      <c r="W97" s="133" t="str">
        <f>IFERROR(VLOOKUP(TableHandbook[[#This Row],[UDC]],TableOUMPPWRI3[],7,FALSE),"")</f>
        <v/>
      </c>
      <c r="X97" s="175" t="str">
        <f>IFERROR(VLOOKUP(TableHandbook[[#This Row],[UDC]],TableOCARTS[],7,FALSE),"")</f>
        <v/>
      </c>
      <c r="Y97" s="133" t="str">
        <f>IFERROR(VLOOKUP(TableHandbook[[#This Row],[UDC]],TableOUSPCWRI1[],7,FALSE),"")</f>
        <v/>
      </c>
      <c r="Z97" s="133" t="str">
        <f>IFERROR(VLOOKUP(TableHandbook[[#This Row],[UDC]],TableOUSPDGCM1[],7,FALSE),"")</f>
        <v/>
      </c>
      <c r="AA97" s="133" t="str">
        <f>IFERROR(VLOOKUP(TableHandbook[[#This Row],[UDC]],TableOUSPFINA1[],7,FALSE),"")</f>
        <v/>
      </c>
      <c r="AB97" s="133" t="str">
        <f>IFERROR(VLOOKUP(TableHandbook[[#This Row],[UDC]],TableOUSPPWRI1[],7,FALSE),"")</f>
        <v/>
      </c>
      <c r="AC97" s="175" t="str">
        <f>IFERROR(VLOOKUP(TableHandbook[[#This Row],[UDC]],TableOCHRIGHT[],7,FALSE),"")</f>
        <v/>
      </c>
      <c r="AD97" s="133" t="str">
        <f>IFERROR(VLOOKUP(TableHandbook[[#This Row],[UDC]],TableOGHRIGHT[],7,FALSE),"")</f>
        <v/>
      </c>
      <c r="AE97" s="133" t="str">
        <f>IFERROR(VLOOKUP(TableHandbook[[#This Row],[UDC]],TableOMHRIGHT[],7,FALSE),"")</f>
        <v/>
      </c>
    </row>
    <row r="98" spans="1:31" x14ac:dyDescent="0.25">
      <c r="A98" s="180" t="s">
        <v>515</v>
      </c>
      <c r="B98" s="1">
        <v>1</v>
      </c>
      <c r="C98" s="1"/>
      <c r="D98" t="s">
        <v>516</v>
      </c>
      <c r="E98" s="1">
        <v>200</v>
      </c>
      <c r="F98" s="132"/>
      <c r="G98" s="134" t="str">
        <f>IFERROR(IF(_xlfn.XLOOKUP(TableHandbook[[#This Row],[UDC]],TableAvailabilities[Row Labels],TableAvailabilities[OpenUnis Session 1])&gt;0,"Y",""),"")</f>
        <v/>
      </c>
      <c r="H98" s="134" t="str">
        <f>IFERROR(IF(_xlfn.XLOOKUP(TableHandbook[[#This Row],[UDC]],TableAvailabilities[Row Labels],TableAvailabilities[OpenUnis Session 2])&gt;0,"Y",""),"")</f>
        <v/>
      </c>
      <c r="I98" s="134" t="str">
        <f>IFERROR(IF(_xlfn.XLOOKUP(TableHandbook[[#This Row],[UDC]],TableAvailabilities[Row Labels],TableAvailabilities[OpenUnis SP 1])&gt;0,"Y",""),"")</f>
        <v/>
      </c>
      <c r="J98" s="134" t="str">
        <f>IFERROR(IF(_xlfn.XLOOKUP(TableHandbook[[#This Row],[UDC]],TableAvailabilities[Row Labels],TableAvailabilities[OpenUnis SP 2])&gt;0,"Y",""),"")</f>
        <v/>
      </c>
      <c r="K98" s="134" t="str">
        <f>IFERROR(IF(_xlfn.XLOOKUP(TableHandbook[[#This Row],[UDC]],TableAvailabilities[Row Labels],TableAvailabilities[OpenUnis SP 3])&gt;0,"Y",""),"")</f>
        <v/>
      </c>
      <c r="L98" s="134" t="str">
        <f>IFERROR(IF(_xlfn.XLOOKUP(TableHandbook[[#This Row],[UDC]],TableAvailabilities[Row Labels],TableAvailabilities[OpenUnis SP 4])&gt;0,"Y",""),"")</f>
        <v/>
      </c>
      <c r="N98" s="133" t="str">
        <f>IFERROR(VLOOKUP(TableHandbook[[#This Row],[UDC]],TableOMARTS[],7,FALSE),"")</f>
        <v/>
      </c>
      <c r="O98" s="133" t="str">
        <f>IFERROR(VLOOKUP(TableHandbook[[#This Row],[UDC]],TableOUMPCWRI4[],7,FALSE),"")</f>
        <v/>
      </c>
      <c r="P98" s="133" t="str">
        <f>IFERROR(VLOOKUP(TableHandbook[[#This Row],[UDC]],TableOUMPDGCM1[],7,FALSE),"")</f>
        <v/>
      </c>
      <c r="Q98" s="133" t="str">
        <f>IFERROR(VLOOKUP(TableHandbook[[#This Row],[UDC]],TableOUMPFINA1[],7,FALSE),"")</f>
        <v/>
      </c>
      <c r="R98" s="133" t="str">
        <f>IFERROR(VLOOKUP(TableHandbook[[#This Row],[UDC]],TableOUMPPWRI4[],7,FALSE),"")</f>
        <v/>
      </c>
      <c r="S98" s="175" t="str">
        <f>IFERROR(VLOOKUP(TableHandbook[[#This Row],[UDC]],TableOGARTS[],7,FALSE),"")</f>
        <v>AltCore</v>
      </c>
      <c r="T98" s="133" t="str">
        <f>IFERROR(VLOOKUP(TableHandbook[[#This Row],[UDC]],TableOUMPCWRI3[],7,FALSE),"")</f>
        <v/>
      </c>
      <c r="U98" s="133" t="str">
        <f>IFERROR(VLOOKUP(TableHandbook[[#This Row],[UDC]],TableOUMPDGCM2[],7,FALSE),"")</f>
        <v/>
      </c>
      <c r="V98" s="133" t="str">
        <f>IFERROR(VLOOKUP(TableHandbook[[#This Row],[UDC]],TableOUMPFINA2[],7,FALSE),"")</f>
        <v/>
      </c>
      <c r="W98" s="133" t="str">
        <f>IFERROR(VLOOKUP(TableHandbook[[#This Row],[UDC]],TableOUMPPWRI3[],7,FALSE),"")</f>
        <v/>
      </c>
      <c r="X98" s="175" t="str">
        <f>IFERROR(VLOOKUP(TableHandbook[[#This Row],[UDC]],TableOCARTS[],7,FALSE),"")</f>
        <v/>
      </c>
      <c r="Y98" s="133" t="str">
        <f>IFERROR(VLOOKUP(TableHandbook[[#This Row],[UDC]],TableOUSPCWRI1[],7,FALSE),"")</f>
        <v/>
      </c>
      <c r="Z98" s="133" t="str">
        <f>IFERROR(VLOOKUP(TableHandbook[[#This Row],[UDC]],TableOUSPDGCM1[],7,FALSE),"")</f>
        <v/>
      </c>
      <c r="AA98" s="133" t="str">
        <f>IFERROR(VLOOKUP(TableHandbook[[#This Row],[UDC]],TableOUSPFINA1[],7,FALSE),"")</f>
        <v/>
      </c>
      <c r="AB98" s="133" t="str">
        <f>IFERROR(VLOOKUP(TableHandbook[[#This Row],[UDC]],TableOUSPPWRI1[],7,FALSE),"")</f>
        <v/>
      </c>
      <c r="AC98" s="175" t="str">
        <f>IFERROR(VLOOKUP(TableHandbook[[#This Row],[UDC]],TableOCHRIGHT[],7,FALSE),"")</f>
        <v/>
      </c>
      <c r="AD98" s="133" t="str">
        <f>IFERROR(VLOOKUP(TableHandbook[[#This Row],[UDC]],TableOGHRIGHT[],7,FALSE),"")</f>
        <v/>
      </c>
      <c r="AE98" s="133" t="str">
        <f>IFERROR(VLOOKUP(TableHandbook[[#This Row],[UDC]],TableOMHRIGHT[],7,FALSE),"")</f>
        <v/>
      </c>
    </row>
    <row r="99" spans="1:31" x14ac:dyDescent="0.25">
      <c r="A99" s="180" t="s">
        <v>80</v>
      </c>
      <c r="B99" s="1">
        <v>2</v>
      </c>
      <c r="C99" s="1"/>
      <c r="D99" t="s">
        <v>79</v>
      </c>
      <c r="E99" s="1">
        <v>400</v>
      </c>
      <c r="F99" s="132"/>
      <c r="G99" s="134" t="str">
        <f>IFERROR(IF(_xlfn.XLOOKUP(TableHandbook[[#This Row],[UDC]],TableAvailabilities[Row Labels],TableAvailabilities[OpenUnis Session 1])&gt;0,"Y",""),"")</f>
        <v/>
      </c>
      <c r="H99" s="134" t="str">
        <f>IFERROR(IF(_xlfn.XLOOKUP(TableHandbook[[#This Row],[UDC]],TableAvailabilities[Row Labels],TableAvailabilities[OpenUnis Session 2])&gt;0,"Y",""),"")</f>
        <v/>
      </c>
      <c r="I99" s="134" t="str">
        <f>IFERROR(IF(_xlfn.XLOOKUP(TableHandbook[[#This Row],[UDC]],TableAvailabilities[Row Labels],TableAvailabilities[OpenUnis SP 1])&gt;0,"Y",""),"")</f>
        <v/>
      </c>
      <c r="J99" s="134" t="str">
        <f>IFERROR(IF(_xlfn.XLOOKUP(TableHandbook[[#This Row],[UDC]],TableAvailabilities[Row Labels],TableAvailabilities[OpenUnis SP 2])&gt;0,"Y",""),"")</f>
        <v/>
      </c>
      <c r="K99" s="134" t="str">
        <f>IFERROR(IF(_xlfn.XLOOKUP(TableHandbook[[#This Row],[UDC]],TableAvailabilities[Row Labels],TableAvailabilities[OpenUnis SP 3])&gt;0,"Y",""),"")</f>
        <v/>
      </c>
      <c r="L99" s="134" t="str">
        <f>IFERROR(IF(_xlfn.XLOOKUP(TableHandbook[[#This Row],[UDC]],TableAvailabilities[Row Labels],TableAvailabilities[OpenUnis SP 4])&gt;0,"Y",""),"")</f>
        <v/>
      </c>
      <c r="M99" t="s">
        <v>453</v>
      </c>
      <c r="N99" s="133" t="str">
        <f>IFERROR(VLOOKUP(TableHandbook[[#This Row],[UDC]],TableOMARTS[],7,FALSE),"")</f>
        <v>Option</v>
      </c>
      <c r="O99" s="133" t="str">
        <f>IFERROR(VLOOKUP(TableHandbook[[#This Row],[UDC]],TableOUMPCWRI4[],7,FALSE),"")</f>
        <v/>
      </c>
      <c r="P99" s="133" t="str">
        <f>IFERROR(VLOOKUP(TableHandbook[[#This Row],[UDC]],TableOUMPDGCM1[],7,FALSE),"")</f>
        <v/>
      </c>
      <c r="Q99" s="133" t="str">
        <f>IFERROR(VLOOKUP(TableHandbook[[#This Row],[UDC]],TableOUMPFINA1[],7,FALSE),"")</f>
        <v/>
      </c>
      <c r="R99" s="133" t="str">
        <f>IFERROR(VLOOKUP(TableHandbook[[#This Row],[UDC]],TableOUMPPWRI4[],7,FALSE),"")</f>
        <v/>
      </c>
      <c r="S99" s="175" t="str">
        <f>IFERROR(VLOOKUP(TableHandbook[[#This Row],[UDC]],TableOGARTS[],7,FALSE),"")</f>
        <v/>
      </c>
      <c r="T99" s="133" t="str">
        <f>IFERROR(VLOOKUP(TableHandbook[[#This Row],[UDC]],TableOUMPCWRI3[],7,FALSE),"")</f>
        <v/>
      </c>
      <c r="U99" s="133" t="str">
        <f>IFERROR(VLOOKUP(TableHandbook[[#This Row],[UDC]],TableOUMPDGCM2[],7,FALSE),"")</f>
        <v/>
      </c>
      <c r="V99" s="133" t="str">
        <f>IFERROR(VLOOKUP(TableHandbook[[#This Row],[UDC]],TableOUMPFINA2[],7,FALSE),"")</f>
        <v/>
      </c>
      <c r="W99" s="133" t="str">
        <f>IFERROR(VLOOKUP(TableHandbook[[#This Row],[UDC]],TableOUMPPWRI3[],7,FALSE),"")</f>
        <v/>
      </c>
      <c r="X99" s="175" t="str">
        <f>IFERROR(VLOOKUP(TableHandbook[[#This Row],[UDC]],TableOCARTS[],7,FALSE),"")</f>
        <v/>
      </c>
      <c r="Y99" s="133" t="str">
        <f>IFERROR(VLOOKUP(TableHandbook[[#This Row],[UDC]],TableOUSPCWRI1[],7,FALSE),"")</f>
        <v/>
      </c>
      <c r="Z99" s="133" t="str">
        <f>IFERROR(VLOOKUP(TableHandbook[[#This Row],[UDC]],TableOUSPDGCM1[],7,FALSE),"")</f>
        <v/>
      </c>
      <c r="AA99" s="133" t="str">
        <f>IFERROR(VLOOKUP(TableHandbook[[#This Row],[UDC]],TableOUSPFINA1[],7,FALSE),"")</f>
        <v/>
      </c>
      <c r="AB99" s="133" t="str">
        <f>IFERROR(VLOOKUP(TableHandbook[[#This Row],[UDC]],TableOUSPPWRI1[],7,FALSE),"")</f>
        <v/>
      </c>
      <c r="AC99" s="175" t="str">
        <f>IFERROR(VLOOKUP(TableHandbook[[#This Row],[UDC]],TableOCHRIGHT[],7,FALSE),"")</f>
        <v/>
      </c>
      <c r="AD99" s="133" t="str">
        <f>IFERROR(VLOOKUP(TableHandbook[[#This Row],[UDC]],TableOGHRIGHT[],7,FALSE),"")</f>
        <v/>
      </c>
      <c r="AE99" s="133" t="str">
        <f>IFERROR(VLOOKUP(TableHandbook[[#This Row],[UDC]],TableOMHRIGHT[],7,FALSE),"")</f>
        <v/>
      </c>
    </row>
    <row r="100" spans="1:31" x14ac:dyDescent="0.25">
      <c r="A100" t="s">
        <v>477</v>
      </c>
      <c r="B100" s="1">
        <v>1</v>
      </c>
      <c r="C100" s="1"/>
      <c r="D100" t="s">
        <v>79</v>
      </c>
      <c r="E100" s="1">
        <v>400</v>
      </c>
      <c r="F100" s="132"/>
      <c r="G100" s="134" t="str">
        <f>IFERROR(IF(_xlfn.XLOOKUP(TableHandbook[[#This Row],[UDC]],TableAvailabilities[Row Labels],TableAvailabilities[OpenUnis Session 1])&gt;0,"Y",""),"")</f>
        <v/>
      </c>
      <c r="H100" s="134" t="str">
        <f>IFERROR(IF(_xlfn.XLOOKUP(TableHandbook[[#This Row],[UDC]],TableAvailabilities[Row Labels],TableAvailabilities[OpenUnis Session 2])&gt;0,"Y",""),"")</f>
        <v/>
      </c>
      <c r="I100" s="134" t="str">
        <f>IFERROR(IF(_xlfn.XLOOKUP(TableHandbook[[#This Row],[UDC]],TableAvailabilities[Row Labels],TableAvailabilities[OpenUnis SP 1])&gt;0,"Y",""),"")</f>
        <v/>
      </c>
      <c r="J100" s="134" t="str">
        <f>IFERROR(IF(_xlfn.XLOOKUP(TableHandbook[[#This Row],[UDC]],TableAvailabilities[Row Labels],TableAvailabilities[OpenUnis SP 2])&gt;0,"Y",""),"")</f>
        <v/>
      </c>
      <c r="K100" s="134" t="str">
        <f>IFERROR(IF(_xlfn.XLOOKUP(TableHandbook[[#This Row],[UDC]],TableAvailabilities[Row Labels],TableAvailabilities[OpenUnis SP 3])&gt;0,"Y",""),"")</f>
        <v/>
      </c>
      <c r="L100" s="134" t="str">
        <f>IFERROR(IF(_xlfn.XLOOKUP(TableHandbook[[#This Row],[UDC]],TableAvailabilities[Row Labels],TableAvailabilities[OpenUnis SP 4])&gt;0,"Y",""),"")</f>
        <v/>
      </c>
      <c r="M100" t="s">
        <v>451</v>
      </c>
      <c r="N100" s="133" t="str">
        <f>IFERROR(VLOOKUP(TableHandbook[[#This Row],[UDC]],TableOMARTS[],7,FALSE),"")</f>
        <v/>
      </c>
      <c r="O100" s="133" t="str">
        <f>IFERROR(VLOOKUP(TableHandbook[[#This Row],[UDC]],TableOUMPCWRI4[],7,FALSE),"")</f>
        <v/>
      </c>
      <c r="P100" s="133" t="str">
        <f>IFERROR(VLOOKUP(TableHandbook[[#This Row],[UDC]],TableOUMPDGCM1[],7,FALSE),"")</f>
        <v/>
      </c>
      <c r="Q100" s="133" t="str">
        <f>IFERROR(VLOOKUP(TableHandbook[[#This Row],[UDC]],TableOUMPFINA1[],7,FALSE),"")</f>
        <v/>
      </c>
      <c r="R100" s="133" t="str">
        <f>IFERROR(VLOOKUP(TableHandbook[[#This Row],[UDC]],TableOUMPPWRI4[],7,FALSE),"")</f>
        <v/>
      </c>
      <c r="S100" s="175" t="str">
        <f>IFERROR(VLOOKUP(TableHandbook[[#This Row],[UDC]],TableOGARTS[],7,FALSE),"")</f>
        <v/>
      </c>
      <c r="T100" s="133" t="str">
        <f>IFERROR(VLOOKUP(TableHandbook[[#This Row],[UDC]],TableOUMPCWRI3[],7,FALSE),"")</f>
        <v/>
      </c>
      <c r="U100" s="133" t="str">
        <f>IFERROR(VLOOKUP(TableHandbook[[#This Row],[UDC]],TableOUMPDGCM2[],7,FALSE),"")</f>
        <v/>
      </c>
      <c r="V100" s="133" t="str">
        <f>IFERROR(VLOOKUP(TableHandbook[[#This Row],[UDC]],TableOUMPFINA2[],7,FALSE),"")</f>
        <v/>
      </c>
      <c r="W100" s="133" t="str">
        <f>IFERROR(VLOOKUP(TableHandbook[[#This Row],[UDC]],TableOUMPPWRI3[],7,FALSE),"")</f>
        <v/>
      </c>
      <c r="X100" s="175" t="str">
        <f>IFERROR(VLOOKUP(TableHandbook[[#This Row],[UDC]],TableOCARTS[],7,FALSE),"")</f>
        <v/>
      </c>
      <c r="Y100" s="133" t="str">
        <f>IFERROR(VLOOKUP(TableHandbook[[#This Row],[UDC]],TableOUSPCWRI1[],7,FALSE),"")</f>
        <v/>
      </c>
      <c r="Z100" s="133" t="str">
        <f>IFERROR(VLOOKUP(TableHandbook[[#This Row],[UDC]],TableOUSPDGCM1[],7,FALSE),"")</f>
        <v/>
      </c>
      <c r="AA100" s="133" t="str">
        <f>IFERROR(VLOOKUP(TableHandbook[[#This Row],[UDC]],TableOUSPFINA1[],7,FALSE),"")</f>
        <v/>
      </c>
      <c r="AB100" s="133" t="str">
        <f>IFERROR(VLOOKUP(TableHandbook[[#This Row],[UDC]],TableOUSPPWRI1[],7,FALSE),"")</f>
        <v/>
      </c>
      <c r="AC100" s="175" t="str">
        <f>IFERROR(VLOOKUP(TableHandbook[[#This Row],[UDC]],TableOCHRIGHT[],7,FALSE),"")</f>
        <v/>
      </c>
      <c r="AD100" s="133" t="str">
        <f>IFERROR(VLOOKUP(TableHandbook[[#This Row],[UDC]],TableOGHRIGHT[],7,FALSE),"")</f>
        <v/>
      </c>
      <c r="AE100" s="133" t="str">
        <f>IFERROR(VLOOKUP(TableHandbook[[#This Row],[UDC]],TableOMHRIGHT[],7,FALSE),"")</f>
        <v/>
      </c>
    </row>
    <row r="101" spans="1:31" x14ac:dyDescent="0.25">
      <c r="A101" s="180" t="s">
        <v>517</v>
      </c>
      <c r="B101" s="1">
        <v>1</v>
      </c>
      <c r="C101" s="1"/>
      <c r="D101" t="s">
        <v>518</v>
      </c>
      <c r="E101" s="1">
        <v>200</v>
      </c>
      <c r="F101" s="132"/>
      <c r="G101" s="134" t="str">
        <f>IFERROR(IF(_xlfn.XLOOKUP(TableHandbook[[#This Row],[UDC]],TableAvailabilities[Row Labels],TableAvailabilities[OpenUnis Session 1])&gt;0,"Y",""),"")</f>
        <v/>
      </c>
      <c r="H101" s="134" t="str">
        <f>IFERROR(IF(_xlfn.XLOOKUP(TableHandbook[[#This Row],[UDC]],TableAvailabilities[Row Labels],TableAvailabilities[OpenUnis Session 2])&gt;0,"Y",""),"")</f>
        <v/>
      </c>
      <c r="I101" s="134" t="str">
        <f>IFERROR(IF(_xlfn.XLOOKUP(TableHandbook[[#This Row],[UDC]],TableAvailabilities[Row Labels],TableAvailabilities[OpenUnis SP 1])&gt;0,"Y",""),"")</f>
        <v/>
      </c>
      <c r="J101" s="134" t="str">
        <f>IFERROR(IF(_xlfn.XLOOKUP(TableHandbook[[#This Row],[UDC]],TableAvailabilities[Row Labels],TableAvailabilities[OpenUnis SP 2])&gt;0,"Y",""),"")</f>
        <v/>
      </c>
      <c r="K101" s="134" t="str">
        <f>IFERROR(IF(_xlfn.XLOOKUP(TableHandbook[[#This Row],[UDC]],TableAvailabilities[Row Labels],TableAvailabilities[OpenUnis SP 3])&gt;0,"Y",""),"")</f>
        <v/>
      </c>
      <c r="L101" s="134" t="str">
        <f>IFERROR(IF(_xlfn.XLOOKUP(TableHandbook[[#This Row],[UDC]],TableAvailabilities[Row Labels],TableAvailabilities[OpenUnis SP 4])&gt;0,"Y",""),"")</f>
        <v/>
      </c>
      <c r="N101" s="133" t="str">
        <f>IFERROR(VLOOKUP(TableHandbook[[#This Row],[UDC]],TableOMARTS[],7,FALSE),"")</f>
        <v/>
      </c>
      <c r="O101" s="133" t="str">
        <f>IFERROR(VLOOKUP(TableHandbook[[#This Row],[UDC]],TableOUMPCWRI4[],7,FALSE),"")</f>
        <v/>
      </c>
      <c r="P101" s="133" t="str">
        <f>IFERROR(VLOOKUP(TableHandbook[[#This Row],[UDC]],TableOUMPDGCM1[],7,FALSE),"")</f>
        <v/>
      </c>
      <c r="Q101" s="133" t="str">
        <f>IFERROR(VLOOKUP(TableHandbook[[#This Row],[UDC]],TableOUMPFINA1[],7,FALSE),"")</f>
        <v/>
      </c>
      <c r="R101" s="133" t="str">
        <f>IFERROR(VLOOKUP(TableHandbook[[#This Row],[UDC]],TableOUMPPWRI4[],7,FALSE),"")</f>
        <v/>
      </c>
      <c r="S101" s="175" t="str">
        <f>IFERROR(VLOOKUP(TableHandbook[[#This Row],[UDC]],TableOGARTS[],7,FALSE),"")</f>
        <v>AltCore</v>
      </c>
      <c r="T101" s="133" t="str">
        <f>IFERROR(VLOOKUP(TableHandbook[[#This Row],[UDC]],TableOUMPCWRI3[],7,FALSE),"")</f>
        <v/>
      </c>
      <c r="U101" s="133" t="str">
        <f>IFERROR(VLOOKUP(TableHandbook[[#This Row],[UDC]],TableOUMPDGCM2[],7,FALSE),"")</f>
        <v/>
      </c>
      <c r="V101" s="133" t="str">
        <f>IFERROR(VLOOKUP(TableHandbook[[#This Row],[UDC]],TableOUMPFINA2[],7,FALSE),"")</f>
        <v/>
      </c>
      <c r="W101" s="133" t="str">
        <f>IFERROR(VLOOKUP(TableHandbook[[#This Row],[UDC]],TableOUMPPWRI3[],7,FALSE),"")</f>
        <v/>
      </c>
      <c r="X101" s="175" t="str">
        <f>IFERROR(VLOOKUP(TableHandbook[[#This Row],[UDC]],TableOCARTS[],7,FALSE),"")</f>
        <v/>
      </c>
      <c r="Y101" s="133" t="str">
        <f>IFERROR(VLOOKUP(TableHandbook[[#This Row],[UDC]],TableOUSPCWRI1[],7,FALSE),"")</f>
        <v/>
      </c>
      <c r="Z101" s="133" t="str">
        <f>IFERROR(VLOOKUP(TableHandbook[[#This Row],[UDC]],TableOUSPDGCM1[],7,FALSE),"")</f>
        <v/>
      </c>
      <c r="AA101" s="133" t="str">
        <f>IFERROR(VLOOKUP(TableHandbook[[#This Row],[UDC]],TableOUSPFINA1[],7,FALSE),"")</f>
        <v/>
      </c>
      <c r="AB101" s="133" t="str">
        <f>IFERROR(VLOOKUP(TableHandbook[[#This Row],[UDC]],TableOUSPPWRI1[],7,FALSE),"")</f>
        <v/>
      </c>
      <c r="AC101" s="175" t="str">
        <f>IFERROR(VLOOKUP(TableHandbook[[#This Row],[UDC]],TableOCHRIGHT[],7,FALSE),"")</f>
        <v/>
      </c>
      <c r="AD101" s="133" t="str">
        <f>IFERROR(VLOOKUP(TableHandbook[[#This Row],[UDC]],TableOGHRIGHT[],7,FALSE),"")</f>
        <v/>
      </c>
      <c r="AE101" s="133" t="str">
        <f>IFERROR(VLOOKUP(TableHandbook[[#This Row],[UDC]],TableOMHRIGHT[],7,FALSE),"")</f>
        <v/>
      </c>
    </row>
    <row r="102" spans="1:31" x14ac:dyDescent="0.25">
      <c r="A102" t="s">
        <v>478</v>
      </c>
      <c r="B102" s="1">
        <v>1</v>
      </c>
      <c r="C102" s="1"/>
      <c r="D102" t="s">
        <v>81</v>
      </c>
      <c r="E102" s="1">
        <v>400</v>
      </c>
      <c r="F102" s="132"/>
      <c r="G102" s="134" t="str">
        <f>IFERROR(IF(_xlfn.XLOOKUP(TableHandbook[[#This Row],[UDC]],TableAvailabilities[Row Labels],TableAvailabilities[OpenUnis Session 1])&gt;0,"Y",""),"")</f>
        <v/>
      </c>
      <c r="H102" s="134" t="str">
        <f>IFERROR(IF(_xlfn.XLOOKUP(TableHandbook[[#This Row],[UDC]],TableAvailabilities[Row Labels],TableAvailabilities[OpenUnis Session 2])&gt;0,"Y",""),"")</f>
        <v/>
      </c>
      <c r="I102" s="134" t="str">
        <f>IFERROR(IF(_xlfn.XLOOKUP(TableHandbook[[#This Row],[UDC]],TableAvailabilities[Row Labels],TableAvailabilities[OpenUnis SP 1])&gt;0,"Y",""),"")</f>
        <v/>
      </c>
      <c r="J102" s="134" t="str">
        <f>IFERROR(IF(_xlfn.XLOOKUP(TableHandbook[[#This Row],[UDC]],TableAvailabilities[Row Labels],TableAvailabilities[OpenUnis SP 2])&gt;0,"Y",""),"")</f>
        <v/>
      </c>
      <c r="K102" s="134" t="str">
        <f>IFERROR(IF(_xlfn.XLOOKUP(TableHandbook[[#This Row],[UDC]],TableAvailabilities[Row Labels],TableAvailabilities[OpenUnis SP 3])&gt;0,"Y",""),"")</f>
        <v/>
      </c>
      <c r="L102" s="134" t="str">
        <f>IFERROR(IF(_xlfn.XLOOKUP(TableHandbook[[#This Row],[UDC]],TableAvailabilities[Row Labels],TableAvailabilities[OpenUnis SP 4])&gt;0,"Y",""),"")</f>
        <v/>
      </c>
      <c r="M102" t="s">
        <v>474</v>
      </c>
      <c r="N102" s="133" t="str">
        <f>IFERROR(VLOOKUP(TableHandbook[[#This Row],[UDC]],TableOMARTS[],7,FALSE),"")</f>
        <v/>
      </c>
      <c r="O102" s="133" t="str">
        <f>IFERROR(VLOOKUP(TableHandbook[[#This Row],[UDC]],TableOUMPCWRI4[],7,FALSE),"")</f>
        <v/>
      </c>
      <c r="P102" s="133" t="str">
        <f>IFERROR(VLOOKUP(TableHandbook[[#This Row],[UDC]],TableOUMPDGCM1[],7,FALSE),"")</f>
        <v/>
      </c>
      <c r="Q102" s="133" t="str">
        <f>IFERROR(VLOOKUP(TableHandbook[[#This Row],[UDC]],TableOUMPFINA1[],7,FALSE),"")</f>
        <v/>
      </c>
      <c r="R102" s="133" t="str">
        <f>IFERROR(VLOOKUP(TableHandbook[[#This Row],[UDC]],TableOUMPPWRI4[],7,FALSE),"")</f>
        <v/>
      </c>
      <c r="S102" s="175" t="str">
        <f>IFERROR(VLOOKUP(TableHandbook[[#This Row],[UDC]],TableOGARTS[],7,FALSE),"")</f>
        <v/>
      </c>
      <c r="T102" s="133" t="str">
        <f>IFERROR(VLOOKUP(TableHandbook[[#This Row],[UDC]],TableOUMPCWRI3[],7,FALSE),"")</f>
        <v/>
      </c>
      <c r="U102" s="133" t="str">
        <f>IFERROR(VLOOKUP(TableHandbook[[#This Row],[UDC]],TableOUMPDGCM2[],7,FALSE),"")</f>
        <v/>
      </c>
      <c r="V102" s="133" t="str">
        <f>IFERROR(VLOOKUP(TableHandbook[[#This Row],[UDC]],TableOUMPFINA2[],7,FALSE),"")</f>
        <v/>
      </c>
      <c r="W102" s="133" t="str">
        <f>IFERROR(VLOOKUP(TableHandbook[[#This Row],[UDC]],TableOUMPPWRI3[],7,FALSE),"")</f>
        <v/>
      </c>
      <c r="X102" s="175" t="str">
        <f>IFERROR(VLOOKUP(TableHandbook[[#This Row],[UDC]],TableOCARTS[],7,FALSE),"")</f>
        <v/>
      </c>
      <c r="Y102" s="133" t="str">
        <f>IFERROR(VLOOKUP(TableHandbook[[#This Row],[UDC]],TableOUSPCWRI1[],7,FALSE),"")</f>
        <v/>
      </c>
      <c r="Z102" s="133" t="str">
        <f>IFERROR(VLOOKUP(TableHandbook[[#This Row],[UDC]],TableOUSPDGCM1[],7,FALSE),"")</f>
        <v/>
      </c>
      <c r="AA102" s="133" t="str">
        <f>IFERROR(VLOOKUP(TableHandbook[[#This Row],[UDC]],TableOUSPFINA1[],7,FALSE),"")</f>
        <v/>
      </c>
      <c r="AB102" s="133" t="str">
        <f>IFERROR(VLOOKUP(TableHandbook[[#This Row],[UDC]],TableOUSPPWRI1[],7,FALSE),"")</f>
        <v/>
      </c>
      <c r="AC102" s="175" t="str">
        <f>IFERROR(VLOOKUP(TableHandbook[[#This Row],[UDC]],TableOCHRIGHT[],7,FALSE),"")</f>
        <v/>
      </c>
      <c r="AD102" s="133" t="str">
        <f>IFERROR(VLOOKUP(TableHandbook[[#This Row],[UDC]],TableOGHRIGHT[],7,FALSE),"")</f>
        <v/>
      </c>
      <c r="AE102" s="133" t="str">
        <f>IFERROR(VLOOKUP(TableHandbook[[#This Row],[UDC]],TableOMHRIGHT[],7,FALSE),"")</f>
        <v/>
      </c>
    </row>
    <row r="103" spans="1:31" x14ac:dyDescent="0.25">
      <c r="A103" s="180" t="s">
        <v>519</v>
      </c>
      <c r="B103" s="1">
        <v>1</v>
      </c>
      <c r="C103" s="1"/>
      <c r="D103" t="s">
        <v>520</v>
      </c>
      <c r="E103" s="1">
        <v>200</v>
      </c>
      <c r="F103" s="132"/>
      <c r="G103" s="134" t="str">
        <f>IFERROR(IF(_xlfn.XLOOKUP(TableHandbook[[#This Row],[UDC]],TableAvailabilities[Row Labels],TableAvailabilities[OpenUnis Session 1])&gt;0,"Y",""),"")</f>
        <v/>
      </c>
      <c r="H103" s="134" t="str">
        <f>IFERROR(IF(_xlfn.XLOOKUP(TableHandbook[[#This Row],[UDC]],TableAvailabilities[Row Labels],TableAvailabilities[OpenUnis Session 2])&gt;0,"Y",""),"")</f>
        <v/>
      </c>
      <c r="I103" s="134" t="str">
        <f>IFERROR(IF(_xlfn.XLOOKUP(TableHandbook[[#This Row],[UDC]],TableAvailabilities[Row Labels],TableAvailabilities[OpenUnis SP 1])&gt;0,"Y",""),"")</f>
        <v/>
      </c>
      <c r="J103" s="134" t="str">
        <f>IFERROR(IF(_xlfn.XLOOKUP(TableHandbook[[#This Row],[UDC]],TableAvailabilities[Row Labels],TableAvailabilities[OpenUnis SP 2])&gt;0,"Y",""),"")</f>
        <v/>
      </c>
      <c r="K103" s="134" t="str">
        <f>IFERROR(IF(_xlfn.XLOOKUP(TableHandbook[[#This Row],[UDC]],TableAvailabilities[Row Labels],TableAvailabilities[OpenUnis SP 3])&gt;0,"Y",""),"")</f>
        <v/>
      </c>
      <c r="L103" s="134" t="str">
        <f>IFERROR(IF(_xlfn.XLOOKUP(TableHandbook[[#This Row],[UDC]],TableAvailabilities[Row Labels],TableAvailabilities[OpenUnis SP 4])&gt;0,"Y",""),"")</f>
        <v/>
      </c>
      <c r="N103" s="133" t="str">
        <f>IFERROR(VLOOKUP(TableHandbook[[#This Row],[UDC]],TableOMARTS[],7,FALSE),"")</f>
        <v/>
      </c>
      <c r="O103" s="133" t="str">
        <f>IFERROR(VLOOKUP(TableHandbook[[#This Row],[UDC]],TableOUMPCWRI4[],7,FALSE),"")</f>
        <v/>
      </c>
      <c r="P103" s="133" t="str">
        <f>IFERROR(VLOOKUP(TableHandbook[[#This Row],[UDC]],TableOUMPDGCM1[],7,FALSE),"")</f>
        <v/>
      </c>
      <c r="Q103" s="133" t="str">
        <f>IFERROR(VLOOKUP(TableHandbook[[#This Row],[UDC]],TableOUMPFINA1[],7,FALSE),"")</f>
        <v/>
      </c>
      <c r="R103" s="133" t="str">
        <f>IFERROR(VLOOKUP(TableHandbook[[#This Row],[UDC]],TableOUMPPWRI4[],7,FALSE),"")</f>
        <v/>
      </c>
      <c r="S103" s="175" t="str">
        <f>IFERROR(VLOOKUP(TableHandbook[[#This Row],[UDC]],TableOGARTS[],7,FALSE),"")</f>
        <v>AltCore</v>
      </c>
      <c r="T103" s="133" t="str">
        <f>IFERROR(VLOOKUP(TableHandbook[[#This Row],[UDC]],TableOUMPCWRI3[],7,FALSE),"")</f>
        <v/>
      </c>
      <c r="U103" s="133" t="str">
        <f>IFERROR(VLOOKUP(TableHandbook[[#This Row],[UDC]],TableOUMPDGCM2[],7,FALSE),"")</f>
        <v/>
      </c>
      <c r="V103" s="133" t="str">
        <f>IFERROR(VLOOKUP(TableHandbook[[#This Row],[UDC]],TableOUMPFINA2[],7,FALSE),"")</f>
        <v/>
      </c>
      <c r="W103" s="133" t="str">
        <f>IFERROR(VLOOKUP(TableHandbook[[#This Row],[UDC]],TableOUMPPWRI3[],7,FALSE),"")</f>
        <v/>
      </c>
      <c r="X103" s="175" t="str">
        <f>IFERROR(VLOOKUP(TableHandbook[[#This Row],[UDC]],TableOCARTS[],7,FALSE),"")</f>
        <v/>
      </c>
      <c r="Y103" s="133" t="str">
        <f>IFERROR(VLOOKUP(TableHandbook[[#This Row],[UDC]],TableOUSPCWRI1[],7,FALSE),"")</f>
        <v/>
      </c>
      <c r="Z103" s="133" t="str">
        <f>IFERROR(VLOOKUP(TableHandbook[[#This Row],[UDC]],TableOUSPDGCM1[],7,FALSE),"")</f>
        <v/>
      </c>
      <c r="AA103" s="133" t="str">
        <f>IFERROR(VLOOKUP(TableHandbook[[#This Row],[UDC]],TableOUSPFINA1[],7,FALSE),"")</f>
        <v/>
      </c>
      <c r="AB103" s="133" t="str">
        <f>IFERROR(VLOOKUP(TableHandbook[[#This Row],[UDC]],TableOUSPPWRI1[],7,FALSE),"")</f>
        <v/>
      </c>
      <c r="AC103" s="175" t="str">
        <f>IFERROR(VLOOKUP(TableHandbook[[#This Row],[UDC]],TableOCHRIGHT[],7,FALSE),"")</f>
        <v/>
      </c>
      <c r="AD103" s="133" t="str">
        <f>IFERROR(VLOOKUP(TableHandbook[[#This Row],[UDC]],TableOGHRIGHT[],7,FALSE),"")</f>
        <v/>
      </c>
      <c r="AE103" s="133" t="str">
        <f>IFERROR(VLOOKUP(TableHandbook[[#This Row],[UDC]],TableOMHRIGHT[],7,FALSE),"")</f>
        <v/>
      </c>
    </row>
    <row r="104" spans="1:31" x14ac:dyDescent="0.25">
      <c r="A104" t="s">
        <v>82</v>
      </c>
      <c r="B104" s="1">
        <v>1</v>
      </c>
      <c r="C104" s="1"/>
      <c r="D104" t="s">
        <v>81</v>
      </c>
      <c r="E104" s="1">
        <v>400</v>
      </c>
      <c r="F104" s="132"/>
      <c r="G104" s="134" t="str">
        <f>IFERROR(IF(_xlfn.XLOOKUP(TableHandbook[[#This Row],[UDC]],TableAvailabilities[Row Labels],TableAvailabilities[OpenUnis Session 1])&gt;0,"Y",""),"")</f>
        <v/>
      </c>
      <c r="H104" s="134" t="str">
        <f>IFERROR(IF(_xlfn.XLOOKUP(TableHandbook[[#This Row],[UDC]],TableAvailabilities[Row Labels],TableAvailabilities[OpenUnis Session 2])&gt;0,"Y",""),"")</f>
        <v/>
      </c>
      <c r="I104" s="134" t="str">
        <f>IFERROR(IF(_xlfn.XLOOKUP(TableHandbook[[#This Row],[UDC]],TableAvailabilities[Row Labels],TableAvailabilities[OpenUnis SP 1])&gt;0,"Y",""),"")</f>
        <v/>
      </c>
      <c r="J104" s="134" t="str">
        <f>IFERROR(IF(_xlfn.XLOOKUP(TableHandbook[[#This Row],[UDC]],TableAvailabilities[Row Labels],TableAvailabilities[OpenUnis SP 2])&gt;0,"Y",""),"")</f>
        <v/>
      </c>
      <c r="K104" s="134" t="str">
        <f>IFERROR(IF(_xlfn.XLOOKUP(TableHandbook[[#This Row],[UDC]],TableAvailabilities[Row Labels],TableAvailabilities[OpenUnis SP 3])&gt;0,"Y",""),"")</f>
        <v/>
      </c>
      <c r="L104" s="134" t="str">
        <f>IFERROR(IF(_xlfn.XLOOKUP(TableHandbook[[#This Row],[UDC]],TableAvailabilities[Row Labels],TableAvailabilities[OpenUnis SP 4])&gt;0,"Y",""),"")</f>
        <v/>
      </c>
      <c r="N104" s="133" t="str">
        <f>IFERROR(VLOOKUP(TableHandbook[[#This Row],[UDC]],TableOMARTS[],7,FALSE),"")</f>
        <v>Option</v>
      </c>
      <c r="O104" s="133" t="str">
        <f>IFERROR(VLOOKUP(TableHandbook[[#This Row],[UDC]],TableOUMPCWRI4[],7,FALSE),"")</f>
        <v/>
      </c>
      <c r="P104" s="133" t="str">
        <f>IFERROR(VLOOKUP(TableHandbook[[#This Row],[UDC]],TableOUMPDGCM1[],7,FALSE),"")</f>
        <v/>
      </c>
      <c r="Q104" s="133" t="str">
        <f>IFERROR(VLOOKUP(TableHandbook[[#This Row],[UDC]],TableOUMPFINA1[],7,FALSE),"")</f>
        <v/>
      </c>
      <c r="R104" s="133" t="str">
        <f>IFERROR(VLOOKUP(TableHandbook[[#This Row],[UDC]],TableOUMPPWRI4[],7,FALSE),"")</f>
        <v/>
      </c>
      <c r="S104" s="175" t="str">
        <f>IFERROR(VLOOKUP(TableHandbook[[#This Row],[UDC]],TableOGARTS[],7,FALSE),"")</f>
        <v/>
      </c>
      <c r="T104" s="133" t="str">
        <f>IFERROR(VLOOKUP(TableHandbook[[#This Row],[UDC]],TableOUMPCWRI3[],7,FALSE),"")</f>
        <v/>
      </c>
      <c r="U104" s="133" t="str">
        <f>IFERROR(VLOOKUP(TableHandbook[[#This Row],[UDC]],TableOUMPDGCM2[],7,FALSE),"")</f>
        <v/>
      </c>
      <c r="V104" s="133" t="str">
        <f>IFERROR(VLOOKUP(TableHandbook[[#This Row],[UDC]],TableOUMPFINA2[],7,FALSE),"")</f>
        <v/>
      </c>
      <c r="W104" s="133" t="str">
        <f>IFERROR(VLOOKUP(TableHandbook[[#This Row],[UDC]],TableOUMPPWRI3[],7,FALSE),"")</f>
        <v/>
      </c>
      <c r="X104" s="175" t="str">
        <f>IFERROR(VLOOKUP(TableHandbook[[#This Row],[UDC]],TableOCARTS[],7,FALSE),"")</f>
        <v/>
      </c>
      <c r="Y104" s="133" t="str">
        <f>IFERROR(VLOOKUP(TableHandbook[[#This Row],[UDC]],TableOUSPCWRI1[],7,FALSE),"")</f>
        <v/>
      </c>
      <c r="Z104" s="133" t="str">
        <f>IFERROR(VLOOKUP(TableHandbook[[#This Row],[UDC]],TableOUSPDGCM1[],7,FALSE),"")</f>
        <v/>
      </c>
      <c r="AA104" s="133" t="str">
        <f>IFERROR(VLOOKUP(TableHandbook[[#This Row],[UDC]],TableOUSPFINA1[],7,FALSE),"")</f>
        <v/>
      </c>
      <c r="AB104" s="133" t="str">
        <f>IFERROR(VLOOKUP(TableHandbook[[#This Row],[UDC]],TableOUSPPWRI1[],7,FALSE),"")</f>
        <v/>
      </c>
      <c r="AC104" s="175" t="str">
        <f>IFERROR(VLOOKUP(TableHandbook[[#This Row],[UDC]],TableOCHRIGHT[],7,FALSE),"")</f>
        <v/>
      </c>
      <c r="AD104" s="133" t="str">
        <f>IFERROR(VLOOKUP(TableHandbook[[#This Row],[UDC]],TableOGHRIGHT[],7,FALSE),"")</f>
        <v/>
      </c>
      <c r="AE104" s="133" t="str">
        <f>IFERROR(VLOOKUP(TableHandbook[[#This Row],[UDC]],TableOMHRIGHT[],7,FALSE),"")</f>
        <v/>
      </c>
    </row>
    <row r="105" spans="1:31" x14ac:dyDescent="0.25">
      <c r="A105" s="180" t="s">
        <v>89</v>
      </c>
      <c r="B105" s="1">
        <v>2</v>
      </c>
      <c r="C105" s="1"/>
      <c r="D105" t="s">
        <v>88</v>
      </c>
      <c r="E105" s="1">
        <v>100</v>
      </c>
      <c r="F105" s="132"/>
      <c r="G105" s="134" t="str">
        <f>IFERROR(IF(_xlfn.XLOOKUP(TableHandbook[[#This Row],[UDC]],TableAvailabilities[Row Labels],TableAvailabilities[OpenUnis Session 1])&gt;0,"Y",""),"")</f>
        <v/>
      </c>
      <c r="H105" s="134" t="str">
        <f>IFERROR(IF(_xlfn.XLOOKUP(TableHandbook[[#This Row],[UDC]],TableAvailabilities[Row Labels],TableAvailabilities[OpenUnis Session 2])&gt;0,"Y",""),"")</f>
        <v/>
      </c>
      <c r="I105" s="134" t="str">
        <f>IFERROR(IF(_xlfn.XLOOKUP(TableHandbook[[#This Row],[UDC]],TableAvailabilities[Row Labels],TableAvailabilities[OpenUnis SP 1])&gt;0,"Y",""),"")</f>
        <v/>
      </c>
      <c r="J105" s="134" t="str">
        <f>IFERROR(IF(_xlfn.XLOOKUP(TableHandbook[[#This Row],[UDC]],TableAvailabilities[Row Labels],TableAvailabilities[OpenUnis SP 2])&gt;0,"Y",""),"")</f>
        <v/>
      </c>
      <c r="K105" s="134" t="str">
        <f>IFERROR(IF(_xlfn.XLOOKUP(TableHandbook[[#This Row],[UDC]],TableAvailabilities[Row Labels],TableAvailabilities[OpenUnis SP 3])&gt;0,"Y",""),"")</f>
        <v/>
      </c>
      <c r="L105" s="134" t="str">
        <f>IFERROR(IF(_xlfn.XLOOKUP(TableHandbook[[#This Row],[UDC]],TableAvailabilities[Row Labels],TableAvailabilities[OpenUnis SP 4])&gt;0,"Y",""),"")</f>
        <v/>
      </c>
      <c r="M105" t="s">
        <v>453</v>
      </c>
      <c r="N105" s="133" t="str">
        <f>IFERROR(VLOOKUP(TableHandbook[[#This Row],[UDC]],TableOMARTS[],7,FALSE),"")</f>
        <v/>
      </c>
      <c r="O105" s="133" t="str">
        <f>IFERROR(VLOOKUP(TableHandbook[[#This Row],[UDC]],TableOUMPCWRI4[],7,FALSE),"")</f>
        <v/>
      </c>
      <c r="P105" s="133" t="str">
        <f>IFERROR(VLOOKUP(TableHandbook[[#This Row],[UDC]],TableOUMPDGCM1[],7,FALSE),"")</f>
        <v/>
      </c>
      <c r="Q105" s="133" t="str">
        <f>IFERROR(VLOOKUP(TableHandbook[[#This Row],[UDC]],TableOUMPFINA1[],7,FALSE),"")</f>
        <v/>
      </c>
      <c r="R105" s="133" t="str">
        <f>IFERROR(VLOOKUP(TableHandbook[[#This Row],[UDC]],TableOUMPPWRI4[],7,FALSE),"")</f>
        <v/>
      </c>
      <c r="S105" s="175" t="str">
        <f>IFERROR(VLOOKUP(TableHandbook[[#This Row],[UDC]],TableOGARTS[],7,FALSE),"")</f>
        <v/>
      </c>
      <c r="T105" s="133" t="str">
        <f>IFERROR(VLOOKUP(TableHandbook[[#This Row],[UDC]],TableOUMPCWRI3[],7,FALSE),"")</f>
        <v/>
      </c>
      <c r="U105" s="133" t="str">
        <f>IFERROR(VLOOKUP(TableHandbook[[#This Row],[UDC]],TableOUMPDGCM2[],7,FALSE),"")</f>
        <v/>
      </c>
      <c r="V105" s="133" t="str">
        <f>IFERROR(VLOOKUP(TableHandbook[[#This Row],[UDC]],TableOUMPFINA2[],7,FALSE),"")</f>
        <v/>
      </c>
      <c r="W105" s="133" t="str">
        <f>IFERROR(VLOOKUP(TableHandbook[[#This Row],[UDC]],TableOUMPPWRI3[],7,FALSE),"")</f>
        <v/>
      </c>
      <c r="X105" s="175" t="str">
        <f>IFERROR(VLOOKUP(TableHandbook[[#This Row],[UDC]],TableOCARTS[],7,FALSE),"")</f>
        <v>Option</v>
      </c>
      <c r="Y105" s="133" t="str">
        <f>IFERROR(VLOOKUP(TableHandbook[[#This Row],[UDC]],TableOUSPCWRI1[],7,FALSE),"")</f>
        <v/>
      </c>
      <c r="Z105" s="133" t="str">
        <f>IFERROR(VLOOKUP(TableHandbook[[#This Row],[UDC]],TableOUSPDGCM1[],7,FALSE),"")</f>
        <v/>
      </c>
      <c r="AA105" s="133" t="str">
        <f>IFERROR(VLOOKUP(TableHandbook[[#This Row],[UDC]],TableOUSPFINA1[],7,FALSE),"")</f>
        <v/>
      </c>
      <c r="AB105" s="133" t="str">
        <f>IFERROR(VLOOKUP(TableHandbook[[#This Row],[UDC]],TableOUSPPWRI1[],7,FALSE),"")</f>
        <v/>
      </c>
      <c r="AC105" s="175" t="str">
        <f>IFERROR(VLOOKUP(TableHandbook[[#This Row],[UDC]],TableOCHRIGHT[],7,FALSE),"")</f>
        <v/>
      </c>
      <c r="AD105" s="133" t="str">
        <f>IFERROR(VLOOKUP(TableHandbook[[#This Row],[UDC]],TableOGHRIGHT[],7,FALSE),"")</f>
        <v/>
      </c>
      <c r="AE105" s="133" t="str">
        <f>IFERROR(VLOOKUP(TableHandbook[[#This Row],[UDC]],TableOMHRIGHT[],7,FALSE),"")</f>
        <v/>
      </c>
    </row>
    <row r="106" spans="1:31" x14ac:dyDescent="0.25">
      <c r="A106" t="s">
        <v>450</v>
      </c>
      <c r="B106" s="1">
        <v>1</v>
      </c>
      <c r="C106" s="1"/>
      <c r="D106" t="s">
        <v>88</v>
      </c>
      <c r="E106" s="1">
        <v>100</v>
      </c>
      <c r="F106" s="132"/>
      <c r="G106" s="134" t="str">
        <f>IFERROR(IF(_xlfn.XLOOKUP(TableHandbook[[#This Row],[UDC]],TableAvailabilities[Row Labels],TableAvailabilities[OpenUnis Session 1])&gt;0,"Y",""),"")</f>
        <v/>
      </c>
      <c r="H106" s="134" t="str">
        <f>IFERROR(IF(_xlfn.XLOOKUP(TableHandbook[[#This Row],[UDC]],TableAvailabilities[Row Labels],TableAvailabilities[OpenUnis Session 2])&gt;0,"Y",""),"")</f>
        <v/>
      </c>
      <c r="I106" s="134" t="str">
        <f>IFERROR(IF(_xlfn.XLOOKUP(TableHandbook[[#This Row],[UDC]],TableAvailabilities[Row Labels],TableAvailabilities[OpenUnis SP 1])&gt;0,"Y",""),"")</f>
        <v/>
      </c>
      <c r="J106" s="134" t="str">
        <f>IFERROR(IF(_xlfn.XLOOKUP(TableHandbook[[#This Row],[UDC]],TableAvailabilities[Row Labels],TableAvailabilities[OpenUnis SP 2])&gt;0,"Y",""),"")</f>
        <v/>
      </c>
      <c r="K106" s="134" t="str">
        <f>IFERROR(IF(_xlfn.XLOOKUP(TableHandbook[[#This Row],[UDC]],TableAvailabilities[Row Labels],TableAvailabilities[OpenUnis SP 3])&gt;0,"Y",""),"")</f>
        <v/>
      </c>
      <c r="L106" s="134" t="str">
        <f>IFERROR(IF(_xlfn.XLOOKUP(TableHandbook[[#This Row],[UDC]],TableAvailabilities[Row Labels],TableAvailabilities[OpenUnis SP 4])&gt;0,"Y",""),"")</f>
        <v/>
      </c>
      <c r="M106" t="s">
        <v>451</v>
      </c>
      <c r="N106" s="133" t="str">
        <f>IFERROR(VLOOKUP(TableHandbook[[#This Row],[UDC]],TableOMARTS[],7,FALSE),"")</f>
        <v/>
      </c>
      <c r="O106" s="133" t="str">
        <f>IFERROR(VLOOKUP(TableHandbook[[#This Row],[UDC]],TableOUMPCWRI4[],7,FALSE),"")</f>
        <v/>
      </c>
      <c r="P106" s="133" t="str">
        <f>IFERROR(VLOOKUP(TableHandbook[[#This Row],[UDC]],TableOUMPDGCM1[],7,FALSE),"")</f>
        <v/>
      </c>
      <c r="Q106" s="133" t="str">
        <f>IFERROR(VLOOKUP(TableHandbook[[#This Row],[UDC]],TableOUMPFINA1[],7,FALSE),"")</f>
        <v/>
      </c>
      <c r="R106" s="133" t="str">
        <f>IFERROR(VLOOKUP(TableHandbook[[#This Row],[UDC]],TableOUMPPWRI4[],7,FALSE),"")</f>
        <v/>
      </c>
      <c r="S106" s="175" t="str">
        <f>IFERROR(VLOOKUP(TableHandbook[[#This Row],[UDC]],TableOGARTS[],7,FALSE),"")</f>
        <v/>
      </c>
      <c r="T106" s="133" t="str">
        <f>IFERROR(VLOOKUP(TableHandbook[[#This Row],[UDC]],TableOUMPCWRI3[],7,FALSE),"")</f>
        <v/>
      </c>
      <c r="U106" s="133" t="str">
        <f>IFERROR(VLOOKUP(TableHandbook[[#This Row],[UDC]],TableOUMPDGCM2[],7,FALSE),"")</f>
        <v/>
      </c>
      <c r="V106" s="133" t="str">
        <f>IFERROR(VLOOKUP(TableHandbook[[#This Row],[UDC]],TableOUMPFINA2[],7,FALSE),"")</f>
        <v/>
      </c>
      <c r="W106" s="133" t="str">
        <f>IFERROR(VLOOKUP(TableHandbook[[#This Row],[UDC]],TableOUMPPWRI3[],7,FALSE),"")</f>
        <v/>
      </c>
      <c r="X106" s="175" t="str">
        <f>IFERROR(VLOOKUP(TableHandbook[[#This Row],[UDC]],TableOCARTS[],7,FALSE),"")</f>
        <v/>
      </c>
      <c r="Y106" s="133" t="str">
        <f>IFERROR(VLOOKUP(TableHandbook[[#This Row],[UDC]],TableOUSPCWRI1[],7,FALSE),"")</f>
        <v/>
      </c>
      <c r="Z106" s="133" t="str">
        <f>IFERROR(VLOOKUP(TableHandbook[[#This Row],[UDC]],TableOUSPDGCM1[],7,FALSE),"")</f>
        <v/>
      </c>
      <c r="AA106" s="133" t="str">
        <f>IFERROR(VLOOKUP(TableHandbook[[#This Row],[UDC]],TableOUSPFINA1[],7,FALSE),"")</f>
        <v/>
      </c>
      <c r="AB106" s="133" t="str">
        <f>IFERROR(VLOOKUP(TableHandbook[[#This Row],[UDC]],TableOUSPPWRI1[],7,FALSE),"")</f>
        <v/>
      </c>
      <c r="AC106" s="175" t="str">
        <f>IFERROR(VLOOKUP(TableHandbook[[#This Row],[UDC]],TableOCHRIGHT[],7,FALSE),"")</f>
        <v/>
      </c>
      <c r="AD106" s="133" t="str">
        <f>IFERROR(VLOOKUP(TableHandbook[[#This Row],[UDC]],TableOGHRIGHT[],7,FALSE),"")</f>
        <v/>
      </c>
      <c r="AE106" s="133" t="str">
        <f>IFERROR(VLOOKUP(TableHandbook[[#This Row],[UDC]],TableOMHRIGHT[],7,FALSE),"")</f>
        <v/>
      </c>
    </row>
    <row r="107" spans="1:31" x14ac:dyDescent="0.25">
      <c r="A107" t="s">
        <v>90</v>
      </c>
      <c r="B107" s="1">
        <v>1</v>
      </c>
      <c r="C107" s="1"/>
      <c r="D107" t="s">
        <v>39</v>
      </c>
      <c r="E107" s="1">
        <v>100</v>
      </c>
      <c r="F107" s="132"/>
      <c r="G107" s="134" t="str">
        <f>IFERROR(IF(_xlfn.XLOOKUP(TableHandbook[[#This Row],[UDC]],TableAvailabilities[Row Labels],TableAvailabilities[OpenUnis Session 1])&gt;0,"Y",""),"")</f>
        <v/>
      </c>
      <c r="H107" s="134" t="str">
        <f>IFERROR(IF(_xlfn.XLOOKUP(TableHandbook[[#This Row],[UDC]],TableAvailabilities[Row Labels],TableAvailabilities[OpenUnis Session 2])&gt;0,"Y",""),"")</f>
        <v/>
      </c>
      <c r="I107" s="134" t="str">
        <f>IFERROR(IF(_xlfn.XLOOKUP(TableHandbook[[#This Row],[UDC]],TableAvailabilities[Row Labels],TableAvailabilities[OpenUnis SP 1])&gt;0,"Y",""),"")</f>
        <v/>
      </c>
      <c r="J107" s="134" t="str">
        <f>IFERROR(IF(_xlfn.XLOOKUP(TableHandbook[[#This Row],[UDC]],TableAvailabilities[Row Labels],TableAvailabilities[OpenUnis SP 2])&gt;0,"Y",""),"")</f>
        <v/>
      </c>
      <c r="K107" s="134" t="str">
        <f>IFERROR(IF(_xlfn.XLOOKUP(TableHandbook[[#This Row],[UDC]],TableAvailabilities[Row Labels],TableAvailabilities[OpenUnis SP 3])&gt;0,"Y",""),"")</f>
        <v/>
      </c>
      <c r="L107" s="134" t="str">
        <f>IFERROR(IF(_xlfn.XLOOKUP(TableHandbook[[#This Row],[UDC]],TableAvailabilities[Row Labels],TableAvailabilities[OpenUnis SP 4])&gt;0,"Y",""),"")</f>
        <v/>
      </c>
      <c r="N107" s="133" t="str">
        <f>IFERROR(VLOOKUP(TableHandbook[[#This Row],[UDC]],TableOMARTS[],7,FALSE),"")</f>
        <v/>
      </c>
      <c r="O107" s="133" t="str">
        <f>IFERROR(VLOOKUP(TableHandbook[[#This Row],[UDC]],TableOUMPCWRI4[],7,FALSE),"")</f>
        <v/>
      </c>
      <c r="P107" s="133" t="str">
        <f>IFERROR(VLOOKUP(TableHandbook[[#This Row],[UDC]],TableOUMPDGCM1[],7,FALSE),"")</f>
        <v/>
      </c>
      <c r="Q107" s="133" t="str">
        <f>IFERROR(VLOOKUP(TableHandbook[[#This Row],[UDC]],TableOUMPFINA1[],7,FALSE),"")</f>
        <v/>
      </c>
      <c r="R107" s="133" t="str">
        <f>IFERROR(VLOOKUP(TableHandbook[[#This Row],[UDC]],TableOUMPPWRI4[],7,FALSE),"")</f>
        <v/>
      </c>
      <c r="S107" s="175" t="str">
        <f>IFERROR(VLOOKUP(TableHandbook[[#This Row],[UDC]],TableOGARTS[],7,FALSE),"")</f>
        <v/>
      </c>
      <c r="T107" s="133" t="str">
        <f>IFERROR(VLOOKUP(TableHandbook[[#This Row],[UDC]],TableOUMPCWRI3[],7,FALSE),"")</f>
        <v/>
      </c>
      <c r="U107" s="133" t="str">
        <f>IFERROR(VLOOKUP(TableHandbook[[#This Row],[UDC]],TableOUMPDGCM2[],7,FALSE),"")</f>
        <v/>
      </c>
      <c r="V107" s="133" t="str">
        <f>IFERROR(VLOOKUP(TableHandbook[[#This Row],[UDC]],TableOUMPFINA2[],7,FALSE),"")</f>
        <v/>
      </c>
      <c r="W107" s="133" t="str">
        <f>IFERROR(VLOOKUP(TableHandbook[[#This Row],[UDC]],TableOUMPPWRI3[],7,FALSE),"")</f>
        <v/>
      </c>
      <c r="X107" s="175" t="str">
        <f>IFERROR(VLOOKUP(TableHandbook[[#This Row],[UDC]],TableOCARTS[],7,FALSE),"")</f>
        <v>Option</v>
      </c>
      <c r="Y107" s="133" t="str">
        <f>IFERROR(VLOOKUP(TableHandbook[[#This Row],[UDC]],TableOUSPCWRI1[],7,FALSE),"")</f>
        <v/>
      </c>
      <c r="Z107" s="133" t="str">
        <f>IFERROR(VLOOKUP(TableHandbook[[#This Row],[UDC]],TableOUSPDGCM1[],7,FALSE),"")</f>
        <v/>
      </c>
      <c r="AA107" s="133" t="str">
        <f>IFERROR(VLOOKUP(TableHandbook[[#This Row],[UDC]],TableOUSPFINA1[],7,FALSE),"")</f>
        <v/>
      </c>
      <c r="AB107" s="133" t="str">
        <f>IFERROR(VLOOKUP(TableHandbook[[#This Row],[UDC]],TableOUSPPWRI1[],7,FALSE),"")</f>
        <v/>
      </c>
      <c r="AC107" s="175" t="str">
        <f>IFERROR(VLOOKUP(TableHandbook[[#This Row],[UDC]],TableOCHRIGHT[],7,FALSE),"")</f>
        <v/>
      </c>
      <c r="AD107" s="133" t="str">
        <f>IFERROR(VLOOKUP(TableHandbook[[#This Row],[UDC]],TableOGHRIGHT[],7,FALSE),"")</f>
        <v/>
      </c>
      <c r="AE107" s="133" t="str">
        <f>IFERROR(VLOOKUP(TableHandbook[[#This Row],[UDC]],TableOMHRIGHT[],7,FALSE),"")</f>
        <v/>
      </c>
    </row>
    <row r="108" spans="1:31" x14ac:dyDescent="0.25">
      <c r="A108" t="s">
        <v>92</v>
      </c>
      <c r="B108" s="1">
        <v>1</v>
      </c>
      <c r="C108" s="1"/>
      <c r="D108" t="s">
        <v>91</v>
      </c>
      <c r="E108" s="1">
        <v>100</v>
      </c>
      <c r="F108" s="132"/>
      <c r="G108" s="134" t="str">
        <f>IFERROR(IF(_xlfn.XLOOKUP(TableHandbook[[#This Row],[UDC]],TableAvailabilities[Row Labels],TableAvailabilities[OpenUnis Session 1])&gt;0,"Y",""),"")</f>
        <v/>
      </c>
      <c r="H108" s="134" t="str">
        <f>IFERROR(IF(_xlfn.XLOOKUP(TableHandbook[[#This Row],[UDC]],TableAvailabilities[Row Labels],TableAvailabilities[OpenUnis Session 2])&gt;0,"Y",""),"")</f>
        <v/>
      </c>
      <c r="I108" s="134" t="str">
        <f>IFERROR(IF(_xlfn.XLOOKUP(TableHandbook[[#This Row],[UDC]],TableAvailabilities[Row Labels],TableAvailabilities[OpenUnis SP 1])&gt;0,"Y",""),"")</f>
        <v/>
      </c>
      <c r="J108" s="134" t="str">
        <f>IFERROR(IF(_xlfn.XLOOKUP(TableHandbook[[#This Row],[UDC]],TableAvailabilities[Row Labels],TableAvailabilities[OpenUnis SP 2])&gt;0,"Y",""),"")</f>
        <v/>
      </c>
      <c r="K108" s="134" t="str">
        <f>IFERROR(IF(_xlfn.XLOOKUP(TableHandbook[[#This Row],[UDC]],TableAvailabilities[Row Labels],TableAvailabilities[OpenUnis SP 3])&gt;0,"Y",""),"")</f>
        <v/>
      </c>
      <c r="L108" s="134" t="str">
        <f>IFERROR(IF(_xlfn.XLOOKUP(TableHandbook[[#This Row],[UDC]],TableAvailabilities[Row Labels],TableAvailabilities[OpenUnis SP 4])&gt;0,"Y",""),"")</f>
        <v/>
      </c>
      <c r="N108" s="133" t="str">
        <f>IFERROR(VLOOKUP(TableHandbook[[#This Row],[UDC]],TableOMARTS[],7,FALSE),"")</f>
        <v/>
      </c>
      <c r="O108" s="133" t="str">
        <f>IFERROR(VLOOKUP(TableHandbook[[#This Row],[UDC]],TableOUMPCWRI4[],7,FALSE),"")</f>
        <v/>
      </c>
      <c r="P108" s="133" t="str">
        <f>IFERROR(VLOOKUP(TableHandbook[[#This Row],[UDC]],TableOUMPDGCM1[],7,FALSE),"")</f>
        <v/>
      </c>
      <c r="Q108" s="133" t="str">
        <f>IFERROR(VLOOKUP(TableHandbook[[#This Row],[UDC]],TableOUMPFINA1[],7,FALSE),"")</f>
        <v/>
      </c>
      <c r="R108" s="133" t="str">
        <f>IFERROR(VLOOKUP(TableHandbook[[#This Row],[UDC]],TableOUMPPWRI4[],7,FALSE),"")</f>
        <v/>
      </c>
      <c r="S108" s="175" t="str">
        <f>IFERROR(VLOOKUP(TableHandbook[[#This Row],[UDC]],TableOGARTS[],7,FALSE),"")</f>
        <v/>
      </c>
      <c r="T108" s="133" t="str">
        <f>IFERROR(VLOOKUP(TableHandbook[[#This Row],[UDC]],TableOUMPCWRI3[],7,FALSE),"")</f>
        <v/>
      </c>
      <c r="U108" s="133" t="str">
        <f>IFERROR(VLOOKUP(TableHandbook[[#This Row],[UDC]],TableOUMPDGCM2[],7,FALSE),"")</f>
        <v/>
      </c>
      <c r="V108" s="133" t="str">
        <f>IFERROR(VLOOKUP(TableHandbook[[#This Row],[UDC]],TableOUMPFINA2[],7,FALSE),"")</f>
        <v/>
      </c>
      <c r="W108" s="133" t="str">
        <f>IFERROR(VLOOKUP(TableHandbook[[#This Row],[UDC]],TableOUMPPWRI3[],7,FALSE),"")</f>
        <v/>
      </c>
      <c r="X108" s="175" t="str">
        <f>IFERROR(VLOOKUP(TableHandbook[[#This Row],[UDC]],TableOCARTS[],7,FALSE),"")</f>
        <v>Option</v>
      </c>
      <c r="Y108" s="133" t="str">
        <f>IFERROR(VLOOKUP(TableHandbook[[#This Row],[UDC]],TableOUSPCWRI1[],7,FALSE),"")</f>
        <v/>
      </c>
      <c r="Z108" s="133" t="str">
        <f>IFERROR(VLOOKUP(TableHandbook[[#This Row],[UDC]],TableOUSPDGCM1[],7,FALSE),"")</f>
        <v/>
      </c>
      <c r="AA108" s="133" t="str">
        <f>IFERROR(VLOOKUP(TableHandbook[[#This Row],[UDC]],TableOUSPFINA1[],7,FALSE),"")</f>
        <v/>
      </c>
      <c r="AB108" s="133" t="str">
        <f>IFERROR(VLOOKUP(TableHandbook[[#This Row],[UDC]],TableOUSPPWRI1[],7,FALSE),"")</f>
        <v/>
      </c>
      <c r="AC108" s="175" t="str">
        <f>IFERROR(VLOOKUP(TableHandbook[[#This Row],[UDC]],TableOCHRIGHT[],7,FALSE),"")</f>
        <v/>
      </c>
      <c r="AD108" s="133" t="str">
        <f>IFERROR(VLOOKUP(TableHandbook[[#This Row],[UDC]],TableOGHRIGHT[],7,FALSE),"")</f>
        <v/>
      </c>
      <c r="AE108" s="133" t="str">
        <f>IFERROR(VLOOKUP(TableHandbook[[#This Row],[UDC]],TableOMHRIGHT[],7,FALSE),"")</f>
        <v/>
      </c>
    </row>
    <row r="109" spans="1:31" x14ac:dyDescent="0.25">
      <c r="A109" s="180" t="s">
        <v>94</v>
      </c>
      <c r="B109" s="1">
        <v>2</v>
      </c>
      <c r="C109" s="1"/>
      <c r="D109" t="s">
        <v>93</v>
      </c>
      <c r="E109" s="1">
        <v>100</v>
      </c>
      <c r="F109" s="132"/>
      <c r="G109" s="134" t="str">
        <f>IFERROR(IF(_xlfn.XLOOKUP(TableHandbook[[#This Row],[UDC]],TableAvailabilities[Row Labels],TableAvailabilities[OpenUnis Session 1])&gt;0,"Y",""),"")</f>
        <v/>
      </c>
      <c r="H109" s="134" t="str">
        <f>IFERROR(IF(_xlfn.XLOOKUP(TableHandbook[[#This Row],[UDC]],TableAvailabilities[Row Labels],TableAvailabilities[OpenUnis Session 2])&gt;0,"Y",""),"")</f>
        <v/>
      </c>
      <c r="I109" s="134" t="str">
        <f>IFERROR(IF(_xlfn.XLOOKUP(TableHandbook[[#This Row],[UDC]],TableAvailabilities[Row Labels],TableAvailabilities[OpenUnis SP 1])&gt;0,"Y",""),"")</f>
        <v/>
      </c>
      <c r="J109" s="134" t="str">
        <f>IFERROR(IF(_xlfn.XLOOKUP(TableHandbook[[#This Row],[UDC]],TableAvailabilities[Row Labels],TableAvailabilities[OpenUnis SP 2])&gt;0,"Y",""),"")</f>
        <v/>
      </c>
      <c r="K109" s="134" t="str">
        <f>IFERROR(IF(_xlfn.XLOOKUP(TableHandbook[[#This Row],[UDC]],TableAvailabilities[Row Labels],TableAvailabilities[OpenUnis SP 3])&gt;0,"Y",""),"")</f>
        <v/>
      </c>
      <c r="L109" s="134" t="str">
        <f>IFERROR(IF(_xlfn.XLOOKUP(TableHandbook[[#This Row],[UDC]],TableAvailabilities[Row Labels],TableAvailabilities[OpenUnis SP 4])&gt;0,"Y",""),"")</f>
        <v/>
      </c>
      <c r="M109" t="s">
        <v>453</v>
      </c>
      <c r="N109" s="133" t="str">
        <f>IFERROR(VLOOKUP(TableHandbook[[#This Row],[UDC]],TableOMARTS[],7,FALSE),"")</f>
        <v/>
      </c>
      <c r="O109" s="133" t="str">
        <f>IFERROR(VLOOKUP(TableHandbook[[#This Row],[UDC]],TableOUMPCWRI4[],7,FALSE),"")</f>
        <v/>
      </c>
      <c r="P109" s="133" t="str">
        <f>IFERROR(VLOOKUP(TableHandbook[[#This Row],[UDC]],TableOUMPDGCM1[],7,FALSE),"")</f>
        <v/>
      </c>
      <c r="Q109" s="133" t="str">
        <f>IFERROR(VLOOKUP(TableHandbook[[#This Row],[UDC]],TableOUMPFINA1[],7,FALSE),"")</f>
        <v/>
      </c>
      <c r="R109" s="133" t="str">
        <f>IFERROR(VLOOKUP(TableHandbook[[#This Row],[UDC]],TableOUMPPWRI4[],7,FALSE),"")</f>
        <v/>
      </c>
      <c r="S109" s="175" t="str">
        <f>IFERROR(VLOOKUP(TableHandbook[[#This Row],[UDC]],TableOGARTS[],7,FALSE),"")</f>
        <v/>
      </c>
      <c r="T109" s="133" t="str">
        <f>IFERROR(VLOOKUP(TableHandbook[[#This Row],[UDC]],TableOUMPCWRI3[],7,FALSE),"")</f>
        <v/>
      </c>
      <c r="U109" s="133" t="str">
        <f>IFERROR(VLOOKUP(TableHandbook[[#This Row],[UDC]],TableOUMPDGCM2[],7,FALSE),"")</f>
        <v/>
      </c>
      <c r="V109" s="133" t="str">
        <f>IFERROR(VLOOKUP(TableHandbook[[#This Row],[UDC]],TableOUMPFINA2[],7,FALSE),"")</f>
        <v/>
      </c>
      <c r="W109" s="133" t="str">
        <f>IFERROR(VLOOKUP(TableHandbook[[#This Row],[UDC]],TableOUMPPWRI3[],7,FALSE),"")</f>
        <v/>
      </c>
      <c r="X109" s="175" t="str">
        <f>IFERROR(VLOOKUP(TableHandbook[[#This Row],[UDC]],TableOCARTS[],7,FALSE),"")</f>
        <v>Option</v>
      </c>
      <c r="Y109" s="133" t="str">
        <f>IFERROR(VLOOKUP(TableHandbook[[#This Row],[UDC]],TableOUSPCWRI1[],7,FALSE),"")</f>
        <v/>
      </c>
      <c r="Z109" s="133" t="str">
        <f>IFERROR(VLOOKUP(TableHandbook[[#This Row],[UDC]],TableOUSPDGCM1[],7,FALSE),"")</f>
        <v/>
      </c>
      <c r="AA109" s="133" t="str">
        <f>IFERROR(VLOOKUP(TableHandbook[[#This Row],[UDC]],TableOUSPFINA1[],7,FALSE),"")</f>
        <v/>
      </c>
      <c r="AB109" s="133" t="str">
        <f>IFERROR(VLOOKUP(TableHandbook[[#This Row],[UDC]],TableOUSPPWRI1[],7,FALSE),"")</f>
        <v/>
      </c>
      <c r="AC109" s="175" t="str">
        <f>IFERROR(VLOOKUP(TableHandbook[[#This Row],[UDC]],TableOCHRIGHT[],7,FALSE),"")</f>
        <v/>
      </c>
      <c r="AD109" s="133" t="str">
        <f>IFERROR(VLOOKUP(TableHandbook[[#This Row],[UDC]],TableOGHRIGHT[],7,FALSE),"")</f>
        <v/>
      </c>
      <c r="AE109" s="133" t="str">
        <f>IFERROR(VLOOKUP(TableHandbook[[#This Row],[UDC]],TableOMHRIGHT[],7,FALSE),"")</f>
        <v/>
      </c>
    </row>
    <row r="110" spans="1:31" x14ac:dyDescent="0.25">
      <c r="A110" t="s">
        <v>452</v>
      </c>
      <c r="B110" s="1">
        <v>1</v>
      </c>
      <c r="C110" s="1"/>
      <c r="D110" t="s">
        <v>93</v>
      </c>
      <c r="E110" s="1">
        <v>100</v>
      </c>
      <c r="F110" s="132"/>
      <c r="G110" s="134" t="str">
        <f>IFERROR(IF(_xlfn.XLOOKUP(TableHandbook[[#This Row],[UDC]],TableAvailabilities[Row Labels],TableAvailabilities[OpenUnis Session 1])&gt;0,"Y",""),"")</f>
        <v/>
      </c>
      <c r="H110" s="134" t="str">
        <f>IFERROR(IF(_xlfn.XLOOKUP(TableHandbook[[#This Row],[UDC]],TableAvailabilities[Row Labels],TableAvailabilities[OpenUnis Session 2])&gt;0,"Y",""),"")</f>
        <v/>
      </c>
      <c r="I110" s="134" t="str">
        <f>IFERROR(IF(_xlfn.XLOOKUP(TableHandbook[[#This Row],[UDC]],TableAvailabilities[Row Labels],TableAvailabilities[OpenUnis SP 1])&gt;0,"Y",""),"")</f>
        <v/>
      </c>
      <c r="J110" s="134" t="str">
        <f>IFERROR(IF(_xlfn.XLOOKUP(TableHandbook[[#This Row],[UDC]],TableAvailabilities[Row Labels],TableAvailabilities[OpenUnis SP 2])&gt;0,"Y",""),"")</f>
        <v/>
      </c>
      <c r="K110" s="134" t="str">
        <f>IFERROR(IF(_xlfn.XLOOKUP(TableHandbook[[#This Row],[UDC]],TableAvailabilities[Row Labels],TableAvailabilities[OpenUnis SP 3])&gt;0,"Y",""),"")</f>
        <v/>
      </c>
      <c r="L110" s="134" t="str">
        <f>IFERROR(IF(_xlfn.XLOOKUP(TableHandbook[[#This Row],[UDC]],TableAvailabilities[Row Labels],TableAvailabilities[OpenUnis SP 4])&gt;0,"Y",""),"")</f>
        <v/>
      </c>
      <c r="M110" t="s">
        <v>451</v>
      </c>
      <c r="N110" s="133" t="str">
        <f>IFERROR(VLOOKUP(TableHandbook[[#This Row],[UDC]],TableOMARTS[],7,FALSE),"")</f>
        <v/>
      </c>
      <c r="O110" s="133" t="str">
        <f>IFERROR(VLOOKUP(TableHandbook[[#This Row],[UDC]],TableOUMPCWRI4[],7,FALSE),"")</f>
        <v/>
      </c>
      <c r="P110" s="133" t="str">
        <f>IFERROR(VLOOKUP(TableHandbook[[#This Row],[UDC]],TableOUMPDGCM1[],7,FALSE),"")</f>
        <v/>
      </c>
      <c r="Q110" s="133" t="str">
        <f>IFERROR(VLOOKUP(TableHandbook[[#This Row],[UDC]],TableOUMPFINA1[],7,FALSE),"")</f>
        <v/>
      </c>
      <c r="R110" s="133" t="str">
        <f>IFERROR(VLOOKUP(TableHandbook[[#This Row],[UDC]],TableOUMPPWRI4[],7,FALSE),"")</f>
        <v/>
      </c>
      <c r="S110" s="175" t="str">
        <f>IFERROR(VLOOKUP(TableHandbook[[#This Row],[UDC]],TableOGARTS[],7,FALSE),"")</f>
        <v/>
      </c>
      <c r="T110" s="133" t="str">
        <f>IFERROR(VLOOKUP(TableHandbook[[#This Row],[UDC]],TableOUMPCWRI3[],7,FALSE),"")</f>
        <v/>
      </c>
      <c r="U110" s="133" t="str">
        <f>IFERROR(VLOOKUP(TableHandbook[[#This Row],[UDC]],TableOUMPDGCM2[],7,FALSE),"")</f>
        <v/>
      </c>
      <c r="V110" s="133" t="str">
        <f>IFERROR(VLOOKUP(TableHandbook[[#This Row],[UDC]],TableOUMPFINA2[],7,FALSE),"")</f>
        <v/>
      </c>
      <c r="W110" s="133" t="str">
        <f>IFERROR(VLOOKUP(TableHandbook[[#This Row],[UDC]],TableOUMPPWRI3[],7,FALSE),"")</f>
        <v/>
      </c>
      <c r="X110" s="175" t="str">
        <f>IFERROR(VLOOKUP(TableHandbook[[#This Row],[UDC]],TableOCARTS[],7,FALSE),"")</f>
        <v/>
      </c>
      <c r="Y110" s="133" t="str">
        <f>IFERROR(VLOOKUP(TableHandbook[[#This Row],[UDC]],TableOUSPCWRI1[],7,FALSE),"")</f>
        <v/>
      </c>
      <c r="Z110" s="133" t="str">
        <f>IFERROR(VLOOKUP(TableHandbook[[#This Row],[UDC]],TableOUSPDGCM1[],7,FALSE),"")</f>
        <v/>
      </c>
      <c r="AA110" s="133" t="str">
        <f>IFERROR(VLOOKUP(TableHandbook[[#This Row],[UDC]],TableOUSPFINA1[],7,FALSE),"")</f>
        <v/>
      </c>
      <c r="AB110" s="133" t="str">
        <f>IFERROR(VLOOKUP(TableHandbook[[#This Row],[UDC]],TableOUSPPWRI1[],7,FALSE),"")</f>
        <v/>
      </c>
      <c r="AC110" s="175" t="str">
        <f>IFERROR(VLOOKUP(TableHandbook[[#This Row],[UDC]],TableOCHRIGHT[],7,FALSE),"")</f>
        <v/>
      </c>
      <c r="AD110" s="133" t="str">
        <f>IFERROR(VLOOKUP(TableHandbook[[#This Row],[UDC]],TableOGHRIGHT[],7,FALSE),"")</f>
        <v/>
      </c>
      <c r="AE110" s="133" t="str">
        <f>IFERROR(VLOOKUP(TableHandbook[[#This Row],[UDC]],TableOMHRIGHT[],7,FALSE),"")</f>
        <v/>
      </c>
    </row>
    <row r="111" spans="1:31" x14ac:dyDescent="0.25">
      <c r="A111" t="s">
        <v>494</v>
      </c>
      <c r="B111" s="1">
        <v>1</v>
      </c>
      <c r="C111" s="1" t="s">
        <v>340</v>
      </c>
      <c r="D111" t="s">
        <v>305</v>
      </c>
      <c r="E111" s="1">
        <v>25</v>
      </c>
      <c r="F111" s="132" t="s">
        <v>341</v>
      </c>
      <c r="G111" s="134" t="str">
        <f>IFERROR(IF(_xlfn.XLOOKUP(TableHandbook[[#This Row],[UDC]],TableAvailabilities[Row Labels],TableAvailabilities[OpenUnis Session 1])&gt;0,"Y",""),"")</f>
        <v/>
      </c>
      <c r="H111" s="134" t="str">
        <f>IFERROR(IF(_xlfn.XLOOKUP(TableHandbook[[#This Row],[UDC]],TableAvailabilities[Row Labels],TableAvailabilities[OpenUnis Session 2])&gt;0,"Y",""),"")</f>
        <v/>
      </c>
      <c r="I111" s="134" t="str">
        <f>IFERROR(IF(_xlfn.XLOOKUP(TableHandbook[[#This Row],[UDC]],TableAvailabilities[Row Labels],TableAvailabilities[OpenUnis SP 1])&gt;0,"Y",""),"")</f>
        <v/>
      </c>
      <c r="J111" s="134" t="str">
        <f>IFERROR(IF(_xlfn.XLOOKUP(TableHandbook[[#This Row],[UDC]],TableAvailabilities[Row Labels],TableAvailabilities[OpenUnis SP 2])&gt;0,"Y",""),"")</f>
        <v/>
      </c>
      <c r="K111" s="134" t="str">
        <f>IFERROR(IF(_xlfn.XLOOKUP(TableHandbook[[#This Row],[UDC]],TableAvailabilities[Row Labels],TableAvailabilities[OpenUnis SP 3])&gt;0,"Y",""),"")</f>
        <v/>
      </c>
      <c r="L111" s="134" t="str">
        <f>IFERROR(IF(_xlfn.XLOOKUP(TableHandbook[[#This Row],[UDC]],TableAvailabilities[Row Labels],TableAvailabilities[OpenUnis SP 4])&gt;0,"Y",""),"")</f>
        <v/>
      </c>
      <c r="N111" s="133" t="str">
        <f>IFERROR(VLOOKUP(TableHandbook[[#This Row],[UDC]],TableOMARTS[],7,FALSE),"")</f>
        <v/>
      </c>
      <c r="O111" s="133" t="str">
        <f>IFERROR(VLOOKUP(TableHandbook[[#This Row],[UDC]],TableOUMPCWRI4[],7,FALSE),"")</f>
        <v/>
      </c>
      <c r="P111" s="133" t="str">
        <f>IFERROR(VLOOKUP(TableHandbook[[#This Row],[UDC]],TableOUMPDGCM1[],7,FALSE),"")</f>
        <v/>
      </c>
      <c r="Q111" s="133" t="str">
        <f>IFERROR(VLOOKUP(TableHandbook[[#This Row],[UDC]],TableOUMPFINA1[],7,FALSE),"")</f>
        <v/>
      </c>
      <c r="R111" s="133" t="str">
        <f>IFERROR(VLOOKUP(TableHandbook[[#This Row],[UDC]],TableOUMPPWRI4[],7,FALSE),"")</f>
        <v/>
      </c>
      <c r="S111" s="175" t="str">
        <f>IFERROR(VLOOKUP(TableHandbook[[#This Row],[UDC]],TableOGARTS[],7,FALSE),"")</f>
        <v/>
      </c>
      <c r="T111" s="133" t="str">
        <f>IFERROR(VLOOKUP(TableHandbook[[#This Row],[UDC]],TableOUMPCWRI3[],7,FALSE),"")</f>
        <v/>
      </c>
      <c r="U111" s="133" t="str">
        <f>IFERROR(VLOOKUP(TableHandbook[[#This Row],[UDC]],TableOUMPDGCM2[],7,FALSE),"")</f>
        <v/>
      </c>
      <c r="V111" s="133" t="str">
        <f>IFERROR(VLOOKUP(TableHandbook[[#This Row],[UDC]],TableOUMPFINA2[],7,FALSE),"")</f>
        <v/>
      </c>
      <c r="W111" s="133" t="str">
        <f>IFERROR(VLOOKUP(TableHandbook[[#This Row],[UDC]],TableOUMPPWRI3[],7,FALSE),"")</f>
        <v/>
      </c>
      <c r="X111" s="175" t="str">
        <f>IFERROR(VLOOKUP(TableHandbook[[#This Row],[UDC]],TableOCARTS[],7,FALSE),"")</f>
        <v/>
      </c>
      <c r="Y111" s="133" t="str">
        <f>IFERROR(VLOOKUP(TableHandbook[[#This Row],[UDC]],TableOUSPCWRI1[],7,FALSE),"")</f>
        <v/>
      </c>
      <c r="Z111" s="133" t="str">
        <f>IFERROR(VLOOKUP(TableHandbook[[#This Row],[UDC]],TableOUSPDGCM1[],7,FALSE),"")</f>
        <v/>
      </c>
      <c r="AA111" s="133" t="str">
        <f>IFERROR(VLOOKUP(TableHandbook[[#This Row],[UDC]],TableOUSPFINA1[],7,FALSE),"")</f>
        <v/>
      </c>
      <c r="AB111" s="133" t="str">
        <f>IFERROR(VLOOKUP(TableHandbook[[#This Row],[UDC]],TableOUSPPWRI1[],7,FALSE),"")</f>
        <v/>
      </c>
      <c r="AC111" s="175" t="str">
        <f>IFERROR(VLOOKUP(TableHandbook[[#This Row],[UDC]],TableOCHRIGHT[],7,FALSE),"")</f>
        <v/>
      </c>
      <c r="AD111" s="133" t="str">
        <f>IFERROR(VLOOKUP(TableHandbook[[#This Row],[UDC]],TableOGHRIGHT[],7,FALSE),"")</f>
        <v/>
      </c>
      <c r="AE111" s="133" t="str">
        <f>IFERROR(VLOOKUP(TableHandbook[[#This Row],[UDC]],TableOMHRIGHT[],7,FALSE),"")</f>
        <v/>
      </c>
    </row>
    <row r="112" spans="1:31" x14ac:dyDescent="0.25">
      <c r="A112" t="s">
        <v>183</v>
      </c>
      <c r="B112" s="1">
        <v>1</v>
      </c>
      <c r="C112" s="1" t="s">
        <v>342</v>
      </c>
      <c r="D112" t="s">
        <v>343</v>
      </c>
      <c r="E112" s="1">
        <v>25</v>
      </c>
      <c r="F112" s="214" t="s">
        <v>344</v>
      </c>
      <c r="G112" s="134" t="str">
        <f>IFERROR(IF(_xlfn.XLOOKUP(TableHandbook[[#This Row],[UDC]],TableAvailabilities[Row Labels],TableAvailabilities[OpenUnis Session 1])&gt;0,"Y",""),"")</f>
        <v/>
      </c>
      <c r="H112" s="134" t="str">
        <f>IFERROR(IF(_xlfn.XLOOKUP(TableHandbook[[#This Row],[UDC]],TableAvailabilities[Row Labels],TableAvailabilities[OpenUnis Session 2])&gt;0,"Y",""),"")</f>
        <v/>
      </c>
      <c r="I112" s="134" t="str">
        <f>IFERROR(IF(_xlfn.XLOOKUP(TableHandbook[[#This Row],[UDC]],TableAvailabilities[Row Labels],TableAvailabilities[OpenUnis SP 1])&gt;0,"Y",""),"")</f>
        <v/>
      </c>
      <c r="J112" s="134" t="str">
        <f>IFERROR(IF(_xlfn.XLOOKUP(TableHandbook[[#This Row],[UDC]],TableAvailabilities[Row Labels],TableAvailabilities[OpenUnis SP 2])&gt;0,"Y",""),"")</f>
        <v/>
      </c>
      <c r="K112" s="134" t="str">
        <f>IFERROR(IF(_xlfn.XLOOKUP(TableHandbook[[#This Row],[UDC]],TableAvailabilities[Row Labels],TableAvailabilities[OpenUnis SP 3])&gt;0,"Y",""),"")</f>
        <v/>
      </c>
      <c r="L112" s="134" t="str">
        <f>IFERROR(IF(_xlfn.XLOOKUP(TableHandbook[[#This Row],[UDC]],TableAvailabilities[Row Labels],TableAvailabilities[OpenUnis SP 4])&gt;0,"Y",""),"")</f>
        <v/>
      </c>
      <c r="N112" s="133" t="str">
        <f>IFERROR(VLOOKUP(TableHandbook[[#This Row],[UDC]],TableOMARTS[],7,FALSE),"")</f>
        <v/>
      </c>
      <c r="O112" s="133" t="str">
        <f>IFERROR(VLOOKUP(TableHandbook[[#This Row],[UDC]],TableOUMPCWRI4[],7,FALSE),"")</f>
        <v/>
      </c>
      <c r="P112" s="133" t="str">
        <f>IFERROR(VLOOKUP(TableHandbook[[#This Row],[UDC]],TableOUMPDGCM1[],7,FALSE),"")</f>
        <v/>
      </c>
      <c r="Q112" s="133" t="str">
        <f>IFERROR(VLOOKUP(TableHandbook[[#This Row],[UDC]],TableOUMPFINA1[],7,FALSE),"")</f>
        <v/>
      </c>
      <c r="R112" s="133" t="str">
        <f>IFERROR(VLOOKUP(TableHandbook[[#This Row],[UDC]],TableOUMPPWRI4[],7,FALSE),"")</f>
        <v>Option</v>
      </c>
      <c r="S112" s="175" t="str">
        <f>IFERROR(VLOOKUP(TableHandbook[[#This Row],[UDC]],TableOGARTS[],7,FALSE),"")</f>
        <v/>
      </c>
      <c r="T112" s="133" t="str">
        <f>IFERROR(VLOOKUP(TableHandbook[[#This Row],[UDC]],TableOUMPCWRI3[],7,FALSE),"")</f>
        <v/>
      </c>
      <c r="U112" s="133" t="str">
        <f>IFERROR(VLOOKUP(TableHandbook[[#This Row],[UDC]],TableOUMPDGCM2[],7,FALSE),"")</f>
        <v/>
      </c>
      <c r="V112" s="133" t="str">
        <f>IFERROR(VLOOKUP(TableHandbook[[#This Row],[UDC]],TableOUMPFINA2[],7,FALSE),"")</f>
        <v/>
      </c>
      <c r="W112" s="133" t="str">
        <f>IFERROR(VLOOKUP(TableHandbook[[#This Row],[UDC]],TableOUMPPWRI3[],7,FALSE),"")</f>
        <v/>
      </c>
      <c r="X112" s="175" t="str">
        <f>IFERROR(VLOOKUP(TableHandbook[[#This Row],[UDC]],TableOCARTS[],7,FALSE),"")</f>
        <v/>
      </c>
      <c r="Y112" s="133" t="str">
        <f>IFERROR(VLOOKUP(TableHandbook[[#This Row],[UDC]],TableOUSPCWRI1[],7,FALSE),"")</f>
        <v/>
      </c>
      <c r="Z112" s="133" t="str">
        <f>IFERROR(VLOOKUP(TableHandbook[[#This Row],[UDC]],TableOUSPDGCM1[],7,FALSE),"")</f>
        <v/>
      </c>
      <c r="AA112" s="133" t="str">
        <f>IFERROR(VLOOKUP(TableHandbook[[#This Row],[UDC]],TableOUSPFINA1[],7,FALSE),"")</f>
        <v/>
      </c>
      <c r="AB112" s="133" t="str">
        <f>IFERROR(VLOOKUP(TableHandbook[[#This Row],[UDC]],TableOUSPPWRI1[],7,FALSE),"")</f>
        <v/>
      </c>
      <c r="AC112" s="175" t="str">
        <f>IFERROR(VLOOKUP(TableHandbook[[#This Row],[UDC]],TableOCHRIGHT[],7,FALSE),"")</f>
        <v/>
      </c>
      <c r="AD112" s="133" t="str">
        <f>IFERROR(VLOOKUP(TableHandbook[[#This Row],[UDC]],TableOGHRIGHT[],7,FALSE),"")</f>
        <v/>
      </c>
      <c r="AE112" s="133" t="str">
        <f>IFERROR(VLOOKUP(TableHandbook[[#This Row],[UDC]],TableOMHRIGHT[],7,FALSE),"")</f>
        <v/>
      </c>
    </row>
    <row r="113" spans="1:31" x14ac:dyDescent="0.25">
      <c r="A113" t="s">
        <v>490</v>
      </c>
      <c r="B113" s="1">
        <v>1</v>
      </c>
      <c r="C113" s="1" t="s">
        <v>345</v>
      </c>
      <c r="D113" t="s">
        <v>299</v>
      </c>
      <c r="E113" s="1">
        <v>25</v>
      </c>
      <c r="F113" s="132" t="s">
        <v>254</v>
      </c>
      <c r="G113" s="134" t="str">
        <f>IFERROR(IF(_xlfn.XLOOKUP(TableHandbook[[#This Row],[UDC]],TableAvailabilities[Row Labels],TableAvailabilities[OpenUnis Session 1])&gt;0,"Y",""),"")</f>
        <v/>
      </c>
      <c r="H113" s="134" t="str">
        <f>IFERROR(IF(_xlfn.XLOOKUP(TableHandbook[[#This Row],[UDC]],TableAvailabilities[Row Labels],TableAvailabilities[OpenUnis Session 2])&gt;0,"Y",""),"")</f>
        <v/>
      </c>
      <c r="I113" s="134" t="str">
        <f>IFERROR(IF(_xlfn.XLOOKUP(TableHandbook[[#This Row],[UDC]],TableAvailabilities[Row Labels],TableAvailabilities[OpenUnis SP 1])&gt;0,"Y",""),"")</f>
        <v/>
      </c>
      <c r="J113" s="134" t="str">
        <f>IFERROR(IF(_xlfn.XLOOKUP(TableHandbook[[#This Row],[UDC]],TableAvailabilities[Row Labels],TableAvailabilities[OpenUnis SP 2])&gt;0,"Y",""),"")</f>
        <v/>
      </c>
      <c r="K113" s="134" t="str">
        <f>IFERROR(IF(_xlfn.XLOOKUP(TableHandbook[[#This Row],[UDC]],TableAvailabilities[Row Labels],TableAvailabilities[OpenUnis SP 3])&gt;0,"Y",""),"")</f>
        <v/>
      </c>
      <c r="L113" s="134" t="str">
        <f>IFERROR(IF(_xlfn.XLOOKUP(TableHandbook[[#This Row],[UDC]],TableAvailabilities[Row Labels],TableAvailabilities[OpenUnis SP 4])&gt;0,"Y",""),"")</f>
        <v/>
      </c>
      <c r="N113" s="133" t="str">
        <f>IFERROR(VLOOKUP(TableHandbook[[#This Row],[UDC]],TableOMARTS[],7,FALSE),"")</f>
        <v/>
      </c>
      <c r="O113" s="133" t="str">
        <f>IFERROR(VLOOKUP(TableHandbook[[#This Row],[UDC]],TableOUMPCWRI4[],7,FALSE),"")</f>
        <v/>
      </c>
      <c r="P113" s="133" t="str">
        <f>IFERROR(VLOOKUP(TableHandbook[[#This Row],[UDC]],TableOUMPDGCM1[],7,FALSE),"")</f>
        <v/>
      </c>
      <c r="Q113" s="133" t="str">
        <f>IFERROR(VLOOKUP(TableHandbook[[#This Row],[UDC]],TableOUMPFINA1[],7,FALSE),"")</f>
        <v/>
      </c>
      <c r="R113" s="133" t="str">
        <f>IFERROR(VLOOKUP(TableHandbook[[#This Row],[UDC]],TableOUMPPWRI4[],7,FALSE),"")</f>
        <v/>
      </c>
      <c r="S113" s="175" t="str">
        <f>IFERROR(VLOOKUP(TableHandbook[[#This Row],[UDC]],TableOGARTS[],7,FALSE),"")</f>
        <v/>
      </c>
      <c r="T113" s="133" t="str">
        <f>IFERROR(VLOOKUP(TableHandbook[[#This Row],[UDC]],TableOUMPCWRI3[],7,FALSE),"")</f>
        <v/>
      </c>
      <c r="U113" s="133" t="str">
        <f>IFERROR(VLOOKUP(TableHandbook[[#This Row],[UDC]],TableOUMPDGCM2[],7,FALSE),"")</f>
        <v/>
      </c>
      <c r="V113" s="133" t="str">
        <f>IFERROR(VLOOKUP(TableHandbook[[#This Row],[UDC]],TableOUMPFINA2[],7,FALSE),"")</f>
        <v/>
      </c>
      <c r="W113" s="133" t="str">
        <f>IFERROR(VLOOKUP(TableHandbook[[#This Row],[UDC]],TableOUMPPWRI3[],7,FALSE),"")</f>
        <v/>
      </c>
      <c r="X113" s="175" t="str">
        <f>IFERROR(VLOOKUP(TableHandbook[[#This Row],[UDC]],TableOCARTS[],7,FALSE),"")</f>
        <v/>
      </c>
      <c r="Y113" s="133" t="str">
        <f>IFERROR(VLOOKUP(TableHandbook[[#This Row],[UDC]],TableOUSPCWRI1[],7,FALSE),"")</f>
        <v/>
      </c>
      <c r="Z113" s="133" t="str">
        <f>IFERROR(VLOOKUP(TableHandbook[[#This Row],[UDC]],TableOUSPDGCM1[],7,FALSE),"")</f>
        <v/>
      </c>
      <c r="AA113" s="133" t="str">
        <f>IFERROR(VLOOKUP(TableHandbook[[#This Row],[UDC]],TableOUSPFINA1[],7,FALSE),"")</f>
        <v/>
      </c>
      <c r="AB113" s="133" t="str">
        <f>IFERROR(VLOOKUP(TableHandbook[[#This Row],[UDC]],TableOUSPPWRI1[],7,FALSE),"")</f>
        <v/>
      </c>
      <c r="AC113" s="175" t="str">
        <f>IFERROR(VLOOKUP(TableHandbook[[#This Row],[UDC]],TableOCHRIGHT[],7,FALSE),"")</f>
        <v/>
      </c>
      <c r="AD113" s="133" t="str">
        <f>IFERROR(VLOOKUP(TableHandbook[[#This Row],[UDC]],TableOGHRIGHT[],7,FALSE),"")</f>
        <v/>
      </c>
      <c r="AE113" s="133" t="str">
        <f>IFERROR(VLOOKUP(TableHandbook[[#This Row],[UDC]],TableOMHRIGHT[],7,FALSE),"")</f>
        <v/>
      </c>
    </row>
    <row r="114" spans="1:31" x14ac:dyDescent="0.25">
      <c r="A114" t="s">
        <v>493</v>
      </c>
      <c r="B114" s="1">
        <v>1</v>
      </c>
      <c r="C114" s="1" t="s">
        <v>346</v>
      </c>
      <c r="D114" t="s">
        <v>304</v>
      </c>
      <c r="E114" s="1">
        <v>25</v>
      </c>
      <c r="F114" s="132" t="s">
        <v>254</v>
      </c>
      <c r="G114" s="134" t="str">
        <f>IFERROR(IF(_xlfn.XLOOKUP(TableHandbook[[#This Row],[UDC]],TableAvailabilities[Row Labels],TableAvailabilities[OpenUnis Session 1])&gt;0,"Y",""),"")</f>
        <v/>
      </c>
      <c r="H114" s="134" t="str">
        <f>IFERROR(IF(_xlfn.XLOOKUP(TableHandbook[[#This Row],[UDC]],TableAvailabilities[Row Labels],TableAvailabilities[OpenUnis Session 2])&gt;0,"Y",""),"")</f>
        <v/>
      </c>
      <c r="I114" s="134" t="str">
        <f>IFERROR(IF(_xlfn.XLOOKUP(TableHandbook[[#This Row],[UDC]],TableAvailabilities[Row Labels],TableAvailabilities[OpenUnis SP 1])&gt;0,"Y",""),"")</f>
        <v/>
      </c>
      <c r="J114" s="134" t="str">
        <f>IFERROR(IF(_xlfn.XLOOKUP(TableHandbook[[#This Row],[UDC]],TableAvailabilities[Row Labels],TableAvailabilities[OpenUnis SP 2])&gt;0,"Y",""),"")</f>
        <v/>
      </c>
      <c r="K114" s="134" t="str">
        <f>IFERROR(IF(_xlfn.XLOOKUP(TableHandbook[[#This Row],[UDC]],TableAvailabilities[Row Labels],TableAvailabilities[OpenUnis SP 3])&gt;0,"Y",""),"")</f>
        <v/>
      </c>
      <c r="L114" s="134" t="str">
        <f>IFERROR(IF(_xlfn.XLOOKUP(TableHandbook[[#This Row],[UDC]],TableAvailabilities[Row Labels],TableAvailabilities[OpenUnis SP 4])&gt;0,"Y",""),"")</f>
        <v/>
      </c>
      <c r="N114" s="133" t="str">
        <f>IFERROR(VLOOKUP(TableHandbook[[#This Row],[UDC]],TableOMARTS[],7,FALSE),"")</f>
        <v/>
      </c>
      <c r="O114" s="133" t="str">
        <f>IFERROR(VLOOKUP(TableHandbook[[#This Row],[UDC]],TableOUMPCWRI4[],7,FALSE),"")</f>
        <v/>
      </c>
      <c r="P114" s="133" t="str">
        <f>IFERROR(VLOOKUP(TableHandbook[[#This Row],[UDC]],TableOUMPDGCM1[],7,FALSE),"")</f>
        <v/>
      </c>
      <c r="Q114" s="133" t="str">
        <f>IFERROR(VLOOKUP(TableHandbook[[#This Row],[UDC]],TableOUMPFINA1[],7,FALSE),"")</f>
        <v/>
      </c>
      <c r="R114" s="133" t="str">
        <f>IFERROR(VLOOKUP(TableHandbook[[#This Row],[UDC]],TableOUMPPWRI4[],7,FALSE),"")</f>
        <v/>
      </c>
      <c r="S114" s="175" t="str">
        <f>IFERROR(VLOOKUP(TableHandbook[[#This Row],[UDC]],TableOGARTS[],7,FALSE),"")</f>
        <v/>
      </c>
      <c r="T114" s="133" t="str">
        <f>IFERROR(VLOOKUP(TableHandbook[[#This Row],[UDC]],TableOUMPCWRI3[],7,FALSE),"")</f>
        <v/>
      </c>
      <c r="U114" s="133" t="str">
        <f>IFERROR(VLOOKUP(TableHandbook[[#This Row],[UDC]],TableOUMPDGCM2[],7,FALSE),"")</f>
        <v/>
      </c>
      <c r="V114" s="133" t="str">
        <f>IFERROR(VLOOKUP(TableHandbook[[#This Row],[UDC]],TableOUMPFINA2[],7,FALSE),"")</f>
        <v/>
      </c>
      <c r="W114" s="133" t="str">
        <f>IFERROR(VLOOKUP(TableHandbook[[#This Row],[UDC]],TableOUMPPWRI3[],7,FALSE),"")</f>
        <v/>
      </c>
      <c r="X114" s="175" t="str">
        <f>IFERROR(VLOOKUP(TableHandbook[[#This Row],[UDC]],TableOCARTS[],7,FALSE),"")</f>
        <v/>
      </c>
      <c r="Y114" s="133" t="str">
        <f>IFERROR(VLOOKUP(TableHandbook[[#This Row],[UDC]],TableOUSPCWRI1[],7,FALSE),"")</f>
        <v/>
      </c>
      <c r="Z114" s="133" t="str">
        <f>IFERROR(VLOOKUP(TableHandbook[[#This Row],[UDC]],TableOUSPDGCM1[],7,FALSE),"")</f>
        <v/>
      </c>
      <c r="AA114" s="133" t="str">
        <f>IFERROR(VLOOKUP(TableHandbook[[#This Row],[UDC]],TableOUSPFINA1[],7,FALSE),"")</f>
        <v/>
      </c>
      <c r="AB114" s="133" t="str">
        <f>IFERROR(VLOOKUP(TableHandbook[[#This Row],[UDC]],TableOUSPPWRI1[],7,FALSE),"")</f>
        <v/>
      </c>
      <c r="AC114" s="175" t="str">
        <f>IFERROR(VLOOKUP(TableHandbook[[#This Row],[UDC]],TableOCHRIGHT[],7,FALSE),"")</f>
        <v/>
      </c>
      <c r="AD114" s="133" t="str">
        <f>IFERROR(VLOOKUP(TableHandbook[[#This Row],[UDC]],TableOGHRIGHT[],7,FALSE),"")</f>
        <v/>
      </c>
      <c r="AE114" s="133" t="str">
        <f>IFERROR(VLOOKUP(TableHandbook[[#This Row],[UDC]],TableOMHRIGHT[],7,FALSE),"")</f>
        <v/>
      </c>
    </row>
    <row r="115" spans="1:31" x14ac:dyDescent="0.25">
      <c r="A115" t="s">
        <v>489</v>
      </c>
      <c r="B115" s="1">
        <v>1</v>
      </c>
      <c r="C115" s="1" t="s">
        <v>341</v>
      </c>
      <c r="D115" t="s">
        <v>298</v>
      </c>
      <c r="E115" s="1">
        <v>25</v>
      </c>
      <c r="F115" s="132" t="s">
        <v>254</v>
      </c>
      <c r="G115" s="134" t="str">
        <f>IFERROR(IF(_xlfn.XLOOKUP(TableHandbook[[#This Row],[UDC]],TableAvailabilities[Row Labels],TableAvailabilities[OpenUnis Session 1])&gt;0,"Y",""),"")</f>
        <v/>
      </c>
      <c r="H115" s="134" t="str">
        <f>IFERROR(IF(_xlfn.XLOOKUP(TableHandbook[[#This Row],[UDC]],TableAvailabilities[Row Labels],TableAvailabilities[OpenUnis Session 2])&gt;0,"Y",""),"")</f>
        <v/>
      </c>
      <c r="I115" s="134" t="str">
        <f>IFERROR(IF(_xlfn.XLOOKUP(TableHandbook[[#This Row],[UDC]],TableAvailabilities[Row Labels],TableAvailabilities[OpenUnis SP 1])&gt;0,"Y",""),"")</f>
        <v/>
      </c>
      <c r="J115" s="134" t="str">
        <f>IFERROR(IF(_xlfn.XLOOKUP(TableHandbook[[#This Row],[UDC]],TableAvailabilities[Row Labels],TableAvailabilities[OpenUnis SP 2])&gt;0,"Y",""),"")</f>
        <v/>
      </c>
      <c r="K115" s="134" t="str">
        <f>IFERROR(IF(_xlfn.XLOOKUP(TableHandbook[[#This Row],[UDC]],TableAvailabilities[Row Labels],TableAvailabilities[OpenUnis SP 3])&gt;0,"Y",""),"")</f>
        <v/>
      </c>
      <c r="L115" s="134" t="str">
        <f>IFERROR(IF(_xlfn.XLOOKUP(TableHandbook[[#This Row],[UDC]],TableAvailabilities[Row Labels],TableAvailabilities[OpenUnis SP 4])&gt;0,"Y",""),"")</f>
        <v/>
      </c>
      <c r="N115" s="133" t="str">
        <f>IFERROR(VLOOKUP(TableHandbook[[#This Row],[UDC]],TableOMARTS[],7,FALSE),"")</f>
        <v/>
      </c>
      <c r="O115" s="133" t="str">
        <f>IFERROR(VLOOKUP(TableHandbook[[#This Row],[UDC]],TableOUMPCWRI4[],7,FALSE),"")</f>
        <v/>
      </c>
      <c r="P115" s="133" t="str">
        <f>IFERROR(VLOOKUP(TableHandbook[[#This Row],[UDC]],TableOUMPDGCM1[],7,FALSE),"")</f>
        <v/>
      </c>
      <c r="Q115" s="133" t="str">
        <f>IFERROR(VLOOKUP(TableHandbook[[#This Row],[UDC]],TableOUMPFINA1[],7,FALSE),"")</f>
        <v/>
      </c>
      <c r="R115" s="133" t="str">
        <f>IFERROR(VLOOKUP(TableHandbook[[#This Row],[UDC]],TableOUMPPWRI4[],7,FALSE),"")</f>
        <v/>
      </c>
      <c r="S115" s="175" t="str">
        <f>IFERROR(VLOOKUP(TableHandbook[[#This Row],[UDC]],TableOGARTS[],7,FALSE),"")</f>
        <v/>
      </c>
      <c r="T115" s="133" t="str">
        <f>IFERROR(VLOOKUP(TableHandbook[[#This Row],[UDC]],TableOUMPCWRI3[],7,FALSE),"")</f>
        <v/>
      </c>
      <c r="U115" s="133" t="str">
        <f>IFERROR(VLOOKUP(TableHandbook[[#This Row],[UDC]],TableOUMPDGCM2[],7,FALSE),"")</f>
        <v/>
      </c>
      <c r="V115" s="133" t="str">
        <f>IFERROR(VLOOKUP(TableHandbook[[#This Row],[UDC]],TableOUMPFINA2[],7,FALSE),"")</f>
        <v/>
      </c>
      <c r="W115" s="133" t="str">
        <f>IFERROR(VLOOKUP(TableHandbook[[#This Row],[UDC]],TableOUMPPWRI3[],7,FALSE),"")</f>
        <v/>
      </c>
      <c r="X115" s="175" t="str">
        <f>IFERROR(VLOOKUP(TableHandbook[[#This Row],[UDC]],TableOCARTS[],7,FALSE),"")</f>
        <v/>
      </c>
      <c r="Y115" s="133" t="str">
        <f>IFERROR(VLOOKUP(TableHandbook[[#This Row],[UDC]],TableOUSPCWRI1[],7,FALSE),"")</f>
        <v/>
      </c>
      <c r="Z115" s="133" t="str">
        <f>IFERROR(VLOOKUP(TableHandbook[[#This Row],[UDC]],TableOUSPDGCM1[],7,FALSE),"")</f>
        <v/>
      </c>
      <c r="AA115" s="133" t="str">
        <f>IFERROR(VLOOKUP(TableHandbook[[#This Row],[UDC]],TableOUSPFINA1[],7,FALSE),"")</f>
        <v/>
      </c>
      <c r="AB115" s="133" t="str">
        <f>IFERROR(VLOOKUP(TableHandbook[[#This Row],[UDC]],TableOUSPPWRI1[],7,FALSE),"")</f>
        <v/>
      </c>
      <c r="AC115" s="175" t="str">
        <f>IFERROR(VLOOKUP(TableHandbook[[#This Row],[UDC]],TableOCHRIGHT[],7,FALSE),"")</f>
        <v/>
      </c>
      <c r="AD115" s="133" t="str">
        <f>IFERROR(VLOOKUP(TableHandbook[[#This Row],[UDC]],TableOGHRIGHT[],7,FALSE),"")</f>
        <v/>
      </c>
      <c r="AE115" s="133" t="str">
        <f>IFERROR(VLOOKUP(TableHandbook[[#This Row],[UDC]],TableOMHRIGHT[],7,FALSE),"")</f>
        <v/>
      </c>
    </row>
    <row r="116" spans="1:31" x14ac:dyDescent="0.25">
      <c r="A116" t="s">
        <v>491</v>
      </c>
      <c r="B116" s="1">
        <v>1</v>
      </c>
      <c r="C116" s="1" t="s">
        <v>347</v>
      </c>
      <c r="D116" t="s">
        <v>300</v>
      </c>
      <c r="E116" s="1">
        <v>25</v>
      </c>
      <c r="F116" s="132" t="s">
        <v>348</v>
      </c>
      <c r="G116" s="134" t="str">
        <f>IFERROR(IF(_xlfn.XLOOKUP(TableHandbook[[#This Row],[UDC]],TableAvailabilities[Row Labels],TableAvailabilities[OpenUnis Session 1])&gt;0,"Y",""),"")</f>
        <v/>
      </c>
      <c r="H116" s="134" t="str">
        <f>IFERROR(IF(_xlfn.XLOOKUP(TableHandbook[[#This Row],[UDC]],TableAvailabilities[Row Labels],TableAvailabilities[OpenUnis Session 2])&gt;0,"Y",""),"")</f>
        <v/>
      </c>
      <c r="I116" s="134" t="str">
        <f>IFERROR(IF(_xlfn.XLOOKUP(TableHandbook[[#This Row],[UDC]],TableAvailabilities[Row Labels],TableAvailabilities[OpenUnis SP 1])&gt;0,"Y",""),"")</f>
        <v/>
      </c>
      <c r="J116" s="134" t="str">
        <f>IFERROR(IF(_xlfn.XLOOKUP(TableHandbook[[#This Row],[UDC]],TableAvailabilities[Row Labels],TableAvailabilities[OpenUnis SP 2])&gt;0,"Y",""),"")</f>
        <v/>
      </c>
      <c r="K116" s="134" t="str">
        <f>IFERROR(IF(_xlfn.XLOOKUP(TableHandbook[[#This Row],[UDC]],TableAvailabilities[Row Labels],TableAvailabilities[OpenUnis SP 3])&gt;0,"Y",""),"")</f>
        <v/>
      </c>
      <c r="L116" s="134" t="str">
        <f>IFERROR(IF(_xlfn.XLOOKUP(TableHandbook[[#This Row],[UDC]],TableAvailabilities[Row Labels],TableAvailabilities[OpenUnis SP 4])&gt;0,"Y",""),"")</f>
        <v/>
      </c>
      <c r="N116" s="133" t="str">
        <f>IFERROR(VLOOKUP(TableHandbook[[#This Row],[UDC]],TableOMARTS[],7,FALSE),"")</f>
        <v/>
      </c>
      <c r="O116" s="133" t="str">
        <f>IFERROR(VLOOKUP(TableHandbook[[#This Row],[UDC]],TableOUMPCWRI4[],7,FALSE),"")</f>
        <v/>
      </c>
      <c r="P116" s="133" t="str">
        <f>IFERROR(VLOOKUP(TableHandbook[[#This Row],[UDC]],TableOUMPDGCM1[],7,FALSE),"")</f>
        <v/>
      </c>
      <c r="Q116" s="133" t="str">
        <f>IFERROR(VLOOKUP(TableHandbook[[#This Row],[UDC]],TableOUMPFINA1[],7,FALSE),"")</f>
        <v/>
      </c>
      <c r="R116" s="133" t="str">
        <f>IFERROR(VLOOKUP(TableHandbook[[#This Row],[UDC]],TableOUMPPWRI4[],7,FALSE),"")</f>
        <v/>
      </c>
      <c r="S116" s="175" t="str">
        <f>IFERROR(VLOOKUP(TableHandbook[[#This Row],[UDC]],TableOGARTS[],7,FALSE),"")</f>
        <v/>
      </c>
      <c r="T116" s="133" t="str">
        <f>IFERROR(VLOOKUP(TableHandbook[[#This Row],[UDC]],TableOUMPCWRI3[],7,FALSE),"")</f>
        <v/>
      </c>
      <c r="U116" s="133" t="str">
        <f>IFERROR(VLOOKUP(TableHandbook[[#This Row],[UDC]],TableOUMPDGCM2[],7,FALSE),"")</f>
        <v/>
      </c>
      <c r="V116" s="133" t="str">
        <f>IFERROR(VLOOKUP(TableHandbook[[#This Row],[UDC]],TableOUMPFINA2[],7,FALSE),"")</f>
        <v/>
      </c>
      <c r="W116" s="133" t="str">
        <f>IFERROR(VLOOKUP(TableHandbook[[#This Row],[UDC]],TableOUMPPWRI3[],7,FALSE),"")</f>
        <v/>
      </c>
      <c r="X116" s="175" t="str">
        <f>IFERROR(VLOOKUP(TableHandbook[[#This Row],[UDC]],TableOCARTS[],7,FALSE),"")</f>
        <v/>
      </c>
      <c r="Y116" s="133" t="str">
        <f>IFERROR(VLOOKUP(TableHandbook[[#This Row],[UDC]],TableOUSPCWRI1[],7,FALSE),"")</f>
        <v/>
      </c>
      <c r="Z116" s="133" t="str">
        <f>IFERROR(VLOOKUP(TableHandbook[[#This Row],[UDC]],TableOUSPDGCM1[],7,FALSE),"")</f>
        <v/>
      </c>
      <c r="AA116" s="133" t="str">
        <f>IFERROR(VLOOKUP(TableHandbook[[#This Row],[UDC]],TableOUSPFINA1[],7,FALSE),"")</f>
        <v/>
      </c>
      <c r="AB116" s="133" t="str">
        <f>IFERROR(VLOOKUP(TableHandbook[[#This Row],[UDC]],TableOUSPPWRI1[],7,FALSE),"")</f>
        <v/>
      </c>
      <c r="AC116" s="175" t="str">
        <f>IFERROR(VLOOKUP(TableHandbook[[#This Row],[UDC]],TableOCHRIGHT[],7,FALSE),"")</f>
        <v/>
      </c>
      <c r="AD116" s="133" t="str">
        <f>IFERROR(VLOOKUP(TableHandbook[[#This Row],[UDC]],TableOGHRIGHT[],7,FALSE),"")</f>
        <v/>
      </c>
      <c r="AE116" s="133" t="str">
        <f>IFERROR(VLOOKUP(TableHandbook[[#This Row],[UDC]],TableOMHRIGHT[],7,FALSE),"")</f>
        <v/>
      </c>
    </row>
    <row r="117" spans="1:31" x14ac:dyDescent="0.25">
      <c r="A117" t="s">
        <v>492</v>
      </c>
      <c r="B117" s="1">
        <v>1</v>
      </c>
      <c r="C117" s="1" t="s">
        <v>350</v>
      </c>
      <c r="D117" t="s">
        <v>302</v>
      </c>
      <c r="E117" s="1">
        <v>25</v>
      </c>
      <c r="F117" s="132" t="s">
        <v>347</v>
      </c>
      <c r="G117" s="134" t="str">
        <f>IFERROR(IF(_xlfn.XLOOKUP(TableHandbook[[#This Row],[UDC]],TableAvailabilities[Row Labels],TableAvailabilities[OpenUnis Session 1])&gt;0,"Y",""),"")</f>
        <v/>
      </c>
      <c r="H117" s="134" t="str">
        <f>IFERROR(IF(_xlfn.XLOOKUP(TableHandbook[[#This Row],[UDC]],TableAvailabilities[Row Labels],TableAvailabilities[OpenUnis Session 2])&gt;0,"Y",""),"")</f>
        <v/>
      </c>
      <c r="I117" s="134" t="str">
        <f>IFERROR(IF(_xlfn.XLOOKUP(TableHandbook[[#This Row],[UDC]],TableAvailabilities[Row Labels],TableAvailabilities[OpenUnis SP 1])&gt;0,"Y",""),"")</f>
        <v/>
      </c>
      <c r="J117" s="134" t="str">
        <f>IFERROR(IF(_xlfn.XLOOKUP(TableHandbook[[#This Row],[UDC]],TableAvailabilities[Row Labels],TableAvailabilities[OpenUnis SP 2])&gt;0,"Y",""),"")</f>
        <v/>
      </c>
      <c r="K117" s="134" t="str">
        <f>IFERROR(IF(_xlfn.XLOOKUP(TableHandbook[[#This Row],[UDC]],TableAvailabilities[Row Labels],TableAvailabilities[OpenUnis SP 3])&gt;0,"Y",""),"")</f>
        <v/>
      </c>
      <c r="L117" s="134" t="str">
        <f>IFERROR(IF(_xlfn.XLOOKUP(TableHandbook[[#This Row],[UDC]],TableAvailabilities[Row Labels],TableAvailabilities[OpenUnis SP 4])&gt;0,"Y",""),"")</f>
        <v/>
      </c>
      <c r="N117" s="133" t="str">
        <f>IFERROR(VLOOKUP(TableHandbook[[#This Row],[UDC]],TableOMARTS[],7,FALSE),"")</f>
        <v/>
      </c>
      <c r="O117" s="133" t="str">
        <f>IFERROR(VLOOKUP(TableHandbook[[#This Row],[UDC]],TableOUMPCWRI4[],7,FALSE),"")</f>
        <v/>
      </c>
      <c r="P117" s="133" t="str">
        <f>IFERROR(VLOOKUP(TableHandbook[[#This Row],[UDC]],TableOUMPDGCM1[],7,FALSE),"")</f>
        <v/>
      </c>
      <c r="Q117" s="133" t="str">
        <f>IFERROR(VLOOKUP(TableHandbook[[#This Row],[UDC]],TableOUMPFINA1[],7,FALSE),"")</f>
        <v/>
      </c>
      <c r="R117" s="133" t="str">
        <f>IFERROR(VLOOKUP(TableHandbook[[#This Row],[UDC]],TableOUMPPWRI4[],7,FALSE),"")</f>
        <v/>
      </c>
      <c r="S117" s="175" t="str">
        <f>IFERROR(VLOOKUP(TableHandbook[[#This Row],[UDC]],TableOGARTS[],7,FALSE),"")</f>
        <v/>
      </c>
      <c r="T117" s="133" t="str">
        <f>IFERROR(VLOOKUP(TableHandbook[[#This Row],[UDC]],TableOUMPCWRI3[],7,FALSE),"")</f>
        <v/>
      </c>
      <c r="U117" s="133" t="str">
        <f>IFERROR(VLOOKUP(TableHandbook[[#This Row],[UDC]],TableOUMPDGCM2[],7,FALSE),"")</f>
        <v/>
      </c>
      <c r="V117" s="133" t="str">
        <f>IFERROR(VLOOKUP(TableHandbook[[#This Row],[UDC]],TableOUMPFINA2[],7,FALSE),"")</f>
        <v/>
      </c>
      <c r="W117" s="133" t="str">
        <f>IFERROR(VLOOKUP(TableHandbook[[#This Row],[UDC]],TableOUMPPWRI3[],7,FALSE),"")</f>
        <v/>
      </c>
      <c r="X117" s="175" t="str">
        <f>IFERROR(VLOOKUP(TableHandbook[[#This Row],[UDC]],TableOCARTS[],7,FALSE),"")</f>
        <v/>
      </c>
      <c r="Y117" s="133" t="str">
        <f>IFERROR(VLOOKUP(TableHandbook[[#This Row],[UDC]],TableOUSPCWRI1[],7,FALSE),"")</f>
        <v/>
      </c>
      <c r="Z117" s="133" t="str">
        <f>IFERROR(VLOOKUP(TableHandbook[[#This Row],[UDC]],TableOUSPDGCM1[],7,FALSE),"")</f>
        <v/>
      </c>
      <c r="AA117" s="133" t="str">
        <f>IFERROR(VLOOKUP(TableHandbook[[#This Row],[UDC]],TableOUSPFINA1[],7,FALSE),"")</f>
        <v/>
      </c>
      <c r="AB117" s="133" t="str">
        <f>IFERROR(VLOOKUP(TableHandbook[[#This Row],[UDC]],TableOUSPPWRI1[],7,FALSE),"")</f>
        <v/>
      </c>
      <c r="AC117" s="175" t="str">
        <f>IFERROR(VLOOKUP(TableHandbook[[#This Row],[UDC]],TableOCHRIGHT[],7,FALSE),"")</f>
        <v/>
      </c>
      <c r="AD117" s="133" t="str">
        <f>IFERROR(VLOOKUP(TableHandbook[[#This Row],[UDC]],TableOGHRIGHT[],7,FALSE),"")</f>
        <v/>
      </c>
      <c r="AE117" s="133" t="str">
        <f>IFERROR(VLOOKUP(TableHandbook[[#This Row],[UDC]],TableOMHRIGHT[],7,FALSE),"")</f>
        <v/>
      </c>
    </row>
    <row r="118" spans="1:31" x14ac:dyDescent="0.25">
      <c r="A118" t="s">
        <v>169</v>
      </c>
      <c r="B118" s="1">
        <v>1</v>
      </c>
      <c r="C118" s="1" t="s">
        <v>351</v>
      </c>
      <c r="D118" t="s">
        <v>352</v>
      </c>
      <c r="E118" s="1">
        <v>25</v>
      </c>
      <c r="F118" s="214" t="s">
        <v>254</v>
      </c>
      <c r="G118" s="134" t="str">
        <f>IFERROR(IF(_xlfn.XLOOKUP(TableHandbook[[#This Row],[UDC]],TableAvailabilities[Row Labels],TableAvailabilities[OpenUnis Session 1])&gt;0,"Y",""),"")</f>
        <v/>
      </c>
      <c r="H118" s="134" t="str">
        <f>IFERROR(IF(_xlfn.XLOOKUP(TableHandbook[[#This Row],[UDC]],TableAvailabilities[Row Labels],TableAvailabilities[OpenUnis Session 2])&gt;0,"Y",""),"")</f>
        <v/>
      </c>
      <c r="I118" s="134" t="str">
        <f>IFERROR(IF(_xlfn.XLOOKUP(TableHandbook[[#This Row],[UDC]],TableAvailabilities[Row Labels],TableAvailabilities[OpenUnis SP 1])&gt;0,"Y",""),"")</f>
        <v>Y</v>
      </c>
      <c r="J118" s="134" t="str">
        <f>IFERROR(IF(_xlfn.XLOOKUP(TableHandbook[[#This Row],[UDC]],TableAvailabilities[Row Labels],TableAvailabilities[OpenUnis SP 2])&gt;0,"Y",""),"")</f>
        <v/>
      </c>
      <c r="K118" s="134" t="str">
        <f>IFERROR(IF(_xlfn.XLOOKUP(TableHandbook[[#This Row],[UDC]],TableAvailabilities[Row Labels],TableAvailabilities[OpenUnis SP 3])&gt;0,"Y",""),"")</f>
        <v/>
      </c>
      <c r="L118" s="134" t="str">
        <f>IFERROR(IF(_xlfn.XLOOKUP(TableHandbook[[#This Row],[UDC]],TableAvailabilities[Row Labels],TableAvailabilities[OpenUnis SP 4])&gt;0,"Y",""),"")</f>
        <v/>
      </c>
      <c r="N118" s="133" t="str">
        <f>IFERROR(VLOOKUP(TableHandbook[[#This Row],[UDC]],TableOMARTS[],7,FALSE),"")</f>
        <v/>
      </c>
      <c r="O118" s="133" t="str">
        <f>IFERROR(VLOOKUP(TableHandbook[[#This Row],[UDC]],TableOUMPCWRI4[],7,FALSE),"")</f>
        <v>Option</v>
      </c>
      <c r="P118" s="133" t="str">
        <f>IFERROR(VLOOKUP(TableHandbook[[#This Row],[UDC]],TableOUMPDGCM1[],7,FALSE),"")</f>
        <v>Option</v>
      </c>
      <c r="Q118" s="133" t="str">
        <f>IFERROR(VLOOKUP(TableHandbook[[#This Row],[UDC]],TableOUMPFINA1[],7,FALSE),"")</f>
        <v/>
      </c>
      <c r="R118" s="133" t="str">
        <f>IFERROR(VLOOKUP(TableHandbook[[#This Row],[UDC]],TableOUMPPWRI4[],7,FALSE),"")</f>
        <v>Option</v>
      </c>
      <c r="S118" s="175" t="str">
        <f>IFERROR(VLOOKUP(TableHandbook[[#This Row],[UDC]],TableOGARTS[],7,FALSE),"")</f>
        <v/>
      </c>
      <c r="T118" s="133" t="str">
        <f>IFERROR(VLOOKUP(TableHandbook[[#This Row],[UDC]],TableOUMPCWRI3[],7,FALSE),"")</f>
        <v/>
      </c>
      <c r="U118" s="133" t="str">
        <f>IFERROR(VLOOKUP(TableHandbook[[#This Row],[UDC]],TableOUMPDGCM2[],7,FALSE),"")</f>
        <v/>
      </c>
      <c r="V118" s="133" t="str">
        <f>IFERROR(VLOOKUP(TableHandbook[[#This Row],[UDC]],TableOUMPFINA2[],7,FALSE),"")</f>
        <v/>
      </c>
      <c r="W118" s="133" t="str">
        <f>IFERROR(VLOOKUP(TableHandbook[[#This Row],[UDC]],TableOUMPPWRI3[],7,FALSE),"")</f>
        <v>Option</v>
      </c>
      <c r="X118" s="175" t="str">
        <f>IFERROR(VLOOKUP(TableHandbook[[#This Row],[UDC]],TableOCARTS[],7,FALSE),"")</f>
        <v/>
      </c>
      <c r="Y118" s="133" t="str">
        <f>IFERROR(VLOOKUP(TableHandbook[[#This Row],[UDC]],TableOUSPCWRI1[],7,FALSE),"")</f>
        <v/>
      </c>
      <c r="Z118" s="133" t="str">
        <f>IFERROR(VLOOKUP(TableHandbook[[#This Row],[UDC]],TableOUSPDGCM1[],7,FALSE),"")</f>
        <v/>
      </c>
      <c r="AA118" s="133" t="str">
        <f>IFERROR(VLOOKUP(TableHandbook[[#This Row],[UDC]],TableOUSPFINA1[],7,FALSE),"")</f>
        <v/>
      </c>
      <c r="AB118" s="133" t="str">
        <f>IFERROR(VLOOKUP(TableHandbook[[#This Row],[UDC]],TableOUSPPWRI1[],7,FALSE),"")</f>
        <v>Option</v>
      </c>
      <c r="AC118" s="175" t="str">
        <f>IFERROR(VLOOKUP(TableHandbook[[#This Row],[UDC]],TableOCHRIGHT[],7,FALSE),"")</f>
        <v/>
      </c>
      <c r="AD118" s="133" t="str">
        <f>IFERROR(VLOOKUP(TableHandbook[[#This Row],[UDC]],TableOGHRIGHT[],7,FALSE),"")</f>
        <v/>
      </c>
      <c r="AE118" s="133" t="str">
        <f>IFERROR(VLOOKUP(TableHandbook[[#This Row],[UDC]],TableOMHRIGHT[],7,FALSE),"")</f>
        <v/>
      </c>
    </row>
    <row r="119" spans="1:31" x14ac:dyDescent="0.25">
      <c r="A119" t="s">
        <v>172</v>
      </c>
      <c r="B119" s="1">
        <v>1</v>
      </c>
      <c r="C119" s="1" t="s">
        <v>344</v>
      </c>
      <c r="D119" t="s">
        <v>353</v>
      </c>
      <c r="E119" s="1">
        <v>25</v>
      </c>
      <c r="F119" s="214" t="s">
        <v>254</v>
      </c>
      <c r="G119" s="134" t="str">
        <f>IFERROR(IF(_xlfn.XLOOKUP(TableHandbook[[#This Row],[UDC]],TableAvailabilities[Row Labels],TableAvailabilities[OpenUnis Session 1])&gt;0,"Y",""),"")</f>
        <v/>
      </c>
      <c r="H119" s="134" t="str">
        <f>IFERROR(IF(_xlfn.XLOOKUP(TableHandbook[[#This Row],[UDC]],TableAvailabilities[Row Labels],TableAvailabilities[OpenUnis Session 2])&gt;0,"Y",""),"")</f>
        <v/>
      </c>
      <c r="I119" s="134" t="str">
        <f>IFERROR(IF(_xlfn.XLOOKUP(TableHandbook[[#This Row],[UDC]],TableAvailabilities[Row Labels],TableAvailabilities[OpenUnis SP 1])&gt;0,"Y",""),"")</f>
        <v/>
      </c>
      <c r="J119" s="134" t="str">
        <f>IFERROR(IF(_xlfn.XLOOKUP(TableHandbook[[#This Row],[UDC]],TableAvailabilities[Row Labels],TableAvailabilities[OpenUnis SP 2])&gt;0,"Y",""),"")</f>
        <v/>
      </c>
      <c r="K119" s="134" t="str">
        <f>IFERROR(IF(_xlfn.XLOOKUP(TableHandbook[[#This Row],[UDC]],TableAvailabilities[Row Labels],TableAvailabilities[OpenUnis SP 3])&gt;0,"Y",""),"")</f>
        <v>Y</v>
      </c>
      <c r="L119" s="134" t="str">
        <f>IFERROR(IF(_xlfn.XLOOKUP(TableHandbook[[#This Row],[UDC]],TableAvailabilities[Row Labels],TableAvailabilities[OpenUnis SP 4])&gt;0,"Y",""),"")</f>
        <v/>
      </c>
      <c r="N119" s="133" t="str">
        <f>IFERROR(VLOOKUP(TableHandbook[[#This Row],[UDC]],TableOMARTS[],7,FALSE),"")</f>
        <v/>
      </c>
      <c r="O119" s="133" t="str">
        <f>IFERROR(VLOOKUP(TableHandbook[[#This Row],[UDC]],TableOUMPCWRI4[],7,FALSE),"")</f>
        <v/>
      </c>
      <c r="P119" s="133" t="str">
        <f>IFERROR(VLOOKUP(TableHandbook[[#This Row],[UDC]],TableOUMPDGCM1[],7,FALSE),"")</f>
        <v>Option</v>
      </c>
      <c r="Q119" s="133" t="str">
        <f>IFERROR(VLOOKUP(TableHandbook[[#This Row],[UDC]],TableOUMPFINA1[],7,FALSE),"")</f>
        <v/>
      </c>
      <c r="R119" s="133" t="str">
        <f>IFERROR(VLOOKUP(TableHandbook[[#This Row],[UDC]],TableOUMPPWRI4[],7,FALSE),"")</f>
        <v>Option</v>
      </c>
      <c r="S119" s="175" t="str">
        <f>IFERROR(VLOOKUP(TableHandbook[[#This Row],[UDC]],TableOGARTS[],7,FALSE),"")</f>
        <v/>
      </c>
      <c r="T119" s="133" t="str">
        <f>IFERROR(VLOOKUP(TableHandbook[[#This Row],[UDC]],TableOUMPCWRI3[],7,FALSE),"")</f>
        <v/>
      </c>
      <c r="U119" s="133" t="str">
        <f>IFERROR(VLOOKUP(TableHandbook[[#This Row],[UDC]],TableOUMPDGCM2[],7,FALSE),"")</f>
        <v/>
      </c>
      <c r="V119" s="133" t="str">
        <f>IFERROR(VLOOKUP(TableHandbook[[#This Row],[UDC]],TableOUMPFINA2[],7,FALSE),"")</f>
        <v/>
      </c>
      <c r="W119" s="133" t="str">
        <f>IFERROR(VLOOKUP(TableHandbook[[#This Row],[UDC]],TableOUMPPWRI3[],7,FALSE),"")</f>
        <v>Option</v>
      </c>
      <c r="X119" s="175" t="str">
        <f>IFERROR(VLOOKUP(TableHandbook[[#This Row],[UDC]],TableOCARTS[],7,FALSE),"")</f>
        <v/>
      </c>
      <c r="Y119" s="133" t="str">
        <f>IFERROR(VLOOKUP(TableHandbook[[#This Row],[UDC]],TableOUSPCWRI1[],7,FALSE),"")</f>
        <v/>
      </c>
      <c r="Z119" s="133" t="str">
        <f>IFERROR(VLOOKUP(TableHandbook[[#This Row],[UDC]],TableOUSPDGCM1[],7,FALSE),"")</f>
        <v/>
      </c>
      <c r="AA119" s="133" t="str">
        <f>IFERROR(VLOOKUP(TableHandbook[[#This Row],[UDC]],TableOUSPFINA1[],7,FALSE),"")</f>
        <v/>
      </c>
      <c r="AB119" s="133" t="str">
        <f>IFERROR(VLOOKUP(TableHandbook[[#This Row],[UDC]],TableOUSPPWRI1[],7,FALSE),"")</f>
        <v>Option</v>
      </c>
      <c r="AC119" s="175" t="str">
        <f>IFERROR(VLOOKUP(TableHandbook[[#This Row],[UDC]],TableOCHRIGHT[],7,FALSE),"")</f>
        <v/>
      </c>
      <c r="AD119" s="133" t="str">
        <f>IFERROR(VLOOKUP(TableHandbook[[#This Row],[UDC]],TableOGHRIGHT[],7,FALSE),"")</f>
        <v/>
      </c>
      <c r="AE119" s="133" t="str">
        <f>IFERROR(VLOOKUP(TableHandbook[[#This Row],[UDC]],TableOMHRIGHT[],7,FALSE),"")</f>
        <v/>
      </c>
    </row>
    <row r="120" spans="1:31" x14ac:dyDescent="0.25">
      <c r="A120" t="s">
        <v>354</v>
      </c>
      <c r="B120" s="1">
        <v>0</v>
      </c>
      <c r="C120" s="1" t="s">
        <v>244</v>
      </c>
      <c r="D120" t="s">
        <v>355</v>
      </c>
      <c r="E120" s="1">
        <v>100</v>
      </c>
      <c r="F120" s="132"/>
      <c r="G120" s="134" t="str">
        <f>IFERROR(IF(_xlfn.XLOOKUP(TableHandbook[[#This Row],[UDC]],TableAvailabilities[Row Labels],TableAvailabilities[OpenUnis Session 1])&gt;0,"Y",""),"")</f>
        <v/>
      </c>
      <c r="H120" s="134" t="str">
        <f>IFERROR(IF(_xlfn.XLOOKUP(TableHandbook[[#This Row],[UDC]],TableAvailabilities[Row Labels],TableAvailabilities[OpenUnis Session 2])&gt;0,"Y",""),"")</f>
        <v/>
      </c>
      <c r="I120" s="134" t="str">
        <f>IFERROR(IF(_xlfn.XLOOKUP(TableHandbook[[#This Row],[UDC]],TableAvailabilities[Row Labels],TableAvailabilities[OpenUnis SP 1])&gt;0,"Y",""),"")</f>
        <v/>
      </c>
      <c r="J120" s="134" t="str">
        <f>IFERROR(IF(_xlfn.XLOOKUP(TableHandbook[[#This Row],[UDC]],TableAvailabilities[Row Labels],TableAvailabilities[OpenUnis SP 2])&gt;0,"Y",""),"")</f>
        <v/>
      </c>
      <c r="K120" s="134" t="str">
        <f>IFERROR(IF(_xlfn.XLOOKUP(TableHandbook[[#This Row],[UDC]],TableAvailabilities[Row Labels],TableAvailabilities[OpenUnis SP 3])&gt;0,"Y",""),"")</f>
        <v/>
      </c>
      <c r="L120" s="134" t="str">
        <f>IFERROR(IF(_xlfn.XLOOKUP(TableHandbook[[#This Row],[UDC]],TableAvailabilities[Row Labels],TableAvailabilities[OpenUnis SP 4])&gt;0,"Y",""),"")</f>
        <v/>
      </c>
      <c r="N120" s="133" t="str">
        <f>IFERROR(VLOOKUP(TableHandbook[[#This Row],[UDC]],TableOMARTS[],7,FALSE),"")</f>
        <v/>
      </c>
      <c r="O120" s="133" t="str">
        <f>IFERROR(VLOOKUP(TableHandbook[[#This Row],[UDC]],TableOUMPCWRI4[],7,FALSE),"")</f>
        <v/>
      </c>
      <c r="P120" s="133" t="str">
        <f>IFERROR(VLOOKUP(TableHandbook[[#This Row],[UDC]],TableOUMPDGCM1[],7,FALSE),"")</f>
        <v/>
      </c>
      <c r="Q120" s="133" t="str">
        <f>IFERROR(VLOOKUP(TableHandbook[[#This Row],[UDC]],TableOUMPFINA1[],7,FALSE),"")</f>
        <v/>
      </c>
      <c r="R120" s="133" t="str">
        <f>IFERROR(VLOOKUP(TableHandbook[[#This Row],[UDC]],TableOUMPPWRI4[],7,FALSE),"")</f>
        <v/>
      </c>
      <c r="S120" s="175" t="str">
        <f>IFERROR(VLOOKUP(TableHandbook[[#This Row],[UDC]],TableOGARTS[],7,FALSE),"")</f>
        <v/>
      </c>
      <c r="T120" s="133" t="str">
        <f>IFERROR(VLOOKUP(TableHandbook[[#This Row],[UDC]],TableOUMPCWRI3[],7,FALSE),"")</f>
        <v/>
      </c>
      <c r="U120" s="133" t="str">
        <f>IFERROR(VLOOKUP(TableHandbook[[#This Row],[UDC]],TableOUMPDGCM2[],7,FALSE),"")</f>
        <v/>
      </c>
      <c r="V120" s="133" t="str">
        <f>IFERROR(VLOOKUP(TableHandbook[[#This Row],[UDC]],TableOUMPFINA2[],7,FALSE),"")</f>
        <v/>
      </c>
      <c r="W120" s="133" t="str">
        <f>IFERROR(VLOOKUP(TableHandbook[[#This Row],[UDC]],TableOUMPPWRI3[],7,FALSE),"")</f>
        <v/>
      </c>
      <c r="X120" s="175" t="str">
        <f>IFERROR(VLOOKUP(TableHandbook[[#This Row],[UDC]],TableOCARTS[],7,FALSE),"")</f>
        <v>Option</v>
      </c>
      <c r="Y120" s="133" t="str">
        <f>IFERROR(VLOOKUP(TableHandbook[[#This Row],[UDC]],TableOUSPCWRI1[],7,FALSE),"")</f>
        <v/>
      </c>
      <c r="Z120" s="133" t="str">
        <f>IFERROR(VLOOKUP(TableHandbook[[#This Row],[UDC]],TableOUSPDGCM1[],7,FALSE),"")</f>
        <v/>
      </c>
      <c r="AA120" s="133" t="str">
        <f>IFERROR(VLOOKUP(TableHandbook[[#This Row],[UDC]],TableOUSPFINA1[],7,FALSE),"")</f>
        <v/>
      </c>
      <c r="AB120" s="133" t="str">
        <f>IFERROR(VLOOKUP(TableHandbook[[#This Row],[UDC]],TableOUSPPWRI1[],7,FALSE),"")</f>
        <v/>
      </c>
      <c r="AC120" s="175" t="str">
        <f>IFERROR(VLOOKUP(TableHandbook[[#This Row],[UDC]],TableOCHRIGHT[],7,FALSE),"")</f>
        <v/>
      </c>
      <c r="AD120" s="133" t="str">
        <f>IFERROR(VLOOKUP(TableHandbook[[#This Row],[UDC]],TableOGHRIGHT[],7,FALSE),"")</f>
        <v/>
      </c>
      <c r="AE120" s="133" t="str">
        <f>IFERROR(VLOOKUP(TableHandbook[[#This Row],[UDC]],TableOMHRIGHT[],7,FALSE),"")</f>
        <v/>
      </c>
    </row>
    <row r="121" spans="1:31" x14ac:dyDescent="0.25">
      <c r="A121" t="s">
        <v>162</v>
      </c>
      <c r="B121" s="1">
        <v>1</v>
      </c>
      <c r="C121" s="1" t="s">
        <v>356</v>
      </c>
      <c r="D121" t="s">
        <v>357</v>
      </c>
      <c r="E121" s="1">
        <v>25</v>
      </c>
      <c r="F121" s="214" t="s">
        <v>254</v>
      </c>
      <c r="G121" s="134" t="str">
        <f>IFERROR(IF(_xlfn.XLOOKUP(TableHandbook[[#This Row],[UDC]],TableAvailabilities[Row Labels],TableAvailabilities[OpenUnis Session 1])&gt;0,"Y",""),"")</f>
        <v/>
      </c>
      <c r="H121" s="134" t="str">
        <f>IFERROR(IF(_xlfn.XLOOKUP(TableHandbook[[#This Row],[UDC]],TableAvailabilities[Row Labels],TableAvailabilities[OpenUnis Session 2])&gt;0,"Y",""),"")</f>
        <v/>
      </c>
      <c r="I121" s="134" t="str">
        <f>IFERROR(IF(_xlfn.XLOOKUP(TableHandbook[[#This Row],[UDC]],TableAvailabilities[Row Labels],TableAvailabilities[OpenUnis SP 1])&gt;0,"Y",""),"")</f>
        <v>Y</v>
      </c>
      <c r="J121" s="134" t="str">
        <f>IFERROR(IF(_xlfn.XLOOKUP(TableHandbook[[#This Row],[UDC]],TableAvailabilities[Row Labels],TableAvailabilities[OpenUnis SP 2])&gt;0,"Y",""),"")</f>
        <v/>
      </c>
      <c r="K121" s="134" t="str">
        <f>IFERROR(IF(_xlfn.XLOOKUP(TableHandbook[[#This Row],[UDC]],TableAvailabilities[Row Labels],TableAvailabilities[OpenUnis SP 3])&gt;0,"Y",""),"")</f>
        <v>Y</v>
      </c>
      <c r="L121" s="134" t="str">
        <f>IFERROR(IF(_xlfn.XLOOKUP(TableHandbook[[#This Row],[UDC]],TableAvailabilities[Row Labels],TableAvailabilities[OpenUnis SP 4])&gt;0,"Y",""),"")</f>
        <v/>
      </c>
      <c r="N121" s="133" t="str">
        <f>IFERROR(VLOOKUP(TableHandbook[[#This Row],[UDC]],TableOMARTS[],7,FALSE),"")</f>
        <v/>
      </c>
      <c r="O121" s="133" t="str">
        <f>IFERROR(VLOOKUP(TableHandbook[[#This Row],[UDC]],TableOUMPCWRI4[],7,FALSE),"")</f>
        <v/>
      </c>
      <c r="P121" s="133" t="str">
        <f>IFERROR(VLOOKUP(TableHandbook[[#This Row],[UDC]],TableOUMPDGCM1[],7,FALSE),"")</f>
        <v/>
      </c>
      <c r="Q121" s="133" t="str">
        <f>IFERROR(VLOOKUP(TableHandbook[[#This Row],[UDC]],TableOUMPFINA1[],7,FALSE),"")</f>
        <v>Option</v>
      </c>
      <c r="R121" s="133" t="str">
        <f>IFERROR(VLOOKUP(TableHandbook[[#This Row],[UDC]],TableOUMPPWRI4[],7,FALSE),"")</f>
        <v/>
      </c>
      <c r="S121" s="175" t="str">
        <f>IFERROR(VLOOKUP(TableHandbook[[#This Row],[UDC]],TableOGARTS[],7,FALSE),"")</f>
        <v/>
      </c>
      <c r="T121" s="133" t="str">
        <f>IFERROR(VLOOKUP(TableHandbook[[#This Row],[UDC]],TableOUMPCWRI3[],7,FALSE),"")</f>
        <v/>
      </c>
      <c r="U121" s="133" t="str">
        <f>IFERROR(VLOOKUP(TableHandbook[[#This Row],[UDC]],TableOUMPDGCM2[],7,FALSE),"")</f>
        <v/>
      </c>
      <c r="V121" s="133" t="str">
        <f>IFERROR(VLOOKUP(TableHandbook[[#This Row],[UDC]],TableOUMPFINA2[],7,FALSE),"")</f>
        <v>Option</v>
      </c>
      <c r="W121" s="133" t="str">
        <f>IFERROR(VLOOKUP(TableHandbook[[#This Row],[UDC]],TableOUMPPWRI3[],7,FALSE),"")</f>
        <v/>
      </c>
      <c r="X121" s="175" t="str">
        <f>IFERROR(VLOOKUP(TableHandbook[[#This Row],[UDC]],TableOCARTS[],7,FALSE),"")</f>
        <v/>
      </c>
      <c r="Y121" s="133" t="str">
        <f>IFERROR(VLOOKUP(TableHandbook[[#This Row],[UDC]],TableOUSPCWRI1[],7,FALSE),"")</f>
        <v/>
      </c>
      <c r="Z121" s="133" t="str">
        <f>IFERROR(VLOOKUP(TableHandbook[[#This Row],[UDC]],TableOUSPDGCM1[],7,FALSE),"")</f>
        <v/>
      </c>
      <c r="AA121" s="133" t="str">
        <f>IFERROR(VLOOKUP(TableHandbook[[#This Row],[UDC]],TableOUSPFINA1[],7,FALSE),"")</f>
        <v>Option</v>
      </c>
      <c r="AB121" s="133" t="str">
        <f>IFERROR(VLOOKUP(TableHandbook[[#This Row],[UDC]],TableOUSPPWRI1[],7,FALSE),"")</f>
        <v/>
      </c>
      <c r="AC121" s="175" t="str">
        <f>IFERROR(VLOOKUP(TableHandbook[[#This Row],[UDC]],TableOCHRIGHT[],7,FALSE),"")</f>
        <v/>
      </c>
      <c r="AD121" s="133" t="str">
        <f>IFERROR(VLOOKUP(TableHandbook[[#This Row],[UDC]],TableOGHRIGHT[],7,FALSE),"")</f>
        <v/>
      </c>
      <c r="AE121" s="133" t="str">
        <f>IFERROR(VLOOKUP(TableHandbook[[#This Row],[UDC]],TableOMHRIGHT[],7,FALSE),"")</f>
        <v/>
      </c>
    </row>
    <row r="122" spans="1:31" x14ac:dyDescent="0.25">
      <c r="A122" t="s">
        <v>165</v>
      </c>
      <c r="B122" s="1">
        <v>1</v>
      </c>
      <c r="C122" s="1" t="s">
        <v>358</v>
      </c>
      <c r="D122" t="s">
        <v>359</v>
      </c>
      <c r="E122" s="1">
        <v>25</v>
      </c>
      <c r="F122" s="214" t="s">
        <v>254</v>
      </c>
      <c r="G122" s="134" t="str">
        <f>IFERROR(IF(_xlfn.XLOOKUP(TableHandbook[[#This Row],[UDC]],TableAvailabilities[Row Labels],TableAvailabilities[OpenUnis Session 1])&gt;0,"Y",""),"")</f>
        <v/>
      </c>
      <c r="H122" s="134" t="str">
        <f>IFERROR(IF(_xlfn.XLOOKUP(TableHandbook[[#This Row],[UDC]],TableAvailabilities[Row Labels],TableAvailabilities[OpenUnis Session 2])&gt;0,"Y",""),"")</f>
        <v/>
      </c>
      <c r="I122" s="134" t="str">
        <f>IFERROR(IF(_xlfn.XLOOKUP(TableHandbook[[#This Row],[UDC]],TableAvailabilities[Row Labels],TableAvailabilities[OpenUnis SP 1])&gt;0,"Y",""),"")</f>
        <v/>
      </c>
      <c r="J122" s="134" t="str">
        <f>IFERROR(IF(_xlfn.XLOOKUP(TableHandbook[[#This Row],[UDC]],TableAvailabilities[Row Labels],TableAvailabilities[OpenUnis SP 2])&gt;0,"Y",""),"")</f>
        <v/>
      </c>
      <c r="K122" s="134" t="str">
        <f>IFERROR(IF(_xlfn.XLOOKUP(TableHandbook[[#This Row],[UDC]],TableAvailabilities[Row Labels],TableAvailabilities[OpenUnis SP 3])&gt;0,"Y",""),"")</f>
        <v/>
      </c>
      <c r="L122" s="134" t="str">
        <f>IFERROR(IF(_xlfn.XLOOKUP(TableHandbook[[#This Row],[UDC]],TableAvailabilities[Row Labels],TableAvailabilities[OpenUnis SP 4])&gt;0,"Y",""),"")</f>
        <v>Y</v>
      </c>
      <c r="N122" s="133" t="str">
        <f>IFERROR(VLOOKUP(TableHandbook[[#This Row],[UDC]],TableOMARTS[],7,FALSE),"")</f>
        <v/>
      </c>
      <c r="O122" s="133" t="str">
        <f>IFERROR(VLOOKUP(TableHandbook[[#This Row],[UDC]],TableOUMPCWRI4[],7,FALSE),"")</f>
        <v/>
      </c>
      <c r="P122" s="133" t="str">
        <f>IFERROR(VLOOKUP(TableHandbook[[#This Row],[UDC]],TableOUMPDGCM1[],7,FALSE),"")</f>
        <v/>
      </c>
      <c r="Q122" s="133" t="str">
        <f>IFERROR(VLOOKUP(TableHandbook[[#This Row],[UDC]],TableOUMPFINA1[],7,FALSE),"")</f>
        <v>Option</v>
      </c>
      <c r="R122" s="133" t="str">
        <f>IFERROR(VLOOKUP(TableHandbook[[#This Row],[UDC]],TableOUMPPWRI4[],7,FALSE),"")</f>
        <v/>
      </c>
      <c r="S122" s="175" t="str">
        <f>IFERROR(VLOOKUP(TableHandbook[[#This Row],[UDC]],TableOGARTS[],7,FALSE),"")</f>
        <v/>
      </c>
      <c r="T122" s="133" t="str">
        <f>IFERROR(VLOOKUP(TableHandbook[[#This Row],[UDC]],TableOUMPCWRI3[],7,FALSE),"")</f>
        <v/>
      </c>
      <c r="U122" s="133" t="str">
        <f>IFERROR(VLOOKUP(TableHandbook[[#This Row],[UDC]],TableOUMPDGCM2[],7,FALSE),"")</f>
        <v/>
      </c>
      <c r="V122" s="133" t="str">
        <f>IFERROR(VLOOKUP(TableHandbook[[#This Row],[UDC]],TableOUMPFINA2[],7,FALSE),"")</f>
        <v>Option</v>
      </c>
      <c r="W122" s="133" t="str">
        <f>IFERROR(VLOOKUP(TableHandbook[[#This Row],[UDC]],TableOUMPPWRI3[],7,FALSE),"")</f>
        <v/>
      </c>
      <c r="X122" s="175" t="str">
        <f>IFERROR(VLOOKUP(TableHandbook[[#This Row],[UDC]],TableOCARTS[],7,FALSE),"")</f>
        <v/>
      </c>
      <c r="Y122" s="133" t="str">
        <f>IFERROR(VLOOKUP(TableHandbook[[#This Row],[UDC]],TableOUSPCWRI1[],7,FALSE),"")</f>
        <v/>
      </c>
      <c r="Z122" s="133" t="str">
        <f>IFERROR(VLOOKUP(TableHandbook[[#This Row],[UDC]],TableOUSPDGCM1[],7,FALSE),"")</f>
        <v/>
      </c>
      <c r="AA122" s="133" t="str">
        <f>IFERROR(VLOOKUP(TableHandbook[[#This Row],[UDC]],TableOUSPFINA1[],7,FALSE),"")</f>
        <v>Option</v>
      </c>
      <c r="AB122" s="133" t="str">
        <f>IFERROR(VLOOKUP(TableHandbook[[#This Row],[UDC]],TableOUSPPWRI1[],7,FALSE),"")</f>
        <v/>
      </c>
      <c r="AC122" s="175" t="str">
        <f>IFERROR(VLOOKUP(TableHandbook[[#This Row],[UDC]],TableOCHRIGHT[],7,FALSE),"")</f>
        <v/>
      </c>
      <c r="AD122" s="133" t="str">
        <f>IFERROR(VLOOKUP(TableHandbook[[#This Row],[UDC]],TableOGHRIGHT[],7,FALSE),"")</f>
        <v/>
      </c>
      <c r="AE122" s="133" t="str">
        <f>IFERROR(VLOOKUP(TableHandbook[[#This Row],[UDC]],TableOMHRIGHT[],7,FALSE),"")</f>
        <v/>
      </c>
    </row>
    <row r="123" spans="1:31" x14ac:dyDescent="0.25">
      <c r="A123" t="s">
        <v>166</v>
      </c>
      <c r="B123" s="1">
        <v>1</v>
      </c>
      <c r="C123" s="1" t="s">
        <v>360</v>
      </c>
      <c r="D123" t="s">
        <v>361</v>
      </c>
      <c r="E123" s="1">
        <v>25</v>
      </c>
      <c r="F123" s="214" t="s">
        <v>254</v>
      </c>
      <c r="G123" s="134" t="str">
        <f>IFERROR(IF(_xlfn.XLOOKUP(TableHandbook[[#This Row],[UDC]],TableAvailabilities[Row Labels],TableAvailabilities[OpenUnis Session 1])&gt;0,"Y",""),"")</f>
        <v/>
      </c>
      <c r="H123" s="134" t="str">
        <f>IFERROR(IF(_xlfn.XLOOKUP(TableHandbook[[#This Row],[UDC]],TableAvailabilities[Row Labels],TableAvailabilities[OpenUnis Session 2])&gt;0,"Y",""),"")</f>
        <v/>
      </c>
      <c r="I123" s="134" t="str">
        <f>IFERROR(IF(_xlfn.XLOOKUP(TableHandbook[[#This Row],[UDC]],TableAvailabilities[Row Labels],TableAvailabilities[OpenUnis SP 1])&gt;0,"Y",""),"")</f>
        <v/>
      </c>
      <c r="J123" s="134" t="str">
        <f>IFERROR(IF(_xlfn.XLOOKUP(TableHandbook[[#This Row],[UDC]],TableAvailabilities[Row Labels],TableAvailabilities[OpenUnis SP 2])&gt;0,"Y",""),"")</f>
        <v>Y</v>
      </c>
      <c r="K123" s="134" t="str">
        <f>IFERROR(IF(_xlfn.XLOOKUP(TableHandbook[[#This Row],[UDC]],TableAvailabilities[Row Labels],TableAvailabilities[OpenUnis SP 3])&gt;0,"Y",""),"")</f>
        <v/>
      </c>
      <c r="L123" s="134" t="str">
        <f>IFERROR(IF(_xlfn.XLOOKUP(TableHandbook[[#This Row],[UDC]],TableAvailabilities[Row Labels],TableAvailabilities[OpenUnis SP 4])&gt;0,"Y",""),"")</f>
        <v>Y</v>
      </c>
      <c r="N123" s="133" t="str">
        <f>IFERROR(VLOOKUP(TableHandbook[[#This Row],[UDC]],TableOMARTS[],7,FALSE),"")</f>
        <v/>
      </c>
      <c r="O123" s="133" t="str">
        <f>IFERROR(VLOOKUP(TableHandbook[[#This Row],[UDC]],TableOUMPCWRI4[],7,FALSE),"")</f>
        <v/>
      </c>
      <c r="P123" s="133" t="str">
        <f>IFERROR(VLOOKUP(TableHandbook[[#This Row],[UDC]],TableOUMPDGCM1[],7,FALSE),"")</f>
        <v/>
      </c>
      <c r="Q123" s="133" t="str">
        <f>IFERROR(VLOOKUP(TableHandbook[[#This Row],[UDC]],TableOUMPFINA1[],7,FALSE),"")</f>
        <v>Option</v>
      </c>
      <c r="R123" s="133" t="str">
        <f>IFERROR(VLOOKUP(TableHandbook[[#This Row],[UDC]],TableOUMPPWRI4[],7,FALSE),"")</f>
        <v/>
      </c>
      <c r="S123" s="175" t="str">
        <f>IFERROR(VLOOKUP(TableHandbook[[#This Row],[UDC]],TableOGARTS[],7,FALSE),"")</f>
        <v/>
      </c>
      <c r="T123" s="133" t="str">
        <f>IFERROR(VLOOKUP(TableHandbook[[#This Row],[UDC]],TableOUMPCWRI3[],7,FALSE),"")</f>
        <v/>
      </c>
      <c r="U123" s="133" t="str">
        <f>IFERROR(VLOOKUP(TableHandbook[[#This Row],[UDC]],TableOUMPDGCM2[],7,FALSE),"")</f>
        <v/>
      </c>
      <c r="V123" s="133" t="str">
        <f>IFERROR(VLOOKUP(TableHandbook[[#This Row],[UDC]],TableOUMPFINA2[],7,FALSE),"")</f>
        <v>Option</v>
      </c>
      <c r="W123" s="133" t="str">
        <f>IFERROR(VLOOKUP(TableHandbook[[#This Row],[UDC]],TableOUMPPWRI3[],7,FALSE),"")</f>
        <v/>
      </c>
      <c r="X123" s="175" t="str">
        <f>IFERROR(VLOOKUP(TableHandbook[[#This Row],[UDC]],TableOCARTS[],7,FALSE),"")</f>
        <v/>
      </c>
      <c r="Y123" s="133" t="str">
        <f>IFERROR(VLOOKUP(TableHandbook[[#This Row],[UDC]],TableOUSPCWRI1[],7,FALSE),"")</f>
        <v/>
      </c>
      <c r="Z123" s="133" t="str">
        <f>IFERROR(VLOOKUP(TableHandbook[[#This Row],[UDC]],TableOUSPDGCM1[],7,FALSE),"")</f>
        <v/>
      </c>
      <c r="AA123" s="133" t="str">
        <f>IFERROR(VLOOKUP(TableHandbook[[#This Row],[UDC]],TableOUSPFINA1[],7,FALSE),"")</f>
        <v>Option</v>
      </c>
      <c r="AB123" s="133" t="str">
        <f>IFERROR(VLOOKUP(TableHandbook[[#This Row],[UDC]],TableOUSPPWRI1[],7,FALSE),"")</f>
        <v/>
      </c>
      <c r="AC123" s="175" t="str">
        <f>IFERROR(VLOOKUP(TableHandbook[[#This Row],[UDC]],TableOCHRIGHT[],7,FALSE),"")</f>
        <v/>
      </c>
      <c r="AD123" s="133" t="str">
        <f>IFERROR(VLOOKUP(TableHandbook[[#This Row],[UDC]],TableOGHRIGHT[],7,FALSE),"")</f>
        <v/>
      </c>
      <c r="AE123" s="133" t="str">
        <f>IFERROR(VLOOKUP(TableHandbook[[#This Row],[UDC]],TableOMHRIGHT[],7,FALSE),"")</f>
        <v/>
      </c>
    </row>
    <row r="124" spans="1:31" x14ac:dyDescent="0.25">
      <c r="A124" t="s">
        <v>138</v>
      </c>
      <c r="B124" s="1">
        <v>1</v>
      </c>
      <c r="C124" s="1" t="s">
        <v>362</v>
      </c>
      <c r="D124" t="s">
        <v>363</v>
      </c>
      <c r="E124" s="1">
        <v>25</v>
      </c>
      <c r="F124" s="214" t="s">
        <v>254</v>
      </c>
      <c r="G124" s="134" t="str">
        <f>IFERROR(IF(_xlfn.XLOOKUP(TableHandbook[[#This Row],[UDC]],TableAvailabilities[Row Labels],TableAvailabilities[OpenUnis Session 1])&gt;0,"Y",""),"")</f>
        <v/>
      </c>
      <c r="H124" s="134" t="str">
        <f>IFERROR(IF(_xlfn.XLOOKUP(TableHandbook[[#This Row],[UDC]],TableAvailabilities[Row Labels],TableAvailabilities[OpenUnis Session 2])&gt;0,"Y",""),"")</f>
        <v/>
      </c>
      <c r="I124" s="134" t="str">
        <f>IFERROR(IF(_xlfn.XLOOKUP(TableHandbook[[#This Row],[UDC]],TableAvailabilities[Row Labels],TableAvailabilities[OpenUnis SP 1])&gt;0,"Y",""),"")</f>
        <v>Y</v>
      </c>
      <c r="J124" s="134" t="str">
        <f>IFERROR(IF(_xlfn.XLOOKUP(TableHandbook[[#This Row],[UDC]],TableAvailabilities[Row Labels],TableAvailabilities[OpenUnis SP 2])&gt;0,"Y",""),"")</f>
        <v/>
      </c>
      <c r="K124" s="134" t="str">
        <f>IFERROR(IF(_xlfn.XLOOKUP(TableHandbook[[#This Row],[UDC]],TableAvailabilities[Row Labels],TableAvailabilities[OpenUnis SP 3])&gt;0,"Y",""),"")</f>
        <v>Y</v>
      </c>
      <c r="L124" s="134" t="str">
        <f>IFERROR(IF(_xlfn.XLOOKUP(TableHandbook[[#This Row],[UDC]],TableAvailabilities[Row Labels],TableAvailabilities[OpenUnis SP 4])&gt;0,"Y",""),"")</f>
        <v/>
      </c>
      <c r="N124" s="133" t="str">
        <f>IFERROR(VLOOKUP(TableHandbook[[#This Row],[UDC]],TableOMARTS[],7,FALSE),"")</f>
        <v/>
      </c>
      <c r="O124" s="133" t="str">
        <f>IFERROR(VLOOKUP(TableHandbook[[#This Row],[UDC]],TableOUMPCWRI4[],7,FALSE),"")</f>
        <v/>
      </c>
      <c r="P124" s="133" t="str">
        <f>IFERROR(VLOOKUP(TableHandbook[[#This Row],[UDC]],TableOUMPDGCM1[],7,FALSE),"")</f>
        <v/>
      </c>
      <c r="Q124" s="133" t="str">
        <f>IFERROR(VLOOKUP(TableHandbook[[#This Row],[UDC]],TableOUMPFINA1[],7,FALSE),"")</f>
        <v>Option</v>
      </c>
      <c r="R124" s="133" t="str">
        <f>IFERROR(VLOOKUP(TableHandbook[[#This Row],[UDC]],TableOUMPPWRI4[],7,FALSE),"")</f>
        <v/>
      </c>
      <c r="S124" s="175" t="str">
        <f>IFERROR(VLOOKUP(TableHandbook[[#This Row],[UDC]],TableOGARTS[],7,FALSE),"")</f>
        <v/>
      </c>
      <c r="T124" s="133" t="str">
        <f>IFERROR(VLOOKUP(TableHandbook[[#This Row],[UDC]],TableOUMPCWRI3[],7,FALSE),"")</f>
        <v/>
      </c>
      <c r="U124" s="133" t="str">
        <f>IFERROR(VLOOKUP(TableHandbook[[#This Row],[UDC]],TableOUMPDGCM2[],7,FALSE),"")</f>
        <v/>
      </c>
      <c r="V124" s="133" t="str">
        <f>IFERROR(VLOOKUP(TableHandbook[[#This Row],[UDC]],TableOUMPFINA2[],7,FALSE),"")</f>
        <v>AltCore</v>
      </c>
      <c r="W124" s="133" t="str">
        <f>IFERROR(VLOOKUP(TableHandbook[[#This Row],[UDC]],TableOUMPPWRI3[],7,FALSE),"")</f>
        <v/>
      </c>
      <c r="X124" s="175" t="str">
        <f>IFERROR(VLOOKUP(TableHandbook[[#This Row],[UDC]],TableOCARTS[],7,FALSE),"")</f>
        <v/>
      </c>
      <c r="Y124" s="133" t="str">
        <f>IFERROR(VLOOKUP(TableHandbook[[#This Row],[UDC]],TableOUSPCWRI1[],7,FALSE),"")</f>
        <v/>
      </c>
      <c r="Z124" s="133" t="str">
        <f>IFERROR(VLOOKUP(TableHandbook[[#This Row],[UDC]],TableOUSPDGCM1[],7,FALSE),"")</f>
        <v/>
      </c>
      <c r="AA124" s="133" t="str">
        <f>IFERROR(VLOOKUP(TableHandbook[[#This Row],[UDC]],TableOUSPFINA1[],7,FALSE),"")</f>
        <v>AltCore</v>
      </c>
      <c r="AB124" s="133" t="str">
        <f>IFERROR(VLOOKUP(TableHandbook[[#This Row],[UDC]],TableOUSPPWRI1[],7,FALSE),"")</f>
        <v/>
      </c>
      <c r="AC124" s="175" t="str">
        <f>IFERROR(VLOOKUP(TableHandbook[[#This Row],[UDC]],TableOCHRIGHT[],7,FALSE),"")</f>
        <v/>
      </c>
      <c r="AD124" s="133" t="str">
        <f>IFERROR(VLOOKUP(TableHandbook[[#This Row],[UDC]],TableOGHRIGHT[],7,FALSE),"")</f>
        <v/>
      </c>
      <c r="AE124" s="133" t="str">
        <f>IFERROR(VLOOKUP(TableHandbook[[#This Row],[UDC]],TableOMHRIGHT[],7,FALSE),"")</f>
        <v/>
      </c>
    </row>
    <row r="125" spans="1:31" x14ac:dyDescent="0.25">
      <c r="A125" t="s">
        <v>171</v>
      </c>
      <c r="B125" s="1">
        <v>1</v>
      </c>
      <c r="C125" s="1" t="s">
        <v>364</v>
      </c>
      <c r="D125" t="s">
        <v>365</v>
      </c>
      <c r="E125" s="1">
        <v>25</v>
      </c>
      <c r="F125" s="214" t="s">
        <v>254</v>
      </c>
      <c r="G125" s="134" t="str">
        <f>IFERROR(IF(_xlfn.XLOOKUP(TableHandbook[[#This Row],[UDC]],TableAvailabilities[Row Labels],TableAvailabilities[OpenUnis Session 1])&gt;0,"Y",""),"")</f>
        <v/>
      </c>
      <c r="H125" s="134" t="str">
        <f>IFERROR(IF(_xlfn.XLOOKUP(TableHandbook[[#This Row],[UDC]],TableAvailabilities[Row Labels],TableAvailabilities[OpenUnis Session 2])&gt;0,"Y",""),"")</f>
        <v/>
      </c>
      <c r="I125" s="134" t="str">
        <f>IFERROR(IF(_xlfn.XLOOKUP(TableHandbook[[#This Row],[UDC]],TableAvailabilities[Row Labels],TableAvailabilities[OpenUnis SP 1])&gt;0,"Y",""),"")</f>
        <v>Y</v>
      </c>
      <c r="J125" s="134" t="str">
        <f>IFERROR(IF(_xlfn.XLOOKUP(TableHandbook[[#This Row],[UDC]],TableAvailabilities[Row Labels],TableAvailabilities[OpenUnis SP 2])&gt;0,"Y",""),"")</f>
        <v/>
      </c>
      <c r="K125" s="134" t="str">
        <f>IFERROR(IF(_xlfn.XLOOKUP(TableHandbook[[#This Row],[UDC]],TableAvailabilities[Row Labels],TableAvailabilities[OpenUnis SP 3])&gt;0,"Y",""),"")</f>
        <v>Y</v>
      </c>
      <c r="L125" s="134" t="str">
        <f>IFERROR(IF(_xlfn.XLOOKUP(TableHandbook[[#This Row],[UDC]],TableAvailabilities[Row Labels],TableAvailabilities[OpenUnis SP 4])&gt;0,"Y",""),"")</f>
        <v/>
      </c>
      <c r="N125" s="133" t="str">
        <f>IFERROR(VLOOKUP(TableHandbook[[#This Row],[UDC]],TableOMARTS[],7,FALSE),"")</f>
        <v/>
      </c>
      <c r="O125" s="133" t="str">
        <f>IFERROR(VLOOKUP(TableHandbook[[#This Row],[UDC]],TableOUMPCWRI4[],7,FALSE),"")</f>
        <v/>
      </c>
      <c r="P125" s="133" t="str">
        <f>IFERROR(VLOOKUP(TableHandbook[[#This Row],[UDC]],TableOUMPDGCM1[],7,FALSE),"")</f>
        <v/>
      </c>
      <c r="Q125" s="133" t="str">
        <f>IFERROR(VLOOKUP(TableHandbook[[#This Row],[UDC]],TableOUMPFINA1[],7,FALSE),"")</f>
        <v>Option</v>
      </c>
      <c r="R125" s="133" t="str">
        <f>IFERROR(VLOOKUP(TableHandbook[[#This Row],[UDC]],TableOUMPPWRI4[],7,FALSE),"")</f>
        <v/>
      </c>
      <c r="S125" s="175" t="str">
        <f>IFERROR(VLOOKUP(TableHandbook[[#This Row],[UDC]],TableOGARTS[],7,FALSE),"")</f>
        <v/>
      </c>
      <c r="T125" s="133" t="str">
        <f>IFERROR(VLOOKUP(TableHandbook[[#This Row],[UDC]],TableOUMPCWRI3[],7,FALSE),"")</f>
        <v/>
      </c>
      <c r="U125" s="133" t="str">
        <f>IFERROR(VLOOKUP(TableHandbook[[#This Row],[UDC]],TableOUMPDGCM2[],7,FALSE),"")</f>
        <v/>
      </c>
      <c r="V125" s="133" t="str">
        <f>IFERROR(VLOOKUP(TableHandbook[[#This Row],[UDC]],TableOUMPFINA2[],7,FALSE),"")</f>
        <v>Option</v>
      </c>
      <c r="W125" s="133" t="str">
        <f>IFERROR(VLOOKUP(TableHandbook[[#This Row],[UDC]],TableOUMPPWRI3[],7,FALSE),"")</f>
        <v/>
      </c>
      <c r="X125" s="175" t="str">
        <f>IFERROR(VLOOKUP(TableHandbook[[#This Row],[UDC]],TableOCARTS[],7,FALSE),"")</f>
        <v/>
      </c>
      <c r="Y125" s="133" t="str">
        <f>IFERROR(VLOOKUP(TableHandbook[[#This Row],[UDC]],TableOUSPCWRI1[],7,FALSE),"")</f>
        <v/>
      </c>
      <c r="Z125" s="133" t="str">
        <f>IFERROR(VLOOKUP(TableHandbook[[#This Row],[UDC]],TableOUSPDGCM1[],7,FALSE),"")</f>
        <v/>
      </c>
      <c r="AA125" s="133" t="str">
        <f>IFERROR(VLOOKUP(TableHandbook[[#This Row],[UDC]],TableOUSPFINA1[],7,FALSE),"")</f>
        <v>Option</v>
      </c>
      <c r="AB125" s="133" t="str">
        <f>IFERROR(VLOOKUP(TableHandbook[[#This Row],[UDC]],TableOUSPPWRI1[],7,FALSE),"")</f>
        <v/>
      </c>
      <c r="AC125" s="175" t="str">
        <f>IFERROR(VLOOKUP(TableHandbook[[#This Row],[UDC]],TableOCHRIGHT[],7,FALSE),"")</f>
        <v/>
      </c>
      <c r="AD125" s="133" t="str">
        <f>IFERROR(VLOOKUP(TableHandbook[[#This Row],[UDC]],TableOGHRIGHT[],7,FALSE),"")</f>
        <v/>
      </c>
      <c r="AE125" s="133" t="str">
        <f>IFERROR(VLOOKUP(TableHandbook[[#This Row],[UDC]],TableOMHRIGHT[],7,FALSE),"")</f>
        <v/>
      </c>
    </row>
    <row r="126" spans="1:31" x14ac:dyDescent="0.25">
      <c r="A126" t="s">
        <v>140</v>
      </c>
      <c r="B126" s="1">
        <v>1</v>
      </c>
      <c r="C126" s="1" t="s">
        <v>366</v>
      </c>
      <c r="D126" t="s">
        <v>367</v>
      </c>
      <c r="E126" s="1">
        <v>25</v>
      </c>
      <c r="F126" s="214" t="s">
        <v>254</v>
      </c>
      <c r="G126" s="134" t="str">
        <f>IFERROR(IF(_xlfn.XLOOKUP(TableHandbook[[#This Row],[UDC]],TableAvailabilities[Row Labels],TableAvailabilities[OpenUnis Session 1])&gt;0,"Y",""),"")</f>
        <v/>
      </c>
      <c r="H126" s="134" t="str">
        <f>IFERROR(IF(_xlfn.XLOOKUP(TableHandbook[[#This Row],[UDC]],TableAvailabilities[Row Labels],TableAvailabilities[OpenUnis Session 2])&gt;0,"Y",""),"")</f>
        <v/>
      </c>
      <c r="I126" s="134" t="str">
        <f>IFERROR(IF(_xlfn.XLOOKUP(TableHandbook[[#This Row],[UDC]],TableAvailabilities[Row Labels],TableAvailabilities[OpenUnis SP 1])&gt;0,"Y",""),"")</f>
        <v/>
      </c>
      <c r="J126" s="134" t="str">
        <f>IFERROR(IF(_xlfn.XLOOKUP(TableHandbook[[#This Row],[UDC]],TableAvailabilities[Row Labels],TableAvailabilities[OpenUnis SP 2])&gt;0,"Y",""),"")</f>
        <v>Y</v>
      </c>
      <c r="K126" s="134" t="str">
        <f>IFERROR(IF(_xlfn.XLOOKUP(TableHandbook[[#This Row],[UDC]],TableAvailabilities[Row Labels],TableAvailabilities[OpenUnis SP 3])&gt;0,"Y",""),"")</f>
        <v/>
      </c>
      <c r="L126" s="134" t="str">
        <f>IFERROR(IF(_xlfn.XLOOKUP(TableHandbook[[#This Row],[UDC]],TableAvailabilities[Row Labels],TableAvailabilities[OpenUnis SP 4])&gt;0,"Y",""),"")</f>
        <v>Y</v>
      </c>
      <c r="N126" s="133" t="str">
        <f>IFERROR(VLOOKUP(TableHandbook[[#This Row],[UDC]],TableOMARTS[],7,FALSE),"")</f>
        <v/>
      </c>
      <c r="O126" s="133" t="str">
        <f>IFERROR(VLOOKUP(TableHandbook[[#This Row],[UDC]],TableOUMPCWRI4[],7,FALSE),"")</f>
        <v/>
      </c>
      <c r="P126" s="133" t="str">
        <f>IFERROR(VLOOKUP(TableHandbook[[#This Row],[UDC]],TableOUMPDGCM1[],7,FALSE),"")</f>
        <v/>
      </c>
      <c r="Q126" s="133" t="str">
        <f>IFERROR(VLOOKUP(TableHandbook[[#This Row],[UDC]],TableOUMPFINA1[],7,FALSE),"")</f>
        <v>Option</v>
      </c>
      <c r="R126" s="133" t="str">
        <f>IFERROR(VLOOKUP(TableHandbook[[#This Row],[UDC]],TableOUMPPWRI4[],7,FALSE),"")</f>
        <v/>
      </c>
      <c r="S126" s="175" t="str">
        <f>IFERROR(VLOOKUP(TableHandbook[[#This Row],[UDC]],TableOGARTS[],7,FALSE),"")</f>
        <v/>
      </c>
      <c r="T126" s="133" t="str">
        <f>IFERROR(VLOOKUP(TableHandbook[[#This Row],[UDC]],TableOUMPCWRI3[],7,FALSE),"")</f>
        <v/>
      </c>
      <c r="U126" s="133" t="str">
        <f>IFERROR(VLOOKUP(TableHandbook[[#This Row],[UDC]],TableOUMPDGCM2[],7,FALSE),"")</f>
        <v/>
      </c>
      <c r="V126" s="133" t="str">
        <f>IFERROR(VLOOKUP(TableHandbook[[#This Row],[UDC]],TableOUMPFINA2[],7,FALSE),"")</f>
        <v>AltCore</v>
      </c>
      <c r="W126" s="133" t="str">
        <f>IFERROR(VLOOKUP(TableHandbook[[#This Row],[UDC]],TableOUMPPWRI3[],7,FALSE),"")</f>
        <v/>
      </c>
      <c r="X126" s="175" t="str">
        <f>IFERROR(VLOOKUP(TableHandbook[[#This Row],[UDC]],TableOCARTS[],7,FALSE),"")</f>
        <v/>
      </c>
      <c r="Y126" s="133" t="str">
        <f>IFERROR(VLOOKUP(TableHandbook[[#This Row],[UDC]],TableOUSPCWRI1[],7,FALSE),"")</f>
        <v/>
      </c>
      <c r="Z126" s="133" t="str">
        <f>IFERROR(VLOOKUP(TableHandbook[[#This Row],[UDC]],TableOUSPDGCM1[],7,FALSE),"")</f>
        <v/>
      </c>
      <c r="AA126" s="133" t="str">
        <f>IFERROR(VLOOKUP(TableHandbook[[#This Row],[UDC]],TableOUSPFINA1[],7,FALSE),"")</f>
        <v>AltCore</v>
      </c>
      <c r="AB126" s="133" t="str">
        <f>IFERROR(VLOOKUP(TableHandbook[[#This Row],[UDC]],TableOUSPPWRI1[],7,FALSE),"")</f>
        <v/>
      </c>
      <c r="AC126" s="175" t="str">
        <f>IFERROR(VLOOKUP(TableHandbook[[#This Row],[UDC]],TableOCHRIGHT[],7,FALSE),"")</f>
        <v/>
      </c>
      <c r="AD126" s="133" t="str">
        <f>IFERROR(VLOOKUP(TableHandbook[[#This Row],[UDC]],TableOGHRIGHT[],7,FALSE),"")</f>
        <v/>
      </c>
      <c r="AE126" s="133" t="str">
        <f>IFERROR(VLOOKUP(TableHandbook[[#This Row],[UDC]],TableOMHRIGHT[],7,FALSE),"")</f>
        <v/>
      </c>
    </row>
    <row r="127" spans="1:31" x14ac:dyDescent="0.25">
      <c r="A127" t="s">
        <v>175</v>
      </c>
      <c r="B127" s="1">
        <v>1</v>
      </c>
      <c r="C127" s="1" t="s">
        <v>368</v>
      </c>
      <c r="D127" t="s">
        <v>369</v>
      </c>
      <c r="E127" s="1">
        <v>25</v>
      </c>
      <c r="F127" s="214" t="s">
        <v>254</v>
      </c>
      <c r="G127" s="134" t="str">
        <f>IFERROR(IF(_xlfn.XLOOKUP(TableHandbook[[#This Row],[UDC]],TableAvailabilities[Row Labels],TableAvailabilities[OpenUnis Session 1])&gt;0,"Y",""),"")</f>
        <v/>
      </c>
      <c r="H127" s="134" t="str">
        <f>IFERROR(IF(_xlfn.XLOOKUP(TableHandbook[[#This Row],[UDC]],TableAvailabilities[Row Labels],TableAvailabilities[OpenUnis Session 2])&gt;0,"Y",""),"")</f>
        <v/>
      </c>
      <c r="I127" s="134" t="str">
        <f>IFERROR(IF(_xlfn.XLOOKUP(TableHandbook[[#This Row],[UDC]],TableAvailabilities[Row Labels],TableAvailabilities[OpenUnis SP 1])&gt;0,"Y",""),"")</f>
        <v>Y</v>
      </c>
      <c r="J127" s="134" t="str">
        <f>IFERROR(IF(_xlfn.XLOOKUP(TableHandbook[[#This Row],[UDC]],TableAvailabilities[Row Labels],TableAvailabilities[OpenUnis SP 2])&gt;0,"Y",""),"")</f>
        <v/>
      </c>
      <c r="K127" s="134" t="str">
        <f>IFERROR(IF(_xlfn.XLOOKUP(TableHandbook[[#This Row],[UDC]],TableAvailabilities[Row Labels],TableAvailabilities[OpenUnis SP 3])&gt;0,"Y",""),"")</f>
        <v>Y</v>
      </c>
      <c r="L127" s="134" t="str">
        <f>IFERROR(IF(_xlfn.XLOOKUP(TableHandbook[[#This Row],[UDC]],TableAvailabilities[Row Labels],TableAvailabilities[OpenUnis SP 4])&gt;0,"Y",""),"")</f>
        <v/>
      </c>
      <c r="N127" s="133" t="str">
        <f>IFERROR(VLOOKUP(TableHandbook[[#This Row],[UDC]],TableOMARTS[],7,FALSE),"")</f>
        <v/>
      </c>
      <c r="O127" s="133" t="str">
        <f>IFERROR(VLOOKUP(TableHandbook[[#This Row],[UDC]],TableOUMPCWRI4[],7,FALSE),"")</f>
        <v/>
      </c>
      <c r="P127" s="133" t="str">
        <f>IFERROR(VLOOKUP(TableHandbook[[#This Row],[UDC]],TableOUMPDGCM1[],7,FALSE),"")</f>
        <v/>
      </c>
      <c r="Q127" s="133" t="str">
        <f>IFERROR(VLOOKUP(TableHandbook[[#This Row],[UDC]],TableOUMPFINA1[],7,FALSE),"")</f>
        <v>Option</v>
      </c>
      <c r="R127" s="133" t="str">
        <f>IFERROR(VLOOKUP(TableHandbook[[#This Row],[UDC]],TableOUMPPWRI4[],7,FALSE),"")</f>
        <v/>
      </c>
      <c r="S127" s="175" t="str">
        <f>IFERROR(VLOOKUP(TableHandbook[[#This Row],[UDC]],TableOGARTS[],7,FALSE),"")</f>
        <v/>
      </c>
      <c r="T127" s="133" t="str">
        <f>IFERROR(VLOOKUP(TableHandbook[[#This Row],[UDC]],TableOUMPCWRI3[],7,FALSE),"")</f>
        <v/>
      </c>
      <c r="U127" s="133" t="str">
        <f>IFERROR(VLOOKUP(TableHandbook[[#This Row],[UDC]],TableOUMPDGCM2[],7,FALSE),"")</f>
        <v/>
      </c>
      <c r="V127" s="133" t="str">
        <f>IFERROR(VLOOKUP(TableHandbook[[#This Row],[UDC]],TableOUMPFINA2[],7,FALSE),"")</f>
        <v/>
      </c>
      <c r="W127" s="133" t="str">
        <f>IFERROR(VLOOKUP(TableHandbook[[#This Row],[UDC]],TableOUMPPWRI3[],7,FALSE),"")</f>
        <v/>
      </c>
      <c r="X127" s="175" t="str">
        <f>IFERROR(VLOOKUP(TableHandbook[[#This Row],[UDC]],TableOCARTS[],7,FALSE),"")</f>
        <v/>
      </c>
      <c r="Y127" s="133" t="str">
        <f>IFERROR(VLOOKUP(TableHandbook[[#This Row],[UDC]],TableOUSPCWRI1[],7,FALSE),"")</f>
        <v/>
      </c>
      <c r="Z127" s="133" t="str">
        <f>IFERROR(VLOOKUP(TableHandbook[[#This Row],[UDC]],TableOUSPDGCM1[],7,FALSE),"")</f>
        <v/>
      </c>
      <c r="AA127" s="133" t="str">
        <f>IFERROR(VLOOKUP(TableHandbook[[#This Row],[UDC]],TableOUSPFINA1[],7,FALSE),"")</f>
        <v/>
      </c>
      <c r="AB127" s="133" t="str">
        <f>IFERROR(VLOOKUP(TableHandbook[[#This Row],[UDC]],TableOUSPPWRI1[],7,FALSE),"")</f>
        <v/>
      </c>
      <c r="AC127" s="175" t="str">
        <f>IFERROR(VLOOKUP(TableHandbook[[#This Row],[UDC]],TableOCHRIGHT[],7,FALSE),"")</f>
        <v/>
      </c>
      <c r="AD127" s="133" t="str">
        <f>IFERROR(VLOOKUP(TableHandbook[[#This Row],[UDC]],TableOGHRIGHT[],7,FALSE),"")</f>
        <v/>
      </c>
      <c r="AE127" s="133" t="str">
        <f>IFERROR(VLOOKUP(TableHandbook[[#This Row],[UDC]],TableOMHRIGHT[],7,FALSE),"")</f>
        <v/>
      </c>
    </row>
    <row r="128" spans="1:31" x14ac:dyDescent="0.25">
      <c r="A128" t="s">
        <v>177</v>
      </c>
      <c r="B128" s="1">
        <v>1</v>
      </c>
      <c r="C128" s="1" t="s">
        <v>370</v>
      </c>
      <c r="D128" t="s">
        <v>371</v>
      </c>
      <c r="E128" s="1">
        <v>25</v>
      </c>
      <c r="F128" s="214" t="s">
        <v>358</v>
      </c>
      <c r="G128" s="134" t="str">
        <f>IFERROR(IF(_xlfn.XLOOKUP(TableHandbook[[#This Row],[UDC]],TableAvailabilities[Row Labels],TableAvailabilities[OpenUnis Session 1])&gt;0,"Y",""),"")</f>
        <v/>
      </c>
      <c r="H128" s="134" t="str">
        <f>IFERROR(IF(_xlfn.XLOOKUP(TableHandbook[[#This Row],[UDC]],TableAvailabilities[Row Labels],TableAvailabilities[OpenUnis Session 2])&gt;0,"Y",""),"")</f>
        <v/>
      </c>
      <c r="I128" s="134" t="str">
        <f>IFERROR(IF(_xlfn.XLOOKUP(TableHandbook[[#This Row],[UDC]],TableAvailabilities[Row Labels],TableAvailabilities[OpenUnis SP 1])&gt;0,"Y",""),"")</f>
        <v/>
      </c>
      <c r="J128" s="134" t="str">
        <f>IFERROR(IF(_xlfn.XLOOKUP(TableHandbook[[#This Row],[UDC]],TableAvailabilities[Row Labels],TableAvailabilities[OpenUnis SP 2])&gt;0,"Y",""),"")</f>
        <v/>
      </c>
      <c r="K128" s="134" t="str">
        <f>IFERROR(IF(_xlfn.XLOOKUP(TableHandbook[[#This Row],[UDC]],TableAvailabilities[Row Labels],TableAvailabilities[OpenUnis SP 3])&gt;0,"Y",""),"")</f>
        <v/>
      </c>
      <c r="L128" s="134" t="str">
        <f>IFERROR(IF(_xlfn.XLOOKUP(TableHandbook[[#This Row],[UDC]],TableAvailabilities[Row Labels],TableAvailabilities[OpenUnis SP 4])&gt;0,"Y",""),"")</f>
        <v/>
      </c>
      <c r="N128" s="133" t="str">
        <f>IFERROR(VLOOKUP(TableHandbook[[#This Row],[UDC]],TableOMARTS[],7,FALSE),"")</f>
        <v/>
      </c>
      <c r="O128" s="133" t="str">
        <f>IFERROR(VLOOKUP(TableHandbook[[#This Row],[UDC]],TableOUMPCWRI4[],7,FALSE),"")</f>
        <v/>
      </c>
      <c r="P128" s="133" t="str">
        <f>IFERROR(VLOOKUP(TableHandbook[[#This Row],[UDC]],TableOUMPDGCM1[],7,FALSE),"")</f>
        <v/>
      </c>
      <c r="Q128" s="133" t="str">
        <f>IFERROR(VLOOKUP(TableHandbook[[#This Row],[UDC]],TableOUMPFINA1[],7,FALSE),"")</f>
        <v>Option</v>
      </c>
      <c r="R128" s="133" t="str">
        <f>IFERROR(VLOOKUP(TableHandbook[[#This Row],[UDC]],TableOUMPPWRI4[],7,FALSE),"")</f>
        <v/>
      </c>
      <c r="S128" s="175" t="str">
        <f>IFERROR(VLOOKUP(TableHandbook[[#This Row],[UDC]],TableOGARTS[],7,FALSE),"")</f>
        <v/>
      </c>
      <c r="T128" s="133" t="str">
        <f>IFERROR(VLOOKUP(TableHandbook[[#This Row],[UDC]],TableOUMPCWRI3[],7,FALSE),"")</f>
        <v/>
      </c>
      <c r="U128" s="133" t="str">
        <f>IFERROR(VLOOKUP(TableHandbook[[#This Row],[UDC]],TableOUMPDGCM2[],7,FALSE),"")</f>
        <v/>
      </c>
      <c r="V128" s="133" t="str">
        <f>IFERROR(VLOOKUP(TableHandbook[[#This Row],[UDC]],TableOUMPFINA2[],7,FALSE),"")</f>
        <v/>
      </c>
      <c r="W128" s="133" t="str">
        <f>IFERROR(VLOOKUP(TableHandbook[[#This Row],[UDC]],TableOUMPPWRI3[],7,FALSE),"")</f>
        <v/>
      </c>
      <c r="X128" s="175" t="str">
        <f>IFERROR(VLOOKUP(TableHandbook[[#This Row],[UDC]],TableOCARTS[],7,FALSE),"")</f>
        <v/>
      </c>
      <c r="Y128" s="133" t="str">
        <f>IFERROR(VLOOKUP(TableHandbook[[#This Row],[UDC]],TableOUSPCWRI1[],7,FALSE),"")</f>
        <v/>
      </c>
      <c r="Z128" s="133" t="str">
        <f>IFERROR(VLOOKUP(TableHandbook[[#This Row],[UDC]],TableOUSPDGCM1[],7,FALSE),"")</f>
        <v/>
      </c>
      <c r="AA128" s="133" t="str">
        <f>IFERROR(VLOOKUP(TableHandbook[[#This Row],[UDC]],TableOUSPFINA1[],7,FALSE),"")</f>
        <v/>
      </c>
      <c r="AB128" s="133" t="str">
        <f>IFERROR(VLOOKUP(TableHandbook[[#This Row],[UDC]],TableOUSPPWRI1[],7,FALSE),"")</f>
        <v/>
      </c>
      <c r="AC128" s="175" t="str">
        <f>IFERROR(VLOOKUP(TableHandbook[[#This Row],[UDC]],TableOCHRIGHT[],7,FALSE),"")</f>
        <v/>
      </c>
      <c r="AD128" s="133" t="str">
        <f>IFERROR(VLOOKUP(TableHandbook[[#This Row],[UDC]],TableOGHRIGHT[],7,FALSE),"")</f>
        <v/>
      </c>
      <c r="AE128" s="133" t="str">
        <f>IFERROR(VLOOKUP(TableHandbook[[#This Row],[UDC]],TableOMHRIGHT[],7,FALSE),"")</f>
        <v/>
      </c>
    </row>
    <row r="129" spans="1:31" x14ac:dyDescent="0.25">
      <c r="A129" t="s">
        <v>179</v>
      </c>
      <c r="B129" s="1">
        <v>1</v>
      </c>
      <c r="C129" s="1" t="s">
        <v>372</v>
      </c>
      <c r="D129" t="s">
        <v>373</v>
      </c>
      <c r="E129" s="1">
        <v>25</v>
      </c>
      <c r="F129" s="214" t="s">
        <v>360</v>
      </c>
      <c r="G129" s="134" t="str">
        <f>IFERROR(IF(_xlfn.XLOOKUP(TableHandbook[[#This Row],[UDC]],TableAvailabilities[Row Labels],TableAvailabilities[OpenUnis Session 1])&gt;0,"Y",""),"")</f>
        <v/>
      </c>
      <c r="H129" s="134" t="str">
        <f>IFERROR(IF(_xlfn.XLOOKUP(TableHandbook[[#This Row],[UDC]],TableAvailabilities[Row Labels],TableAvailabilities[OpenUnis Session 2])&gt;0,"Y",""),"")</f>
        <v/>
      </c>
      <c r="I129" s="134" t="str">
        <f>IFERROR(IF(_xlfn.XLOOKUP(TableHandbook[[#This Row],[UDC]],TableAvailabilities[Row Labels],TableAvailabilities[OpenUnis SP 1])&gt;0,"Y",""),"")</f>
        <v/>
      </c>
      <c r="J129" s="134" t="str">
        <f>IFERROR(IF(_xlfn.XLOOKUP(TableHandbook[[#This Row],[UDC]],TableAvailabilities[Row Labels],TableAvailabilities[OpenUnis SP 2])&gt;0,"Y",""),"")</f>
        <v/>
      </c>
      <c r="K129" s="134" t="str">
        <f>IFERROR(IF(_xlfn.XLOOKUP(TableHandbook[[#This Row],[UDC]],TableAvailabilities[Row Labels],TableAvailabilities[OpenUnis SP 3])&gt;0,"Y",""),"")</f>
        <v>Y</v>
      </c>
      <c r="L129" s="134" t="str">
        <f>IFERROR(IF(_xlfn.XLOOKUP(TableHandbook[[#This Row],[UDC]],TableAvailabilities[Row Labels],TableAvailabilities[OpenUnis SP 4])&gt;0,"Y",""),"")</f>
        <v/>
      </c>
      <c r="N129" s="133" t="str">
        <f>IFERROR(VLOOKUP(TableHandbook[[#This Row],[UDC]],TableOMARTS[],7,FALSE),"")</f>
        <v/>
      </c>
      <c r="O129" s="133" t="str">
        <f>IFERROR(VLOOKUP(TableHandbook[[#This Row],[UDC]],TableOUMPCWRI4[],7,FALSE),"")</f>
        <v/>
      </c>
      <c r="P129" s="133" t="str">
        <f>IFERROR(VLOOKUP(TableHandbook[[#This Row],[UDC]],TableOUMPDGCM1[],7,FALSE),"")</f>
        <v/>
      </c>
      <c r="Q129" s="133" t="str">
        <f>IFERROR(VLOOKUP(TableHandbook[[#This Row],[UDC]],TableOUMPFINA1[],7,FALSE),"")</f>
        <v>Option</v>
      </c>
      <c r="R129" s="133" t="str">
        <f>IFERROR(VLOOKUP(TableHandbook[[#This Row],[UDC]],TableOUMPPWRI4[],7,FALSE),"")</f>
        <v/>
      </c>
      <c r="S129" s="175" t="str">
        <f>IFERROR(VLOOKUP(TableHandbook[[#This Row],[UDC]],TableOGARTS[],7,FALSE),"")</f>
        <v/>
      </c>
      <c r="T129" s="133" t="str">
        <f>IFERROR(VLOOKUP(TableHandbook[[#This Row],[UDC]],TableOUMPCWRI3[],7,FALSE),"")</f>
        <v/>
      </c>
      <c r="U129" s="133" t="str">
        <f>IFERROR(VLOOKUP(TableHandbook[[#This Row],[UDC]],TableOUMPDGCM2[],7,FALSE),"")</f>
        <v/>
      </c>
      <c r="V129" s="133" t="str">
        <f>IFERROR(VLOOKUP(TableHandbook[[#This Row],[UDC]],TableOUMPFINA2[],7,FALSE),"")</f>
        <v/>
      </c>
      <c r="W129" s="133" t="str">
        <f>IFERROR(VLOOKUP(TableHandbook[[#This Row],[UDC]],TableOUMPPWRI3[],7,FALSE),"")</f>
        <v/>
      </c>
      <c r="X129" s="175" t="str">
        <f>IFERROR(VLOOKUP(TableHandbook[[#This Row],[UDC]],TableOCARTS[],7,FALSE),"")</f>
        <v/>
      </c>
      <c r="Y129" s="133" t="str">
        <f>IFERROR(VLOOKUP(TableHandbook[[#This Row],[UDC]],TableOUSPCWRI1[],7,FALSE),"")</f>
        <v/>
      </c>
      <c r="Z129" s="133" t="str">
        <f>IFERROR(VLOOKUP(TableHandbook[[#This Row],[UDC]],TableOUSPDGCM1[],7,FALSE),"")</f>
        <v/>
      </c>
      <c r="AA129" s="133" t="str">
        <f>IFERROR(VLOOKUP(TableHandbook[[#This Row],[UDC]],TableOUSPFINA1[],7,FALSE),"")</f>
        <v/>
      </c>
      <c r="AB129" s="133" t="str">
        <f>IFERROR(VLOOKUP(TableHandbook[[#This Row],[UDC]],TableOUSPPWRI1[],7,FALSE),"")</f>
        <v/>
      </c>
      <c r="AC129" s="175" t="str">
        <f>IFERROR(VLOOKUP(TableHandbook[[#This Row],[UDC]],TableOCHRIGHT[],7,FALSE),"")</f>
        <v/>
      </c>
      <c r="AD129" s="133" t="str">
        <f>IFERROR(VLOOKUP(TableHandbook[[#This Row],[UDC]],TableOGHRIGHT[],7,FALSE),"")</f>
        <v/>
      </c>
      <c r="AE129" s="133" t="str">
        <f>IFERROR(VLOOKUP(TableHandbook[[#This Row],[UDC]],TableOMHRIGHT[],7,FALSE),"")</f>
        <v/>
      </c>
    </row>
  </sheetData>
  <phoneticPr fontId="45" type="noConversion"/>
  <conditionalFormatting sqref="A3:A129">
    <cfRule type="duplicateValues" dxfId="41" priority="590"/>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8"/>
  <sheetViews>
    <sheetView zoomScale="75" zoomScaleNormal="75" workbookViewId="0">
      <selection activeCell="E7" sqref="E7"/>
    </sheetView>
  </sheetViews>
  <sheetFormatPr defaultRowHeight="15.75" x14ac:dyDescent="0.25"/>
  <cols>
    <col min="1" max="1" width="15" bestFit="1" customWidth="1"/>
    <col min="2" max="2" width="6.875" style="1" bestFit="1" customWidth="1"/>
    <col min="3" max="3" width="12" bestFit="1" customWidth="1"/>
    <col min="4" max="4" width="63.75" bestFit="1" customWidth="1"/>
    <col min="5" max="5" width="8.625" style="1"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2.75" bestFit="1" customWidth="1"/>
    <col min="18" max="18" width="6.625" bestFit="1" customWidth="1"/>
  </cols>
  <sheetData>
    <row r="1" spans="1:18" x14ac:dyDescent="0.25">
      <c r="B1"/>
      <c r="E1"/>
      <c r="F1" s="209"/>
      <c r="G1" s="173" t="s">
        <v>374</v>
      </c>
      <c r="H1" s="212">
        <v>46035</v>
      </c>
      <c r="I1" s="171"/>
      <c r="J1" s="171" t="s">
        <v>63</v>
      </c>
      <c r="K1" s="207">
        <v>2</v>
      </c>
      <c r="L1" s="171" t="s">
        <v>11</v>
      </c>
      <c r="M1" s="171"/>
      <c r="N1" s="208">
        <v>46023</v>
      </c>
      <c r="O1" s="174"/>
      <c r="P1" s="127">
        <v>45658</v>
      </c>
    </row>
    <row r="2" spans="1:18" x14ac:dyDescent="0.25">
      <c r="A2" t="s">
        <v>0</v>
      </c>
      <c r="B2" s="1" t="s">
        <v>375</v>
      </c>
      <c r="C2" t="s">
        <v>22</v>
      </c>
      <c r="D2" t="s">
        <v>3</v>
      </c>
      <c r="E2" s="57" t="s">
        <v>376</v>
      </c>
      <c r="F2" t="s">
        <v>377</v>
      </c>
      <c r="G2" t="s">
        <v>378</v>
      </c>
      <c r="H2" s="1" t="s">
        <v>379</v>
      </c>
      <c r="I2" t="s">
        <v>23</v>
      </c>
      <c r="J2" t="s">
        <v>380</v>
      </c>
      <c r="K2" t="s">
        <v>1</v>
      </c>
      <c r="L2" t="s">
        <v>381</v>
      </c>
      <c r="M2" t="s">
        <v>58</v>
      </c>
      <c r="N2" t="s">
        <v>382</v>
      </c>
      <c r="O2" t="s">
        <v>383</v>
      </c>
      <c r="Q2" t="s">
        <v>384</v>
      </c>
      <c r="R2" t="s">
        <v>1</v>
      </c>
    </row>
    <row r="3" spans="1:18" x14ac:dyDescent="0.25">
      <c r="A3" t="str">
        <f>TableOMARTS[[#This Row],[Study Package Code]]</f>
        <v>Arts Major</v>
      </c>
      <c r="B3" s="1">
        <f>TableOMARTS[[#This Row],[Ver]]</f>
        <v>0</v>
      </c>
      <c r="C3" t="str">
        <f>IF(TableOMARTS[[#This Row],[Ver]]&gt;0,_xlfn.TEXTBEFORE(TableOMARTS[[#This Row],[Structure Line]]," "),"")</f>
        <v/>
      </c>
      <c r="D3" t="str">
        <f>IF(TableOMARTS[[#This Row],[OUA Code]]&lt;&gt;"",_xlfn.TEXTAFTER(TableOMARTS[[#This Row],[Structure Line]]," "),TableOMARTS[[#This Row],[Structure Line]])</f>
        <v>Choose a Major</v>
      </c>
      <c r="E3" s="57">
        <f>TableOMARTS[[#This Row],[Credit Points]]</f>
        <v>400</v>
      </c>
      <c r="F3" s="110">
        <v>1</v>
      </c>
      <c r="G3" s="110" t="s">
        <v>387</v>
      </c>
      <c r="H3" s="211">
        <v>1</v>
      </c>
      <c r="I3" s="110" t="s">
        <v>386</v>
      </c>
      <c r="J3" s="110" t="s">
        <v>250</v>
      </c>
      <c r="K3" s="110">
        <v>0</v>
      </c>
      <c r="L3" s="110" t="s">
        <v>251</v>
      </c>
      <c r="M3" s="110">
        <v>400</v>
      </c>
      <c r="N3" s="128"/>
      <c r="O3" s="128"/>
      <c r="Q3" t="s">
        <v>250</v>
      </c>
      <c r="R3">
        <v>0</v>
      </c>
    </row>
    <row r="4" spans="1:18" x14ac:dyDescent="0.25">
      <c r="A4" t="str">
        <f>TableOMARTS[[#This Row],[Study Package Code]]</f>
        <v>OUMP-CWRI4</v>
      </c>
      <c r="B4" s="1">
        <f>TableOMARTS[[#This Row],[Ver]]</f>
        <v>1</v>
      </c>
      <c r="D4" t="str">
        <f>IF(TableOMARTS[[#This Row],[OUA Code]]&lt;&gt;"",_xlfn.TEXTAFTER(TableOMARTS[[#This Row],[Structure Line]]," "),TableOMARTS[[#This Row],[Structure Line]])</f>
        <v>Creative Writing Major (MArts) (OpenUnis)</v>
      </c>
      <c r="E4" s="57">
        <f>TableOMARTS[[#This Row],[Credit Points]]</f>
        <v>400</v>
      </c>
      <c r="F4" s="110">
        <v>1</v>
      </c>
      <c r="G4" s="110" t="s">
        <v>387</v>
      </c>
      <c r="H4" s="211">
        <v>1</v>
      </c>
      <c r="I4" s="110" t="s">
        <v>386</v>
      </c>
      <c r="J4" s="110" t="s">
        <v>76</v>
      </c>
      <c r="K4" s="110">
        <v>1</v>
      </c>
      <c r="L4" s="110" t="s">
        <v>14</v>
      </c>
      <c r="M4" s="110">
        <v>400</v>
      </c>
      <c r="N4" s="128">
        <v>46023</v>
      </c>
      <c r="O4" s="128"/>
      <c r="Q4" t="s">
        <v>83</v>
      </c>
      <c r="R4">
        <v>1</v>
      </c>
    </row>
    <row r="5" spans="1:18" x14ac:dyDescent="0.25">
      <c r="A5" t="str">
        <f>TableOMARTS[[#This Row],[Study Package Code]]</f>
        <v>OUMP-DGCM1</v>
      </c>
      <c r="B5" s="1">
        <f>TableOMARTS[[#This Row],[Ver]]</f>
        <v>2</v>
      </c>
      <c r="D5" t="str">
        <f>IF(TableOMARTS[[#This Row],[OUA Code]]&lt;&gt;"",_xlfn.TEXTAFTER(TableOMARTS[[#This Row],[Structure Line]]," "),TableOMARTS[[#This Row],[Structure Line]])</f>
        <v>Digital Communications Major (MArts) (OpenUnis)</v>
      </c>
      <c r="E5" s="57">
        <f>TableOMARTS[[#This Row],[Credit Points]]</f>
        <v>400</v>
      </c>
      <c r="F5" s="110">
        <v>1</v>
      </c>
      <c r="G5" s="110" t="s">
        <v>387</v>
      </c>
      <c r="H5" s="211">
        <v>1</v>
      </c>
      <c r="I5" s="110" t="s">
        <v>386</v>
      </c>
      <c r="J5" s="110" t="s">
        <v>78</v>
      </c>
      <c r="K5" s="110">
        <v>2</v>
      </c>
      <c r="L5" s="110" t="s">
        <v>77</v>
      </c>
      <c r="M5" s="110">
        <v>400</v>
      </c>
      <c r="N5" s="128">
        <v>46023</v>
      </c>
      <c r="O5" s="128"/>
      <c r="Q5" t="s">
        <v>78</v>
      </c>
      <c r="R5">
        <v>1</v>
      </c>
    </row>
    <row r="6" spans="1:18" x14ac:dyDescent="0.25">
      <c r="A6" t="str">
        <f>TableOMARTS[[#This Row],[Study Package Code]]</f>
        <v>OUMP-FINA1</v>
      </c>
      <c r="B6" s="1">
        <f>TableOMARTS[[#This Row],[Ver]]</f>
        <v>2</v>
      </c>
      <c r="D6" t="str">
        <f>IF(TableOMARTS[[#This Row],[OUA Code]]&lt;&gt;"",_xlfn.TEXTAFTER(TableOMARTS[[#This Row],[Structure Line]]," "),TableOMARTS[[#This Row],[Structure Line]])</f>
        <v>Fine Art Major (MArts) (OpenUnis)</v>
      </c>
      <c r="E6" s="57">
        <f>TableOMARTS[[#This Row],[Credit Points]]</f>
        <v>400</v>
      </c>
      <c r="F6" s="110">
        <v>1</v>
      </c>
      <c r="G6" s="110" t="s">
        <v>387</v>
      </c>
      <c r="H6" s="211">
        <v>1</v>
      </c>
      <c r="I6" s="110" t="s">
        <v>386</v>
      </c>
      <c r="J6" s="110" t="s">
        <v>80</v>
      </c>
      <c r="K6" s="110">
        <v>2</v>
      </c>
      <c r="L6" s="110" t="s">
        <v>79</v>
      </c>
      <c r="M6" s="110">
        <v>400</v>
      </c>
      <c r="N6" s="128">
        <v>46023</v>
      </c>
      <c r="O6" s="128"/>
      <c r="Q6" t="s">
        <v>80</v>
      </c>
      <c r="R6">
        <v>1</v>
      </c>
    </row>
    <row r="7" spans="1:18" x14ac:dyDescent="0.25">
      <c r="A7" t="str">
        <f>TableOMARTS[[#This Row],[Study Package Code]]</f>
        <v>OUMP-PWRI4</v>
      </c>
      <c r="B7" s="1">
        <f>TableOMARTS[[#This Row],[Ver]]</f>
        <v>1</v>
      </c>
      <c r="D7" t="str">
        <f>IF(TableOMARTS[[#This Row],[OUA Code]]&lt;&gt;"",_xlfn.TEXTAFTER(TableOMARTS[[#This Row],[Structure Line]]," "),TableOMARTS[[#This Row],[Structure Line]])</f>
        <v>Professional Writing and Publishing Major (MArts) (OpenUnis)</v>
      </c>
      <c r="E7" s="57">
        <f>TableOMARTS[[#This Row],[Credit Points]]</f>
        <v>400</v>
      </c>
      <c r="F7" s="110">
        <v>1</v>
      </c>
      <c r="G7" s="110" t="s">
        <v>387</v>
      </c>
      <c r="H7" s="211">
        <v>1</v>
      </c>
      <c r="I7" s="110" t="s">
        <v>386</v>
      </c>
      <c r="J7" s="110" t="s">
        <v>82</v>
      </c>
      <c r="K7" s="110">
        <v>1</v>
      </c>
      <c r="L7" s="110" t="s">
        <v>81</v>
      </c>
      <c r="M7" s="110">
        <v>400</v>
      </c>
      <c r="N7" s="128">
        <v>46023</v>
      </c>
      <c r="O7" s="128"/>
      <c r="Q7" t="s">
        <v>85</v>
      </c>
      <c r="R7">
        <v>1</v>
      </c>
    </row>
    <row r="8" spans="1:18" x14ac:dyDescent="0.25">
      <c r="B8"/>
      <c r="E8"/>
      <c r="F8" s="209"/>
      <c r="G8" s="173" t="s">
        <v>374</v>
      </c>
      <c r="H8" s="212">
        <v>46035</v>
      </c>
      <c r="I8" s="171"/>
      <c r="J8" s="210" t="s">
        <v>76</v>
      </c>
      <c r="K8" s="207">
        <v>1</v>
      </c>
      <c r="L8" s="171" t="s">
        <v>14</v>
      </c>
      <c r="M8" s="171"/>
      <c r="N8" s="208">
        <v>46023</v>
      </c>
      <c r="O8" s="174"/>
    </row>
    <row r="9" spans="1:18" x14ac:dyDescent="0.25">
      <c r="A9" t="s">
        <v>0</v>
      </c>
      <c r="B9" s="1" t="s">
        <v>375</v>
      </c>
      <c r="C9" t="s">
        <v>22</v>
      </c>
      <c r="D9" t="s">
        <v>3</v>
      </c>
      <c r="E9" s="57" t="s">
        <v>376</v>
      </c>
      <c r="F9" t="s">
        <v>377</v>
      </c>
      <c r="G9" t="s">
        <v>378</v>
      </c>
      <c r="H9" s="1" t="s">
        <v>379</v>
      </c>
      <c r="I9" t="s">
        <v>23</v>
      </c>
      <c r="J9" t="s">
        <v>380</v>
      </c>
      <c r="K9" t="s">
        <v>1</v>
      </c>
      <c r="L9" t="s">
        <v>381</v>
      </c>
      <c r="M9" t="s">
        <v>58</v>
      </c>
      <c r="N9" t="s">
        <v>382</v>
      </c>
      <c r="O9" t="s">
        <v>383</v>
      </c>
      <c r="Q9" t="s">
        <v>384</v>
      </c>
      <c r="R9" t="s">
        <v>1</v>
      </c>
    </row>
    <row r="10" spans="1:18" x14ac:dyDescent="0.25">
      <c r="A10" t="str">
        <f>TableOUMPCWRI4[[#This Row],[Study Package Code]]</f>
        <v>COMS5005</v>
      </c>
      <c r="B10" s="1">
        <f>TableOUMPCWRI4[[#This Row],[Ver]]</f>
        <v>1</v>
      </c>
      <c r="C10" t="str">
        <f>IF(TableOUMPCWRI4[[#This Row],[Ver]]&gt;0,_xlfn.TEXTBEFORE(TableOUMPCWRI4[[#This Row],[Structure Line]]," "),"")</f>
        <v>COM500</v>
      </c>
      <c r="D10" t="str">
        <f>IF(TableOUMPCWRI4[[#This Row],[OUA Code]]&lt;&gt;"",_xlfn.TEXTAFTER(TableOUMPCWRI4[[#This Row],[Structure Line]]," "),TableOUMPCWRI4[[#This Row],[Structure Line]])</f>
        <v>Approaches to Arts Research</v>
      </c>
      <c r="E10" s="57">
        <f>TableOUMPCWRI4[[#This Row],[Credit Points]]</f>
        <v>25</v>
      </c>
      <c r="F10" s="110">
        <v>1</v>
      </c>
      <c r="G10" s="110" t="s">
        <v>388</v>
      </c>
      <c r="H10" s="211">
        <v>1</v>
      </c>
      <c r="I10" s="110" t="s">
        <v>386</v>
      </c>
      <c r="J10" s="110" t="s">
        <v>199</v>
      </c>
      <c r="K10" s="110">
        <v>1</v>
      </c>
      <c r="L10" s="110" t="s">
        <v>389</v>
      </c>
      <c r="M10" s="110">
        <v>25</v>
      </c>
      <c r="N10" s="128">
        <v>45658</v>
      </c>
      <c r="O10" s="128"/>
      <c r="Q10" t="s">
        <v>329</v>
      </c>
      <c r="R10">
        <v>0</v>
      </c>
    </row>
    <row r="11" spans="1:18" x14ac:dyDescent="0.25">
      <c r="A11" t="str">
        <f>TableOUMPCWRI4[[#This Row],[Study Package Code]]</f>
        <v>COMS6008</v>
      </c>
      <c r="B11" s="1">
        <f>TableOUMPCWRI4[[#This Row],[Ver]]</f>
        <v>1</v>
      </c>
      <c r="C11" t="str">
        <f>IF(TableOUMPCWRI4[[#This Row],[Ver]]&gt;0,_xlfn.TEXTBEFORE(TableOUMPCWRI4[[#This Row],[Structure Line]]," "),"")</f>
        <v>COM605</v>
      </c>
      <c r="D11" t="str">
        <f>IF(TableOUMPCWRI4[[#This Row],[OUA Code]]&lt;&gt;"",_xlfn.TEXTAFTER(TableOUMPCWRI4[[#This Row],[Structure Line]]," "),TableOUMPCWRI4[[#This Row],[Structure Line]])</f>
        <v>Planning an Arts Research Project</v>
      </c>
      <c r="E11" s="57">
        <f>TableOUMPCWRI4[[#This Row],[Credit Points]]</f>
        <v>25</v>
      </c>
      <c r="F11" s="110">
        <v>2</v>
      </c>
      <c r="G11" s="110" t="s">
        <v>388</v>
      </c>
      <c r="H11" s="211">
        <v>1</v>
      </c>
      <c r="I11" s="110" t="s">
        <v>386</v>
      </c>
      <c r="J11" s="110" t="s">
        <v>231</v>
      </c>
      <c r="K11" s="110">
        <v>1</v>
      </c>
      <c r="L11" s="110" t="s">
        <v>390</v>
      </c>
      <c r="M11" s="110">
        <v>25</v>
      </c>
      <c r="N11" s="128">
        <v>45658</v>
      </c>
      <c r="O11" s="128"/>
      <c r="Q11" t="s">
        <v>199</v>
      </c>
      <c r="R11">
        <v>1</v>
      </c>
    </row>
    <row r="12" spans="1:18" x14ac:dyDescent="0.25">
      <c r="A12" t="str">
        <f>TableOUMPCWRI4[[#This Row],[Study Package Code]]</f>
        <v>Opt-CWRI41</v>
      </c>
      <c r="B12" s="1">
        <f>TableOUMPCWRI4[[#This Row],[Ver]]</f>
        <v>0</v>
      </c>
      <c r="C12" t="str">
        <f>IF(TableOUMPCWRI4[[#This Row],[Ver]]&gt;0,_xlfn.TEXTBEFORE(TableOUMPCWRI4[[#This Row],[Structure Line]]," "),"")</f>
        <v/>
      </c>
      <c r="D12" t="str">
        <f>IF(TableOUMPCWRI4[[#This Row],[OUA Code]]&lt;&gt;"",_xlfn.TEXTAFTER(TableOUMPCWRI4[[#This Row],[Structure Line]]," "),TableOUMPCWRI4[[#This Row],[Structure Line]])</f>
        <v>Choose Options for Year 1</v>
      </c>
      <c r="E12" s="57">
        <f>TableOUMPCWRI4[[#This Row],[Credit Points]]</f>
        <v>150</v>
      </c>
      <c r="F12" s="110">
        <v>3</v>
      </c>
      <c r="G12" s="110" t="s">
        <v>387</v>
      </c>
      <c r="H12" s="211">
        <v>1</v>
      </c>
      <c r="I12" s="110" t="s">
        <v>386</v>
      </c>
      <c r="J12" s="110" t="s">
        <v>456</v>
      </c>
      <c r="K12" s="110">
        <v>0</v>
      </c>
      <c r="L12" s="110" t="s">
        <v>454</v>
      </c>
      <c r="M12" s="110">
        <v>150</v>
      </c>
      <c r="N12" s="128"/>
      <c r="O12" s="128"/>
      <c r="Q12" t="s">
        <v>231</v>
      </c>
      <c r="R12">
        <v>1</v>
      </c>
    </row>
    <row r="13" spans="1:18" x14ac:dyDescent="0.25">
      <c r="A13" t="str">
        <f>TableOUMPCWRI4[[#This Row],[Study Package Code]]</f>
        <v>AC-CWRI4</v>
      </c>
      <c r="B13" s="1">
        <f>TableOUMPCWRI4[[#This Row],[Ver]]</f>
        <v>0</v>
      </c>
      <c r="C13" t="str">
        <f>IF(TableOUMPCWRI4[[#This Row],[Ver]]&gt;0,_xlfn.TEXTBEFORE(TableOUMPCWRI4[[#This Row],[Structure Line]]," "),"")</f>
        <v/>
      </c>
      <c r="D13" t="str">
        <f>IF(TableOUMPCWRI4[[#This Row],[OUA Code]]&lt;&gt;"",_xlfn.TEXTAFTER(TableOUMPCWRI4[[#This Row],[Structure Line]]," "),TableOUMPCWRI4[[#This Row],[Structure Line]])</f>
        <v>Choose HUMN6004 or COMS6007</v>
      </c>
      <c r="E13" s="57">
        <f>TableOUMPCWRI4[[#This Row],[Credit Points]]</f>
        <v>50</v>
      </c>
      <c r="F13" s="110">
        <v>4</v>
      </c>
      <c r="G13" s="110" t="s">
        <v>385</v>
      </c>
      <c r="H13" s="211">
        <v>2</v>
      </c>
      <c r="I13" s="110" t="s">
        <v>386</v>
      </c>
      <c r="J13" s="110" t="s">
        <v>133</v>
      </c>
      <c r="K13" s="110">
        <v>0</v>
      </c>
      <c r="L13" s="110" t="s">
        <v>391</v>
      </c>
      <c r="M13" s="110">
        <v>50</v>
      </c>
      <c r="N13" s="128"/>
      <c r="O13" s="128"/>
      <c r="Q13" t="s">
        <v>240</v>
      </c>
      <c r="R13">
        <v>0</v>
      </c>
    </row>
    <row r="14" spans="1:18" x14ac:dyDescent="0.25">
      <c r="A14" t="str">
        <f>TableOUMPCWRI4[[#This Row],[Study Package Code]]</f>
        <v>Opt-CWRI42</v>
      </c>
      <c r="B14" s="1">
        <f>TableOUMPCWRI4[[#This Row],[Ver]]</f>
        <v>0</v>
      </c>
      <c r="C14" t="str">
        <f>IF(TableOUMPCWRI4[[#This Row],[Ver]]&gt;0,_xlfn.TEXTBEFORE(TableOUMPCWRI4[[#This Row],[Structure Line]]," "),"")</f>
        <v/>
      </c>
      <c r="D14" t="str">
        <f>IF(TableOUMPCWRI4[[#This Row],[OUA Code]]&lt;&gt;"",_xlfn.TEXTAFTER(TableOUMPCWRI4[[#This Row],[Structure Line]]," "),TableOUMPCWRI4[[#This Row],[Structure Line]])</f>
        <v>Choose Options for Year 2</v>
      </c>
      <c r="E14" s="57">
        <f>TableOUMPCWRI4[[#This Row],[Credit Points]]</f>
        <v>150</v>
      </c>
      <c r="F14" s="110">
        <v>5</v>
      </c>
      <c r="G14" s="110" t="s">
        <v>387</v>
      </c>
      <c r="H14" s="211">
        <v>2</v>
      </c>
      <c r="I14" s="110" t="s">
        <v>386</v>
      </c>
      <c r="J14" s="110" t="s">
        <v>457</v>
      </c>
      <c r="K14" s="110">
        <v>0</v>
      </c>
      <c r="L14" s="110" t="s">
        <v>455</v>
      </c>
      <c r="M14" s="110">
        <v>150</v>
      </c>
      <c r="N14" s="128"/>
      <c r="O14" s="128"/>
      <c r="Q14" t="s">
        <v>150</v>
      </c>
      <c r="R14">
        <v>2</v>
      </c>
    </row>
    <row r="15" spans="1:18" x14ac:dyDescent="0.25">
      <c r="A15" t="str">
        <f>TableOUMPCWRI4[[#This Row],[Study Package Code]]</f>
        <v>CWRI5020</v>
      </c>
      <c r="B15" s="1">
        <f>TableOUMPCWRI4[[#This Row],[Ver]]</f>
        <v>1</v>
      </c>
      <c r="C15" t="str">
        <f>IF(TableOUMPCWRI4[[#This Row],[Ver]]&gt;0,_xlfn.TEXTBEFORE(TableOUMPCWRI4[[#This Row],[Structure Line]]," "),"")</f>
        <v>CWG500</v>
      </c>
      <c r="D15" t="str">
        <f>IF(TableOUMPCWRI4[[#This Row],[OUA Code]]&lt;&gt;"",_xlfn.TEXTAFTER(TableOUMPCWRI4[[#This Row],[Structure Line]]," "),TableOUMPCWRI4[[#This Row],[Structure Line]])</f>
        <v>Graduate Travel Writing</v>
      </c>
      <c r="E15" s="57">
        <f>TableOUMPCWRI4[[#This Row],[Credit Points]]</f>
        <v>25</v>
      </c>
      <c r="F15" s="110">
        <v>3</v>
      </c>
      <c r="G15" s="110" t="s">
        <v>387</v>
      </c>
      <c r="H15" s="211">
        <v>1</v>
      </c>
      <c r="I15" s="110" t="s">
        <v>386</v>
      </c>
      <c r="J15" s="110" t="s">
        <v>147</v>
      </c>
      <c r="K15" s="110">
        <v>1</v>
      </c>
      <c r="L15" s="110" t="s">
        <v>393</v>
      </c>
      <c r="M15" s="110">
        <v>25</v>
      </c>
      <c r="N15" s="128">
        <v>45658</v>
      </c>
      <c r="O15" s="128"/>
      <c r="Q15" t="s">
        <v>147</v>
      </c>
      <c r="R15">
        <v>1</v>
      </c>
    </row>
    <row r="16" spans="1:18" x14ac:dyDescent="0.25">
      <c r="A16" t="str">
        <f>TableOUMPCWRI4[[#This Row],[Study Package Code]]</f>
        <v>CWRI5028</v>
      </c>
      <c r="B16" s="1">
        <f>TableOUMPCWRI4[[#This Row],[Ver]]</f>
        <v>1</v>
      </c>
      <c r="C16" t="str">
        <f>IF(TableOUMPCWRI4[[#This Row],[Ver]]&gt;0,_xlfn.TEXTBEFORE(TableOUMPCWRI4[[#This Row],[Structure Line]]," "),"")</f>
        <v>CWRI5028</v>
      </c>
      <c r="D16" t="str">
        <f>IF(TableOUMPCWRI4[[#This Row],[OUA Code]]&lt;&gt;"",_xlfn.TEXTAFTER(TableOUMPCWRI4[[#This Row],[Structure Line]]," "),TableOUMPCWRI4[[#This Row],[Structure Line]])</f>
        <v>Graduate Writing Long Fiction</v>
      </c>
      <c r="E16" s="57">
        <f>TableOUMPCWRI4[[#This Row],[Credit Points]]</f>
        <v>25</v>
      </c>
      <c r="F16" s="110">
        <v>3</v>
      </c>
      <c r="G16" s="110" t="s">
        <v>387</v>
      </c>
      <c r="H16" s="211">
        <v>1</v>
      </c>
      <c r="I16" s="110" t="s">
        <v>386</v>
      </c>
      <c r="J16" s="110" t="s">
        <v>149</v>
      </c>
      <c r="K16" s="110">
        <v>1</v>
      </c>
      <c r="L16" s="110" t="s">
        <v>438</v>
      </c>
      <c r="M16" s="110">
        <v>25</v>
      </c>
      <c r="N16" s="128">
        <v>46023</v>
      </c>
      <c r="O16" s="128"/>
      <c r="Q16" t="s">
        <v>203</v>
      </c>
      <c r="R16">
        <v>1</v>
      </c>
    </row>
    <row r="17" spans="1:18" x14ac:dyDescent="0.25">
      <c r="A17" t="str">
        <f>TableOUMPCWRI4[[#This Row],[Study Package Code]]</f>
        <v>CWRI5030</v>
      </c>
      <c r="B17" s="1">
        <f>TableOUMPCWRI4[[#This Row],[Ver]]</f>
        <v>1</v>
      </c>
      <c r="C17" t="str">
        <f>IF(TableOUMPCWRI4[[#This Row],[Ver]]&gt;0,_xlfn.TEXTBEFORE(TableOUMPCWRI4[[#This Row],[Structure Line]]," "),"")</f>
        <v>CWRI5030</v>
      </c>
      <c r="D17" t="str">
        <f>IF(TableOUMPCWRI4[[#This Row],[OUA Code]]&lt;&gt;"",_xlfn.TEXTAFTER(TableOUMPCWRI4[[#This Row],[Structure Line]]," "),TableOUMPCWRI4[[#This Row],[Structure Line]])</f>
        <v>Graduate Writing for Children</v>
      </c>
      <c r="E17" s="57">
        <f>TableOUMPCWRI4[[#This Row],[Credit Points]]</f>
        <v>25</v>
      </c>
      <c r="F17" s="110">
        <v>3</v>
      </c>
      <c r="G17" s="110" t="s">
        <v>387</v>
      </c>
      <c r="H17" s="211">
        <v>1</v>
      </c>
      <c r="I17" s="110" t="s">
        <v>386</v>
      </c>
      <c r="J17" s="110" t="s">
        <v>152</v>
      </c>
      <c r="K17" s="110">
        <v>1</v>
      </c>
      <c r="L17" s="110" t="s">
        <v>439</v>
      </c>
      <c r="M17" s="110">
        <v>25</v>
      </c>
      <c r="N17" s="128">
        <v>46023</v>
      </c>
      <c r="O17" s="128"/>
      <c r="Q17" t="s">
        <v>205</v>
      </c>
      <c r="R17">
        <v>1</v>
      </c>
    </row>
    <row r="18" spans="1:18" x14ac:dyDescent="0.25">
      <c r="A18" t="str">
        <f>TableOUMPCWRI4[[#This Row],[Study Package Code]]</f>
        <v>CWRI5032</v>
      </c>
      <c r="B18" s="1">
        <f>TableOUMPCWRI4[[#This Row],[Ver]]</f>
        <v>1</v>
      </c>
      <c r="C18" t="str">
        <f>IF(TableOUMPCWRI4[[#This Row],[Ver]]&gt;0,_xlfn.TEXTBEFORE(TableOUMPCWRI4[[#This Row],[Structure Line]]," "),"")</f>
        <v>CWRI5032</v>
      </c>
      <c r="D18" t="str">
        <f>IF(TableOUMPCWRI4[[#This Row],[OUA Code]]&lt;&gt;"",_xlfn.TEXTAFTER(TableOUMPCWRI4[[#This Row],[Structure Line]]," "),TableOUMPCWRI4[[#This Row],[Structure Line]])</f>
        <v>Graduate Writing Genre Fiction</v>
      </c>
      <c r="E18" s="57">
        <f>TableOUMPCWRI4[[#This Row],[Credit Points]]</f>
        <v>25</v>
      </c>
      <c r="F18" s="110">
        <v>3</v>
      </c>
      <c r="G18" s="110" t="s">
        <v>387</v>
      </c>
      <c r="H18" s="211">
        <v>1</v>
      </c>
      <c r="I18" s="110" t="s">
        <v>386</v>
      </c>
      <c r="J18" s="110" t="s">
        <v>155</v>
      </c>
      <c r="K18" s="110">
        <v>1</v>
      </c>
      <c r="L18" s="110" t="s">
        <v>440</v>
      </c>
      <c r="M18" s="110">
        <v>25</v>
      </c>
      <c r="N18" s="128">
        <v>46023</v>
      </c>
      <c r="O18" s="128"/>
      <c r="Q18" t="s">
        <v>208</v>
      </c>
      <c r="R18">
        <v>1</v>
      </c>
    </row>
    <row r="19" spans="1:18" x14ac:dyDescent="0.25">
      <c r="A19" t="str">
        <f>TableOUMPCWRI4[[#This Row],[Study Package Code]]</f>
        <v>CWRI5034</v>
      </c>
      <c r="B19" s="1">
        <f>TableOUMPCWRI4[[#This Row],[Ver]]</f>
        <v>1</v>
      </c>
      <c r="C19" t="str">
        <f>IF(TableOUMPCWRI4[[#This Row],[Ver]]&gt;0,_xlfn.TEXTBEFORE(TableOUMPCWRI4[[#This Row],[Structure Line]]," "),"")</f>
        <v>CWRI5034</v>
      </c>
      <c r="D19" t="str">
        <f>IF(TableOUMPCWRI4[[#This Row],[OUA Code]]&lt;&gt;"",_xlfn.TEXTAFTER(TableOUMPCWRI4[[#This Row],[Structure Line]]," "),TableOUMPCWRI4[[#This Row],[Structure Line]])</f>
        <v>Graduate Writing Poetry</v>
      </c>
      <c r="E19" s="57">
        <f>TableOUMPCWRI4[[#This Row],[Credit Points]]</f>
        <v>25</v>
      </c>
      <c r="F19" s="110">
        <v>3</v>
      </c>
      <c r="G19" s="110" t="s">
        <v>387</v>
      </c>
      <c r="H19" s="211">
        <v>1</v>
      </c>
      <c r="I19" s="110" t="s">
        <v>386</v>
      </c>
      <c r="J19" s="110" t="s">
        <v>157</v>
      </c>
      <c r="K19" s="110">
        <v>1</v>
      </c>
      <c r="L19" s="110" t="s">
        <v>441</v>
      </c>
      <c r="M19" s="110">
        <v>25</v>
      </c>
      <c r="N19" s="128">
        <v>46023</v>
      </c>
      <c r="O19" s="128"/>
      <c r="Q19" t="s">
        <v>211</v>
      </c>
      <c r="R19">
        <v>1</v>
      </c>
    </row>
    <row r="20" spans="1:18" x14ac:dyDescent="0.25">
      <c r="A20" t="str">
        <f>TableOUMPCWRI4[[#This Row],[Study Package Code]]</f>
        <v>CWRI5036</v>
      </c>
      <c r="B20" s="1">
        <f>TableOUMPCWRI4[[#This Row],[Ver]]</f>
        <v>1</v>
      </c>
      <c r="C20" t="str">
        <f>IF(TableOUMPCWRI4[[#This Row],[Ver]]&gt;0,_xlfn.TEXTBEFORE(TableOUMPCWRI4[[#This Row],[Structure Line]]," "),"")</f>
        <v>CWRI5036</v>
      </c>
      <c r="D20" t="str">
        <f>IF(TableOUMPCWRI4[[#This Row],[OUA Code]]&lt;&gt;"",_xlfn.TEXTAFTER(TableOUMPCWRI4[[#This Row],[Structure Line]]," "),TableOUMPCWRI4[[#This Row],[Structure Line]])</f>
        <v>Graduate Experimental Writing</v>
      </c>
      <c r="E20" s="57">
        <f>TableOUMPCWRI4[[#This Row],[Credit Points]]</f>
        <v>25</v>
      </c>
      <c r="F20" s="110">
        <v>3</v>
      </c>
      <c r="G20" s="110" t="s">
        <v>387</v>
      </c>
      <c r="H20" s="211">
        <v>1</v>
      </c>
      <c r="I20" s="110" t="s">
        <v>386</v>
      </c>
      <c r="J20" s="110" t="s">
        <v>160</v>
      </c>
      <c r="K20" s="110">
        <v>1</v>
      </c>
      <c r="L20" s="110" t="s">
        <v>442</v>
      </c>
      <c r="M20" s="110">
        <v>25</v>
      </c>
      <c r="N20" s="128">
        <v>46023</v>
      </c>
      <c r="O20" s="128"/>
      <c r="Q20" t="s">
        <v>213</v>
      </c>
      <c r="R20">
        <v>1</v>
      </c>
    </row>
    <row r="21" spans="1:18" x14ac:dyDescent="0.25">
      <c r="A21" t="str">
        <f>TableOUMPCWRI4[[#This Row],[Study Package Code]]</f>
        <v>CWRI5038</v>
      </c>
      <c r="B21" s="1">
        <f>TableOUMPCWRI4[[#This Row],[Ver]]</f>
        <v>1</v>
      </c>
      <c r="C21" t="str">
        <f>IF(TableOUMPCWRI4[[#This Row],[Ver]]&gt;0,_xlfn.TEXTBEFORE(TableOUMPCWRI4[[#This Row],[Structure Line]]," "),"")</f>
        <v>CWRI5038</v>
      </c>
      <c r="D21" t="str">
        <f>IF(TableOUMPCWRI4[[#This Row],[OUA Code]]&lt;&gt;"",_xlfn.TEXTAFTER(TableOUMPCWRI4[[#This Row],[Structure Line]]," "),TableOUMPCWRI4[[#This Row],[Structure Line]])</f>
        <v>Graduate Writing Short Fiction</v>
      </c>
      <c r="E21" s="57">
        <f>TableOUMPCWRI4[[#This Row],[Credit Points]]</f>
        <v>25</v>
      </c>
      <c r="F21" s="110">
        <v>3</v>
      </c>
      <c r="G21" s="110" t="s">
        <v>387</v>
      </c>
      <c r="H21" s="211">
        <v>1</v>
      </c>
      <c r="I21" s="110" t="s">
        <v>386</v>
      </c>
      <c r="J21" s="110" t="s">
        <v>164</v>
      </c>
      <c r="K21" s="110">
        <v>1</v>
      </c>
      <c r="L21" s="110" t="s">
        <v>443</v>
      </c>
      <c r="M21" s="110">
        <v>25</v>
      </c>
      <c r="N21" s="128">
        <v>46023</v>
      </c>
      <c r="O21" s="128"/>
      <c r="Q21" t="s">
        <v>214</v>
      </c>
      <c r="R21">
        <v>1</v>
      </c>
    </row>
    <row r="22" spans="1:18" x14ac:dyDescent="0.25">
      <c r="A22" t="str">
        <f>TableOUMPCWRI4[[#This Row],[Study Package Code]]</f>
        <v>CWRI6004</v>
      </c>
      <c r="B22" s="1">
        <f>TableOUMPCWRI4[[#This Row],[Ver]]</f>
        <v>1</v>
      </c>
      <c r="C22" t="str">
        <f>IF(TableOUMPCWRI4[[#This Row],[Ver]]&gt;0,_xlfn.TEXTBEFORE(TableOUMPCWRI4[[#This Row],[Structure Line]]," "),"")</f>
        <v>CWRI6004</v>
      </c>
      <c r="D22" t="str">
        <f>IF(TableOUMPCWRI4[[#This Row],[OUA Code]]&lt;&gt;"",_xlfn.TEXTAFTER(TableOUMPCWRI4[[#This Row],[Structure Line]]," "),TableOUMPCWRI4[[#This Row],[Structure Line]])</f>
        <v>Graduate Engaging Narrative</v>
      </c>
      <c r="E22" s="57">
        <f>TableOUMPCWRI4[[#This Row],[Credit Points]]</f>
        <v>25</v>
      </c>
      <c r="F22" s="110">
        <v>3</v>
      </c>
      <c r="G22" s="110" t="s">
        <v>387</v>
      </c>
      <c r="H22" s="211">
        <v>1</v>
      </c>
      <c r="I22" s="110" t="s">
        <v>386</v>
      </c>
      <c r="J22" s="110" t="s">
        <v>151</v>
      </c>
      <c r="K22" s="110">
        <v>1</v>
      </c>
      <c r="L22" s="110" t="s">
        <v>444</v>
      </c>
      <c r="M22" s="110">
        <v>25</v>
      </c>
      <c r="N22" s="128">
        <v>46023</v>
      </c>
      <c r="O22" s="128"/>
      <c r="Q22" t="s">
        <v>202</v>
      </c>
      <c r="R22">
        <v>1</v>
      </c>
    </row>
    <row r="23" spans="1:18" x14ac:dyDescent="0.25">
      <c r="A23" t="str">
        <f>TableOUMPCWRI4[[#This Row],[Study Package Code]]</f>
        <v>LANG5005</v>
      </c>
      <c r="B23" s="1">
        <f>TableOUMPCWRI4[[#This Row],[Ver]]</f>
        <v>1</v>
      </c>
      <c r="C23" t="str">
        <f>IF(TableOUMPCWRI4[[#This Row],[Ver]]&gt;0,_xlfn.TEXTBEFORE(TableOUMPCWRI4[[#This Row],[Structure Line]]," "),"")</f>
        <v>LANG5005</v>
      </c>
      <c r="D23" t="str">
        <f>IF(TableOUMPCWRI4[[#This Row],[OUA Code]]&lt;&gt;"",_xlfn.TEXTAFTER(TableOUMPCWRI4[[#This Row],[Structure Line]]," "),TableOUMPCWRI4[[#This Row],[Structure Line]])</f>
        <v>Graduate Narrative Nonfiction</v>
      </c>
      <c r="E23" s="57">
        <f>TableOUMPCWRI4[[#This Row],[Credit Points]]</f>
        <v>25</v>
      </c>
      <c r="F23" s="110">
        <v>3</v>
      </c>
      <c r="G23" s="110" t="s">
        <v>387</v>
      </c>
      <c r="H23" s="211">
        <v>1</v>
      </c>
      <c r="I23" s="110" t="s">
        <v>386</v>
      </c>
      <c r="J23" s="110" t="s">
        <v>154</v>
      </c>
      <c r="K23" s="110">
        <v>1</v>
      </c>
      <c r="L23" s="110" t="s">
        <v>446</v>
      </c>
      <c r="M23" s="110">
        <v>25</v>
      </c>
      <c r="N23" s="128">
        <v>46023</v>
      </c>
      <c r="O23" s="128"/>
      <c r="Q23" t="s">
        <v>153</v>
      </c>
      <c r="R23">
        <v>1</v>
      </c>
    </row>
    <row r="24" spans="1:18" x14ac:dyDescent="0.25">
      <c r="A24" t="str">
        <f>TableOUMPCWRI4[[#This Row],[Study Package Code]]</f>
        <v>LANG5007</v>
      </c>
      <c r="B24" s="1">
        <f>TableOUMPCWRI4[[#This Row],[Ver]]</f>
        <v>1</v>
      </c>
      <c r="C24" t="str">
        <f>IF(TableOUMPCWRI4[[#This Row],[Ver]]&gt;0,_xlfn.TEXTBEFORE(TableOUMPCWRI4[[#This Row],[Structure Line]]," "),"")</f>
        <v>LANG5007</v>
      </c>
      <c r="D24" t="str">
        <f>IF(TableOUMPCWRI4[[#This Row],[OUA Code]]&lt;&gt;"",_xlfn.TEXTAFTER(TableOUMPCWRI4[[#This Row],[Structure Line]]," "),TableOUMPCWRI4[[#This Row],[Structure Line]])</f>
        <v>Graduate Editing</v>
      </c>
      <c r="E24" s="57">
        <f>TableOUMPCWRI4[[#This Row],[Credit Points]]</f>
        <v>25</v>
      </c>
      <c r="F24" s="110">
        <v>3</v>
      </c>
      <c r="G24" s="110" t="s">
        <v>387</v>
      </c>
      <c r="H24" s="211">
        <v>1</v>
      </c>
      <c r="I24" s="110" t="s">
        <v>386</v>
      </c>
      <c r="J24" s="110" t="s">
        <v>156</v>
      </c>
      <c r="K24" s="110">
        <v>1</v>
      </c>
      <c r="L24" s="110" t="s">
        <v>447</v>
      </c>
      <c r="M24" s="110">
        <v>25</v>
      </c>
      <c r="N24" s="128">
        <v>46023</v>
      </c>
      <c r="O24" s="128"/>
      <c r="Q24" t="s">
        <v>215</v>
      </c>
      <c r="R24">
        <v>1</v>
      </c>
    </row>
    <row r="25" spans="1:18" x14ac:dyDescent="0.25">
      <c r="A25" t="str">
        <f>TableOUMPCWRI4[[#This Row],[Study Package Code]]</f>
        <v>COMS6007</v>
      </c>
      <c r="B25" s="1">
        <f>TableOUMPCWRI4[[#This Row],[Ver]]</f>
        <v>1</v>
      </c>
      <c r="C25" t="str">
        <f>IF(TableOUMPCWRI4[[#This Row],[Ver]]&gt;0,_xlfn.TEXTBEFORE(TableOUMPCWRI4[[#This Row],[Structure Line]]," "),"")</f>
        <v>COM610</v>
      </c>
      <c r="D25" t="str">
        <f>IF(TableOUMPCWRI4[[#This Row],[OUA Code]]&lt;&gt;"",_xlfn.TEXTAFTER(TableOUMPCWRI4[[#This Row],[Structure Line]]," "),TableOUMPCWRI4[[#This Row],[Structure Line]])</f>
        <v>Masters Professional or Creative Project</v>
      </c>
      <c r="E25" s="57">
        <f>TableOUMPCWRI4[[#This Row],[Credit Points]]</f>
        <v>50</v>
      </c>
      <c r="F25" s="110">
        <v>4</v>
      </c>
      <c r="G25" s="110" t="s">
        <v>385</v>
      </c>
      <c r="H25" s="211">
        <v>2</v>
      </c>
      <c r="I25" s="110" t="s">
        <v>386</v>
      </c>
      <c r="J25" s="110" t="s">
        <v>123</v>
      </c>
      <c r="K25" s="110">
        <v>1</v>
      </c>
      <c r="L25" s="110" t="s">
        <v>395</v>
      </c>
      <c r="M25" s="110">
        <v>50</v>
      </c>
      <c r="N25" s="128">
        <v>45292</v>
      </c>
      <c r="O25" s="128"/>
      <c r="Q25" t="s">
        <v>210</v>
      </c>
      <c r="R25">
        <v>1</v>
      </c>
    </row>
    <row r="26" spans="1:18" x14ac:dyDescent="0.25">
      <c r="A26" t="str">
        <f>TableOUMPCWRI4[[#This Row],[Study Package Code]]</f>
        <v>HUMN6004</v>
      </c>
      <c r="B26" s="1">
        <f>TableOUMPCWRI4[[#This Row],[Ver]]</f>
        <v>1</v>
      </c>
      <c r="C26" t="str">
        <f>IF(TableOUMPCWRI4[[#This Row],[Ver]]&gt;0,_xlfn.TEXTBEFORE(TableOUMPCWRI4[[#This Row],[Structure Line]]," "),"")</f>
        <v>HUMN610</v>
      </c>
      <c r="D26" t="str">
        <f>IF(TableOUMPCWRI4[[#This Row],[OUA Code]]&lt;&gt;"",_xlfn.TEXTAFTER(TableOUMPCWRI4[[#This Row],[Structure Line]]," "),TableOUMPCWRI4[[#This Row],[Structure Line]])</f>
        <v>Masters Research Project 2</v>
      </c>
      <c r="E26" s="57">
        <f>TableOUMPCWRI4[[#This Row],[Credit Points]]</f>
        <v>50</v>
      </c>
      <c r="F26" s="110">
        <v>4</v>
      </c>
      <c r="G26" s="110" t="s">
        <v>385</v>
      </c>
      <c r="H26" s="211">
        <v>2</v>
      </c>
      <c r="I26" s="110" t="s">
        <v>386</v>
      </c>
      <c r="J26" s="110" t="s">
        <v>125</v>
      </c>
      <c r="K26" s="110">
        <v>1</v>
      </c>
      <c r="L26" s="110" t="s">
        <v>396</v>
      </c>
      <c r="M26" s="110">
        <v>50</v>
      </c>
      <c r="N26" s="128">
        <v>45292</v>
      </c>
      <c r="O26" s="128"/>
      <c r="Q26" t="s">
        <v>123</v>
      </c>
      <c r="R26">
        <v>1</v>
      </c>
    </row>
    <row r="27" spans="1:18" x14ac:dyDescent="0.25">
      <c r="A27" t="str">
        <f>TableOUMPCWRI4[[#This Row],[Study Package Code]]</f>
        <v>COMS6006</v>
      </c>
      <c r="B27" s="1">
        <f>TableOUMPCWRI4[[#This Row],[Ver]]</f>
        <v>2</v>
      </c>
      <c r="C27" t="str">
        <f>IF(TableOUMPCWRI4[[#This Row],[Ver]]&gt;0,_xlfn.TEXTBEFORE(TableOUMPCWRI4[[#This Row],[Structure Line]]," "),"")</f>
        <v>COM600</v>
      </c>
      <c r="D27" t="str">
        <f>IF(TableOUMPCWRI4[[#This Row],[OUA Code]]&lt;&gt;"",_xlfn.TEXTAFTER(TableOUMPCWRI4[[#This Row],[Structure Line]]," "),TableOUMPCWRI4[[#This Row],[Structure Line]])</f>
        <v>Masters Professional Experience</v>
      </c>
      <c r="E27" s="57">
        <f>TableOUMPCWRI4[[#This Row],[Credit Points]]</f>
        <v>50</v>
      </c>
      <c r="F27" s="110">
        <v>5</v>
      </c>
      <c r="G27" s="110" t="s">
        <v>387</v>
      </c>
      <c r="H27" s="211">
        <v>2</v>
      </c>
      <c r="I27" s="110" t="s">
        <v>386</v>
      </c>
      <c r="J27" s="110" t="s">
        <v>150</v>
      </c>
      <c r="K27" s="110">
        <v>2</v>
      </c>
      <c r="L27" s="110" t="s">
        <v>392</v>
      </c>
      <c r="M27" s="110">
        <v>50</v>
      </c>
      <c r="N27" s="128">
        <v>45292</v>
      </c>
      <c r="O27" s="128"/>
      <c r="Q27" t="s">
        <v>125</v>
      </c>
      <c r="R27">
        <v>1</v>
      </c>
    </row>
    <row r="28" spans="1:18" x14ac:dyDescent="0.25">
      <c r="A28" t="str">
        <f>TableOUMPCWRI4[[#This Row],[Study Package Code]]</f>
        <v>CWRI5020</v>
      </c>
      <c r="B28" s="1">
        <f>TableOUMPCWRI4[[#This Row],[Ver]]</f>
        <v>1</v>
      </c>
      <c r="C28" t="str">
        <f>IF(TableOUMPCWRI4[[#This Row],[Ver]]&gt;0,_xlfn.TEXTBEFORE(TableOUMPCWRI4[[#This Row],[Structure Line]]," "),"")</f>
        <v>CWG500</v>
      </c>
      <c r="D28" t="str">
        <f>IF(TableOUMPCWRI4[[#This Row],[OUA Code]]&lt;&gt;"",_xlfn.TEXTAFTER(TableOUMPCWRI4[[#This Row],[Structure Line]]," "),TableOUMPCWRI4[[#This Row],[Structure Line]])</f>
        <v>Graduate Travel Writing</v>
      </c>
      <c r="E28" s="57">
        <f>TableOUMPCWRI4[[#This Row],[Credit Points]]</f>
        <v>25</v>
      </c>
      <c r="F28" s="110">
        <v>5</v>
      </c>
      <c r="G28" s="110" t="s">
        <v>387</v>
      </c>
      <c r="H28" s="211">
        <v>2</v>
      </c>
      <c r="I28" s="110" t="s">
        <v>386</v>
      </c>
      <c r="J28" s="110" t="s">
        <v>147</v>
      </c>
      <c r="K28" s="110">
        <v>1</v>
      </c>
      <c r="L28" s="110" t="s">
        <v>393</v>
      </c>
      <c r="M28" s="110">
        <v>25</v>
      </c>
      <c r="N28" s="128">
        <v>45658</v>
      </c>
      <c r="O28" s="128"/>
    </row>
    <row r="29" spans="1:18" x14ac:dyDescent="0.25">
      <c r="A29" t="str">
        <f>TableOUMPCWRI4[[#This Row],[Study Package Code]]</f>
        <v>CWRI5028</v>
      </c>
      <c r="B29" s="1">
        <f>TableOUMPCWRI4[[#This Row],[Ver]]</f>
        <v>1</v>
      </c>
      <c r="C29" t="str">
        <f>IF(TableOUMPCWRI4[[#This Row],[Ver]]&gt;0,_xlfn.TEXTBEFORE(TableOUMPCWRI4[[#This Row],[Structure Line]]," "),"")</f>
        <v>CWRI5028</v>
      </c>
      <c r="D29" t="str">
        <f>IF(TableOUMPCWRI4[[#This Row],[OUA Code]]&lt;&gt;"",_xlfn.TEXTAFTER(TableOUMPCWRI4[[#This Row],[Structure Line]]," "),TableOUMPCWRI4[[#This Row],[Structure Line]])</f>
        <v>Graduate Writing Long Fiction</v>
      </c>
      <c r="E29" s="57">
        <f>TableOUMPCWRI4[[#This Row],[Credit Points]]</f>
        <v>25</v>
      </c>
      <c r="F29" s="110">
        <v>5</v>
      </c>
      <c r="G29" s="110" t="s">
        <v>387</v>
      </c>
      <c r="H29" s="211">
        <v>2</v>
      </c>
      <c r="I29" s="110" t="s">
        <v>386</v>
      </c>
      <c r="J29" s="110" t="s">
        <v>149</v>
      </c>
      <c r="K29" s="110">
        <v>1</v>
      </c>
      <c r="L29" s="110" t="s">
        <v>438</v>
      </c>
      <c r="M29" s="110">
        <v>25</v>
      </c>
      <c r="N29" s="128">
        <v>46023</v>
      </c>
      <c r="O29" s="128"/>
    </row>
    <row r="30" spans="1:18" x14ac:dyDescent="0.25">
      <c r="A30" t="str">
        <f>TableOUMPCWRI4[[#This Row],[Study Package Code]]</f>
        <v>CWRI5030</v>
      </c>
      <c r="B30" s="1">
        <f>TableOUMPCWRI4[[#This Row],[Ver]]</f>
        <v>1</v>
      </c>
      <c r="C30" t="str">
        <f>IF(TableOUMPCWRI4[[#This Row],[Ver]]&gt;0,_xlfn.TEXTBEFORE(TableOUMPCWRI4[[#This Row],[Structure Line]]," "),"")</f>
        <v>CWRI5030</v>
      </c>
      <c r="D30" t="str">
        <f>IF(TableOUMPCWRI4[[#This Row],[OUA Code]]&lt;&gt;"",_xlfn.TEXTAFTER(TableOUMPCWRI4[[#This Row],[Structure Line]]," "),TableOUMPCWRI4[[#This Row],[Structure Line]])</f>
        <v>Graduate Writing for Children</v>
      </c>
      <c r="E30" s="57">
        <f>TableOUMPCWRI4[[#This Row],[Credit Points]]</f>
        <v>25</v>
      </c>
      <c r="F30" s="110">
        <v>5</v>
      </c>
      <c r="G30" s="110" t="s">
        <v>387</v>
      </c>
      <c r="H30" s="211">
        <v>2</v>
      </c>
      <c r="I30" s="110" t="s">
        <v>386</v>
      </c>
      <c r="J30" s="110" t="s">
        <v>152</v>
      </c>
      <c r="K30" s="110">
        <v>1</v>
      </c>
      <c r="L30" s="110" t="s">
        <v>439</v>
      </c>
      <c r="M30" s="110">
        <v>25</v>
      </c>
      <c r="N30" s="128">
        <v>46023</v>
      </c>
      <c r="O30" s="128"/>
    </row>
    <row r="31" spans="1:18" x14ac:dyDescent="0.25">
      <c r="A31" t="str">
        <f>TableOUMPCWRI4[[#This Row],[Study Package Code]]</f>
        <v>CWRI5032</v>
      </c>
      <c r="B31" s="1">
        <f>TableOUMPCWRI4[[#This Row],[Ver]]</f>
        <v>1</v>
      </c>
      <c r="C31" t="str">
        <f>IF(TableOUMPCWRI4[[#This Row],[Ver]]&gt;0,_xlfn.TEXTBEFORE(TableOUMPCWRI4[[#This Row],[Structure Line]]," "),"")</f>
        <v>CWRI5032</v>
      </c>
      <c r="D31" t="str">
        <f>IF(TableOUMPCWRI4[[#This Row],[OUA Code]]&lt;&gt;"",_xlfn.TEXTAFTER(TableOUMPCWRI4[[#This Row],[Structure Line]]," "),TableOUMPCWRI4[[#This Row],[Structure Line]])</f>
        <v>Graduate Writing Genre Fiction</v>
      </c>
      <c r="E31" s="57">
        <f>TableOUMPCWRI4[[#This Row],[Credit Points]]</f>
        <v>25</v>
      </c>
      <c r="F31" s="110">
        <v>5</v>
      </c>
      <c r="G31" s="110" t="s">
        <v>387</v>
      </c>
      <c r="H31" s="211">
        <v>2</v>
      </c>
      <c r="I31" s="110" t="s">
        <v>386</v>
      </c>
      <c r="J31" s="110" t="s">
        <v>155</v>
      </c>
      <c r="K31" s="110">
        <v>1</v>
      </c>
      <c r="L31" s="110" t="s">
        <v>440</v>
      </c>
      <c r="M31" s="110">
        <v>25</v>
      </c>
      <c r="N31" s="128">
        <v>46023</v>
      </c>
      <c r="O31" s="128"/>
    </row>
    <row r="32" spans="1:18" x14ac:dyDescent="0.25">
      <c r="A32" t="str">
        <f>TableOUMPCWRI4[[#This Row],[Study Package Code]]</f>
        <v>CWRI5034</v>
      </c>
      <c r="B32" s="1">
        <f>TableOUMPCWRI4[[#This Row],[Ver]]</f>
        <v>1</v>
      </c>
      <c r="C32" t="str">
        <f>IF(TableOUMPCWRI4[[#This Row],[Ver]]&gt;0,_xlfn.TEXTBEFORE(TableOUMPCWRI4[[#This Row],[Structure Line]]," "),"")</f>
        <v>CWRI5034</v>
      </c>
      <c r="D32" t="str">
        <f>IF(TableOUMPCWRI4[[#This Row],[OUA Code]]&lt;&gt;"",_xlfn.TEXTAFTER(TableOUMPCWRI4[[#This Row],[Structure Line]]," "),TableOUMPCWRI4[[#This Row],[Structure Line]])</f>
        <v>Graduate Writing Poetry</v>
      </c>
      <c r="E32" s="57">
        <f>TableOUMPCWRI4[[#This Row],[Credit Points]]</f>
        <v>25</v>
      </c>
      <c r="F32" s="110">
        <v>5</v>
      </c>
      <c r="G32" s="110" t="s">
        <v>387</v>
      </c>
      <c r="H32" s="211">
        <v>2</v>
      </c>
      <c r="I32" s="110" t="s">
        <v>386</v>
      </c>
      <c r="J32" s="110" t="s">
        <v>157</v>
      </c>
      <c r="K32" s="110">
        <v>1</v>
      </c>
      <c r="L32" s="110" t="s">
        <v>441</v>
      </c>
      <c r="M32" s="110">
        <v>25</v>
      </c>
      <c r="N32" s="128">
        <v>46023</v>
      </c>
      <c r="O32" s="128"/>
    </row>
    <row r="33" spans="1:18" x14ac:dyDescent="0.25">
      <c r="A33" t="str">
        <f>TableOUMPCWRI4[[#This Row],[Study Package Code]]</f>
        <v>CWRI5036</v>
      </c>
      <c r="B33" s="1">
        <f>TableOUMPCWRI4[[#This Row],[Ver]]</f>
        <v>1</v>
      </c>
      <c r="C33" t="str">
        <f>IF(TableOUMPCWRI4[[#This Row],[Ver]]&gt;0,_xlfn.TEXTBEFORE(TableOUMPCWRI4[[#This Row],[Structure Line]]," "),"")</f>
        <v>CWRI5036</v>
      </c>
      <c r="D33" t="str">
        <f>IF(TableOUMPCWRI4[[#This Row],[OUA Code]]&lt;&gt;"",_xlfn.TEXTAFTER(TableOUMPCWRI4[[#This Row],[Structure Line]]," "),TableOUMPCWRI4[[#This Row],[Structure Line]])</f>
        <v>Graduate Experimental Writing</v>
      </c>
      <c r="E33" s="57">
        <f>TableOUMPCWRI4[[#This Row],[Credit Points]]</f>
        <v>25</v>
      </c>
      <c r="F33" s="110">
        <v>5</v>
      </c>
      <c r="G33" s="110" t="s">
        <v>387</v>
      </c>
      <c r="H33" s="211">
        <v>2</v>
      </c>
      <c r="I33" s="110" t="s">
        <v>386</v>
      </c>
      <c r="J33" s="110" t="s">
        <v>160</v>
      </c>
      <c r="K33" s="110">
        <v>1</v>
      </c>
      <c r="L33" s="110" t="s">
        <v>442</v>
      </c>
      <c r="M33" s="110">
        <v>25</v>
      </c>
      <c r="N33" s="128">
        <v>46023</v>
      </c>
      <c r="O33" s="128"/>
    </row>
    <row r="34" spans="1:18" x14ac:dyDescent="0.25">
      <c r="A34" t="str">
        <f>TableOUMPCWRI4[[#This Row],[Study Package Code]]</f>
        <v>CWRI5038</v>
      </c>
      <c r="B34" s="1">
        <f>TableOUMPCWRI4[[#This Row],[Ver]]</f>
        <v>1</v>
      </c>
      <c r="C34" t="str">
        <f>IF(TableOUMPCWRI4[[#This Row],[Ver]]&gt;0,_xlfn.TEXTBEFORE(TableOUMPCWRI4[[#This Row],[Structure Line]]," "),"")</f>
        <v>CWRI5038</v>
      </c>
      <c r="D34" t="str">
        <f>IF(TableOUMPCWRI4[[#This Row],[OUA Code]]&lt;&gt;"",_xlfn.TEXTAFTER(TableOUMPCWRI4[[#This Row],[Structure Line]]," "),TableOUMPCWRI4[[#This Row],[Structure Line]])</f>
        <v>Graduate Writing Short Fiction</v>
      </c>
      <c r="E34" s="57">
        <f>TableOUMPCWRI4[[#This Row],[Credit Points]]</f>
        <v>25</v>
      </c>
      <c r="F34" s="110">
        <v>5</v>
      </c>
      <c r="G34" s="110" t="s">
        <v>387</v>
      </c>
      <c r="H34" s="211">
        <v>2</v>
      </c>
      <c r="I34" s="110" t="s">
        <v>386</v>
      </c>
      <c r="J34" s="110" t="s">
        <v>164</v>
      </c>
      <c r="K34" s="110">
        <v>1</v>
      </c>
      <c r="L34" s="110" t="s">
        <v>443</v>
      </c>
      <c r="M34" s="110">
        <v>25</v>
      </c>
      <c r="N34" s="128">
        <v>46023</v>
      </c>
      <c r="O34" s="128"/>
    </row>
    <row r="35" spans="1:18" x14ac:dyDescent="0.25">
      <c r="A35" t="str">
        <f>TableOUMPCWRI4[[#This Row],[Study Package Code]]</f>
        <v>CWRI6004</v>
      </c>
      <c r="B35" s="1">
        <f>TableOUMPCWRI4[[#This Row],[Ver]]</f>
        <v>1</v>
      </c>
      <c r="C35" t="str">
        <f>IF(TableOUMPCWRI4[[#This Row],[Ver]]&gt;0,_xlfn.TEXTBEFORE(TableOUMPCWRI4[[#This Row],[Structure Line]]," "),"")</f>
        <v>CWRI6004</v>
      </c>
      <c r="D35" t="str">
        <f>IF(TableOUMPCWRI4[[#This Row],[OUA Code]]&lt;&gt;"",_xlfn.TEXTAFTER(TableOUMPCWRI4[[#This Row],[Structure Line]]," "),TableOUMPCWRI4[[#This Row],[Structure Line]])</f>
        <v>Graduate Engaging Narrative</v>
      </c>
      <c r="E35" s="57">
        <f>TableOUMPCWRI4[[#This Row],[Credit Points]]</f>
        <v>25</v>
      </c>
      <c r="F35" s="110">
        <v>5</v>
      </c>
      <c r="G35" s="110" t="s">
        <v>387</v>
      </c>
      <c r="H35" s="211">
        <v>2</v>
      </c>
      <c r="I35" s="110" t="s">
        <v>386</v>
      </c>
      <c r="J35" s="110" t="s">
        <v>151</v>
      </c>
      <c r="K35" s="110">
        <v>1</v>
      </c>
      <c r="L35" s="110" t="s">
        <v>444</v>
      </c>
      <c r="M35" s="110">
        <v>25</v>
      </c>
      <c r="N35" s="128">
        <v>46023</v>
      </c>
      <c r="O35" s="128"/>
    </row>
    <row r="36" spans="1:18" x14ac:dyDescent="0.25">
      <c r="A36" t="str">
        <f>TableOUMPCWRI4[[#This Row],[Study Package Code]]</f>
        <v>HUMN6002</v>
      </c>
      <c r="B36" s="1">
        <f>TableOUMPCWRI4[[#This Row],[Ver]]</f>
        <v>1</v>
      </c>
      <c r="C36" t="str">
        <f>IF(TableOUMPCWRI4[[#This Row],[Ver]]&gt;0,_xlfn.TEXTBEFORE(TableOUMPCWRI4[[#This Row],[Structure Line]]," "),"")</f>
        <v>HUMN600</v>
      </c>
      <c r="D36" t="str">
        <f>IF(TableOUMPCWRI4[[#This Row],[OUA Code]]&lt;&gt;"",_xlfn.TEXTAFTER(TableOUMPCWRI4[[#This Row],[Structure Line]]," "),TableOUMPCWRI4[[#This Row],[Structure Line]])</f>
        <v>Masters Research Project 1</v>
      </c>
      <c r="E36" s="57">
        <f>TableOUMPCWRI4[[#This Row],[Credit Points]]</f>
        <v>50</v>
      </c>
      <c r="F36" s="110">
        <v>5</v>
      </c>
      <c r="G36" s="110" t="s">
        <v>387</v>
      </c>
      <c r="H36" s="211">
        <v>2</v>
      </c>
      <c r="I36" s="110" t="s">
        <v>386</v>
      </c>
      <c r="J36" s="110" t="s">
        <v>153</v>
      </c>
      <c r="K36" s="110">
        <v>1</v>
      </c>
      <c r="L36" s="110" t="s">
        <v>394</v>
      </c>
      <c r="M36" s="110">
        <v>50</v>
      </c>
      <c r="N36" s="128">
        <v>45292</v>
      </c>
      <c r="O36" s="128"/>
    </row>
    <row r="37" spans="1:18" x14ac:dyDescent="0.25">
      <c r="A37" t="str">
        <f>TableOUMPCWRI4[[#This Row],[Study Package Code]]</f>
        <v>LANG5005</v>
      </c>
      <c r="B37" s="1">
        <f>TableOUMPCWRI4[[#This Row],[Ver]]</f>
        <v>1</v>
      </c>
      <c r="C37" t="str">
        <f>IF(TableOUMPCWRI4[[#This Row],[Ver]]&gt;0,_xlfn.TEXTBEFORE(TableOUMPCWRI4[[#This Row],[Structure Line]]," "),"")</f>
        <v>LANG5005</v>
      </c>
      <c r="D37" t="str">
        <f>IF(TableOUMPCWRI4[[#This Row],[OUA Code]]&lt;&gt;"",_xlfn.TEXTAFTER(TableOUMPCWRI4[[#This Row],[Structure Line]]," "),TableOUMPCWRI4[[#This Row],[Structure Line]])</f>
        <v>Graduate Narrative Nonfiction</v>
      </c>
      <c r="E37" s="57">
        <f>TableOUMPCWRI4[[#This Row],[Credit Points]]</f>
        <v>25</v>
      </c>
      <c r="F37" s="110">
        <v>5</v>
      </c>
      <c r="G37" s="110" t="s">
        <v>387</v>
      </c>
      <c r="H37" s="211">
        <v>2</v>
      </c>
      <c r="I37" s="110" t="s">
        <v>386</v>
      </c>
      <c r="J37" s="110" t="s">
        <v>154</v>
      </c>
      <c r="K37" s="110">
        <v>1</v>
      </c>
      <c r="L37" s="110" t="s">
        <v>446</v>
      </c>
      <c r="M37" s="110">
        <v>25</v>
      </c>
      <c r="N37" s="128">
        <v>46023</v>
      </c>
      <c r="O37" s="128"/>
    </row>
    <row r="38" spans="1:18" x14ac:dyDescent="0.25">
      <c r="A38" t="str">
        <f>TableOUMPCWRI4[[#This Row],[Study Package Code]]</f>
        <v>LANG5007</v>
      </c>
      <c r="B38" s="1">
        <f>TableOUMPCWRI4[[#This Row],[Ver]]</f>
        <v>1</v>
      </c>
      <c r="C38" t="str">
        <f>IF(TableOUMPCWRI4[[#This Row],[Ver]]&gt;0,_xlfn.TEXTBEFORE(TableOUMPCWRI4[[#This Row],[Structure Line]]," "),"")</f>
        <v>LANG5007</v>
      </c>
      <c r="D38" t="str">
        <f>IF(TableOUMPCWRI4[[#This Row],[OUA Code]]&lt;&gt;"",_xlfn.TEXTAFTER(TableOUMPCWRI4[[#This Row],[Structure Line]]," "),TableOUMPCWRI4[[#This Row],[Structure Line]])</f>
        <v>Graduate Editing</v>
      </c>
      <c r="E38" s="57">
        <f>TableOUMPCWRI4[[#This Row],[Credit Points]]</f>
        <v>25</v>
      </c>
      <c r="F38" s="110">
        <v>5</v>
      </c>
      <c r="G38" s="110" t="s">
        <v>387</v>
      </c>
      <c r="H38" s="211">
        <v>2</v>
      </c>
      <c r="I38" s="110" t="s">
        <v>386</v>
      </c>
      <c r="J38" s="110" t="s">
        <v>156</v>
      </c>
      <c r="K38" s="110">
        <v>1</v>
      </c>
      <c r="L38" s="110" t="s">
        <v>447</v>
      </c>
      <c r="M38" s="110">
        <v>25</v>
      </c>
      <c r="N38" s="128">
        <v>46023</v>
      </c>
      <c r="O38" s="128"/>
    </row>
    <row r="39" spans="1:18" x14ac:dyDescent="0.25">
      <c r="A39" t="str">
        <f>TableOUMPCWRI4[[#This Row],[Study Package Code]]</f>
        <v>LANG5015</v>
      </c>
      <c r="B39" s="1">
        <f>TableOUMPCWRI4[[#This Row],[Ver]]</f>
        <v>1</v>
      </c>
      <c r="C39" t="str">
        <f>IF(TableOUMPCWRI4[[#This Row],[Ver]]&gt;0,_xlfn.TEXTBEFORE(TableOUMPCWRI4[[#This Row],[Structure Line]]," "),"")</f>
        <v>LANG5015</v>
      </c>
      <c r="D39" t="str">
        <f>IF(TableOUMPCWRI4[[#This Row],[OUA Code]]&lt;&gt;"",_xlfn.TEXTAFTER(TableOUMPCWRI4[[#This Row],[Structure Line]]," "),TableOUMPCWRI4[[#This Row],[Structure Line]])</f>
        <v>Graduate Advanced Narrative Nonfiction</v>
      </c>
      <c r="E39" s="57">
        <f>TableOUMPCWRI4[[#This Row],[Credit Points]]</f>
        <v>25</v>
      </c>
      <c r="F39" s="110">
        <v>5</v>
      </c>
      <c r="G39" s="110" t="s">
        <v>387</v>
      </c>
      <c r="H39" s="211">
        <v>2</v>
      </c>
      <c r="I39" s="110" t="s">
        <v>386</v>
      </c>
      <c r="J39" s="110" t="s">
        <v>173</v>
      </c>
      <c r="K39" s="110">
        <v>1</v>
      </c>
      <c r="L39" s="110" t="s">
        <v>458</v>
      </c>
      <c r="M39" s="110">
        <v>25</v>
      </c>
      <c r="N39" s="128">
        <v>46023</v>
      </c>
      <c r="O39" s="128"/>
    </row>
    <row r="40" spans="1:18" x14ac:dyDescent="0.25">
      <c r="A40" t="str">
        <f>TableOUMPCWRI4[[#This Row],[Study Package Code]]</f>
        <v>NETS5012</v>
      </c>
      <c r="B40" s="1">
        <f>TableOUMPCWRI4[[#This Row],[Ver]]</f>
        <v>2</v>
      </c>
      <c r="C40" t="str">
        <f>IF(TableOUMPCWRI4[[#This Row],[Ver]]&gt;0,_xlfn.TEXTBEFORE(TableOUMPCWRI4[[#This Row],[Structure Line]]," "),"")</f>
        <v>MIC501</v>
      </c>
      <c r="D40" t="str">
        <f>IF(TableOUMPCWRI4[[#This Row],[OUA Code]]&lt;&gt;"",_xlfn.TEXTAFTER(TableOUMPCWRI4[[#This Row],[Structure Line]]," "),TableOUMPCWRI4[[#This Row],[Structure Line]])</f>
        <v>Graduate Web Communications</v>
      </c>
      <c r="E40" s="57">
        <f>TableOUMPCWRI4[[#This Row],[Credit Points]]</f>
        <v>25</v>
      </c>
      <c r="F40" s="110">
        <v>5</v>
      </c>
      <c r="G40" s="110" t="s">
        <v>387</v>
      </c>
      <c r="H40" s="211">
        <v>2</v>
      </c>
      <c r="I40" s="110" t="s">
        <v>386</v>
      </c>
      <c r="J40" s="110" t="s">
        <v>137</v>
      </c>
      <c r="K40" s="110">
        <v>2</v>
      </c>
      <c r="L40" s="110" t="s">
        <v>399</v>
      </c>
      <c r="M40" s="110">
        <v>25</v>
      </c>
      <c r="N40" s="128">
        <v>45658</v>
      </c>
      <c r="O40" s="128"/>
    </row>
    <row r="41" spans="1:18" x14ac:dyDescent="0.25">
      <c r="A41" t="str">
        <f>TableOUMPCWRI4[[#This Row],[Study Package Code]]</f>
        <v>NETS5020</v>
      </c>
      <c r="B41" s="1">
        <f>TableOUMPCWRI4[[#This Row],[Ver]]</f>
        <v>2</v>
      </c>
      <c r="C41" t="str">
        <f>IF(TableOUMPCWRI4[[#This Row],[Ver]]&gt;0,_xlfn.TEXTBEFORE(TableOUMPCWRI4[[#This Row],[Structure Line]]," "),"")</f>
        <v>MIC509</v>
      </c>
      <c r="D41" t="str">
        <f>IF(TableOUMPCWRI4[[#This Row],[OUA Code]]&lt;&gt;"",_xlfn.TEXTAFTER(TableOUMPCWRI4[[#This Row],[Structure Line]]," "),TableOUMPCWRI4[[#This Row],[Structure Line]])</f>
        <v>Graduate Web Media</v>
      </c>
      <c r="E41" s="57">
        <f>TableOUMPCWRI4[[#This Row],[Credit Points]]</f>
        <v>25</v>
      </c>
      <c r="F41" s="110">
        <v>5</v>
      </c>
      <c r="G41" s="110" t="s">
        <v>387</v>
      </c>
      <c r="H41" s="211">
        <v>2</v>
      </c>
      <c r="I41" s="110" t="s">
        <v>386</v>
      </c>
      <c r="J41" s="110" t="s">
        <v>180</v>
      </c>
      <c r="K41" s="110">
        <v>2</v>
      </c>
      <c r="L41" s="110" t="s">
        <v>406</v>
      </c>
      <c r="M41" s="110">
        <v>25</v>
      </c>
      <c r="N41" s="128">
        <v>45658</v>
      </c>
      <c r="O41" s="128"/>
    </row>
    <row r="42" spans="1:18" x14ac:dyDescent="0.25">
      <c r="A42" t="str">
        <f>TableOUMPCWRI4[[#This Row],[Study Package Code]]</f>
        <v>PWRP5032</v>
      </c>
      <c r="B42" s="1">
        <f>TableOUMPCWRI4[[#This Row],[Ver]]</f>
        <v>1</v>
      </c>
      <c r="C42" t="str">
        <f>IF(TableOUMPCWRI4[[#This Row],[Ver]]&gt;0,_xlfn.TEXTBEFORE(TableOUMPCWRI4[[#This Row],[Structure Line]]," "),"")</f>
        <v>PWP535</v>
      </c>
      <c r="D42" t="str">
        <f>IF(TableOUMPCWRI4[[#This Row],[OUA Code]]&lt;&gt;"",_xlfn.TEXTAFTER(TableOUMPCWRI4[[#This Row],[Structure Line]]," "),TableOUMPCWRI4[[#This Row],[Structure Line]])</f>
        <v>Graduate Skills in Professional Writing</v>
      </c>
      <c r="E42" s="57">
        <f>TableOUMPCWRI4[[#This Row],[Credit Points]]</f>
        <v>25</v>
      </c>
      <c r="F42" s="110">
        <v>5</v>
      </c>
      <c r="G42" s="110" t="s">
        <v>387</v>
      </c>
      <c r="H42" s="211">
        <v>2</v>
      </c>
      <c r="I42" s="110" t="s">
        <v>386</v>
      </c>
      <c r="J42" s="110" t="s">
        <v>169</v>
      </c>
      <c r="K42" s="110">
        <v>1</v>
      </c>
      <c r="L42" s="110" t="s">
        <v>419</v>
      </c>
      <c r="M42" s="110">
        <v>25</v>
      </c>
      <c r="N42" s="128">
        <v>45658</v>
      </c>
      <c r="O42" s="128"/>
    </row>
    <row r="43" spans="1:18" x14ac:dyDescent="0.25">
      <c r="B43"/>
      <c r="E43"/>
      <c r="F43" s="209"/>
      <c r="G43" s="173" t="s">
        <v>374</v>
      </c>
      <c r="H43" s="212">
        <v>46035</v>
      </c>
      <c r="I43" s="171"/>
      <c r="J43" s="171" t="s">
        <v>78</v>
      </c>
      <c r="K43" s="207">
        <v>2</v>
      </c>
      <c r="L43" s="171" t="s">
        <v>77</v>
      </c>
      <c r="M43" s="171"/>
      <c r="N43" s="208">
        <v>46023</v>
      </c>
      <c r="O43" s="174"/>
    </row>
    <row r="44" spans="1:18" x14ac:dyDescent="0.25">
      <c r="A44" t="s">
        <v>0</v>
      </c>
      <c r="B44" s="1" t="s">
        <v>375</v>
      </c>
      <c r="C44" t="s">
        <v>22</v>
      </c>
      <c r="D44" t="s">
        <v>3</v>
      </c>
      <c r="E44" s="57" t="s">
        <v>376</v>
      </c>
      <c r="F44" t="s">
        <v>377</v>
      </c>
      <c r="G44" t="s">
        <v>378</v>
      </c>
      <c r="H44" s="1" t="s">
        <v>379</v>
      </c>
      <c r="I44" t="s">
        <v>23</v>
      </c>
      <c r="J44" t="s">
        <v>380</v>
      </c>
      <c r="K44" t="s">
        <v>1</v>
      </c>
      <c r="L44" t="s">
        <v>381</v>
      </c>
      <c r="M44" t="s">
        <v>58</v>
      </c>
      <c r="N44" t="s">
        <v>382</v>
      </c>
      <c r="O44" t="s">
        <v>383</v>
      </c>
      <c r="Q44" t="s">
        <v>384</v>
      </c>
      <c r="R44" t="s">
        <v>1</v>
      </c>
    </row>
    <row r="45" spans="1:18" x14ac:dyDescent="0.25">
      <c r="A45" t="str">
        <f>TableOUMPDGCM1[[#This Row],[Study Package Code]]</f>
        <v>COMS5005</v>
      </c>
      <c r="B45" s="1">
        <f>TableOUMPDGCM1[[#This Row],[Ver]]</f>
        <v>1</v>
      </c>
      <c r="C45" t="str">
        <f>IF(TableOUMPDGCM1[[#This Row],[Ver]]&gt;0,_xlfn.TEXTBEFORE(TableOUMPDGCM1[[#This Row],[Structure Line]]," "),"")</f>
        <v>COM500</v>
      </c>
      <c r="D45" t="str">
        <f>IF(TableOUMPDGCM1[[#This Row],[OUA Code]]&lt;&gt;"",_xlfn.TEXTAFTER(TableOUMPDGCM1[[#This Row],[Structure Line]]," "),TableOUMPDGCM1[[#This Row],[Structure Line]])</f>
        <v>Approaches to Arts Research</v>
      </c>
      <c r="E45" s="57">
        <f>TableOUMPDGCM1[[#This Row],[Credit Points]]</f>
        <v>25</v>
      </c>
      <c r="F45" s="110">
        <v>1</v>
      </c>
      <c r="G45" s="110" t="s">
        <v>388</v>
      </c>
      <c r="H45" s="211">
        <v>1</v>
      </c>
      <c r="I45" s="110" t="s">
        <v>386</v>
      </c>
      <c r="J45" s="110" t="s">
        <v>199</v>
      </c>
      <c r="K45" s="110">
        <v>1</v>
      </c>
      <c r="L45" s="110" t="s">
        <v>389</v>
      </c>
      <c r="M45" s="110">
        <v>25</v>
      </c>
      <c r="N45" s="128">
        <v>45658</v>
      </c>
      <c r="O45" s="128"/>
      <c r="Q45" t="s">
        <v>145</v>
      </c>
      <c r="R45">
        <v>0</v>
      </c>
    </row>
    <row r="46" spans="1:18" x14ac:dyDescent="0.25">
      <c r="A46" t="str">
        <f>TableOUMPDGCM1[[#This Row],[Study Package Code]]</f>
        <v>COMS6008</v>
      </c>
      <c r="B46" s="1">
        <f>TableOUMPDGCM1[[#This Row],[Ver]]</f>
        <v>1</v>
      </c>
      <c r="C46" t="str">
        <f>IF(TableOUMPDGCM1[[#This Row],[Ver]]&gt;0,_xlfn.TEXTBEFORE(TableOUMPDGCM1[[#This Row],[Structure Line]]," "),"")</f>
        <v>COM605</v>
      </c>
      <c r="D46" t="str">
        <f>IF(TableOUMPDGCM1[[#This Row],[OUA Code]]&lt;&gt;"",_xlfn.TEXTAFTER(TableOUMPDGCM1[[#This Row],[Structure Line]]," "),TableOUMPDGCM1[[#This Row],[Structure Line]])</f>
        <v>Planning an Arts Research Project</v>
      </c>
      <c r="E46" s="57">
        <f>TableOUMPDGCM1[[#This Row],[Credit Points]]</f>
        <v>25</v>
      </c>
      <c r="F46" s="110">
        <v>2</v>
      </c>
      <c r="G46" s="110" t="s">
        <v>388</v>
      </c>
      <c r="H46" s="211">
        <v>1</v>
      </c>
      <c r="I46" s="110" t="s">
        <v>386</v>
      </c>
      <c r="J46" s="110" t="s">
        <v>231</v>
      </c>
      <c r="K46" s="110">
        <v>1</v>
      </c>
      <c r="L46" s="110" t="s">
        <v>390</v>
      </c>
      <c r="M46" s="110">
        <v>25</v>
      </c>
      <c r="N46" s="128">
        <v>45658</v>
      </c>
      <c r="O46" s="128"/>
      <c r="Q46" t="s">
        <v>199</v>
      </c>
      <c r="R46">
        <v>1</v>
      </c>
    </row>
    <row r="47" spans="1:18" x14ac:dyDescent="0.25">
      <c r="A47" t="str">
        <f>TableOUMPDGCM1[[#This Row],[Study Package Code]]</f>
        <v>AC-DGCM11</v>
      </c>
      <c r="B47" s="1">
        <f>TableOUMPDGCM1[[#This Row],[Ver]]</f>
        <v>0</v>
      </c>
      <c r="C47" t="str">
        <f>IF(TableOUMPDGCM1[[#This Row],[Ver]]&gt;0,_xlfn.TEXTBEFORE(TableOUMPDGCM1[[#This Row],[Structure Line]]," "),"")</f>
        <v/>
      </c>
      <c r="D47" t="str">
        <f>IF(TableOUMPDGCM1[[#This Row],[OUA Code]]&lt;&gt;"",_xlfn.TEXTAFTER(TableOUMPDGCM1[[#This Row],[Structure Line]]," "),TableOUMPDGCM1[[#This Row],[Structure Line]])</f>
        <v>Choose NETS5012 or NETS5013</v>
      </c>
      <c r="E47" s="57">
        <f>TableOUMPDGCM1[[#This Row],[Credit Points]]</f>
        <v>25</v>
      </c>
      <c r="F47" s="110">
        <v>3</v>
      </c>
      <c r="G47" s="110" t="s">
        <v>385</v>
      </c>
      <c r="H47" s="211">
        <v>1</v>
      </c>
      <c r="I47" s="110" t="s">
        <v>386</v>
      </c>
      <c r="J47" s="110" t="s">
        <v>134</v>
      </c>
      <c r="K47" s="110">
        <v>0</v>
      </c>
      <c r="L47" s="110" t="s">
        <v>397</v>
      </c>
      <c r="M47" s="110">
        <v>25</v>
      </c>
      <c r="N47" s="128"/>
      <c r="O47" s="128"/>
      <c r="Q47" t="s">
        <v>231</v>
      </c>
      <c r="R47">
        <v>1</v>
      </c>
    </row>
    <row r="48" spans="1:18" x14ac:dyDescent="0.25">
      <c r="A48" t="str">
        <f>TableOUMPDGCM1[[#This Row],[Study Package Code]]</f>
        <v>Opt-DGCM11</v>
      </c>
      <c r="B48" s="1">
        <f>TableOUMPDGCM1[[#This Row],[Ver]]</f>
        <v>0</v>
      </c>
      <c r="C48" t="str">
        <f>IF(TableOUMPDGCM1[[#This Row],[Ver]]&gt;0,_xlfn.TEXTBEFORE(TableOUMPDGCM1[[#This Row],[Structure Line]]," "),"")</f>
        <v/>
      </c>
      <c r="D48" t="str">
        <f>IF(TableOUMPDGCM1[[#This Row],[OUA Code]]&lt;&gt;"",_xlfn.TEXTAFTER(TableOUMPDGCM1[[#This Row],[Structure Line]]," "),TableOUMPDGCM1[[#This Row],[Structure Line]])</f>
        <v>Choose Options for Year 1</v>
      </c>
      <c r="E48" s="57">
        <f>TableOUMPDGCM1[[#This Row],[Credit Points]]</f>
        <v>125</v>
      </c>
      <c r="F48" s="110">
        <v>4</v>
      </c>
      <c r="G48" s="110" t="s">
        <v>387</v>
      </c>
      <c r="H48" s="211">
        <v>1</v>
      </c>
      <c r="I48" s="110" t="s">
        <v>386</v>
      </c>
      <c r="J48" s="110" t="s">
        <v>459</v>
      </c>
      <c r="K48" s="110">
        <v>0</v>
      </c>
      <c r="L48" s="110" t="s">
        <v>454</v>
      </c>
      <c r="M48" s="110">
        <v>125</v>
      </c>
      <c r="N48" s="128"/>
      <c r="O48" s="128"/>
      <c r="Q48" t="s">
        <v>134</v>
      </c>
      <c r="R48">
        <v>0</v>
      </c>
    </row>
    <row r="49" spans="1:18" x14ac:dyDescent="0.25">
      <c r="A49" t="str">
        <f>TableOUMPDGCM1[[#This Row],[Study Package Code]]</f>
        <v>AC-DGCM12</v>
      </c>
      <c r="B49" s="1">
        <f>TableOUMPDGCM1[[#This Row],[Ver]]</f>
        <v>0</v>
      </c>
      <c r="C49" t="str">
        <f>IF(TableOUMPDGCM1[[#This Row],[Ver]]&gt;0,_xlfn.TEXTBEFORE(TableOUMPDGCM1[[#This Row],[Structure Line]]," "),"")</f>
        <v/>
      </c>
      <c r="D49" t="str">
        <f>IF(TableOUMPDGCM1[[#This Row],[OUA Code]]&lt;&gt;"",_xlfn.TEXTAFTER(TableOUMPDGCM1[[#This Row],[Structure Line]]," "),TableOUMPDGCM1[[#This Row],[Structure Line]])</f>
        <v>Choose HUMN6004 or COMS6007</v>
      </c>
      <c r="E49" s="57">
        <f>TableOUMPDGCM1[[#This Row],[Credit Points]]</f>
        <v>50</v>
      </c>
      <c r="F49" s="110">
        <v>5</v>
      </c>
      <c r="G49" s="110" t="s">
        <v>385</v>
      </c>
      <c r="H49" s="211">
        <v>2</v>
      </c>
      <c r="I49" s="110" t="s">
        <v>386</v>
      </c>
      <c r="J49" s="110" t="s">
        <v>142</v>
      </c>
      <c r="K49" s="110">
        <v>0</v>
      </c>
      <c r="L49" s="110" t="s">
        <v>391</v>
      </c>
      <c r="M49" s="110">
        <v>50</v>
      </c>
      <c r="N49" s="128"/>
      <c r="O49" s="128"/>
      <c r="Q49" t="s">
        <v>142</v>
      </c>
      <c r="R49">
        <v>0</v>
      </c>
    </row>
    <row r="50" spans="1:18" x14ac:dyDescent="0.25">
      <c r="A50" t="str">
        <f>TableOUMPDGCM1[[#This Row],[Study Package Code]]</f>
        <v>Opt-DGCM12</v>
      </c>
      <c r="B50" s="1">
        <f>TableOUMPDGCM1[[#This Row],[Ver]]</f>
        <v>0</v>
      </c>
      <c r="C50" t="str">
        <f>IF(TableOUMPDGCM1[[#This Row],[Ver]]&gt;0,_xlfn.TEXTBEFORE(TableOUMPDGCM1[[#This Row],[Structure Line]]," "),"")</f>
        <v/>
      </c>
      <c r="D50" t="str">
        <f>IF(TableOUMPDGCM1[[#This Row],[OUA Code]]&lt;&gt;"",_xlfn.TEXTAFTER(TableOUMPDGCM1[[#This Row],[Structure Line]]," "),TableOUMPDGCM1[[#This Row],[Structure Line]])</f>
        <v>Choose Options for Year 2</v>
      </c>
      <c r="E50" s="57">
        <f>TableOUMPDGCM1[[#This Row],[Credit Points]]</f>
        <v>150</v>
      </c>
      <c r="F50" s="110">
        <v>6</v>
      </c>
      <c r="G50" s="110" t="s">
        <v>387</v>
      </c>
      <c r="H50" s="211">
        <v>2</v>
      </c>
      <c r="I50" s="110" t="s">
        <v>386</v>
      </c>
      <c r="J50" s="110" t="s">
        <v>460</v>
      </c>
      <c r="K50" s="110">
        <v>0</v>
      </c>
      <c r="L50" s="110" t="s">
        <v>455</v>
      </c>
      <c r="M50" s="110">
        <v>150</v>
      </c>
      <c r="N50" s="128"/>
      <c r="O50" s="128"/>
      <c r="Q50" t="s">
        <v>150</v>
      </c>
      <c r="R50">
        <v>2</v>
      </c>
    </row>
    <row r="51" spans="1:18" x14ac:dyDescent="0.25">
      <c r="A51" t="str">
        <f>TableOUMPDGCM1[[#This Row],[Study Package Code]]</f>
        <v>NETS5012</v>
      </c>
      <c r="B51" s="1">
        <f>TableOUMPDGCM1[[#This Row],[Ver]]</f>
        <v>2</v>
      </c>
      <c r="C51" t="str">
        <f>IF(TableOUMPDGCM1[[#This Row],[Ver]]&gt;0,_xlfn.TEXTBEFORE(TableOUMPDGCM1[[#This Row],[Structure Line]]," "),"")</f>
        <v>MIC501</v>
      </c>
      <c r="D51" t="str">
        <f>IF(TableOUMPDGCM1[[#This Row],[OUA Code]]&lt;&gt;"",_xlfn.TEXTAFTER(TableOUMPDGCM1[[#This Row],[Structure Line]]," "),TableOUMPDGCM1[[#This Row],[Structure Line]])</f>
        <v>Graduate Web Communications</v>
      </c>
      <c r="E51" s="57">
        <f>TableOUMPDGCM1[[#This Row],[Credit Points]]</f>
        <v>25</v>
      </c>
      <c r="F51" s="110">
        <v>3</v>
      </c>
      <c r="G51" s="110" t="s">
        <v>385</v>
      </c>
      <c r="H51" s="211">
        <v>1</v>
      </c>
      <c r="I51" s="110" t="s">
        <v>386</v>
      </c>
      <c r="J51" s="110" t="s">
        <v>137</v>
      </c>
      <c r="K51" s="110">
        <v>2</v>
      </c>
      <c r="L51" s="110" t="s">
        <v>399</v>
      </c>
      <c r="M51" s="110">
        <v>25</v>
      </c>
      <c r="N51" s="128">
        <v>45658</v>
      </c>
      <c r="O51" s="128"/>
      <c r="Q51" t="s">
        <v>153</v>
      </c>
      <c r="R51">
        <v>1</v>
      </c>
    </row>
    <row r="52" spans="1:18" x14ac:dyDescent="0.25">
      <c r="A52" t="str">
        <f>TableOUMPDGCM1[[#This Row],[Study Package Code]]</f>
        <v>NETS5013</v>
      </c>
      <c r="B52" s="1">
        <f>TableOUMPDGCM1[[#This Row],[Ver]]</f>
        <v>2</v>
      </c>
      <c r="C52" t="str">
        <f>IF(TableOUMPDGCM1[[#This Row],[Ver]]&gt;0,_xlfn.TEXTBEFORE(TableOUMPDGCM1[[#This Row],[Structure Line]]," "),"")</f>
        <v>MIC502</v>
      </c>
      <c r="D52" t="str">
        <f>IF(TableOUMPDGCM1[[#This Row],[OUA Code]]&lt;&gt;"",_xlfn.TEXTAFTER(TableOUMPDGCM1[[#This Row],[Structure Line]]," "),TableOUMPDGCM1[[#This Row],[Structure Line]])</f>
        <v>Graduate Digital Culture and Everyday Life</v>
      </c>
      <c r="E52" s="57">
        <f>TableOUMPDGCM1[[#This Row],[Credit Points]]</f>
        <v>25</v>
      </c>
      <c r="F52" s="110">
        <v>3</v>
      </c>
      <c r="G52" s="110" t="s">
        <v>385</v>
      </c>
      <c r="H52" s="211">
        <v>1</v>
      </c>
      <c r="I52" s="110" t="s">
        <v>386</v>
      </c>
      <c r="J52" s="110" t="s">
        <v>139</v>
      </c>
      <c r="K52" s="110">
        <v>2</v>
      </c>
      <c r="L52" s="110" t="s">
        <v>400</v>
      </c>
      <c r="M52" s="110">
        <v>25</v>
      </c>
      <c r="N52" s="128">
        <v>45658</v>
      </c>
      <c r="O52" s="128"/>
      <c r="Q52" t="s">
        <v>161</v>
      </c>
      <c r="R52">
        <v>1</v>
      </c>
    </row>
    <row r="53" spans="1:18" x14ac:dyDescent="0.25">
      <c r="A53" t="str">
        <f>TableOUMPDGCM1[[#This Row],[Study Package Code]]</f>
        <v>INFO5042</v>
      </c>
      <c r="B53" s="1">
        <f>TableOUMPDGCM1[[#This Row],[Ver]]</f>
        <v>1</v>
      </c>
      <c r="C53" t="str">
        <f>IF(TableOUMPDGCM1[[#This Row],[Ver]]&gt;0,_xlfn.TEXTBEFORE(TableOUMPDGCM1[[#This Row],[Structure Line]]," "),"")</f>
        <v>INF510</v>
      </c>
      <c r="D53" t="str">
        <f>IF(TableOUMPDGCM1[[#This Row],[OUA Code]]&lt;&gt;"",_xlfn.TEXTAFTER(TableOUMPDGCM1[[#This Row],[Structure Line]]," "),TableOUMPDGCM1[[#This Row],[Structure Line]])</f>
        <v>Telling Stories with Data</v>
      </c>
      <c r="E53" s="57">
        <f>TableOUMPDGCM1[[#This Row],[Credit Points]]</f>
        <v>25</v>
      </c>
      <c r="F53" s="110">
        <v>4</v>
      </c>
      <c r="G53" s="110" t="s">
        <v>387</v>
      </c>
      <c r="H53" s="211">
        <v>1</v>
      </c>
      <c r="I53" s="110" t="s">
        <v>386</v>
      </c>
      <c r="J53" s="110" t="s">
        <v>161</v>
      </c>
      <c r="K53" s="110">
        <v>1</v>
      </c>
      <c r="L53" s="110" t="s">
        <v>398</v>
      </c>
      <c r="M53" s="110">
        <v>25</v>
      </c>
      <c r="N53" s="128">
        <v>44927</v>
      </c>
      <c r="O53" s="128"/>
      <c r="Q53" t="s">
        <v>137</v>
      </c>
      <c r="R53">
        <v>2</v>
      </c>
    </row>
    <row r="54" spans="1:18" x14ac:dyDescent="0.25">
      <c r="A54" t="str">
        <f>TableOUMPDGCM1[[#This Row],[Study Package Code]]</f>
        <v>NETS5012</v>
      </c>
      <c r="B54" s="1">
        <f>TableOUMPDGCM1[[#This Row],[Ver]]</f>
        <v>2</v>
      </c>
      <c r="C54" t="str">
        <f>IF(TableOUMPDGCM1[[#This Row],[Ver]]&gt;0,_xlfn.TEXTBEFORE(TableOUMPDGCM1[[#This Row],[Structure Line]]," "),"")</f>
        <v>MIC501</v>
      </c>
      <c r="D54" t="str">
        <f>IF(TableOUMPDGCM1[[#This Row],[OUA Code]]&lt;&gt;"",_xlfn.TEXTAFTER(TableOUMPDGCM1[[#This Row],[Structure Line]]," "),TableOUMPDGCM1[[#This Row],[Structure Line]])</f>
        <v>Graduate Web Communications</v>
      </c>
      <c r="E54" s="57">
        <f>TableOUMPDGCM1[[#This Row],[Credit Points]]</f>
        <v>25</v>
      </c>
      <c r="F54" s="110">
        <v>4</v>
      </c>
      <c r="G54" s="110" t="s">
        <v>387</v>
      </c>
      <c r="H54" s="211">
        <v>1</v>
      </c>
      <c r="I54" s="110" t="s">
        <v>386</v>
      </c>
      <c r="J54" s="110" t="s">
        <v>137</v>
      </c>
      <c r="K54" s="110">
        <v>2</v>
      </c>
      <c r="L54" s="110" t="s">
        <v>399</v>
      </c>
      <c r="M54" s="110">
        <v>25</v>
      </c>
      <c r="N54" s="128">
        <v>45658</v>
      </c>
      <c r="O54" s="128"/>
      <c r="Q54" t="s">
        <v>139</v>
      </c>
      <c r="R54">
        <v>2</v>
      </c>
    </row>
    <row r="55" spans="1:18" x14ac:dyDescent="0.25">
      <c r="A55" t="str">
        <f>TableOUMPDGCM1[[#This Row],[Study Package Code]]</f>
        <v>NETS5013</v>
      </c>
      <c r="B55" s="1">
        <f>TableOUMPDGCM1[[#This Row],[Ver]]</f>
        <v>2</v>
      </c>
      <c r="C55" t="str">
        <f>IF(TableOUMPDGCM1[[#This Row],[Ver]]&gt;0,_xlfn.TEXTBEFORE(TableOUMPDGCM1[[#This Row],[Structure Line]]," "),"")</f>
        <v>MIC502</v>
      </c>
      <c r="D55" t="str">
        <f>IF(TableOUMPDGCM1[[#This Row],[OUA Code]]&lt;&gt;"",_xlfn.TEXTAFTER(TableOUMPDGCM1[[#This Row],[Structure Line]]," "),TableOUMPDGCM1[[#This Row],[Structure Line]])</f>
        <v>Graduate Digital Culture and Everyday Life</v>
      </c>
      <c r="E55" s="57">
        <f>TableOUMPDGCM1[[#This Row],[Credit Points]]</f>
        <v>25</v>
      </c>
      <c r="F55" s="110">
        <v>4</v>
      </c>
      <c r="G55" s="110" t="s">
        <v>387</v>
      </c>
      <c r="H55" s="211">
        <v>1</v>
      </c>
      <c r="I55" s="110" t="s">
        <v>386</v>
      </c>
      <c r="J55" s="110" t="s">
        <v>139</v>
      </c>
      <c r="K55" s="110">
        <v>2</v>
      </c>
      <c r="L55" s="110" t="s">
        <v>400</v>
      </c>
      <c r="M55" s="110">
        <v>25</v>
      </c>
      <c r="N55" s="128">
        <v>45658</v>
      </c>
      <c r="O55" s="128"/>
      <c r="Q55" t="s">
        <v>168</v>
      </c>
      <c r="R55">
        <v>3</v>
      </c>
    </row>
    <row r="56" spans="1:18" x14ac:dyDescent="0.25">
      <c r="A56" t="str">
        <f>TableOUMPDGCM1[[#This Row],[Study Package Code]]</f>
        <v>NETS5014</v>
      </c>
      <c r="B56" s="1">
        <f>TableOUMPDGCM1[[#This Row],[Ver]]</f>
        <v>3</v>
      </c>
      <c r="C56" t="str">
        <f>IF(TableOUMPDGCM1[[#This Row],[Ver]]&gt;0,_xlfn.TEXTBEFORE(TableOUMPDGCM1[[#This Row],[Structure Line]]," "),"")</f>
        <v>MIC503</v>
      </c>
      <c r="D56" t="str">
        <f>IF(TableOUMPDGCM1[[#This Row],[OUA Code]]&lt;&gt;"",_xlfn.TEXTAFTER(TableOUMPDGCM1[[#This Row],[Structure Line]]," "),TableOUMPDGCM1[[#This Row],[Structure Line]])</f>
        <v>Graduate Online Power and Resistance</v>
      </c>
      <c r="E56" s="57">
        <f>TableOUMPDGCM1[[#This Row],[Credit Points]]</f>
        <v>25</v>
      </c>
      <c r="F56" s="110">
        <v>4</v>
      </c>
      <c r="G56" s="110" t="s">
        <v>387</v>
      </c>
      <c r="H56" s="211">
        <v>1</v>
      </c>
      <c r="I56" s="110" t="s">
        <v>386</v>
      </c>
      <c r="J56" s="110" t="s">
        <v>168</v>
      </c>
      <c r="K56" s="110">
        <v>3</v>
      </c>
      <c r="L56" s="110" t="s">
        <v>401</v>
      </c>
      <c r="M56" s="110">
        <v>25</v>
      </c>
      <c r="N56" s="128">
        <v>45658</v>
      </c>
      <c r="O56" s="128"/>
      <c r="Q56" t="s">
        <v>170</v>
      </c>
      <c r="R56">
        <v>2</v>
      </c>
    </row>
    <row r="57" spans="1:18" x14ac:dyDescent="0.25">
      <c r="A57" t="str">
        <f>TableOUMPDGCM1[[#This Row],[Study Package Code]]</f>
        <v>NETS5015</v>
      </c>
      <c r="B57" s="1">
        <f>TableOUMPDGCM1[[#This Row],[Ver]]</f>
        <v>2</v>
      </c>
      <c r="C57" t="str">
        <f>IF(TableOUMPDGCM1[[#This Row],[Ver]]&gt;0,_xlfn.TEXTBEFORE(TableOUMPDGCM1[[#This Row],[Structure Line]]," "),"")</f>
        <v>MIC504</v>
      </c>
      <c r="D57" t="str">
        <f>IF(TableOUMPDGCM1[[#This Row],[OUA Code]]&lt;&gt;"",_xlfn.TEXTAFTER(TableOUMPDGCM1[[#This Row],[Structure Line]]," "),TableOUMPDGCM1[[#This Row],[Structure Line]])</f>
        <v>Graduate Social Media, Communities and Networks</v>
      </c>
      <c r="E57" s="57">
        <f>TableOUMPDGCM1[[#This Row],[Credit Points]]</f>
        <v>25</v>
      </c>
      <c r="F57" s="110">
        <v>4</v>
      </c>
      <c r="G57" s="110" t="s">
        <v>387</v>
      </c>
      <c r="H57" s="211">
        <v>1</v>
      </c>
      <c r="I57" s="110" t="s">
        <v>386</v>
      </c>
      <c r="J57" s="110" t="s">
        <v>170</v>
      </c>
      <c r="K57" s="110">
        <v>2</v>
      </c>
      <c r="L57" s="110" t="s">
        <v>402</v>
      </c>
      <c r="M57" s="110">
        <v>25</v>
      </c>
      <c r="N57" s="128">
        <v>45658</v>
      </c>
      <c r="O57" s="128"/>
      <c r="Q57" t="s">
        <v>167</v>
      </c>
      <c r="R57">
        <v>2</v>
      </c>
    </row>
    <row r="58" spans="1:18" x14ac:dyDescent="0.25">
      <c r="A58" t="str">
        <f>TableOUMPDGCM1[[#This Row],[Study Package Code]]</f>
        <v>NETS5016</v>
      </c>
      <c r="B58" s="1">
        <f>TableOUMPDGCM1[[#This Row],[Ver]]</f>
        <v>2</v>
      </c>
      <c r="C58" t="str">
        <f>IF(TableOUMPDGCM1[[#This Row],[Ver]]&gt;0,_xlfn.TEXTBEFORE(TableOUMPDGCM1[[#This Row],[Structure Line]]," "),"")</f>
        <v>MIC505</v>
      </c>
      <c r="D58" t="str">
        <f>IF(TableOUMPDGCM1[[#This Row],[OUA Code]]&lt;&gt;"",_xlfn.TEXTAFTER(TableOUMPDGCM1[[#This Row],[Structure Line]]," "),TableOUMPDGCM1[[#This Row],[Structure Line]])</f>
        <v>Graduate Writing on the Web</v>
      </c>
      <c r="E58" s="57">
        <f>TableOUMPDGCM1[[#This Row],[Credit Points]]</f>
        <v>25</v>
      </c>
      <c r="F58" s="110">
        <v>4</v>
      </c>
      <c r="G58" s="110" t="s">
        <v>387</v>
      </c>
      <c r="H58" s="211">
        <v>1</v>
      </c>
      <c r="I58" s="110" t="s">
        <v>386</v>
      </c>
      <c r="J58" s="110" t="s">
        <v>167</v>
      </c>
      <c r="K58" s="110">
        <v>2</v>
      </c>
      <c r="L58" s="110" t="s">
        <v>403</v>
      </c>
      <c r="M58" s="110">
        <v>25</v>
      </c>
      <c r="N58" s="128">
        <v>45658</v>
      </c>
      <c r="O58" s="128"/>
      <c r="Q58" t="s">
        <v>174</v>
      </c>
      <c r="R58">
        <v>2</v>
      </c>
    </row>
    <row r="59" spans="1:18" x14ac:dyDescent="0.25">
      <c r="A59" t="str">
        <f>TableOUMPDGCM1[[#This Row],[Study Package Code]]</f>
        <v>NETS5017</v>
      </c>
      <c r="B59" s="1">
        <f>TableOUMPDGCM1[[#This Row],[Ver]]</f>
        <v>2</v>
      </c>
      <c r="C59" t="str">
        <f>IF(TableOUMPDGCM1[[#This Row],[Ver]]&gt;0,_xlfn.TEXTBEFORE(TableOUMPDGCM1[[#This Row],[Structure Line]]," "),"")</f>
        <v>MIC506</v>
      </c>
      <c r="D59" t="str">
        <f>IF(TableOUMPDGCM1[[#This Row],[OUA Code]]&lt;&gt;"",_xlfn.TEXTAFTER(TableOUMPDGCM1[[#This Row],[Structure Line]]," "),TableOUMPDGCM1[[#This Row],[Structure Line]])</f>
        <v>Graduate The Digital Economy</v>
      </c>
      <c r="E59" s="57">
        <f>TableOUMPDGCM1[[#This Row],[Credit Points]]</f>
        <v>25</v>
      </c>
      <c r="F59" s="110">
        <v>4</v>
      </c>
      <c r="G59" s="110" t="s">
        <v>387</v>
      </c>
      <c r="H59" s="211">
        <v>1</v>
      </c>
      <c r="I59" s="110" t="s">
        <v>386</v>
      </c>
      <c r="J59" s="110" t="s">
        <v>174</v>
      </c>
      <c r="K59" s="110">
        <v>2</v>
      </c>
      <c r="L59" s="110" t="s">
        <v>404</v>
      </c>
      <c r="M59" s="110">
        <v>25</v>
      </c>
      <c r="N59" s="128">
        <v>45658</v>
      </c>
      <c r="O59" s="128"/>
      <c r="Q59" t="s">
        <v>176</v>
      </c>
      <c r="R59">
        <v>2</v>
      </c>
    </row>
    <row r="60" spans="1:18" x14ac:dyDescent="0.25">
      <c r="A60" t="str">
        <f>TableOUMPDGCM1[[#This Row],[Study Package Code]]</f>
        <v>NETS5018</v>
      </c>
      <c r="B60" s="1">
        <f>TableOUMPDGCM1[[#This Row],[Ver]]</f>
        <v>2</v>
      </c>
      <c r="C60" t="str">
        <f>IF(TableOUMPDGCM1[[#This Row],[Ver]]&gt;0,_xlfn.TEXTBEFORE(TableOUMPDGCM1[[#This Row],[Structure Line]]," "),"")</f>
        <v>MIC507</v>
      </c>
      <c r="D60" t="str">
        <f>IF(TableOUMPDGCM1[[#This Row],[OUA Code]]&lt;&gt;"",_xlfn.TEXTAFTER(TableOUMPDGCM1[[#This Row],[Structure Line]]," "),TableOUMPDGCM1[[#This Row],[Structure Line]])</f>
        <v>Graduate Technology, Innovation and Societies</v>
      </c>
      <c r="E60" s="57">
        <f>TableOUMPDGCM1[[#This Row],[Credit Points]]</f>
        <v>25</v>
      </c>
      <c r="F60" s="110">
        <v>4</v>
      </c>
      <c r="G60" s="110" t="s">
        <v>387</v>
      </c>
      <c r="H60" s="211">
        <v>1</v>
      </c>
      <c r="I60" s="110" t="s">
        <v>386</v>
      </c>
      <c r="J60" s="110" t="s">
        <v>176</v>
      </c>
      <c r="K60" s="110">
        <v>2</v>
      </c>
      <c r="L60" s="110" t="s">
        <v>405</v>
      </c>
      <c r="M60" s="110">
        <v>25</v>
      </c>
      <c r="N60" s="128">
        <v>45658</v>
      </c>
      <c r="O60" s="128"/>
      <c r="Q60" t="s">
        <v>178</v>
      </c>
      <c r="R60">
        <v>3</v>
      </c>
    </row>
    <row r="61" spans="1:18" x14ac:dyDescent="0.25">
      <c r="A61" t="str">
        <f>TableOUMPDGCM1[[#This Row],[Study Package Code]]</f>
        <v>NETS5019</v>
      </c>
      <c r="B61" s="1">
        <f>TableOUMPDGCM1[[#This Row],[Ver]]</f>
        <v>4</v>
      </c>
      <c r="C61" t="str">
        <f>IF(TableOUMPDGCM1[[#This Row],[Ver]]&gt;0,_xlfn.TEXTBEFORE(TableOUMPDGCM1[[#This Row],[Structure Line]]," "),"")</f>
        <v>MIC508</v>
      </c>
      <c r="D61" t="str">
        <f>IF(TableOUMPDGCM1[[#This Row],[OUA Code]]&lt;&gt;"",_xlfn.TEXTAFTER(TableOUMPDGCM1[[#This Row],[Structure Line]]," "),TableOUMPDGCM1[[#This Row],[Structure Line]])</f>
        <v>Graduate Digital Creation Futures</v>
      </c>
      <c r="E61" s="57">
        <f>TableOUMPDGCM1[[#This Row],[Credit Points]]</f>
        <v>25</v>
      </c>
      <c r="F61" s="110">
        <v>4</v>
      </c>
      <c r="G61" s="110" t="s">
        <v>387</v>
      </c>
      <c r="H61" s="211">
        <v>1</v>
      </c>
      <c r="I61" s="110" t="s">
        <v>386</v>
      </c>
      <c r="J61" s="110" t="s">
        <v>178</v>
      </c>
      <c r="K61" s="110">
        <v>4</v>
      </c>
      <c r="L61" s="110" t="s">
        <v>463</v>
      </c>
      <c r="M61" s="110">
        <v>25</v>
      </c>
      <c r="N61" s="128">
        <v>46023</v>
      </c>
      <c r="O61" s="128"/>
      <c r="Q61" t="s">
        <v>180</v>
      </c>
      <c r="R61">
        <v>2</v>
      </c>
    </row>
    <row r="62" spans="1:18" x14ac:dyDescent="0.25">
      <c r="A62" t="str">
        <f>TableOUMPDGCM1[[#This Row],[Study Package Code]]</f>
        <v>NETS5020</v>
      </c>
      <c r="B62" s="1">
        <f>TableOUMPDGCM1[[#This Row],[Ver]]</f>
        <v>2</v>
      </c>
      <c r="C62" t="str">
        <f>IF(TableOUMPDGCM1[[#This Row],[Ver]]&gt;0,_xlfn.TEXTBEFORE(TableOUMPDGCM1[[#This Row],[Structure Line]]," "),"")</f>
        <v>MIC509</v>
      </c>
      <c r="D62" t="str">
        <f>IF(TableOUMPDGCM1[[#This Row],[OUA Code]]&lt;&gt;"",_xlfn.TEXTAFTER(TableOUMPDGCM1[[#This Row],[Structure Line]]," "),TableOUMPDGCM1[[#This Row],[Structure Line]])</f>
        <v>Graduate Web Media</v>
      </c>
      <c r="E62" s="57">
        <f>TableOUMPDGCM1[[#This Row],[Credit Points]]</f>
        <v>25</v>
      </c>
      <c r="F62" s="110">
        <v>4</v>
      </c>
      <c r="G62" s="110" t="s">
        <v>387</v>
      </c>
      <c r="H62" s="211">
        <v>1</v>
      </c>
      <c r="I62" s="110" t="s">
        <v>386</v>
      </c>
      <c r="J62" s="110" t="s">
        <v>180</v>
      </c>
      <c r="K62" s="110">
        <v>2</v>
      </c>
      <c r="L62" s="110" t="s">
        <v>406</v>
      </c>
      <c r="M62" s="110">
        <v>25</v>
      </c>
      <c r="N62" s="128">
        <v>45658</v>
      </c>
      <c r="O62" s="128"/>
      <c r="Q62" t="s">
        <v>181</v>
      </c>
      <c r="R62">
        <v>3</v>
      </c>
    </row>
    <row r="63" spans="1:18" x14ac:dyDescent="0.25">
      <c r="A63" t="str">
        <f>TableOUMPDGCM1[[#This Row],[Study Package Code]]</f>
        <v>NETS5021</v>
      </c>
      <c r="B63" s="1">
        <f>TableOUMPDGCM1[[#This Row],[Ver]]</f>
        <v>3</v>
      </c>
      <c r="C63" t="str">
        <f>IF(TableOUMPDGCM1[[#This Row],[Ver]]&gt;0,_xlfn.TEXTBEFORE(TableOUMPDGCM1[[#This Row],[Structure Line]]," "),"")</f>
        <v>MIC510</v>
      </c>
      <c r="D63" t="str">
        <f>IF(TableOUMPDGCM1[[#This Row],[OUA Code]]&lt;&gt;"",_xlfn.TEXTAFTER(TableOUMPDGCM1[[#This Row],[Structure Line]]," "),TableOUMPDGCM1[[#This Row],[Structure Line]])</f>
        <v>Graduate Online Games and Play</v>
      </c>
      <c r="E63" s="57">
        <f>TableOUMPDGCM1[[#This Row],[Credit Points]]</f>
        <v>25</v>
      </c>
      <c r="F63" s="110">
        <v>4</v>
      </c>
      <c r="G63" s="110" t="s">
        <v>387</v>
      </c>
      <c r="H63" s="211">
        <v>1</v>
      </c>
      <c r="I63" s="110" t="s">
        <v>386</v>
      </c>
      <c r="J63" s="110" t="s">
        <v>181</v>
      </c>
      <c r="K63" s="110">
        <v>3</v>
      </c>
      <c r="L63" s="110" t="s">
        <v>407</v>
      </c>
      <c r="M63" s="110">
        <v>25</v>
      </c>
      <c r="N63" s="128">
        <v>45658</v>
      </c>
      <c r="O63" s="128"/>
      <c r="Q63" t="s">
        <v>137</v>
      </c>
      <c r="R63">
        <v>2</v>
      </c>
    </row>
    <row r="64" spans="1:18" x14ac:dyDescent="0.25">
      <c r="A64" t="str">
        <f>TableOUMPDGCM1[[#This Row],[Study Package Code]]</f>
        <v>COMS6007</v>
      </c>
      <c r="B64" s="1">
        <f>TableOUMPDGCM1[[#This Row],[Ver]]</f>
        <v>1</v>
      </c>
      <c r="C64" t="str">
        <f>IF(TableOUMPDGCM1[[#This Row],[Ver]]&gt;0,_xlfn.TEXTBEFORE(TableOUMPDGCM1[[#This Row],[Structure Line]]," "),"")</f>
        <v>COM610</v>
      </c>
      <c r="D64" t="str">
        <f>IF(TableOUMPDGCM1[[#This Row],[OUA Code]]&lt;&gt;"",_xlfn.TEXTAFTER(TableOUMPDGCM1[[#This Row],[Structure Line]]," "),TableOUMPDGCM1[[#This Row],[Structure Line]])</f>
        <v>Masters Professional or Creative Project</v>
      </c>
      <c r="E64" s="57">
        <f>TableOUMPDGCM1[[#This Row],[Credit Points]]</f>
        <v>50</v>
      </c>
      <c r="F64" s="110">
        <v>5</v>
      </c>
      <c r="G64" s="110" t="s">
        <v>385</v>
      </c>
      <c r="H64" s="211">
        <v>2</v>
      </c>
      <c r="I64" s="110" t="s">
        <v>386</v>
      </c>
      <c r="J64" s="110" t="s">
        <v>123</v>
      </c>
      <c r="K64" s="110">
        <v>1</v>
      </c>
      <c r="L64" s="110" t="s">
        <v>395</v>
      </c>
      <c r="M64" s="110">
        <v>50</v>
      </c>
      <c r="N64" s="128">
        <v>45292</v>
      </c>
      <c r="O64" s="128"/>
      <c r="Q64" t="s">
        <v>139</v>
      </c>
      <c r="R64">
        <v>2</v>
      </c>
    </row>
    <row r="65" spans="1:18" x14ac:dyDescent="0.25">
      <c r="A65" t="str">
        <f>TableOUMPDGCM1[[#This Row],[Study Package Code]]</f>
        <v>HUMN6004</v>
      </c>
      <c r="B65" s="1">
        <f>TableOUMPDGCM1[[#This Row],[Ver]]</f>
        <v>1</v>
      </c>
      <c r="C65" t="str">
        <f>IF(TableOUMPDGCM1[[#This Row],[Ver]]&gt;0,_xlfn.TEXTBEFORE(TableOUMPDGCM1[[#This Row],[Structure Line]]," "),"")</f>
        <v>HUMN610</v>
      </c>
      <c r="D65" t="str">
        <f>IF(TableOUMPDGCM1[[#This Row],[OUA Code]]&lt;&gt;"",_xlfn.TEXTAFTER(TableOUMPDGCM1[[#This Row],[Structure Line]]," "),TableOUMPDGCM1[[#This Row],[Structure Line]])</f>
        <v>Masters Research Project 2</v>
      </c>
      <c r="E65" s="57">
        <f>TableOUMPDGCM1[[#This Row],[Credit Points]]</f>
        <v>50</v>
      </c>
      <c r="F65" s="110">
        <v>5</v>
      </c>
      <c r="G65" s="110" t="s">
        <v>385</v>
      </c>
      <c r="H65" s="211">
        <v>2</v>
      </c>
      <c r="I65" s="110" t="s">
        <v>386</v>
      </c>
      <c r="J65" s="110" t="s">
        <v>125</v>
      </c>
      <c r="K65" s="110">
        <v>1</v>
      </c>
      <c r="L65" s="110" t="s">
        <v>396</v>
      </c>
      <c r="M65" s="110">
        <v>50</v>
      </c>
      <c r="N65" s="128">
        <v>45292</v>
      </c>
      <c r="O65" s="128"/>
      <c r="Q65" t="s">
        <v>123</v>
      </c>
      <c r="R65">
        <v>1</v>
      </c>
    </row>
    <row r="66" spans="1:18" x14ac:dyDescent="0.25">
      <c r="A66" t="str">
        <f>TableOUMPDGCM1[[#This Row],[Study Package Code]]</f>
        <v>COMS6006</v>
      </c>
      <c r="B66" s="1">
        <f>TableOUMPDGCM1[[#This Row],[Ver]]</f>
        <v>2</v>
      </c>
      <c r="C66" t="str">
        <f>IF(TableOUMPDGCM1[[#This Row],[Ver]]&gt;0,_xlfn.TEXTBEFORE(TableOUMPDGCM1[[#This Row],[Structure Line]]," "),"")</f>
        <v>COM600</v>
      </c>
      <c r="D66" t="str">
        <f>IF(TableOUMPDGCM1[[#This Row],[OUA Code]]&lt;&gt;"",_xlfn.TEXTAFTER(TableOUMPDGCM1[[#This Row],[Structure Line]]," "),TableOUMPDGCM1[[#This Row],[Structure Line]])</f>
        <v>Masters Professional Experience</v>
      </c>
      <c r="E66" s="57">
        <f>TableOUMPDGCM1[[#This Row],[Credit Points]]</f>
        <v>50</v>
      </c>
      <c r="F66" s="110">
        <v>6</v>
      </c>
      <c r="G66" s="110" t="s">
        <v>387</v>
      </c>
      <c r="H66" s="211">
        <v>2</v>
      </c>
      <c r="I66" s="110" t="s">
        <v>386</v>
      </c>
      <c r="J66" s="110" t="s">
        <v>150</v>
      </c>
      <c r="K66" s="110">
        <v>2</v>
      </c>
      <c r="L66" s="110" t="s">
        <v>392</v>
      </c>
      <c r="M66" s="110">
        <v>50</v>
      </c>
      <c r="N66" s="128">
        <v>45292</v>
      </c>
      <c r="O66" s="128"/>
      <c r="Q66" t="s">
        <v>125</v>
      </c>
      <c r="R66">
        <v>1</v>
      </c>
    </row>
    <row r="67" spans="1:18" x14ac:dyDescent="0.25">
      <c r="A67" t="str">
        <f>TableOUMPDGCM1[[#This Row],[Study Package Code]]</f>
        <v>CWRI5032</v>
      </c>
      <c r="B67" s="1">
        <f>TableOUMPDGCM1[[#This Row],[Ver]]</f>
        <v>1</v>
      </c>
      <c r="C67" t="str">
        <f>IF(TableOUMPDGCM1[[#This Row],[Ver]]&gt;0,_xlfn.TEXTBEFORE(TableOUMPDGCM1[[#This Row],[Structure Line]]," "),"")</f>
        <v>CWRI5032</v>
      </c>
      <c r="D67" t="str">
        <f>IF(TableOUMPDGCM1[[#This Row],[OUA Code]]&lt;&gt;"",_xlfn.TEXTAFTER(TableOUMPDGCM1[[#This Row],[Structure Line]]," "),TableOUMPDGCM1[[#This Row],[Structure Line]])</f>
        <v>Graduate Writing Genre Fiction</v>
      </c>
      <c r="E67" s="57">
        <f>TableOUMPDGCM1[[#This Row],[Credit Points]]</f>
        <v>25</v>
      </c>
      <c r="F67" s="110">
        <v>6</v>
      </c>
      <c r="G67" s="110" t="s">
        <v>387</v>
      </c>
      <c r="H67" s="211">
        <v>2</v>
      </c>
      <c r="I67" s="110" t="s">
        <v>386</v>
      </c>
      <c r="J67" s="110" t="s">
        <v>155</v>
      </c>
      <c r="K67" s="110">
        <v>1</v>
      </c>
      <c r="L67" s="110" t="s">
        <v>440</v>
      </c>
      <c r="M67" s="110">
        <v>25</v>
      </c>
      <c r="N67" s="128">
        <v>46023</v>
      </c>
      <c r="O67" s="128"/>
    </row>
    <row r="68" spans="1:18" x14ac:dyDescent="0.25">
      <c r="A68" t="str">
        <f>TableOUMPDGCM1[[#This Row],[Study Package Code]]</f>
        <v>EDUC5026</v>
      </c>
      <c r="B68" s="1">
        <f>TableOUMPDGCM1[[#This Row],[Ver]]</f>
        <v>1</v>
      </c>
      <c r="C68" t="str">
        <f>IF(TableOUMPDGCM1[[#This Row],[Ver]]&gt;0,_xlfn.TEXTBEFORE(TableOUMPDGCM1[[#This Row],[Structure Line]]," "),"")</f>
        <v>TESOL504</v>
      </c>
      <c r="D68" t="str">
        <f>IF(TableOUMPDGCM1[[#This Row],[OUA Code]]&lt;&gt;"",_xlfn.TEXTAFTER(TableOUMPDGCM1[[#This Row],[Structure Line]]," "),TableOUMPDGCM1[[#This Row],[Structure Line]])</f>
        <v>Transcultural Communication</v>
      </c>
      <c r="E68" s="57">
        <f>TableOUMPDGCM1[[#This Row],[Credit Points]]</f>
        <v>25</v>
      </c>
      <c r="F68" s="110">
        <v>6</v>
      </c>
      <c r="G68" s="110" t="s">
        <v>387</v>
      </c>
      <c r="H68" s="211">
        <v>2</v>
      </c>
      <c r="I68" s="110" t="s">
        <v>386</v>
      </c>
      <c r="J68" s="110" t="s">
        <v>461</v>
      </c>
      <c r="K68" s="110">
        <v>1</v>
      </c>
      <c r="L68" s="110" t="s">
        <v>462</v>
      </c>
      <c r="M68" s="110">
        <v>25</v>
      </c>
      <c r="N68" s="128">
        <v>42736</v>
      </c>
      <c r="O68" s="128"/>
    </row>
    <row r="69" spans="1:18" x14ac:dyDescent="0.25">
      <c r="A69" t="str">
        <f>TableOUMPDGCM1[[#This Row],[Study Package Code]]</f>
        <v>HUMN6002</v>
      </c>
      <c r="B69" s="1">
        <f>TableOUMPDGCM1[[#This Row],[Ver]]</f>
        <v>1</v>
      </c>
      <c r="C69" t="str">
        <f>IF(TableOUMPDGCM1[[#This Row],[Ver]]&gt;0,_xlfn.TEXTBEFORE(TableOUMPDGCM1[[#This Row],[Structure Line]]," "),"")</f>
        <v>HUMN600</v>
      </c>
      <c r="D69" t="str">
        <f>IF(TableOUMPDGCM1[[#This Row],[OUA Code]]&lt;&gt;"",_xlfn.TEXTAFTER(TableOUMPDGCM1[[#This Row],[Structure Line]]," "),TableOUMPDGCM1[[#This Row],[Structure Line]])</f>
        <v>Masters Research Project 1</v>
      </c>
      <c r="E69" s="57">
        <f>TableOUMPDGCM1[[#This Row],[Credit Points]]</f>
        <v>50</v>
      </c>
      <c r="F69" s="110">
        <v>6</v>
      </c>
      <c r="G69" s="110" t="s">
        <v>387</v>
      </c>
      <c r="H69" s="211">
        <v>2</v>
      </c>
      <c r="I69" s="110" t="s">
        <v>386</v>
      </c>
      <c r="J69" s="110" t="s">
        <v>153</v>
      </c>
      <c r="K69" s="110">
        <v>1</v>
      </c>
      <c r="L69" s="110" t="s">
        <v>394</v>
      </c>
      <c r="M69" s="110">
        <v>50</v>
      </c>
      <c r="N69" s="128">
        <v>45292</v>
      </c>
      <c r="O69" s="128"/>
    </row>
    <row r="70" spans="1:18" x14ac:dyDescent="0.25">
      <c r="A70" t="str">
        <f>TableOUMPDGCM1[[#This Row],[Study Package Code]]</f>
        <v>INFO5042</v>
      </c>
      <c r="B70" s="1">
        <f>TableOUMPDGCM1[[#This Row],[Ver]]</f>
        <v>1</v>
      </c>
      <c r="C70" t="str">
        <f>IF(TableOUMPDGCM1[[#This Row],[Ver]]&gt;0,_xlfn.TEXTBEFORE(TableOUMPDGCM1[[#This Row],[Structure Line]]," "),"")</f>
        <v>INF510</v>
      </c>
      <c r="D70" t="str">
        <f>IF(TableOUMPDGCM1[[#This Row],[OUA Code]]&lt;&gt;"",_xlfn.TEXTAFTER(TableOUMPDGCM1[[#This Row],[Structure Line]]," "),TableOUMPDGCM1[[#This Row],[Structure Line]])</f>
        <v>Telling Stories with Data</v>
      </c>
      <c r="E70" s="57">
        <f>TableOUMPDGCM1[[#This Row],[Credit Points]]</f>
        <v>25</v>
      </c>
      <c r="F70" s="110">
        <v>6</v>
      </c>
      <c r="G70" s="110" t="s">
        <v>387</v>
      </c>
      <c r="H70" s="211">
        <v>2</v>
      </c>
      <c r="I70" s="110" t="s">
        <v>386</v>
      </c>
      <c r="J70" s="110" t="s">
        <v>161</v>
      </c>
      <c r="K70" s="110">
        <v>1</v>
      </c>
      <c r="L70" s="110" t="s">
        <v>398</v>
      </c>
      <c r="M70" s="110">
        <v>25</v>
      </c>
      <c r="N70" s="128">
        <v>44927</v>
      </c>
      <c r="O70" s="128"/>
    </row>
    <row r="71" spans="1:18" x14ac:dyDescent="0.25">
      <c r="A71" t="str">
        <f>TableOUMPDGCM1[[#This Row],[Study Package Code]]</f>
        <v>NETS5012</v>
      </c>
      <c r="B71" s="1">
        <f>TableOUMPDGCM1[[#This Row],[Ver]]</f>
        <v>2</v>
      </c>
      <c r="C71" t="str">
        <f>IF(TableOUMPDGCM1[[#This Row],[Ver]]&gt;0,_xlfn.TEXTBEFORE(TableOUMPDGCM1[[#This Row],[Structure Line]]," "),"")</f>
        <v>MIC501</v>
      </c>
      <c r="D71" t="str">
        <f>IF(TableOUMPDGCM1[[#This Row],[OUA Code]]&lt;&gt;"",_xlfn.TEXTAFTER(TableOUMPDGCM1[[#This Row],[Structure Line]]," "),TableOUMPDGCM1[[#This Row],[Structure Line]])</f>
        <v>Graduate Web Communications</v>
      </c>
      <c r="E71" s="57">
        <f>TableOUMPDGCM1[[#This Row],[Credit Points]]</f>
        <v>25</v>
      </c>
      <c r="F71" s="110">
        <v>6</v>
      </c>
      <c r="G71" s="110" t="s">
        <v>387</v>
      </c>
      <c r="H71" s="211">
        <v>2</v>
      </c>
      <c r="I71" s="110" t="s">
        <v>386</v>
      </c>
      <c r="J71" s="110" t="s">
        <v>137</v>
      </c>
      <c r="K71" s="110">
        <v>2</v>
      </c>
      <c r="L71" s="110" t="s">
        <v>399</v>
      </c>
      <c r="M71" s="110">
        <v>25</v>
      </c>
      <c r="N71" s="128">
        <v>45658</v>
      </c>
      <c r="O71" s="128"/>
    </row>
    <row r="72" spans="1:18" x14ac:dyDescent="0.25">
      <c r="A72" t="str">
        <f>TableOUMPDGCM1[[#This Row],[Study Package Code]]</f>
        <v>NETS5013</v>
      </c>
      <c r="B72" s="1">
        <f>TableOUMPDGCM1[[#This Row],[Ver]]</f>
        <v>2</v>
      </c>
      <c r="C72" t="str">
        <f>IF(TableOUMPDGCM1[[#This Row],[Ver]]&gt;0,_xlfn.TEXTBEFORE(TableOUMPDGCM1[[#This Row],[Structure Line]]," "),"")</f>
        <v>MIC502</v>
      </c>
      <c r="D72" t="str">
        <f>IF(TableOUMPDGCM1[[#This Row],[OUA Code]]&lt;&gt;"",_xlfn.TEXTAFTER(TableOUMPDGCM1[[#This Row],[Structure Line]]," "),TableOUMPDGCM1[[#This Row],[Structure Line]])</f>
        <v>Graduate Digital Culture and Everyday Life</v>
      </c>
      <c r="E72" s="57">
        <f>TableOUMPDGCM1[[#This Row],[Credit Points]]</f>
        <v>25</v>
      </c>
      <c r="F72" s="110">
        <v>6</v>
      </c>
      <c r="G72" s="110" t="s">
        <v>387</v>
      </c>
      <c r="H72" s="211">
        <v>2</v>
      </c>
      <c r="I72" s="110" t="s">
        <v>386</v>
      </c>
      <c r="J72" s="110" t="s">
        <v>139</v>
      </c>
      <c r="K72" s="110">
        <v>2</v>
      </c>
      <c r="L72" s="110" t="s">
        <v>400</v>
      </c>
      <c r="M72" s="110">
        <v>25</v>
      </c>
      <c r="N72" s="128">
        <v>45658</v>
      </c>
      <c r="O72" s="128"/>
    </row>
    <row r="73" spans="1:18" x14ac:dyDescent="0.25">
      <c r="A73" t="str">
        <f>TableOUMPDGCM1[[#This Row],[Study Package Code]]</f>
        <v>NETS5014</v>
      </c>
      <c r="B73" s="1">
        <f>TableOUMPDGCM1[[#This Row],[Ver]]</f>
        <v>3</v>
      </c>
      <c r="C73" t="str">
        <f>IF(TableOUMPDGCM1[[#This Row],[Ver]]&gt;0,_xlfn.TEXTBEFORE(TableOUMPDGCM1[[#This Row],[Structure Line]]," "),"")</f>
        <v>MIC503</v>
      </c>
      <c r="D73" t="str">
        <f>IF(TableOUMPDGCM1[[#This Row],[OUA Code]]&lt;&gt;"",_xlfn.TEXTAFTER(TableOUMPDGCM1[[#This Row],[Structure Line]]," "),TableOUMPDGCM1[[#This Row],[Structure Line]])</f>
        <v>Graduate Online Power and Resistance</v>
      </c>
      <c r="E73" s="57">
        <f>TableOUMPDGCM1[[#This Row],[Credit Points]]</f>
        <v>25</v>
      </c>
      <c r="F73" s="110">
        <v>6</v>
      </c>
      <c r="G73" s="110" t="s">
        <v>387</v>
      </c>
      <c r="H73" s="211">
        <v>2</v>
      </c>
      <c r="I73" s="110" t="s">
        <v>386</v>
      </c>
      <c r="J73" s="110" t="s">
        <v>168</v>
      </c>
      <c r="K73" s="110">
        <v>3</v>
      </c>
      <c r="L73" s="110" t="s">
        <v>401</v>
      </c>
      <c r="M73" s="110">
        <v>25</v>
      </c>
      <c r="N73" s="128">
        <v>45658</v>
      </c>
      <c r="O73" s="128"/>
    </row>
    <row r="74" spans="1:18" x14ac:dyDescent="0.25">
      <c r="A74" t="str">
        <f>TableOUMPDGCM1[[#This Row],[Study Package Code]]</f>
        <v>NETS5015</v>
      </c>
      <c r="B74" s="1">
        <f>TableOUMPDGCM1[[#This Row],[Ver]]</f>
        <v>2</v>
      </c>
      <c r="C74" t="str">
        <f>IF(TableOUMPDGCM1[[#This Row],[Ver]]&gt;0,_xlfn.TEXTBEFORE(TableOUMPDGCM1[[#This Row],[Structure Line]]," "),"")</f>
        <v>MIC504</v>
      </c>
      <c r="D74" t="str">
        <f>IF(TableOUMPDGCM1[[#This Row],[OUA Code]]&lt;&gt;"",_xlfn.TEXTAFTER(TableOUMPDGCM1[[#This Row],[Structure Line]]," "),TableOUMPDGCM1[[#This Row],[Structure Line]])</f>
        <v>Graduate Social Media, Communities and Networks</v>
      </c>
      <c r="E74" s="57">
        <f>TableOUMPDGCM1[[#This Row],[Credit Points]]</f>
        <v>25</v>
      </c>
      <c r="F74" s="110">
        <v>6</v>
      </c>
      <c r="G74" s="110" t="s">
        <v>387</v>
      </c>
      <c r="H74" s="211">
        <v>2</v>
      </c>
      <c r="I74" s="110" t="s">
        <v>386</v>
      </c>
      <c r="J74" s="110" t="s">
        <v>170</v>
      </c>
      <c r="K74" s="110">
        <v>2</v>
      </c>
      <c r="L74" s="110" t="s">
        <v>402</v>
      </c>
      <c r="M74" s="110">
        <v>25</v>
      </c>
      <c r="N74" s="128">
        <v>45658</v>
      </c>
      <c r="O74" s="128"/>
    </row>
    <row r="75" spans="1:18" x14ac:dyDescent="0.25">
      <c r="A75" t="str">
        <f>TableOUMPDGCM1[[#This Row],[Study Package Code]]</f>
        <v>NETS5016</v>
      </c>
      <c r="B75" s="1">
        <f>TableOUMPDGCM1[[#This Row],[Ver]]</f>
        <v>2</v>
      </c>
      <c r="C75" t="str">
        <f>IF(TableOUMPDGCM1[[#This Row],[Ver]]&gt;0,_xlfn.TEXTBEFORE(TableOUMPDGCM1[[#This Row],[Structure Line]]," "),"")</f>
        <v>MIC505</v>
      </c>
      <c r="D75" t="str">
        <f>IF(TableOUMPDGCM1[[#This Row],[OUA Code]]&lt;&gt;"",_xlfn.TEXTAFTER(TableOUMPDGCM1[[#This Row],[Structure Line]]," "),TableOUMPDGCM1[[#This Row],[Structure Line]])</f>
        <v>Graduate Writing on the Web</v>
      </c>
      <c r="E75" s="57">
        <f>TableOUMPDGCM1[[#This Row],[Credit Points]]</f>
        <v>25</v>
      </c>
      <c r="F75" s="110">
        <v>6</v>
      </c>
      <c r="G75" s="110" t="s">
        <v>387</v>
      </c>
      <c r="H75" s="211">
        <v>2</v>
      </c>
      <c r="I75" s="110" t="s">
        <v>386</v>
      </c>
      <c r="J75" s="110" t="s">
        <v>167</v>
      </c>
      <c r="K75" s="110">
        <v>2</v>
      </c>
      <c r="L75" s="110" t="s">
        <v>403</v>
      </c>
      <c r="M75" s="110">
        <v>25</v>
      </c>
      <c r="N75" s="128">
        <v>45658</v>
      </c>
      <c r="O75" s="128"/>
    </row>
    <row r="76" spans="1:18" x14ac:dyDescent="0.25">
      <c r="A76" t="str">
        <f>TableOUMPDGCM1[[#This Row],[Study Package Code]]</f>
        <v>NETS5017</v>
      </c>
      <c r="B76" s="1">
        <f>TableOUMPDGCM1[[#This Row],[Ver]]</f>
        <v>2</v>
      </c>
      <c r="C76" t="str">
        <f>IF(TableOUMPDGCM1[[#This Row],[Ver]]&gt;0,_xlfn.TEXTBEFORE(TableOUMPDGCM1[[#This Row],[Structure Line]]," "),"")</f>
        <v>MIC506</v>
      </c>
      <c r="D76" t="str">
        <f>IF(TableOUMPDGCM1[[#This Row],[OUA Code]]&lt;&gt;"",_xlfn.TEXTAFTER(TableOUMPDGCM1[[#This Row],[Structure Line]]," "),TableOUMPDGCM1[[#This Row],[Structure Line]])</f>
        <v>Graduate The Digital Economy</v>
      </c>
      <c r="E76" s="57">
        <f>TableOUMPDGCM1[[#This Row],[Credit Points]]</f>
        <v>25</v>
      </c>
      <c r="F76" s="110">
        <v>6</v>
      </c>
      <c r="G76" s="110" t="s">
        <v>387</v>
      </c>
      <c r="H76" s="211">
        <v>2</v>
      </c>
      <c r="I76" s="110" t="s">
        <v>386</v>
      </c>
      <c r="J76" s="110" t="s">
        <v>174</v>
      </c>
      <c r="K76" s="110">
        <v>2</v>
      </c>
      <c r="L76" s="110" t="s">
        <v>404</v>
      </c>
      <c r="M76" s="110">
        <v>25</v>
      </c>
      <c r="N76" s="128">
        <v>45658</v>
      </c>
      <c r="O76" s="128"/>
    </row>
    <row r="77" spans="1:18" x14ac:dyDescent="0.25">
      <c r="A77" t="str">
        <f>TableOUMPDGCM1[[#This Row],[Study Package Code]]</f>
        <v>NETS5018</v>
      </c>
      <c r="B77" s="1">
        <f>TableOUMPDGCM1[[#This Row],[Ver]]</f>
        <v>2</v>
      </c>
      <c r="C77" t="str">
        <f>IF(TableOUMPDGCM1[[#This Row],[Ver]]&gt;0,_xlfn.TEXTBEFORE(TableOUMPDGCM1[[#This Row],[Structure Line]]," "),"")</f>
        <v>MIC507</v>
      </c>
      <c r="D77" t="str">
        <f>IF(TableOUMPDGCM1[[#This Row],[OUA Code]]&lt;&gt;"",_xlfn.TEXTAFTER(TableOUMPDGCM1[[#This Row],[Structure Line]]," "),TableOUMPDGCM1[[#This Row],[Structure Line]])</f>
        <v>Graduate Technology, Innovation and Societies</v>
      </c>
      <c r="E77" s="57">
        <f>TableOUMPDGCM1[[#This Row],[Credit Points]]</f>
        <v>25</v>
      </c>
      <c r="F77" s="110">
        <v>6</v>
      </c>
      <c r="G77" s="110" t="s">
        <v>387</v>
      </c>
      <c r="H77" s="211">
        <v>2</v>
      </c>
      <c r="I77" s="110" t="s">
        <v>386</v>
      </c>
      <c r="J77" s="110" t="s">
        <v>176</v>
      </c>
      <c r="K77" s="110">
        <v>2</v>
      </c>
      <c r="L77" s="110" t="s">
        <v>405</v>
      </c>
      <c r="M77" s="110">
        <v>25</v>
      </c>
      <c r="N77" s="128">
        <v>45658</v>
      </c>
      <c r="O77" s="128"/>
    </row>
    <row r="78" spans="1:18" x14ac:dyDescent="0.25">
      <c r="A78" t="str">
        <f>TableOUMPDGCM1[[#This Row],[Study Package Code]]</f>
        <v>NETS5019</v>
      </c>
      <c r="B78" s="1">
        <f>TableOUMPDGCM1[[#This Row],[Ver]]</f>
        <v>4</v>
      </c>
      <c r="C78" t="str">
        <f>IF(TableOUMPDGCM1[[#This Row],[Ver]]&gt;0,_xlfn.TEXTBEFORE(TableOUMPDGCM1[[#This Row],[Structure Line]]," "),"")</f>
        <v>MIC508</v>
      </c>
      <c r="D78" t="str">
        <f>IF(TableOUMPDGCM1[[#This Row],[OUA Code]]&lt;&gt;"",_xlfn.TEXTAFTER(TableOUMPDGCM1[[#This Row],[Structure Line]]," "),TableOUMPDGCM1[[#This Row],[Structure Line]])</f>
        <v>Graduate Digital Creation Futures</v>
      </c>
      <c r="E78" s="57">
        <f>TableOUMPDGCM1[[#This Row],[Credit Points]]</f>
        <v>25</v>
      </c>
      <c r="F78" s="110">
        <v>6</v>
      </c>
      <c r="G78" s="110" t="s">
        <v>387</v>
      </c>
      <c r="H78" s="211">
        <v>2</v>
      </c>
      <c r="I78" s="110" t="s">
        <v>386</v>
      </c>
      <c r="J78" s="110" t="s">
        <v>178</v>
      </c>
      <c r="K78" s="110">
        <v>4</v>
      </c>
      <c r="L78" s="110" t="s">
        <v>463</v>
      </c>
      <c r="M78" s="110">
        <v>25</v>
      </c>
      <c r="N78" s="128">
        <v>46023</v>
      </c>
      <c r="O78" s="128"/>
    </row>
    <row r="79" spans="1:18" x14ac:dyDescent="0.25">
      <c r="A79" t="str">
        <f>TableOUMPDGCM1[[#This Row],[Study Package Code]]</f>
        <v>NETS5020</v>
      </c>
      <c r="B79" s="1">
        <f>TableOUMPDGCM1[[#This Row],[Ver]]</f>
        <v>2</v>
      </c>
      <c r="C79" t="str">
        <f>IF(TableOUMPDGCM1[[#This Row],[Ver]]&gt;0,_xlfn.TEXTBEFORE(TableOUMPDGCM1[[#This Row],[Structure Line]]," "),"")</f>
        <v>MIC509</v>
      </c>
      <c r="D79" t="str">
        <f>IF(TableOUMPDGCM1[[#This Row],[OUA Code]]&lt;&gt;"",_xlfn.TEXTAFTER(TableOUMPDGCM1[[#This Row],[Structure Line]]," "),TableOUMPDGCM1[[#This Row],[Structure Line]])</f>
        <v>Graduate Web Media</v>
      </c>
      <c r="E79" s="57">
        <f>TableOUMPDGCM1[[#This Row],[Credit Points]]</f>
        <v>25</v>
      </c>
      <c r="F79" s="110">
        <v>6</v>
      </c>
      <c r="G79" s="110" t="s">
        <v>387</v>
      </c>
      <c r="H79" s="211">
        <v>2</v>
      </c>
      <c r="I79" s="110" t="s">
        <v>386</v>
      </c>
      <c r="J79" s="110" t="s">
        <v>180</v>
      </c>
      <c r="K79" s="110">
        <v>2</v>
      </c>
      <c r="L79" s="110" t="s">
        <v>406</v>
      </c>
      <c r="M79" s="110">
        <v>25</v>
      </c>
      <c r="N79" s="128">
        <v>45658</v>
      </c>
      <c r="O79" s="128"/>
    </row>
    <row r="80" spans="1:18" x14ac:dyDescent="0.25">
      <c r="A80" t="str">
        <f>TableOUMPDGCM1[[#This Row],[Study Package Code]]</f>
        <v>NETS5021</v>
      </c>
      <c r="B80" s="1">
        <f>TableOUMPDGCM1[[#This Row],[Ver]]</f>
        <v>3</v>
      </c>
      <c r="C80" t="str">
        <f>IF(TableOUMPDGCM1[[#This Row],[Ver]]&gt;0,_xlfn.TEXTBEFORE(TableOUMPDGCM1[[#This Row],[Structure Line]]," "),"")</f>
        <v>MIC510</v>
      </c>
      <c r="D80" t="str">
        <f>IF(TableOUMPDGCM1[[#This Row],[OUA Code]]&lt;&gt;"",_xlfn.TEXTAFTER(TableOUMPDGCM1[[#This Row],[Structure Line]]," "),TableOUMPDGCM1[[#This Row],[Structure Line]])</f>
        <v>Graduate Online Games and Play</v>
      </c>
      <c r="E80" s="57">
        <f>TableOUMPDGCM1[[#This Row],[Credit Points]]</f>
        <v>25</v>
      </c>
      <c r="F80" s="110">
        <v>6</v>
      </c>
      <c r="G80" s="110" t="s">
        <v>387</v>
      </c>
      <c r="H80" s="211">
        <v>2</v>
      </c>
      <c r="I80" s="110" t="s">
        <v>386</v>
      </c>
      <c r="J80" s="110" t="s">
        <v>181</v>
      </c>
      <c r="K80" s="110">
        <v>3</v>
      </c>
      <c r="L80" s="110" t="s">
        <v>407</v>
      </c>
      <c r="M80" s="110">
        <v>25</v>
      </c>
      <c r="N80" s="128">
        <v>45658</v>
      </c>
      <c r="O80" s="128"/>
    </row>
    <row r="81" spans="1:18" x14ac:dyDescent="0.25">
      <c r="A81" t="str">
        <f>TableOUMPDGCM1[[#This Row],[Study Package Code]]</f>
        <v>PWRP5032</v>
      </c>
      <c r="B81" s="1">
        <f>TableOUMPDGCM1[[#This Row],[Ver]]</f>
        <v>1</v>
      </c>
      <c r="C81" t="str">
        <f>IF(TableOUMPDGCM1[[#This Row],[Ver]]&gt;0,_xlfn.TEXTBEFORE(TableOUMPDGCM1[[#This Row],[Structure Line]]," "),"")</f>
        <v>PWP535</v>
      </c>
      <c r="D81" t="str">
        <f>IF(TableOUMPDGCM1[[#This Row],[OUA Code]]&lt;&gt;"",_xlfn.TEXTAFTER(TableOUMPDGCM1[[#This Row],[Structure Line]]," "),TableOUMPDGCM1[[#This Row],[Structure Line]])</f>
        <v>Graduate Skills in Professional Writing</v>
      </c>
      <c r="E81" s="57">
        <f>TableOUMPDGCM1[[#This Row],[Credit Points]]</f>
        <v>25</v>
      </c>
      <c r="F81" s="110">
        <v>6</v>
      </c>
      <c r="G81" s="110" t="s">
        <v>387</v>
      </c>
      <c r="H81" s="211">
        <v>2</v>
      </c>
      <c r="I81" s="110" t="s">
        <v>386</v>
      </c>
      <c r="J81" s="110" t="s">
        <v>169</v>
      </c>
      <c r="K81" s="110">
        <v>1</v>
      </c>
      <c r="L81" s="110" t="s">
        <v>419</v>
      </c>
      <c r="M81" s="110">
        <v>25</v>
      </c>
      <c r="N81" s="128">
        <v>45658</v>
      </c>
      <c r="O81" s="128"/>
    </row>
    <row r="82" spans="1:18" x14ac:dyDescent="0.25">
      <c r="A82" t="str">
        <f>TableOUMPDGCM1[[#This Row],[Study Package Code]]</f>
        <v>PWRP5033</v>
      </c>
      <c r="B82" s="1">
        <f>TableOUMPDGCM1[[#This Row],[Ver]]</f>
        <v>1</v>
      </c>
      <c r="C82" t="str">
        <f>IF(TableOUMPDGCM1[[#This Row],[Ver]]&gt;0,_xlfn.TEXTBEFORE(TableOUMPDGCM1[[#This Row],[Structure Line]]," "),"")</f>
        <v>PWP540</v>
      </c>
      <c r="D82" t="str">
        <f>IF(TableOUMPDGCM1[[#This Row],[OUA Code]]&lt;&gt;"",_xlfn.TEXTAFTER(TableOUMPDGCM1[[#This Row],[Structure Line]]," "),TableOUMPDGCM1[[#This Row],[Structure Line]])</f>
        <v>Graduate Workplace Writing</v>
      </c>
      <c r="E82" s="57">
        <f>TableOUMPDGCM1[[#This Row],[Credit Points]]</f>
        <v>25</v>
      </c>
      <c r="F82" s="110">
        <v>6</v>
      </c>
      <c r="G82" s="110" t="s">
        <v>387</v>
      </c>
      <c r="H82" s="211">
        <v>2</v>
      </c>
      <c r="I82" s="110" t="s">
        <v>386</v>
      </c>
      <c r="J82" s="110" t="s">
        <v>172</v>
      </c>
      <c r="K82" s="110">
        <v>1</v>
      </c>
      <c r="L82" s="110" t="s">
        <v>420</v>
      </c>
      <c r="M82" s="110">
        <v>25</v>
      </c>
      <c r="N82" s="128">
        <v>45658</v>
      </c>
      <c r="O82" s="128"/>
    </row>
    <row r="83" spans="1:18" x14ac:dyDescent="0.25">
      <c r="B83"/>
      <c r="E83"/>
      <c r="F83" s="209"/>
      <c r="G83" s="173" t="s">
        <v>374</v>
      </c>
      <c r="H83" s="212">
        <v>46035</v>
      </c>
      <c r="I83" s="171"/>
      <c r="J83" s="171" t="s">
        <v>80</v>
      </c>
      <c r="K83" s="207">
        <v>2</v>
      </c>
      <c r="L83" s="171" t="s">
        <v>79</v>
      </c>
      <c r="M83" s="171"/>
      <c r="N83" s="208">
        <v>46023</v>
      </c>
      <c r="O83" s="174"/>
    </row>
    <row r="84" spans="1:18" x14ac:dyDescent="0.25">
      <c r="A84" t="s">
        <v>0</v>
      </c>
      <c r="B84" s="1" t="s">
        <v>375</v>
      </c>
      <c r="C84" t="s">
        <v>22</v>
      </c>
      <c r="D84" t="s">
        <v>3</v>
      </c>
      <c r="E84" s="57" t="s">
        <v>376</v>
      </c>
      <c r="F84" t="s">
        <v>377</v>
      </c>
      <c r="G84" t="s">
        <v>378</v>
      </c>
      <c r="H84" s="1" t="s">
        <v>379</v>
      </c>
      <c r="I84" t="s">
        <v>23</v>
      </c>
      <c r="J84" t="s">
        <v>380</v>
      </c>
      <c r="K84" t="s">
        <v>1</v>
      </c>
      <c r="L84" t="s">
        <v>381</v>
      </c>
      <c r="M84" t="s">
        <v>58</v>
      </c>
      <c r="N84" t="s">
        <v>382</v>
      </c>
      <c r="O84" t="s">
        <v>383</v>
      </c>
      <c r="Q84" t="s">
        <v>384</v>
      </c>
      <c r="R84" t="s">
        <v>1</v>
      </c>
    </row>
    <row r="85" spans="1:18" x14ac:dyDescent="0.25">
      <c r="A85" t="str">
        <f>TableOUMPFINA1[[#This Row],[Study Package Code]]</f>
        <v>COMS5005</v>
      </c>
      <c r="B85" s="1">
        <f>TableOUMPFINA1[[#This Row],[Ver]]</f>
        <v>1</v>
      </c>
      <c r="C85" t="str">
        <f>IF(TableOUMPFINA1[[#This Row],[Ver]]&gt;0,_xlfn.TEXTBEFORE(TableOUMPFINA1[[#This Row],[Structure Line]]," "),"")</f>
        <v>COM500</v>
      </c>
      <c r="D85" t="str">
        <f>IF(TableOUMPFINA1[[#This Row],[OUA Code]]&lt;&gt;"",_xlfn.TEXTAFTER(TableOUMPFINA1[[#This Row],[Structure Line]]," "),TableOUMPFINA1[[#This Row],[Structure Line]])</f>
        <v>Approaches to Arts Research</v>
      </c>
      <c r="E85" s="57">
        <f>TableOUMPFINA1[[#This Row],[Credit Points]]</f>
        <v>25</v>
      </c>
      <c r="F85" s="110">
        <v>1</v>
      </c>
      <c r="G85" s="110" t="s">
        <v>388</v>
      </c>
      <c r="H85" s="211">
        <v>1</v>
      </c>
      <c r="I85" s="110" t="s">
        <v>386</v>
      </c>
      <c r="J85" s="110" t="s">
        <v>199</v>
      </c>
      <c r="K85" s="110">
        <v>1</v>
      </c>
      <c r="L85" s="110" t="s">
        <v>389</v>
      </c>
      <c r="M85" s="110">
        <v>25</v>
      </c>
      <c r="N85" s="128">
        <v>45658</v>
      </c>
      <c r="O85" s="128"/>
      <c r="Q85" t="s">
        <v>146</v>
      </c>
      <c r="R85">
        <v>0</v>
      </c>
    </row>
    <row r="86" spans="1:18" x14ac:dyDescent="0.25">
      <c r="A86" t="str">
        <f>TableOUMPFINA1[[#This Row],[Study Package Code]]</f>
        <v>COMS6008</v>
      </c>
      <c r="B86" s="1">
        <f>TableOUMPFINA1[[#This Row],[Ver]]</f>
        <v>1</v>
      </c>
      <c r="C86" t="str">
        <f>IF(TableOUMPFINA1[[#This Row],[Ver]]&gt;0,_xlfn.TEXTBEFORE(TableOUMPFINA1[[#This Row],[Structure Line]]," "),"")</f>
        <v>COM605</v>
      </c>
      <c r="D86" t="str">
        <f>IF(TableOUMPFINA1[[#This Row],[OUA Code]]&lt;&gt;"",_xlfn.TEXTAFTER(TableOUMPFINA1[[#This Row],[Structure Line]]," "),TableOUMPFINA1[[#This Row],[Structure Line]])</f>
        <v>Planning an Arts Research Project</v>
      </c>
      <c r="E86" s="57">
        <f>TableOUMPFINA1[[#This Row],[Credit Points]]</f>
        <v>25</v>
      </c>
      <c r="F86" s="110">
        <v>2</v>
      </c>
      <c r="G86" s="110" t="s">
        <v>388</v>
      </c>
      <c r="H86" s="211">
        <v>1</v>
      </c>
      <c r="I86" s="110" t="s">
        <v>386</v>
      </c>
      <c r="J86" s="110" t="s">
        <v>231</v>
      </c>
      <c r="K86" s="110">
        <v>1</v>
      </c>
      <c r="L86" s="110" t="s">
        <v>390</v>
      </c>
      <c r="M86" s="110">
        <v>25</v>
      </c>
      <c r="N86" s="128">
        <v>45658</v>
      </c>
      <c r="O86" s="128"/>
      <c r="Q86" t="s">
        <v>199</v>
      </c>
      <c r="R86">
        <v>1</v>
      </c>
    </row>
    <row r="87" spans="1:18" x14ac:dyDescent="0.25">
      <c r="A87" t="str">
        <f>TableOUMPFINA1[[#This Row],[Study Package Code]]</f>
        <v>Opt-FINA11</v>
      </c>
      <c r="B87" s="1">
        <f>TableOUMPFINA1[[#This Row],[Ver]]</f>
        <v>0</v>
      </c>
      <c r="C87" t="str">
        <f>IF(TableOUMPFINA1[[#This Row],[Ver]]&gt;0,_xlfn.TEXTBEFORE(TableOUMPFINA1[[#This Row],[Structure Line]]," "),"")</f>
        <v/>
      </c>
      <c r="D87" t="str">
        <f>IF(TableOUMPFINA1[[#This Row],[OUA Code]]&lt;&gt;"",_xlfn.TEXTAFTER(TableOUMPFINA1[[#This Row],[Structure Line]]," "),TableOUMPFINA1[[#This Row],[Structure Line]])</f>
        <v>Choose Options in Year 1</v>
      </c>
      <c r="E87" s="57">
        <f>TableOUMPFINA1[[#This Row],[Credit Points]]</f>
        <v>125</v>
      </c>
      <c r="F87" s="110">
        <v>3</v>
      </c>
      <c r="G87" s="110" t="s">
        <v>387</v>
      </c>
      <c r="H87" s="211">
        <v>1</v>
      </c>
      <c r="I87" s="110" t="s">
        <v>386</v>
      </c>
      <c r="J87" s="110" t="s">
        <v>466</v>
      </c>
      <c r="K87" s="110">
        <v>0</v>
      </c>
      <c r="L87" s="110" t="s">
        <v>464</v>
      </c>
      <c r="M87" s="110">
        <v>125</v>
      </c>
      <c r="N87" s="128"/>
      <c r="O87" s="128"/>
      <c r="Q87" t="s">
        <v>231</v>
      </c>
      <c r="R87">
        <v>1</v>
      </c>
    </row>
    <row r="88" spans="1:18" x14ac:dyDescent="0.25">
      <c r="A88" t="str">
        <f>TableOUMPFINA1[[#This Row],[Study Package Code]]</f>
        <v>AC-FINA11</v>
      </c>
      <c r="B88" s="1">
        <f>TableOUMPFINA1[[#This Row],[Ver]]</f>
        <v>0</v>
      </c>
      <c r="C88" t="str">
        <f>IF(TableOUMPFINA1[[#This Row],[Ver]]&gt;0,_xlfn.TEXTBEFORE(TableOUMPFINA1[[#This Row],[Structure Line]]," "),"")</f>
        <v/>
      </c>
      <c r="D88" t="str">
        <f>IF(TableOUMPFINA1[[#This Row],[OUA Code]]&lt;&gt;"",_xlfn.TEXTAFTER(TableOUMPFINA1[[#This Row],[Structure Line]]," "),TableOUMPFINA1[[#This Row],[Structure Line]])</f>
        <v>Choose VISA5018 or VISA5020</v>
      </c>
      <c r="E88" s="57">
        <f>TableOUMPFINA1[[#This Row],[Credit Points]]</f>
        <v>25</v>
      </c>
      <c r="F88" s="110">
        <v>4</v>
      </c>
      <c r="G88" s="110" t="s">
        <v>385</v>
      </c>
      <c r="H88" s="211">
        <v>1</v>
      </c>
      <c r="I88" s="110" t="s">
        <v>386</v>
      </c>
      <c r="J88" s="110" t="s">
        <v>135</v>
      </c>
      <c r="K88" s="110">
        <v>0</v>
      </c>
      <c r="L88" s="110" t="s">
        <v>408</v>
      </c>
      <c r="M88" s="110">
        <v>25</v>
      </c>
      <c r="N88" s="128"/>
      <c r="O88" s="128"/>
      <c r="Q88" t="s">
        <v>135</v>
      </c>
      <c r="R88">
        <v>0</v>
      </c>
    </row>
    <row r="89" spans="1:18" x14ac:dyDescent="0.25">
      <c r="A89" t="str">
        <f>TableOUMPFINA1[[#This Row],[Study Package Code]]</f>
        <v>AC-FINA12</v>
      </c>
      <c r="B89" s="1">
        <f>TableOUMPFINA1[[#This Row],[Ver]]</f>
        <v>0</v>
      </c>
      <c r="C89" t="str">
        <f>IF(TableOUMPFINA1[[#This Row],[Ver]]&gt;0,_xlfn.TEXTBEFORE(TableOUMPFINA1[[#This Row],[Structure Line]]," "),"")</f>
        <v/>
      </c>
      <c r="D89" t="str">
        <f>IF(TableOUMPFINA1[[#This Row],[OUA Code]]&lt;&gt;"",_xlfn.TEXTAFTER(TableOUMPFINA1[[#This Row],[Structure Line]]," "),TableOUMPFINA1[[#This Row],[Structure Line]])</f>
        <v>Choose HUMN6004 or COMS6007</v>
      </c>
      <c r="E89" s="57">
        <f>TableOUMPFINA1[[#This Row],[Credit Points]]</f>
        <v>50</v>
      </c>
      <c r="F89" s="110">
        <v>5</v>
      </c>
      <c r="G89" s="110" t="s">
        <v>385</v>
      </c>
      <c r="H89" s="211">
        <v>2</v>
      </c>
      <c r="I89" s="110" t="s">
        <v>386</v>
      </c>
      <c r="J89" s="110" t="s">
        <v>143</v>
      </c>
      <c r="K89" s="110">
        <v>0</v>
      </c>
      <c r="L89" s="110" t="s">
        <v>391</v>
      </c>
      <c r="M89" s="110">
        <v>50</v>
      </c>
      <c r="N89" s="128"/>
      <c r="O89" s="128"/>
      <c r="Q89" t="s">
        <v>143</v>
      </c>
      <c r="R89">
        <v>0</v>
      </c>
    </row>
    <row r="90" spans="1:18" x14ac:dyDescent="0.25">
      <c r="A90" t="str">
        <f>TableOUMPFINA1[[#This Row],[Study Package Code]]</f>
        <v>Opt-FINA12</v>
      </c>
      <c r="B90" s="1">
        <f>TableOUMPFINA1[[#This Row],[Ver]]</f>
        <v>0</v>
      </c>
      <c r="C90" t="str">
        <f>IF(TableOUMPFINA1[[#This Row],[Ver]]&gt;0,_xlfn.TEXTBEFORE(TableOUMPFINA1[[#This Row],[Structure Line]]," "),"")</f>
        <v/>
      </c>
      <c r="D90" t="str">
        <f>IF(TableOUMPFINA1[[#This Row],[OUA Code]]&lt;&gt;"",_xlfn.TEXTAFTER(TableOUMPFINA1[[#This Row],[Structure Line]]," "),TableOUMPFINA1[[#This Row],[Structure Line]])</f>
        <v>Choose Options in Year 2</v>
      </c>
      <c r="E90" s="57">
        <f>TableOUMPFINA1[[#This Row],[Credit Points]]</f>
        <v>150</v>
      </c>
      <c r="F90" s="110">
        <v>6</v>
      </c>
      <c r="G90" s="110" t="s">
        <v>387</v>
      </c>
      <c r="H90" s="211">
        <v>2</v>
      </c>
      <c r="I90" s="110" t="s">
        <v>386</v>
      </c>
      <c r="J90" s="110" t="s">
        <v>467</v>
      </c>
      <c r="K90" s="110">
        <v>0</v>
      </c>
      <c r="L90" s="110" t="s">
        <v>465</v>
      </c>
      <c r="M90" s="110">
        <v>150</v>
      </c>
      <c r="N90" s="128"/>
      <c r="O90" s="128"/>
      <c r="Q90" t="s">
        <v>150</v>
      </c>
      <c r="R90">
        <v>2</v>
      </c>
    </row>
    <row r="91" spans="1:18" x14ac:dyDescent="0.25">
      <c r="A91" t="str">
        <f>TableOUMPFINA1[[#This Row],[Study Package Code]]</f>
        <v>VISA5015</v>
      </c>
      <c r="B91" s="1">
        <f>TableOUMPFINA1[[#This Row],[Ver]]</f>
        <v>1</v>
      </c>
      <c r="C91" t="str">
        <f>IF(TableOUMPFINA1[[#This Row],[Ver]]&gt;0,_xlfn.TEXTBEFORE(TableOUMPFINA1[[#This Row],[Structure Line]]," "),"")</f>
        <v>VSW500</v>
      </c>
      <c r="D91" t="str">
        <f>IF(TableOUMPFINA1[[#This Row],[OUA Code]]&lt;&gt;"",_xlfn.TEXTAFTER(TableOUMPFINA1[[#This Row],[Structure Line]]," "),TableOUMPFINA1[[#This Row],[Structure Line]])</f>
        <v>Graduate Drawing</v>
      </c>
      <c r="E91" s="57">
        <f>TableOUMPFINA1[[#This Row],[Credit Points]]</f>
        <v>25</v>
      </c>
      <c r="F91" s="110">
        <v>3</v>
      </c>
      <c r="G91" s="110" t="s">
        <v>387</v>
      </c>
      <c r="H91" s="211">
        <v>1</v>
      </c>
      <c r="I91" s="110" t="s">
        <v>386</v>
      </c>
      <c r="J91" s="110" t="s">
        <v>162</v>
      </c>
      <c r="K91" s="110">
        <v>1</v>
      </c>
      <c r="L91" s="110" t="s">
        <v>409</v>
      </c>
      <c r="M91" s="110">
        <v>25</v>
      </c>
      <c r="N91" s="128">
        <v>45658</v>
      </c>
      <c r="O91" s="128"/>
      <c r="Q91" t="s">
        <v>153</v>
      </c>
      <c r="R91">
        <v>1</v>
      </c>
    </row>
    <row r="92" spans="1:18" x14ac:dyDescent="0.25">
      <c r="A92" t="str">
        <f>TableOUMPFINA1[[#This Row],[Study Package Code]]</f>
        <v>VISA5016</v>
      </c>
      <c r="B92" s="1">
        <f>TableOUMPFINA1[[#This Row],[Ver]]</f>
        <v>1</v>
      </c>
      <c r="C92" t="str">
        <f>IF(TableOUMPFINA1[[#This Row],[Ver]]&gt;0,_xlfn.TEXTBEFORE(TableOUMPFINA1[[#This Row],[Structure Line]]," "),"")</f>
        <v>VSW505</v>
      </c>
      <c r="D92" t="str">
        <f>IF(TableOUMPFINA1[[#This Row],[OUA Code]]&lt;&gt;"",_xlfn.TEXTAFTER(TableOUMPFINA1[[#This Row],[Structure Line]]," "),TableOUMPFINA1[[#This Row],[Structure Line]])</f>
        <v>Graduate Fine Art Project</v>
      </c>
      <c r="E92" s="57">
        <f>TableOUMPFINA1[[#This Row],[Credit Points]]</f>
        <v>25</v>
      </c>
      <c r="F92" s="110">
        <v>3</v>
      </c>
      <c r="G92" s="110" t="s">
        <v>387</v>
      </c>
      <c r="H92" s="211">
        <v>1</v>
      </c>
      <c r="I92" s="110" t="s">
        <v>386</v>
      </c>
      <c r="J92" s="110" t="s">
        <v>165</v>
      </c>
      <c r="K92" s="110">
        <v>1</v>
      </c>
      <c r="L92" s="110" t="s">
        <v>410</v>
      </c>
      <c r="M92" s="110">
        <v>25</v>
      </c>
      <c r="N92" s="128">
        <v>45658</v>
      </c>
      <c r="O92" s="128"/>
      <c r="Q92" t="s">
        <v>162</v>
      </c>
      <c r="R92">
        <v>1</v>
      </c>
    </row>
    <row r="93" spans="1:18" x14ac:dyDescent="0.25">
      <c r="A93" t="str">
        <f>TableOUMPFINA1[[#This Row],[Study Package Code]]</f>
        <v>VISA5017</v>
      </c>
      <c r="B93" s="1">
        <f>TableOUMPFINA1[[#This Row],[Ver]]</f>
        <v>1</v>
      </c>
      <c r="C93" t="str">
        <f>IF(TableOUMPFINA1[[#This Row],[Ver]]&gt;0,_xlfn.TEXTBEFORE(TableOUMPFINA1[[#This Row],[Structure Line]]," "),"")</f>
        <v>VSW510</v>
      </c>
      <c r="D93" t="str">
        <f>IF(TableOUMPFINA1[[#This Row],[OUA Code]]&lt;&gt;"",_xlfn.TEXTAFTER(TableOUMPFINA1[[#This Row],[Structure Line]]," "),TableOUMPFINA1[[#This Row],[Structure Line]])</f>
        <v>Graduate Fine Art Studio Extension</v>
      </c>
      <c r="E93" s="57">
        <f>TableOUMPFINA1[[#This Row],[Credit Points]]</f>
        <v>25</v>
      </c>
      <c r="F93" s="110">
        <v>3</v>
      </c>
      <c r="G93" s="110" t="s">
        <v>387</v>
      </c>
      <c r="H93" s="211">
        <v>1</v>
      </c>
      <c r="I93" s="110" t="s">
        <v>386</v>
      </c>
      <c r="J93" s="110" t="s">
        <v>166</v>
      </c>
      <c r="K93" s="110">
        <v>1</v>
      </c>
      <c r="L93" s="110" t="s">
        <v>411</v>
      </c>
      <c r="M93" s="110">
        <v>25</v>
      </c>
      <c r="N93" s="128">
        <v>45658</v>
      </c>
      <c r="O93" s="128"/>
      <c r="Q93" t="s">
        <v>165</v>
      </c>
      <c r="R93">
        <v>1</v>
      </c>
    </row>
    <row r="94" spans="1:18" x14ac:dyDescent="0.25">
      <c r="A94" t="str">
        <f>TableOUMPFINA1[[#This Row],[Study Package Code]]</f>
        <v>VISA5018</v>
      </c>
      <c r="B94" s="1">
        <f>TableOUMPFINA1[[#This Row],[Ver]]</f>
        <v>1</v>
      </c>
      <c r="C94" t="str">
        <f>IF(TableOUMPFINA1[[#This Row],[Ver]]&gt;0,_xlfn.TEXTBEFORE(TableOUMPFINA1[[#This Row],[Structure Line]]," "),"")</f>
        <v>VSW515</v>
      </c>
      <c r="D94" t="str">
        <f>IF(TableOUMPFINA1[[#This Row],[OUA Code]]&lt;&gt;"",_xlfn.TEXTAFTER(TableOUMPFINA1[[#This Row],[Structure Line]]," "),TableOUMPFINA1[[#This Row],[Structure Line]])</f>
        <v>Graduate Fine Art Studio Materials</v>
      </c>
      <c r="E94" s="57">
        <f>TableOUMPFINA1[[#This Row],[Credit Points]]</f>
        <v>25</v>
      </c>
      <c r="F94" s="110">
        <v>3</v>
      </c>
      <c r="G94" s="110" t="s">
        <v>387</v>
      </c>
      <c r="H94" s="211">
        <v>1</v>
      </c>
      <c r="I94" s="110" t="s">
        <v>386</v>
      </c>
      <c r="J94" s="110" t="s">
        <v>138</v>
      </c>
      <c r="K94" s="110">
        <v>1</v>
      </c>
      <c r="L94" s="110" t="s">
        <v>412</v>
      </c>
      <c r="M94" s="110">
        <v>25</v>
      </c>
      <c r="N94" s="128">
        <v>45658</v>
      </c>
      <c r="O94" s="128"/>
      <c r="Q94" t="s">
        <v>166</v>
      </c>
      <c r="R94">
        <v>1</v>
      </c>
    </row>
    <row r="95" spans="1:18" x14ac:dyDescent="0.25">
      <c r="A95" t="str">
        <f>TableOUMPFINA1[[#This Row],[Study Package Code]]</f>
        <v>VISA5019</v>
      </c>
      <c r="B95" s="1">
        <f>TableOUMPFINA1[[#This Row],[Ver]]</f>
        <v>1</v>
      </c>
      <c r="C95" t="str">
        <f>IF(TableOUMPFINA1[[#This Row],[Ver]]&gt;0,_xlfn.TEXTBEFORE(TableOUMPFINA1[[#This Row],[Structure Line]]," "),"")</f>
        <v>VSW520</v>
      </c>
      <c r="D95" t="str">
        <f>IF(TableOUMPFINA1[[#This Row],[OUA Code]]&lt;&gt;"",_xlfn.TEXTAFTER(TableOUMPFINA1[[#This Row],[Structure Line]]," "),TableOUMPFINA1[[#This Row],[Structure Line]])</f>
        <v>Graduate Fine Art Studio Strategies</v>
      </c>
      <c r="E95" s="57">
        <f>TableOUMPFINA1[[#This Row],[Credit Points]]</f>
        <v>25</v>
      </c>
      <c r="F95" s="110">
        <v>3</v>
      </c>
      <c r="G95" s="110" t="s">
        <v>387</v>
      </c>
      <c r="H95" s="211">
        <v>1</v>
      </c>
      <c r="I95" s="110" t="s">
        <v>386</v>
      </c>
      <c r="J95" s="110" t="s">
        <v>171</v>
      </c>
      <c r="K95" s="110">
        <v>1</v>
      </c>
      <c r="L95" s="110" t="s">
        <v>413</v>
      </c>
      <c r="M95" s="110">
        <v>25</v>
      </c>
      <c r="N95" s="128">
        <v>45658</v>
      </c>
      <c r="O95" s="128"/>
      <c r="Q95" t="s">
        <v>138</v>
      </c>
      <c r="R95">
        <v>1</v>
      </c>
    </row>
    <row r="96" spans="1:18" x14ac:dyDescent="0.25">
      <c r="A96" t="str">
        <f>TableOUMPFINA1[[#This Row],[Study Package Code]]</f>
        <v>VISA5020</v>
      </c>
      <c r="B96" s="1">
        <f>TableOUMPFINA1[[#This Row],[Ver]]</f>
        <v>1</v>
      </c>
      <c r="C96" t="str">
        <f>IF(TableOUMPFINA1[[#This Row],[Ver]]&gt;0,_xlfn.TEXTBEFORE(TableOUMPFINA1[[#This Row],[Structure Line]]," "),"")</f>
        <v>VSW525</v>
      </c>
      <c r="D96" t="str">
        <f>IF(TableOUMPFINA1[[#This Row],[OUA Code]]&lt;&gt;"",_xlfn.TEXTAFTER(TableOUMPFINA1[[#This Row],[Structure Line]]," "),TableOUMPFINA1[[#This Row],[Structure Line]])</f>
        <v>Graduate Fine Art Studio Methods</v>
      </c>
      <c r="E96" s="57">
        <f>TableOUMPFINA1[[#This Row],[Credit Points]]</f>
        <v>25</v>
      </c>
      <c r="F96" s="110">
        <v>3</v>
      </c>
      <c r="G96" s="110" t="s">
        <v>387</v>
      </c>
      <c r="H96" s="211">
        <v>1</v>
      </c>
      <c r="I96" s="110" t="s">
        <v>386</v>
      </c>
      <c r="J96" s="110" t="s">
        <v>140</v>
      </c>
      <c r="K96" s="110">
        <v>1</v>
      </c>
      <c r="L96" s="110" t="s">
        <v>414</v>
      </c>
      <c r="M96" s="110">
        <v>25</v>
      </c>
      <c r="N96" s="128">
        <v>45658</v>
      </c>
      <c r="O96" s="128"/>
      <c r="Q96" t="s">
        <v>171</v>
      </c>
      <c r="R96">
        <v>1</v>
      </c>
    </row>
    <row r="97" spans="1:18" x14ac:dyDescent="0.25">
      <c r="A97" t="str">
        <f>TableOUMPFINA1[[#This Row],[Study Package Code]]</f>
        <v>VISA6013</v>
      </c>
      <c r="B97" s="1">
        <f>TableOUMPFINA1[[#This Row],[Ver]]</f>
        <v>1</v>
      </c>
      <c r="C97" t="str">
        <f>IF(TableOUMPFINA1[[#This Row],[Ver]]&gt;0,_xlfn.TEXTBEFORE(TableOUMPFINA1[[#This Row],[Structure Line]]," "),"")</f>
        <v>VSW600</v>
      </c>
      <c r="D97" t="str">
        <f>IF(TableOUMPFINA1[[#This Row],[OUA Code]]&lt;&gt;"",_xlfn.TEXTAFTER(TableOUMPFINA1[[#This Row],[Structure Line]]," "),TableOUMPFINA1[[#This Row],[Structure Line]])</f>
        <v>Graduate Fine Art Concepts and Contexts</v>
      </c>
      <c r="E97" s="57">
        <f>TableOUMPFINA1[[#This Row],[Credit Points]]</f>
        <v>25</v>
      </c>
      <c r="F97" s="110">
        <v>3</v>
      </c>
      <c r="G97" s="110" t="s">
        <v>387</v>
      </c>
      <c r="H97" s="211">
        <v>1</v>
      </c>
      <c r="I97" s="110" t="s">
        <v>386</v>
      </c>
      <c r="J97" s="110" t="s">
        <v>175</v>
      </c>
      <c r="K97" s="110">
        <v>1</v>
      </c>
      <c r="L97" s="110" t="s">
        <v>415</v>
      </c>
      <c r="M97" s="110">
        <v>25</v>
      </c>
      <c r="N97" s="128">
        <v>45658</v>
      </c>
      <c r="O97" s="128"/>
      <c r="Q97" t="s">
        <v>140</v>
      </c>
      <c r="R97">
        <v>1</v>
      </c>
    </row>
    <row r="98" spans="1:18" x14ac:dyDescent="0.25">
      <c r="A98" t="str">
        <f>TableOUMPFINA1[[#This Row],[Study Package Code]]</f>
        <v>VISA5018</v>
      </c>
      <c r="B98" s="1">
        <f>TableOUMPFINA1[[#This Row],[Ver]]</f>
        <v>1</v>
      </c>
      <c r="C98" t="str">
        <f>IF(TableOUMPFINA1[[#This Row],[Ver]]&gt;0,_xlfn.TEXTBEFORE(TableOUMPFINA1[[#This Row],[Structure Line]]," "),"")</f>
        <v>VSW515</v>
      </c>
      <c r="D98" t="str">
        <f>IF(TableOUMPFINA1[[#This Row],[OUA Code]]&lt;&gt;"",_xlfn.TEXTAFTER(TableOUMPFINA1[[#This Row],[Structure Line]]," "),TableOUMPFINA1[[#This Row],[Structure Line]])</f>
        <v>Graduate Fine Art Studio Materials</v>
      </c>
      <c r="E98" s="57">
        <f>TableOUMPFINA1[[#This Row],[Credit Points]]</f>
        <v>25</v>
      </c>
      <c r="F98" s="110">
        <v>4</v>
      </c>
      <c r="G98" s="110" t="s">
        <v>385</v>
      </c>
      <c r="H98" s="211">
        <v>1</v>
      </c>
      <c r="I98" s="110" t="s">
        <v>386</v>
      </c>
      <c r="J98" s="110" t="s">
        <v>138</v>
      </c>
      <c r="K98" s="110">
        <v>1</v>
      </c>
      <c r="L98" s="110" t="s">
        <v>412</v>
      </c>
      <c r="M98" s="110">
        <v>25</v>
      </c>
      <c r="N98" s="128">
        <v>45658</v>
      </c>
      <c r="O98" s="128"/>
      <c r="Q98" t="s">
        <v>175</v>
      </c>
      <c r="R98">
        <v>1</v>
      </c>
    </row>
    <row r="99" spans="1:18" x14ac:dyDescent="0.25">
      <c r="A99" t="str">
        <f>TableOUMPFINA1[[#This Row],[Study Package Code]]</f>
        <v>VISA5020</v>
      </c>
      <c r="B99" s="1">
        <f>TableOUMPFINA1[[#This Row],[Ver]]</f>
        <v>1</v>
      </c>
      <c r="C99" t="str">
        <f>IF(TableOUMPFINA1[[#This Row],[Ver]]&gt;0,_xlfn.TEXTBEFORE(TableOUMPFINA1[[#This Row],[Structure Line]]," "),"")</f>
        <v>VSW525</v>
      </c>
      <c r="D99" t="str">
        <f>IF(TableOUMPFINA1[[#This Row],[OUA Code]]&lt;&gt;"",_xlfn.TEXTAFTER(TableOUMPFINA1[[#This Row],[Structure Line]]," "),TableOUMPFINA1[[#This Row],[Structure Line]])</f>
        <v>Graduate Fine Art Studio Methods</v>
      </c>
      <c r="E99" s="57">
        <f>TableOUMPFINA1[[#This Row],[Credit Points]]</f>
        <v>25</v>
      </c>
      <c r="F99" s="110">
        <v>4</v>
      </c>
      <c r="G99" s="110" t="s">
        <v>385</v>
      </c>
      <c r="H99" s="211">
        <v>1</v>
      </c>
      <c r="I99" s="110" t="s">
        <v>386</v>
      </c>
      <c r="J99" s="110" t="s">
        <v>140</v>
      </c>
      <c r="K99" s="110">
        <v>1</v>
      </c>
      <c r="L99" s="110" t="s">
        <v>414</v>
      </c>
      <c r="M99" s="110">
        <v>25</v>
      </c>
      <c r="N99" s="128">
        <v>45658</v>
      </c>
      <c r="O99" s="128"/>
      <c r="Q99" t="s">
        <v>177</v>
      </c>
      <c r="R99">
        <v>1</v>
      </c>
    </row>
    <row r="100" spans="1:18" x14ac:dyDescent="0.25">
      <c r="A100" t="str">
        <f>TableOUMPFINA1[[#This Row],[Study Package Code]]</f>
        <v>COMS6007</v>
      </c>
      <c r="B100" s="1">
        <f>TableOUMPFINA1[[#This Row],[Ver]]</f>
        <v>1</v>
      </c>
      <c r="C100" t="str">
        <f>IF(TableOUMPFINA1[[#This Row],[Ver]]&gt;0,_xlfn.TEXTBEFORE(TableOUMPFINA1[[#This Row],[Structure Line]]," "),"")</f>
        <v>COM610</v>
      </c>
      <c r="D100" t="str">
        <f>IF(TableOUMPFINA1[[#This Row],[OUA Code]]&lt;&gt;"",_xlfn.TEXTAFTER(TableOUMPFINA1[[#This Row],[Structure Line]]," "),TableOUMPFINA1[[#This Row],[Structure Line]])</f>
        <v>Masters Professional or Creative Project</v>
      </c>
      <c r="E100" s="57">
        <f>TableOUMPFINA1[[#This Row],[Credit Points]]</f>
        <v>50</v>
      </c>
      <c r="F100" s="110">
        <v>5</v>
      </c>
      <c r="G100" s="110" t="s">
        <v>385</v>
      </c>
      <c r="H100" s="211">
        <v>2</v>
      </c>
      <c r="I100" s="110" t="s">
        <v>386</v>
      </c>
      <c r="J100" s="110" t="s">
        <v>123</v>
      </c>
      <c r="K100" s="110">
        <v>1</v>
      </c>
      <c r="L100" s="110" t="s">
        <v>395</v>
      </c>
      <c r="M100" s="110">
        <v>50</v>
      </c>
      <c r="N100" s="128">
        <v>45292</v>
      </c>
      <c r="O100" s="128"/>
      <c r="Q100" t="s">
        <v>179</v>
      </c>
      <c r="R100">
        <v>1</v>
      </c>
    </row>
    <row r="101" spans="1:18" x14ac:dyDescent="0.25">
      <c r="A101" t="str">
        <f>TableOUMPFINA1[[#This Row],[Study Package Code]]</f>
        <v>HUMN6004</v>
      </c>
      <c r="B101" s="1">
        <f>TableOUMPFINA1[[#This Row],[Ver]]</f>
        <v>1</v>
      </c>
      <c r="C101" t="str">
        <f>IF(TableOUMPFINA1[[#This Row],[Ver]]&gt;0,_xlfn.TEXTBEFORE(TableOUMPFINA1[[#This Row],[Structure Line]]," "),"")</f>
        <v>HUMN610</v>
      </c>
      <c r="D101" t="str">
        <f>IF(TableOUMPFINA1[[#This Row],[OUA Code]]&lt;&gt;"",_xlfn.TEXTAFTER(TableOUMPFINA1[[#This Row],[Structure Line]]," "),TableOUMPFINA1[[#This Row],[Structure Line]])</f>
        <v>Masters Research Project 2</v>
      </c>
      <c r="E101" s="57">
        <f>TableOUMPFINA1[[#This Row],[Credit Points]]</f>
        <v>50</v>
      </c>
      <c r="F101" s="110">
        <v>5</v>
      </c>
      <c r="G101" s="110" t="s">
        <v>385</v>
      </c>
      <c r="H101" s="211">
        <v>2</v>
      </c>
      <c r="I101" s="110" t="s">
        <v>386</v>
      </c>
      <c r="J101" s="110" t="s">
        <v>125</v>
      </c>
      <c r="K101" s="110">
        <v>1</v>
      </c>
      <c r="L101" s="110" t="s">
        <v>396</v>
      </c>
      <c r="M101" s="110">
        <v>50</v>
      </c>
      <c r="N101" s="128">
        <v>45292</v>
      </c>
      <c r="O101" s="128"/>
      <c r="Q101" t="s">
        <v>138</v>
      </c>
      <c r="R101">
        <v>1</v>
      </c>
    </row>
    <row r="102" spans="1:18" x14ac:dyDescent="0.25">
      <c r="A102" t="str">
        <f>TableOUMPFINA1[[#This Row],[Study Package Code]]</f>
        <v>COMS6006</v>
      </c>
      <c r="B102" s="1">
        <f>TableOUMPFINA1[[#This Row],[Ver]]</f>
        <v>2</v>
      </c>
      <c r="C102" t="str">
        <f>IF(TableOUMPFINA1[[#This Row],[Ver]]&gt;0,_xlfn.TEXTBEFORE(TableOUMPFINA1[[#This Row],[Structure Line]]," "),"")</f>
        <v>COM600</v>
      </c>
      <c r="D102" t="str">
        <f>IF(TableOUMPFINA1[[#This Row],[OUA Code]]&lt;&gt;"",_xlfn.TEXTAFTER(TableOUMPFINA1[[#This Row],[Structure Line]]," "),TableOUMPFINA1[[#This Row],[Structure Line]])</f>
        <v>Masters Professional Experience</v>
      </c>
      <c r="E102" s="57">
        <f>TableOUMPFINA1[[#This Row],[Credit Points]]</f>
        <v>50</v>
      </c>
      <c r="F102" s="110">
        <v>6</v>
      </c>
      <c r="G102" s="110" t="s">
        <v>387</v>
      </c>
      <c r="H102" s="211">
        <v>2</v>
      </c>
      <c r="I102" s="110" t="s">
        <v>386</v>
      </c>
      <c r="J102" s="110" t="s">
        <v>150</v>
      </c>
      <c r="K102" s="110">
        <v>2</v>
      </c>
      <c r="L102" s="110" t="s">
        <v>392</v>
      </c>
      <c r="M102" s="110">
        <v>50</v>
      </c>
      <c r="N102" s="128">
        <v>45292</v>
      </c>
      <c r="O102" s="128"/>
      <c r="Q102" t="s">
        <v>140</v>
      </c>
      <c r="R102">
        <v>1</v>
      </c>
    </row>
    <row r="103" spans="1:18" x14ac:dyDescent="0.25">
      <c r="A103" t="str">
        <f>TableOUMPFINA1[[#This Row],[Study Package Code]]</f>
        <v>HUMN6002</v>
      </c>
      <c r="B103" s="1">
        <f>TableOUMPFINA1[[#This Row],[Ver]]</f>
        <v>1</v>
      </c>
      <c r="C103" t="str">
        <f>IF(TableOUMPFINA1[[#This Row],[Ver]]&gt;0,_xlfn.TEXTBEFORE(TableOUMPFINA1[[#This Row],[Structure Line]]," "),"")</f>
        <v>HUMN600</v>
      </c>
      <c r="D103" t="str">
        <f>IF(TableOUMPFINA1[[#This Row],[OUA Code]]&lt;&gt;"",_xlfn.TEXTAFTER(TableOUMPFINA1[[#This Row],[Structure Line]]," "),TableOUMPFINA1[[#This Row],[Structure Line]])</f>
        <v>Masters Research Project 1</v>
      </c>
      <c r="E103" s="57">
        <f>TableOUMPFINA1[[#This Row],[Credit Points]]</f>
        <v>50</v>
      </c>
      <c r="F103" s="110">
        <v>6</v>
      </c>
      <c r="G103" s="110" t="s">
        <v>387</v>
      </c>
      <c r="H103" s="211">
        <v>2</v>
      </c>
      <c r="I103" s="110" t="s">
        <v>386</v>
      </c>
      <c r="J103" s="110" t="s">
        <v>153</v>
      </c>
      <c r="K103" s="110">
        <v>1</v>
      </c>
      <c r="L103" s="110" t="s">
        <v>394</v>
      </c>
      <c r="M103" s="110">
        <v>50</v>
      </c>
      <c r="N103" s="128">
        <v>45292</v>
      </c>
      <c r="O103" s="128"/>
      <c r="Q103" t="s">
        <v>123</v>
      </c>
      <c r="R103">
        <v>1</v>
      </c>
    </row>
    <row r="104" spans="1:18" x14ac:dyDescent="0.25">
      <c r="A104" t="str">
        <f>TableOUMPFINA1[[#This Row],[Study Package Code]]</f>
        <v>NETS5013</v>
      </c>
      <c r="B104" s="1">
        <f>TableOUMPFINA1[[#This Row],[Ver]]</f>
        <v>2</v>
      </c>
      <c r="C104" t="str">
        <f>IF(TableOUMPFINA1[[#This Row],[Ver]]&gt;0,_xlfn.TEXTBEFORE(TableOUMPFINA1[[#This Row],[Structure Line]]," "),"")</f>
        <v>MIC502</v>
      </c>
      <c r="D104" t="str">
        <f>IF(TableOUMPFINA1[[#This Row],[OUA Code]]&lt;&gt;"",_xlfn.TEXTAFTER(TableOUMPFINA1[[#This Row],[Structure Line]]," "),TableOUMPFINA1[[#This Row],[Structure Line]])</f>
        <v>Graduate Digital Culture and Everyday Life</v>
      </c>
      <c r="E104" s="57">
        <f>TableOUMPFINA1[[#This Row],[Credit Points]]</f>
        <v>25</v>
      </c>
      <c r="F104" s="110">
        <v>6</v>
      </c>
      <c r="G104" s="110" t="s">
        <v>387</v>
      </c>
      <c r="H104" s="211">
        <v>2</v>
      </c>
      <c r="I104" s="110" t="s">
        <v>386</v>
      </c>
      <c r="J104" s="110" t="s">
        <v>139</v>
      </c>
      <c r="K104" s="110">
        <v>2</v>
      </c>
      <c r="L104" s="110" t="s">
        <v>400</v>
      </c>
      <c r="M104" s="110">
        <v>25</v>
      </c>
      <c r="N104" s="128">
        <v>45658</v>
      </c>
      <c r="O104" s="128"/>
      <c r="Q104" t="s">
        <v>125</v>
      </c>
      <c r="R104">
        <v>1</v>
      </c>
    </row>
    <row r="105" spans="1:18" x14ac:dyDescent="0.25">
      <c r="A105" t="str">
        <f>TableOUMPFINA1[[#This Row],[Study Package Code]]</f>
        <v>NETS5015</v>
      </c>
      <c r="B105" s="1">
        <f>TableOUMPFINA1[[#This Row],[Ver]]</f>
        <v>2</v>
      </c>
      <c r="C105" t="str">
        <f>IF(TableOUMPFINA1[[#This Row],[Ver]]&gt;0,_xlfn.TEXTBEFORE(TableOUMPFINA1[[#This Row],[Structure Line]]," "),"")</f>
        <v>MIC504</v>
      </c>
      <c r="D105" t="str">
        <f>IF(TableOUMPFINA1[[#This Row],[OUA Code]]&lt;&gt;"",_xlfn.TEXTAFTER(TableOUMPFINA1[[#This Row],[Structure Line]]," "),TableOUMPFINA1[[#This Row],[Structure Line]])</f>
        <v>Graduate Social Media, Communities and Networks</v>
      </c>
      <c r="E105" s="57">
        <f>TableOUMPFINA1[[#This Row],[Credit Points]]</f>
        <v>25</v>
      </c>
      <c r="F105" s="110">
        <v>6</v>
      </c>
      <c r="G105" s="110" t="s">
        <v>387</v>
      </c>
      <c r="H105" s="211">
        <v>2</v>
      </c>
      <c r="I105" s="110" t="s">
        <v>386</v>
      </c>
      <c r="J105" s="110" t="s">
        <v>170</v>
      </c>
      <c r="K105" s="110">
        <v>2</v>
      </c>
      <c r="L105" s="110" t="s">
        <v>402</v>
      </c>
      <c r="M105" s="110">
        <v>25</v>
      </c>
      <c r="N105" s="128">
        <v>45658</v>
      </c>
      <c r="O105" s="128"/>
    </row>
    <row r="106" spans="1:18" x14ac:dyDescent="0.25">
      <c r="A106" t="str">
        <f>TableOUMPFINA1[[#This Row],[Study Package Code]]</f>
        <v>NETS5016</v>
      </c>
      <c r="B106" s="1">
        <f>TableOUMPFINA1[[#This Row],[Ver]]</f>
        <v>2</v>
      </c>
      <c r="C106" t="str">
        <f>IF(TableOUMPFINA1[[#This Row],[Ver]]&gt;0,_xlfn.TEXTBEFORE(TableOUMPFINA1[[#This Row],[Structure Line]]," "),"")</f>
        <v>MIC505</v>
      </c>
      <c r="D106" t="str">
        <f>IF(TableOUMPFINA1[[#This Row],[OUA Code]]&lt;&gt;"",_xlfn.TEXTAFTER(TableOUMPFINA1[[#This Row],[Structure Line]]," "),TableOUMPFINA1[[#This Row],[Structure Line]])</f>
        <v>Graduate Writing on the Web</v>
      </c>
      <c r="E106" s="57">
        <f>TableOUMPFINA1[[#This Row],[Credit Points]]</f>
        <v>25</v>
      </c>
      <c r="F106" s="110">
        <v>6</v>
      </c>
      <c r="G106" s="110" t="s">
        <v>387</v>
      </c>
      <c r="H106" s="211">
        <v>2</v>
      </c>
      <c r="I106" s="110" t="s">
        <v>386</v>
      </c>
      <c r="J106" s="110" t="s">
        <v>167</v>
      </c>
      <c r="K106" s="110">
        <v>2</v>
      </c>
      <c r="L106" s="110" t="s">
        <v>403</v>
      </c>
      <c r="M106" s="110">
        <v>25</v>
      </c>
      <c r="N106" s="128">
        <v>45658</v>
      </c>
      <c r="O106" s="128"/>
    </row>
    <row r="107" spans="1:18" x14ac:dyDescent="0.25">
      <c r="A107" t="str">
        <f>TableOUMPFINA1[[#This Row],[Study Package Code]]</f>
        <v>NETS5020</v>
      </c>
      <c r="B107" s="1">
        <f>TableOUMPFINA1[[#This Row],[Ver]]</f>
        <v>2</v>
      </c>
      <c r="C107" t="str">
        <f>IF(TableOUMPFINA1[[#This Row],[Ver]]&gt;0,_xlfn.TEXTBEFORE(TableOUMPFINA1[[#This Row],[Structure Line]]," "),"")</f>
        <v>MIC509</v>
      </c>
      <c r="D107" t="str">
        <f>IF(TableOUMPFINA1[[#This Row],[OUA Code]]&lt;&gt;"",_xlfn.TEXTAFTER(TableOUMPFINA1[[#This Row],[Structure Line]]," "),TableOUMPFINA1[[#This Row],[Structure Line]])</f>
        <v>Graduate Web Media</v>
      </c>
      <c r="E107" s="57">
        <f>TableOUMPFINA1[[#This Row],[Credit Points]]</f>
        <v>25</v>
      </c>
      <c r="F107" s="110">
        <v>6</v>
      </c>
      <c r="G107" s="110" t="s">
        <v>387</v>
      </c>
      <c r="H107" s="211">
        <v>2</v>
      </c>
      <c r="I107" s="110" t="s">
        <v>386</v>
      </c>
      <c r="J107" s="110" t="s">
        <v>180</v>
      </c>
      <c r="K107" s="110">
        <v>2</v>
      </c>
      <c r="L107" s="110" t="s">
        <v>406</v>
      </c>
      <c r="M107" s="110">
        <v>25</v>
      </c>
      <c r="N107" s="128">
        <v>45658</v>
      </c>
      <c r="O107" s="128"/>
    </row>
    <row r="108" spans="1:18" x14ac:dyDescent="0.25">
      <c r="A108" t="str">
        <f>TableOUMPFINA1[[#This Row],[Study Package Code]]</f>
        <v>VISA5015</v>
      </c>
      <c r="B108" s="1">
        <f>TableOUMPFINA1[[#This Row],[Ver]]</f>
        <v>1</v>
      </c>
      <c r="C108" t="str">
        <f>IF(TableOUMPFINA1[[#This Row],[Ver]]&gt;0,_xlfn.TEXTBEFORE(TableOUMPFINA1[[#This Row],[Structure Line]]," "),"")</f>
        <v>VSW500</v>
      </c>
      <c r="D108" t="str">
        <f>IF(TableOUMPFINA1[[#This Row],[OUA Code]]&lt;&gt;"",_xlfn.TEXTAFTER(TableOUMPFINA1[[#This Row],[Structure Line]]," "),TableOUMPFINA1[[#This Row],[Structure Line]])</f>
        <v>Graduate Drawing</v>
      </c>
      <c r="E108" s="57">
        <f>TableOUMPFINA1[[#This Row],[Credit Points]]</f>
        <v>25</v>
      </c>
      <c r="F108" s="110">
        <v>6</v>
      </c>
      <c r="G108" s="110" t="s">
        <v>387</v>
      </c>
      <c r="H108" s="211">
        <v>2</v>
      </c>
      <c r="I108" s="110" t="s">
        <v>386</v>
      </c>
      <c r="J108" s="110" t="s">
        <v>162</v>
      </c>
      <c r="K108" s="110">
        <v>1</v>
      </c>
      <c r="L108" s="110" t="s">
        <v>409</v>
      </c>
      <c r="M108" s="110">
        <v>25</v>
      </c>
      <c r="N108" s="128">
        <v>45658</v>
      </c>
      <c r="O108" s="128"/>
    </row>
    <row r="109" spans="1:18" x14ac:dyDescent="0.25">
      <c r="A109" t="str">
        <f>TableOUMPFINA1[[#This Row],[Study Package Code]]</f>
        <v>VISA5016</v>
      </c>
      <c r="B109" s="1">
        <f>TableOUMPFINA1[[#This Row],[Ver]]</f>
        <v>1</v>
      </c>
      <c r="C109" t="str">
        <f>IF(TableOUMPFINA1[[#This Row],[Ver]]&gt;0,_xlfn.TEXTBEFORE(TableOUMPFINA1[[#This Row],[Structure Line]]," "),"")</f>
        <v>VSW505</v>
      </c>
      <c r="D109" t="str">
        <f>IF(TableOUMPFINA1[[#This Row],[OUA Code]]&lt;&gt;"",_xlfn.TEXTAFTER(TableOUMPFINA1[[#This Row],[Structure Line]]," "),TableOUMPFINA1[[#This Row],[Structure Line]])</f>
        <v>Graduate Fine Art Project</v>
      </c>
      <c r="E109" s="57">
        <f>TableOUMPFINA1[[#This Row],[Credit Points]]</f>
        <v>25</v>
      </c>
      <c r="F109" s="110">
        <v>6</v>
      </c>
      <c r="G109" s="110" t="s">
        <v>387</v>
      </c>
      <c r="H109" s="211">
        <v>2</v>
      </c>
      <c r="I109" s="110" t="s">
        <v>386</v>
      </c>
      <c r="J109" s="110" t="s">
        <v>165</v>
      </c>
      <c r="K109" s="110">
        <v>1</v>
      </c>
      <c r="L109" s="110" t="s">
        <v>410</v>
      </c>
      <c r="M109" s="110">
        <v>25</v>
      </c>
      <c r="N109" s="128">
        <v>45658</v>
      </c>
      <c r="O109" s="128"/>
    </row>
    <row r="110" spans="1:18" x14ac:dyDescent="0.25">
      <c r="A110" t="str">
        <f>TableOUMPFINA1[[#This Row],[Study Package Code]]</f>
        <v>VISA5017</v>
      </c>
      <c r="B110" s="1">
        <f>TableOUMPFINA1[[#This Row],[Ver]]</f>
        <v>1</v>
      </c>
      <c r="C110" t="str">
        <f>IF(TableOUMPFINA1[[#This Row],[Ver]]&gt;0,_xlfn.TEXTBEFORE(TableOUMPFINA1[[#This Row],[Structure Line]]," "),"")</f>
        <v>VSW510</v>
      </c>
      <c r="D110" t="str">
        <f>IF(TableOUMPFINA1[[#This Row],[OUA Code]]&lt;&gt;"",_xlfn.TEXTAFTER(TableOUMPFINA1[[#This Row],[Structure Line]]," "),TableOUMPFINA1[[#This Row],[Structure Line]])</f>
        <v>Graduate Fine Art Studio Extension</v>
      </c>
      <c r="E110" s="57">
        <f>TableOUMPFINA1[[#This Row],[Credit Points]]</f>
        <v>25</v>
      </c>
      <c r="F110" s="110">
        <v>6</v>
      </c>
      <c r="G110" s="110" t="s">
        <v>387</v>
      </c>
      <c r="H110" s="211">
        <v>2</v>
      </c>
      <c r="I110" s="110" t="s">
        <v>386</v>
      </c>
      <c r="J110" s="110" t="s">
        <v>166</v>
      </c>
      <c r="K110" s="110">
        <v>1</v>
      </c>
      <c r="L110" s="110" t="s">
        <v>411</v>
      </c>
      <c r="M110" s="110">
        <v>25</v>
      </c>
      <c r="N110" s="128">
        <v>45658</v>
      </c>
      <c r="O110" s="128"/>
    </row>
    <row r="111" spans="1:18" x14ac:dyDescent="0.25">
      <c r="A111" t="str">
        <f>TableOUMPFINA1[[#This Row],[Study Package Code]]</f>
        <v>VISA5018</v>
      </c>
      <c r="B111" s="1">
        <f>TableOUMPFINA1[[#This Row],[Ver]]</f>
        <v>1</v>
      </c>
      <c r="C111" t="str">
        <f>IF(TableOUMPFINA1[[#This Row],[Ver]]&gt;0,_xlfn.TEXTBEFORE(TableOUMPFINA1[[#This Row],[Structure Line]]," "),"")</f>
        <v>VSW515</v>
      </c>
      <c r="D111" t="str">
        <f>IF(TableOUMPFINA1[[#This Row],[OUA Code]]&lt;&gt;"",_xlfn.TEXTAFTER(TableOUMPFINA1[[#This Row],[Structure Line]]," "),TableOUMPFINA1[[#This Row],[Structure Line]])</f>
        <v>Graduate Fine Art Studio Materials</v>
      </c>
      <c r="E111" s="57">
        <f>TableOUMPFINA1[[#This Row],[Credit Points]]</f>
        <v>25</v>
      </c>
      <c r="F111" s="110">
        <v>6</v>
      </c>
      <c r="G111" s="110" t="s">
        <v>387</v>
      </c>
      <c r="H111" s="211">
        <v>2</v>
      </c>
      <c r="I111" s="110" t="s">
        <v>386</v>
      </c>
      <c r="J111" s="110" t="s">
        <v>138</v>
      </c>
      <c r="K111" s="110">
        <v>1</v>
      </c>
      <c r="L111" s="110" t="s">
        <v>412</v>
      </c>
      <c r="M111" s="110">
        <v>25</v>
      </c>
      <c r="N111" s="128">
        <v>45658</v>
      </c>
      <c r="O111" s="128"/>
    </row>
    <row r="112" spans="1:18" x14ac:dyDescent="0.25">
      <c r="A112" t="str">
        <f>TableOUMPFINA1[[#This Row],[Study Package Code]]</f>
        <v>VISA5019</v>
      </c>
      <c r="B112" s="1">
        <f>TableOUMPFINA1[[#This Row],[Ver]]</f>
        <v>1</v>
      </c>
      <c r="C112" t="str">
        <f>IF(TableOUMPFINA1[[#This Row],[Ver]]&gt;0,_xlfn.TEXTBEFORE(TableOUMPFINA1[[#This Row],[Structure Line]]," "),"")</f>
        <v>VSW520</v>
      </c>
      <c r="D112" t="str">
        <f>IF(TableOUMPFINA1[[#This Row],[OUA Code]]&lt;&gt;"",_xlfn.TEXTAFTER(TableOUMPFINA1[[#This Row],[Structure Line]]," "),TableOUMPFINA1[[#This Row],[Structure Line]])</f>
        <v>Graduate Fine Art Studio Strategies</v>
      </c>
      <c r="E112" s="57">
        <f>TableOUMPFINA1[[#This Row],[Credit Points]]</f>
        <v>25</v>
      </c>
      <c r="F112" s="110">
        <v>6</v>
      </c>
      <c r="G112" s="110" t="s">
        <v>387</v>
      </c>
      <c r="H112" s="211">
        <v>2</v>
      </c>
      <c r="I112" s="110" t="s">
        <v>386</v>
      </c>
      <c r="J112" s="110" t="s">
        <v>171</v>
      </c>
      <c r="K112" s="110">
        <v>1</v>
      </c>
      <c r="L112" s="110" t="s">
        <v>413</v>
      </c>
      <c r="M112" s="110">
        <v>25</v>
      </c>
      <c r="N112" s="128">
        <v>45658</v>
      </c>
      <c r="O112" s="128"/>
    </row>
    <row r="113" spans="1:18" x14ac:dyDescent="0.25">
      <c r="A113" t="str">
        <f>TableOUMPFINA1[[#This Row],[Study Package Code]]</f>
        <v>VISA5020</v>
      </c>
      <c r="B113" s="1">
        <f>TableOUMPFINA1[[#This Row],[Ver]]</f>
        <v>1</v>
      </c>
      <c r="C113" t="str">
        <f>IF(TableOUMPFINA1[[#This Row],[Ver]]&gt;0,_xlfn.TEXTBEFORE(TableOUMPFINA1[[#This Row],[Structure Line]]," "),"")</f>
        <v>VSW525</v>
      </c>
      <c r="D113" t="str">
        <f>IF(TableOUMPFINA1[[#This Row],[OUA Code]]&lt;&gt;"",_xlfn.TEXTAFTER(TableOUMPFINA1[[#This Row],[Structure Line]]," "),TableOUMPFINA1[[#This Row],[Structure Line]])</f>
        <v>Graduate Fine Art Studio Methods</v>
      </c>
      <c r="E113" s="57">
        <f>TableOUMPFINA1[[#This Row],[Credit Points]]</f>
        <v>25</v>
      </c>
      <c r="F113" s="110">
        <v>6</v>
      </c>
      <c r="G113" s="110" t="s">
        <v>387</v>
      </c>
      <c r="H113" s="211">
        <v>2</v>
      </c>
      <c r="I113" s="110" t="s">
        <v>386</v>
      </c>
      <c r="J113" s="110" t="s">
        <v>140</v>
      </c>
      <c r="K113" s="110">
        <v>1</v>
      </c>
      <c r="L113" s="110" t="s">
        <v>414</v>
      </c>
      <c r="M113" s="110">
        <v>25</v>
      </c>
      <c r="N113" s="128">
        <v>45658</v>
      </c>
      <c r="O113" s="128"/>
    </row>
    <row r="114" spans="1:18" x14ac:dyDescent="0.25">
      <c r="A114" t="str">
        <f>TableOUMPFINA1[[#This Row],[Study Package Code]]</f>
        <v>VISA6013</v>
      </c>
      <c r="B114" s="1">
        <f>TableOUMPFINA1[[#This Row],[Ver]]</f>
        <v>1</v>
      </c>
      <c r="C114" t="str">
        <f>IF(TableOUMPFINA1[[#This Row],[Ver]]&gt;0,_xlfn.TEXTBEFORE(TableOUMPFINA1[[#This Row],[Structure Line]]," "),"")</f>
        <v>VSW600</v>
      </c>
      <c r="D114" t="str">
        <f>IF(TableOUMPFINA1[[#This Row],[OUA Code]]&lt;&gt;"",_xlfn.TEXTAFTER(TableOUMPFINA1[[#This Row],[Structure Line]]," "),TableOUMPFINA1[[#This Row],[Structure Line]])</f>
        <v>Graduate Fine Art Concepts and Contexts</v>
      </c>
      <c r="E114" s="57">
        <f>TableOUMPFINA1[[#This Row],[Credit Points]]</f>
        <v>25</v>
      </c>
      <c r="F114" s="110">
        <v>6</v>
      </c>
      <c r="G114" s="110" t="s">
        <v>387</v>
      </c>
      <c r="H114" s="211">
        <v>2</v>
      </c>
      <c r="I114" s="110" t="s">
        <v>386</v>
      </c>
      <c r="J114" s="110" t="s">
        <v>175</v>
      </c>
      <c r="K114" s="110">
        <v>1</v>
      </c>
      <c r="L114" s="110" t="s">
        <v>415</v>
      </c>
      <c r="M114" s="110">
        <v>25</v>
      </c>
      <c r="N114" s="128">
        <v>45658</v>
      </c>
      <c r="O114" s="128"/>
    </row>
    <row r="115" spans="1:18" x14ac:dyDescent="0.25">
      <c r="A115" t="str">
        <f>TableOUMPFINA1[[#This Row],[Study Package Code]]</f>
        <v>VISA6014</v>
      </c>
      <c r="B115" s="1">
        <f>TableOUMPFINA1[[#This Row],[Ver]]</f>
        <v>1</v>
      </c>
      <c r="C115" t="str">
        <f>IF(TableOUMPFINA1[[#This Row],[Ver]]&gt;0,_xlfn.TEXTBEFORE(TableOUMPFINA1[[#This Row],[Structure Line]]," "),"")</f>
        <v>VSW605</v>
      </c>
      <c r="D115" t="str">
        <f>IF(TableOUMPFINA1[[#This Row],[OUA Code]]&lt;&gt;"",_xlfn.TEXTAFTER(TableOUMPFINA1[[#This Row],[Structure Line]]," "),TableOUMPFINA1[[#This Row],[Structure Line]])</f>
        <v>Graduate Fine Art Project Development</v>
      </c>
      <c r="E115" s="57">
        <f>TableOUMPFINA1[[#This Row],[Credit Points]]</f>
        <v>25</v>
      </c>
      <c r="F115" s="110">
        <v>6</v>
      </c>
      <c r="G115" s="110" t="s">
        <v>387</v>
      </c>
      <c r="H115" s="211">
        <v>2</v>
      </c>
      <c r="I115" s="110" t="s">
        <v>386</v>
      </c>
      <c r="J115" s="110" t="s">
        <v>177</v>
      </c>
      <c r="K115" s="110">
        <v>1</v>
      </c>
      <c r="L115" s="110" t="s">
        <v>416</v>
      </c>
      <c r="M115" s="110">
        <v>25</v>
      </c>
      <c r="N115" s="128">
        <v>45658</v>
      </c>
      <c r="O115" s="128"/>
    </row>
    <row r="116" spans="1:18" x14ac:dyDescent="0.25">
      <c r="A116" t="str">
        <f>TableOUMPFINA1[[#This Row],[Study Package Code]]</f>
        <v>VISA6015</v>
      </c>
      <c r="B116" s="1">
        <f>TableOUMPFINA1[[#This Row],[Ver]]</f>
        <v>1</v>
      </c>
      <c r="C116" t="str">
        <f>IF(TableOUMPFINA1[[#This Row],[Ver]]&gt;0,_xlfn.TEXTBEFORE(TableOUMPFINA1[[#This Row],[Structure Line]]," "),"")</f>
        <v>VSW615</v>
      </c>
      <c r="D116" t="str">
        <f>IF(TableOUMPFINA1[[#This Row],[OUA Code]]&lt;&gt;"",_xlfn.TEXTAFTER(TableOUMPFINA1[[#This Row],[Structure Line]]," "),TableOUMPFINA1[[#This Row],[Structure Line]])</f>
        <v>Graduate Fine Art Studio Practice</v>
      </c>
      <c r="E116" s="57">
        <f>TableOUMPFINA1[[#This Row],[Credit Points]]</f>
        <v>25</v>
      </c>
      <c r="F116" s="110">
        <v>6</v>
      </c>
      <c r="G116" s="110" t="s">
        <v>387</v>
      </c>
      <c r="H116" s="211">
        <v>2</v>
      </c>
      <c r="I116" s="110" t="s">
        <v>386</v>
      </c>
      <c r="J116" s="110" t="s">
        <v>179</v>
      </c>
      <c r="K116" s="110">
        <v>1</v>
      </c>
      <c r="L116" s="110" t="s">
        <v>417</v>
      </c>
      <c r="M116" s="110">
        <v>25</v>
      </c>
      <c r="N116" s="128">
        <v>45658</v>
      </c>
      <c r="O116" s="128"/>
    </row>
    <row r="117" spans="1:18" x14ac:dyDescent="0.25">
      <c r="B117"/>
      <c r="E117"/>
      <c r="F117" s="209"/>
      <c r="G117" s="173" t="s">
        <v>374</v>
      </c>
      <c r="H117" s="212">
        <v>46035</v>
      </c>
      <c r="I117" s="171"/>
      <c r="J117" s="210" t="s">
        <v>82</v>
      </c>
      <c r="K117" s="207">
        <v>1</v>
      </c>
      <c r="L117" s="171" t="s">
        <v>81</v>
      </c>
      <c r="M117" s="171"/>
      <c r="N117" s="208">
        <v>46023</v>
      </c>
      <c r="O117" s="174"/>
    </row>
    <row r="118" spans="1:18" x14ac:dyDescent="0.25">
      <c r="A118" t="s">
        <v>0</v>
      </c>
      <c r="B118" s="1" t="s">
        <v>375</v>
      </c>
      <c r="C118" t="s">
        <v>22</v>
      </c>
      <c r="D118" t="s">
        <v>3</v>
      </c>
      <c r="E118" s="57" t="s">
        <v>376</v>
      </c>
      <c r="F118" t="s">
        <v>377</v>
      </c>
      <c r="G118" t="s">
        <v>378</v>
      </c>
      <c r="H118" s="1" t="s">
        <v>379</v>
      </c>
      <c r="I118" t="s">
        <v>23</v>
      </c>
      <c r="J118" t="s">
        <v>380</v>
      </c>
      <c r="K118" t="s">
        <v>1</v>
      </c>
      <c r="L118" t="s">
        <v>381</v>
      </c>
      <c r="M118" t="s">
        <v>58</v>
      </c>
      <c r="N118" t="s">
        <v>382</v>
      </c>
      <c r="O118" t="s">
        <v>383</v>
      </c>
      <c r="Q118" t="s">
        <v>384</v>
      </c>
      <c r="R118" t="s">
        <v>1</v>
      </c>
    </row>
    <row r="119" spans="1:18" x14ac:dyDescent="0.25">
      <c r="A119" t="str">
        <f>TableOUMPPWRI4[[#This Row],[Study Package Code]]</f>
        <v>COMS5005</v>
      </c>
      <c r="B119" s="1">
        <f>TableOUMPPWRI4[[#This Row],[Ver]]</f>
        <v>1</v>
      </c>
      <c r="C119" t="str">
        <f>IF(TableOUMPPWRI4[[#This Row],[Ver]]&gt;0,_xlfn.TEXTBEFORE(TableOUMPPWRI4[[#This Row],[Structure Line]]," "),"")</f>
        <v>COM500</v>
      </c>
      <c r="D119" t="str">
        <f>IF(TableOUMPPWRI4[[#This Row],[OUA Code]]&lt;&gt;"",_xlfn.TEXTAFTER(TableOUMPPWRI4[[#This Row],[Structure Line]]," "),TableOUMPPWRI4[[#This Row],[Structure Line]])</f>
        <v>Approaches to Arts Research</v>
      </c>
      <c r="E119" s="57">
        <f>TableOUMPPWRI4[[#This Row],[Credit Points]]</f>
        <v>25</v>
      </c>
      <c r="F119" s="110">
        <v>1</v>
      </c>
      <c r="G119" s="110" t="s">
        <v>388</v>
      </c>
      <c r="H119" s="211">
        <v>1</v>
      </c>
      <c r="I119" s="110" t="s">
        <v>386</v>
      </c>
      <c r="J119" s="110" t="s">
        <v>199</v>
      </c>
      <c r="K119" s="110">
        <v>1</v>
      </c>
      <c r="L119" s="110" t="s">
        <v>389</v>
      </c>
      <c r="M119" s="110">
        <v>25</v>
      </c>
      <c r="N119" s="128">
        <v>45658</v>
      </c>
      <c r="O119" s="128"/>
      <c r="Q119" t="s">
        <v>224</v>
      </c>
      <c r="R119">
        <v>0</v>
      </c>
    </row>
    <row r="120" spans="1:18" x14ac:dyDescent="0.25">
      <c r="A120" t="str">
        <f>TableOUMPPWRI4[[#This Row],[Study Package Code]]</f>
        <v>COMS6008</v>
      </c>
      <c r="B120" s="1">
        <f>TableOUMPPWRI4[[#This Row],[Ver]]</f>
        <v>1</v>
      </c>
      <c r="C120" t="str">
        <f>IF(TableOUMPPWRI4[[#This Row],[Ver]]&gt;0,_xlfn.TEXTBEFORE(TableOUMPPWRI4[[#This Row],[Structure Line]]," "),"")</f>
        <v>COM605</v>
      </c>
      <c r="D120" t="str">
        <f>IF(TableOUMPPWRI4[[#This Row],[OUA Code]]&lt;&gt;"",_xlfn.TEXTAFTER(TableOUMPPWRI4[[#This Row],[Structure Line]]," "),TableOUMPPWRI4[[#This Row],[Structure Line]])</f>
        <v>Planning an Arts Research Project</v>
      </c>
      <c r="E120" s="57">
        <f>TableOUMPPWRI4[[#This Row],[Credit Points]]</f>
        <v>25</v>
      </c>
      <c r="F120" s="110">
        <v>2</v>
      </c>
      <c r="G120" s="110" t="s">
        <v>388</v>
      </c>
      <c r="H120" s="211">
        <v>1</v>
      </c>
      <c r="I120" s="110" t="s">
        <v>386</v>
      </c>
      <c r="J120" s="110" t="s">
        <v>231</v>
      </c>
      <c r="K120" s="110">
        <v>1</v>
      </c>
      <c r="L120" s="110" t="s">
        <v>390</v>
      </c>
      <c r="M120" s="110">
        <v>25</v>
      </c>
      <c r="N120" s="128">
        <v>45658</v>
      </c>
      <c r="O120" s="128"/>
      <c r="Q120" t="s">
        <v>199</v>
      </c>
      <c r="R120">
        <v>1</v>
      </c>
    </row>
    <row r="121" spans="1:18" x14ac:dyDescent="0.25">
      <c r="A121" t="str">
        <f>TableOUMPPWRI4[[#This Row],[Study Package Code]]</f>
        <v>Opt-PWRI41</v>
      </c>
      <c r="B121" s="1">
        <f>TableOUMPPWRI4[[#This Row],[Ver]]</f>
        <v>0</v>
      </c>
      <c r="C121" t="str">
        <f>IF(TableOUMPPWRI4[[#This Row],[Ver]]&gt;0,_xlfn.TEXTBEFORE(TableOUMPPWRI4[[#This Row],[Structure Line]]," "),"")</f>
        <v/>
      </c>
      <c r="D121" t="str">
        <f>IF(TableOUMPPWRI4[[#This Row],[OUA Code]]&lt;&gt;"",_xlfn.TEXTAFTER(TableOUMPPWRI4[[#This Row],[Structure Line]]," "),TableOUMPPWRI4[[#This Row],[Structure Line]])</f>
        <v>Choose Options for Year 1</v>
      </c>
      <c r="E121" s="57">
        <f>TableOUMPPWRI4[[#This Row],[Credit Points]]</f>
        <v>150</v>
      </c>
      <c r="F121" s="110">
        <v>3</v>
      </c>
      <c r="G121" s="110" t="s">
        <v>387</v>
      </c>
      <c r="H121" s="211">
        <v>1</v>
      </c>
      <c r="I121" s="110" t="s">
        <v>386</v>
      </c>
      <c r="J121" s="110" t="s">
        <v>468</v>
      </c>
      <c r="K121" s="110">
        <v>0</v>
      </c>
      <c r="L121" s="110" t="s">
        <v>454</v>
      </c>
      <c r="M121" s="110">
        <v>150</v>
      </c>
      <c r="N121" s="128"/>
      <c r="O121" s="128"/>
      <c r="Q121" t="s">
        <v>231</v>
      </c>
      <c r="R121">
        <v>1</v>
      </c>
    </row>
    <row r="122" spans="1:18" x14ac:dyDescent="0.25">
      <c r="A122" t="str">
        <f>TableOUMPPWRI4[[#This Row],[Study Package Code]]</f>
        <v>Opt-PWRI42</v>
      </c>
      <c r="B122" s="1">
        <f>TableOUMPPWRI4[[#This Row],[Ver]]</f>
        <v>0</v>
      </c>
      <c r="C122" t="str">
        <f>IF(TableOUMPPWRI4[[#This Row],[Ver]]&gt;0,_xlfn.TEXTBEFORE(TableOUMPPWRI4[[#This Row],[Structure Line]]," "),"")</f>
        <v/>
      </c>
      <c r="D122" t="str">
        <f>IF(TableOUMPPWRI4[[#This Row],[OUA Code]]&lt;&gt;"",_xlfn.TEXTAFTER(TableOUMPPWRI4[[#This Row],[Structure Line]]," "),TableOUMPPWRI4[[#This Row],[Structure Line]])</f>
        <v>Choose Options for Year 2</v>
      </c>
      <c r="E122" s="57">
        <f>TableOUMPPWRI4[[#This Row],[Credit Points]]</f>
        <v>150</v>
      </c>
      <c r="F122" s="110">
        <v>4</v>
      </c>
      <c r="G122" s="110" t="s">
        <v>387</v>
      </c>
      <c r="H122" s="211">
        <v>2</v>
      </c>
      <c r="I122" s="110" t="s">
        <v>386</v>
      </c>
      <c r="J122" s="110" t="s">
        <v>469</v>
      </c>
      <c r="K122" s="110">
        <v>0</v>
      </c>
      <c r="L122" s="110" t="s">
        <v>455</v>
      </c>
      <c r="M122" s="110">
        <v>150</v>
      </c>
      <c r="N122" s="128"/>
      <c r="O122" s="128"/>
      <c r="Q122" t="s">
        <v>232</v>
      </c>
      <c r="R122">
        <v>0</v>
      </c>
    </row>
    <row r="123" spans="1:18" x14ac:dyDescent="0.25">
      <c r="A123" t="str">
        <f>TableOUMPPWRI4[[#This Row],[Study Package Code]]</f>
        <v>AC-PWRI4</v>
      </c>
      <c r="B123" s="1">
        <f>TableOUMPPWRI4[[#This Row],[Ver]]</f>
        <v>0</v>
      </c>
      <c r="C123" t="str">
        <f>IF(TableOUMPPWRI4[[#This Row],[Ver]]&gt;0,_xlfn.TEXTBEFORE(TableOUMPPWRI4[[#This Row],[Structure Line]]," "),"")</f>
        <v/>
      </c>
      <c r="D123" t="str">
        <f>IF(TableOUMPPWRI4[[#This Row],[OUA Code]]&lt;&gt;"",_xlfn.TEXTAFTER(TableOUMPPWRI4[[#This Row],[Structure Line]]," "),TableOUMPPWRI4[[#This Row],[Structure Line]])</f>
        <v>Choose HUMN6004 or COMS6007</v>
      </c>
      <c r="E123" s="57">
        <f>TableOUMPPWRI4[[#This Row],[Credit Points]]</f>
        <v>50</v>
      </c>
      <c r="F123" s="110">
        <v>5</v>
      </c>
      <c r="G123" s="110" t="s">
        <v>385</v>
      </c>
      <c r="H123" s="211">
        <v>2</v>
      </c>
      <c r="I123" s="110" t="s">
        <v>386</v>
      </c>
      <c r="J123" s="110" t="s">
        <v>136</v>
      </c>
      <c r="K123" s="110">
        <v>0</v>
      </c>
      <c r="L123" s="110" t="s">
        <v>391</v>
      </c>
      <c r="M123" s="110">
        <v>50</v>
      </c>
      <c r="N123" s="128"/>
      <c r="O123" s="128"/>
      <c r="Q123" t="s">
        <v>150</v>
      </c>
      <c r="R123">
        <v>2</v>
      </c>
    </row>
    <row r="124" spans="1:18" x14ac:dyDescent="0.25">
      <c r="A124" t="str">
        <f>TableOUMPPWRI4[[#This Row],[Study Package Code]]</f>
        <v>CWRI6004</v>
      </c>
      <c r="B124" s="1">
        <f>TableOUMPPWRI4[[#This Row],[Ver]]</f>
        <v>1</v>
      </c>
      <c r="C124" t="str">
        <f>IF(TableOUMPPWRI4[[#This Row],[Ver]]&gt;0,_xlfn.TEXTBEFORE(TableOUMPPWRI4[[#This Row],[Structure Line]]," "),"")</f>
        <v>CWRI6004</v>
      </c>
      <c r="D124" t="str">
        <f>IF(TableOUMPPWRI4[[#This Row],[OUA Code]]&lt;&gt;"",_xlfn.TEXTAFTER(TableOUMPPWRI4[[#This Row],[Structure Line]]," "),TableOUMPPWRI4[[#This Row],[Structure Line]])</f>
        <v>Graduate Engaging Narrative</v>
      </c>
      <c r="E124" s="57">
        <f>TableOUMPPWRI4[[#This Row],[Credit Points]]</f>
        <v>25</v>
      </c>
      <c r="F124" s="110">
        <v>3</v>
      </c>
      <c r="G124" s="110" t="s">
        <v>387</v>
      </c>
      <c r="H124" s="211">
        <v>1</v>
      </c>
      <c r="I124" s="110" t="s">
        <v>386</v>
      </c>
      <c r="J124" s="110" t="s">
        <v>151</v>
      </c>
      <c r="K124" s="110">
        <v>1</v>
      </c>
      <c r="L124" s="110" t="s">
        <v>444</v>
      </c>
      <c r="M124" s="110">
        <v>25</v>
      </c>
      <c r="N124" s="128">
        <v>46023</v>
      </c>
      <c r="O124" s="128"/>
      <c r="Q124" t="s">
        <v>147</v>
      </c>
      <c r="R124">
        <v>1</v>
      </c>
    </row>
    <row r="125" spans="1:18" x14ac:dyDescent="0.25">
      <c r="A125" t="str">
        <f>TableOUMPPWRI4[[#This Row],[Study Package Code]]</f>
        <v>LANG5005</v>
      </c>
      <c r="B125" s="1">
        <f>TableOUMPPWRI4[[#This Row],[Ver]]</f>
        <v>1</v>
      </c>
      <c r="C125" t="str">
        <f>IF(TableOUMPPWRI4[[#This Row],[Ver]]&gt;0,_xlfn.TEXTBEFORE(TableOUMPPWRI4[[#This Row],[Structure Line]]," "),"")</f>
        <v>LANG5005</v>
      </c>
      <c r="D125" t="str">
        <f>IF(TableOUMPPWRI4[[#This Row],[OUA Code]]&lt;&gt;"",_xlfn.TEXTAFTER(TableOUMPPWRI4[[#This Row],[Structure Line]]," "),TableOUMPPWRI4[[#This Row],[Structure Line]])</f>
        <v>Graduate Narrative Nonfiction</v>
      </c>
      <c r="E125" s="57">
        <f>TableOUMPPWRI4[[#This Row],[Credit Points]]</f>
        <v>25</v>
      </c>
      <c r="F125" s="110">
        <v>3</v>
      </c>
      <c r="G125" s="110" t="s">
        <v>387</v>
      </c>
      <c r="H125" s="211">
        <v>1</v>
      </c>
      <c r="I125" s="110" t="s">
        <v>386</v>
      </c>
      <c r="J125" s="110" t="s">
        <v>154</v>
      </c>
      <c r="K125" s="110">
        <v>1</v>
      </c>
      <c r="L125" s="110" t="s">
        <v>446</v>
      </c>
      <c r="M125" s="110">
        <v>25</v>
      </c>
      <c r="N125" s="128">
        <v>46023</v>
      </c>
      <c r="O125" s="128"/>
      <c r="Q125" t="s">
        <v>202</v>
      </c>
      <c r="R125">
        <v>1</v>
      </c>
    </row>
    <row r="126" spans="1:18" x14ac:dyDescent="0.25">
      <c r="A126" t="str">
        <f>TableOUMPPWRI4[[#This Row],[Study Package Code]]</f>
        <v>LANG5007</v>
      </c>
      <c r="B126" s="1">
        <f>TableOUMPPWRI4[[#This Row],[Ver]]</f>
        <v>1</v>
      </c>
      <c r="C126" t="str">
        <f>IF(TableOUMPPWRI4[[#This Row],[Ver]]&gt;0,_xlfn.TEXTBEFORE(TableOUMPPWRI4[[#This Row],[Structure Line]]," "),"")</f>
        <v>LANG5007</v>
      </c>
      <c r="D126" t="str">
        <f>IF(TableOUMPPWRI4[[#This Row],[OUA Code]]&lt;&gt;"",_xlfn.TEXTAFTER(TableOUMPPWRI4[[#This Row],[Structure Line]]," "),TableOUMPPWRI4[[#This Row],[Structure Line]])</f>
        <v>Graduate Editing</v>
      </c>
      <c r="E126" s="57">
        <f>TableOUMPPWRI4[[#This Row],[Credit Points]]</f>
        <v>25</v>
      </c>
      <c r="F126" s="110">
        <v>3</v>
      </c>
      <c r="G126" s="110" t="s">
        <v>387</v>
      </c>
      <c r="H126" s="211">
        <v>1</v>
      </c>
      <c r="I126" s="110" t="s">
        <v>386</v>
      </c>
      <c r="J126" s="110" t="s">
        <v>156</v>
      </c>
      <c r="K126" s="110">
        <v>1</v>
      </c>
      <c r="L126" s="110" t="s">
        <v>447</v>
      </c>
      <c r="M126" s="110">
        <v>25</v>
      </c>
      <c r="N126" s="128">
        <v>46023</v>
      </c>
      <c r="O126" s="128"/>
      <c r="Q126" t="s">
        <v>153</v>
      </c>
      <c r="R126">
        <v>1</v>
      </c>
    </row>
    <row r="127" spans="1:18" x14ac:dyDescent="0.25">
      <c r="A127" t="str">
        <f>TableOUMPPWRI4[[#This Row],[Study Package Code]]</f>
        <v>LANG5009</v>
      </c>
      <c r="B127" s="1">
        <f>TableOUMPPWRI4[[#This Row],[Ver]]</f>
        <v>1</v>
      </c>
      <c r="C127" t="str">
        <f>IF(TableOUMPPWRI4[[#This Row],[Ver]]&gt;0,_xlfn.TEXTBEFORE(TableOUMPPWRI4[[#This Row],[Structure Line]]," "),"")</f>
        <v>LANG5009</v>
      </c>
      <c r="D127" t="str">
        <f>IF(TableOUMPPWRI4[[#This Row],[OUA Code]]&lt;&gt;"",_xlfn.TEXTAFTER(TableOUMPPWRI4[[#This Row],[Structure Line]]," "),TableOUMPPWRI4[[#This Row],[Structure Line]])</f>
        <v>Graduate Publishing</v>
      </c>
      <c r="E127" s="57">
        <f>TableOUMPPWRI4[[#This Row],[Credit Points]]</f>
        <v>25</v>
      </c>
      <c r="F127" s="110">
        <v>3</v>
      </c>
      <c r="G127" s="110" t="s">
        <v>387</v>
      </c>
      <c r="H127" s="211">
        <v>1</v>
      </c>
      <c r="I127" s="110" t="s">
        <v>386</v>
      </c>
      <c r="J127" s="110" t="s">
        <v>159</v>
      </c>
      <c r="K127" s="110">
        <v>1</v>
      </c>
      <c r="L127" s="110" t="s">
        <v>448</v>
      </c>
      <c r="M127" s="110">
        <v>25</v>
      </c>
      <c r="N127" s="128">
        <v>46023</v>
      </c>
      <c r="O127" s="128"/>
      <c r="Q127" t="s">
        <v>137</v>
      </c>
      <c r="R127">
        <v>2</v>
      </c>
    </row>
    <row r="128" spans="1:18" x14ac:dyDescent="0.25">
      <c r="A128" t="str">
        <f>TableOUMPPWRI4[[#This Row],[Study Package Code]]</f>
        <v>LANG5013</v>
      </c>
      <c r="B128" s="1">
        <f>TableOUMPPWRI4[[#This Row],[Ver]]</f>
        <v>1</v>
      </c>
      <c r="C128" t="str">
        <f>IF(TableOUMPPWRI4[[#This Row],[Ver]]&gt;0,_xlfn.TEXTBEFORE(TableOUMPPWRI4[[#This Row],[Structure Line]]," "),"")</f>
        <v>LANG5013</v>
      </c>
      <c r="D128" t="str">
        <f>IF(TableOUMPPWRI4[[#This Row],[OUA Code]]&lt;&gt;"",_xlfn.TEXTAFTER(TableOUMPPWRI4[[#This Row],[Structure Line]]," "),TableOUMPPWRI4[[#This Row],[Structure Line]])</f>
        <v>Graduate Introduction to Creative and Professional Writing</v>
      </c>
      <c r="E128" s="57">
        <f>TableOUMPPWRI4[[#This Row],[Credit Points]]</f>
        <v>25</v>
      </c>
      <c r="F128" s="110">
        <v>3</v>
      </c>
      <c r="G128" s="110" t="s">
        <v>387</v>
      </c>
      <c r="H128" s="211">
        <v>1</v>
      </c>
      <c r="I128" s="110" t="s">
        <v>386</v>
      </c>
      <c r="J128" s="110" t="s">
        <v>163</v>
      </c>
      <c r="K128" s="110">
        <v>1</v>
      </c>
      <c r="L128" s="110" t="s">
        <v>449</v>
      </c>
      <c r="M128" s="110">
        <v>25</v>
      </c>
      <c r="N128" s="128">
        <v>46023</v>
      </c>
      <c r="O128" s="128"/>
      <c r="Q128" t="s">
        <v>170</v>
      </c>
      <c r="R128">
        <v>2</v>
      </c>
    </row>
    <row r="129" spans="1:18" x14ac:dyDescent="0.25">
      <c r="A129" t="str">
        <f>TableOUMPPWRI4[[#This Row],[Study Package Code]]</f>
        <v>NETS5012</v>
      </c>
      <c r="B129" s="1">
        <f>TableOUMPPWRI4[[#This Row],[Ver]]</f>
        <v>2</v>
      </c>
      <c r="C129" t="str">
        <f>IF(TableOUMPPWRI4[[#This Row],[Ver]]&gt;0,_xlfn.TEXTBEFORE(TableOUMPPWRI4[[#This Row],[Structure Line]]," "),"")</f>
        <v>MIC501</v>
      </c>
      <c r="D129" t="str">
        <f>IF(TableOUMPPWRI4[[#This Row],[OUA Code]]&lt;&gt;"",_xlfn.TEXTAFTER(TableOUMPPWRI4[[#This Row],[Structure Line]]," "),TableOUMPPWRI4[[#This Row],[Structure Line]])</f>
        <v>Graduate Web Communications</v>
      </c>
      <c r="E129" s="57">
        <f>TableOUMPPWRI4[[#This Row],[Credit Points]]</f>
        <v>25</v>
      </c>
      <c r="F129" s="110">
        <v>3</v>
      </c>
      <c r="G129" s="110" t="s">
        <v>387</v>
      </c>
      <c r="H129" s="211">
        <v>1</v>
      </c>
      <c r="I129" s="110" t="s">
        <v>386</v>
      </c>
      <c r="J129" s="110" t="s">
        <v>137</v>
      </c>
      <c r="K129" s="110">
        <v>2</v>
      </c>
      <c r="L129" s="110" t="s">
        <v>399</v>
      </c>
      <c r="M129" s="110">
        <v>25</v>
      </c>
      <c r="N129" s="128">
        <v>45658</v>
      </c>
      <c r="O129" s="128"/>
      <c r="Q129" t="s">
        <v>167</v>
      </c>
      <c r="R129">
        <v>2</v>
      </c>
    </row>
    <row r="130" spans="1:18" x14ac:dyDescent="0.25">
      <c r="A130" t="str">
        <f>TableOUMPPWRI4[[#This Row],[Study Package Code]]</f>
        <v>NETS5016</v>
      </c>
      <c r="B130" s="1">
        <f>TableOUMPPWRI4[[#This Row],[Ver]]</f>
        <v>2</v>
      </c>
      <c r="C130" t="str">
        <f>IF(TableOUMPPWRI4[[#This Row],[Ver]]&gt;0,_xlfn.TEXTBEFORE(TableOUMPPWRI4[[#This Row],[Structure Line]]," "),"")</f>
        <v>MIC505</v>
      </c>
      <c r="D130" t="str">
        <f>IF(TableOUMPPWRI4[[#This Row],[OUA Code]]&lt;&gt;"",_xlfn.TEXTAFTER(TableOUMPPWRI4[[#This Row],[Structure Line]]," "),TableOUMPPWRI4[[#This Row],[Structure Line]])</f>
        <v>Graduate Writing on the Web</v>
      </c>
      <c r="E130" s="57">
        <f>TableOUMPPWRI4[[#This Row],[Credit Points]]</f>
        <v>25</v>
      </c>
      <c r="F130" s="110">
        <v>3</v>
      </c>
      <c r="G130" s="110" t="s">
        <v>387</v>
      </c>
      <c r="H130" s="211">
        <v>1</v>
      </c>
      <c r="I130" s="110" t="s">
        <v>386</v>
      </c>
      <c r="J130" s="110" t="s">
        <v>167</v>
      </c>
      <c r="K130" s="110">
        <v>2</v>
      </c>
      <c r="L130" s="110" t="s">
        <v>403</v>
      </c>
      <c r="M130" s="110">
        <v>25</v>
      </c>
      <c r="N130" s="128">
        <v>45658</v>
      </c>
      <c r="O130" s="128"/>
      <c r="Q130" t="s">
        <v>215</v>
      </c>
      <c r="R130">
        <v>1</v>
      </c>
    </row>
    <row r="131" spans="1:18" x14ac:dyDescent="0.25">
      <c r="A131" t="str">
        <f>TableOUMPPWRI4[[#This Row],[Study Package Code]]</f>
        <v>PWRP5032</v>
      </c>
      <c r="B131" s="1">
        <f>TableOUMPPWRI4[[#This Row],[Ver]]</f>
        <v>1</v>
      </c>
      <c r="C131" t="str">
        <f>IF(TableOUMPPWRI4[[#This Row],[Ver]]&gt;0,_xlfn.TEXTBEFORE(TableOUMPPWRI4[[#This Row],[Structure Line]]," "),"")</f>
        <v>PWP535</v>
      </c>
      <c r="D131" t="str">
        <f>IF(TableOUMPPWRI4[[#This Row],[OUA Code]]&lt;&gt;"",_xlfn.TEXTAFTER(TableOUMPPWRI4[[#This Row],[Structure Line]]," "),TableOUMPPWRI4[[#This Row],[Structure Line]])</f>
        <v>Graduate Skills in Professional Writing</v>
      </c>
      <c r="E131" s="57">
        <f>TableOUMPPWRI4[[#This Row],[Credit Points]]</f>
        <v>25</v>
      </c>
      <c r="F131" s="110">
        <v>3</v>
      </c>
      <c r="G131" s="110" t="s">
        <v>387</v>
      </c>
      <c r="H131" s="211">
        <v>1</v>
      </c>
      <c r="I131" s="110" t="s">
        <v>386</v>
      </c>
      <c r="J131" s="110" t="s">
        <v>169</v>
      </c>
      <c r="K131" s="110">
        <v>1</v>
      </c>
      <c r="L131" s="110" t="s">
        <v>419</v>
      </c>
      <c r="M131" s="110">
        <v>25</v>
      </c>
      <c r="N131" s="128">
        <v>45658</v>
      </c>
      <c r="O131" s="128"/>
      <c r="Q131" t="s">
        <v>183</v>
      </c>
      <c r="R131">
        <v>1</v>
      </c>
    </row>
    <row r="132" spans="1:18" x14ac:dyDescent="0.25">
      <c r="A132" t="str">
        <f>TableOUMPPWRI4[[#This Row],[Study Package Code]]</f>
        <v>PWRP5033</v>
      </c>
      <c r="B132" s="1">
        <f>TableOUMPPWRI4[[#This Row],[Ver]]</f>
        <v>1</v>
      </c>
      <c r="C132" t="str">
        <f>IF(TableOUMPPWRI4[[#This Row],[Ver]]&gt;0,_xlfn.TEXTBEFORE(TableOUMPPWRI4[[#This Row],[Structure Line]]," "),"")</f>
        <v>PWP540</v>
      </c>
      <c r="D132" t="str">
        <f>IF(TableOUMPPWRI4[[#This Row],[OUA Code]]&lt;&gt;"",_xlfn.TEXTAFTER(TableOUMPPWRI4[[#This Row],[Structure Line]]," "),TableOUMPPWRI4[[#This Row],[Structure Line]])</f>
        <v>Graduate Workplace Writing</v>
      </c>
      <c r="E132" s="57">
        <f>TableOUMPPWRI4[[#This Row],[Credit Points]]</f>
        <v>25</v>
      </c>
      <c r="F132" s="110">
        <v>3</v>
      </c>
      <c r="G132" s="110" t="s">
        <v>387</v>
      </c>
      <c r="H132" s="211">
        <v>1</v>
      </c>
      <c r="I132" s="110" t="s">
        <v>386</v>
      </c>
      <c r="J132" s="110" t="s">
        <v>172</v>
      </c>
      <c r="K132" s="110">
        <v>1</v>
      </c>
      <c r="L132" s="110" t="s">
        <v>420</v>
      </c>
      <c r="M132" s="110">
        <v>25</v>
      </c>
      <c r="N132" s="128">
        <v>45658</v>
      </c>
      <c r="O132" s="128"/>
      <c r="Q132" t="s">
        <v>204</v>
      </c>
      <c r="R132">
        <v>1</v>
      </c>
    </row>
    <row r="133" spans="1:18" x14ac:dyDescent="0.25">
      <c r="A133" t="str">
        <f>TableOUMPPWRI4[[#This Row],[Study Package Code]]</f>
        <v>COMS6006</v>
      </c>
      <c r="B133" s="1">
        <f>TableOUMPPWRI4[[#This Row],[Ver]]</f>
        <v>2</v>
      </c>
      <c r="C133" t="str">
        <f>IF(TableOUMPPWRI4[[#This Row],[Ver]]&gt;0,_xlfn.TEXTBEFORE(TableOUMPPWRI4[[#This Row],[Structure Line]]," "),"")</f>
        <v>COM600</v>
      </c>
      <c r="D133" t="str">
        <f>IF(TableOUMPPWRI4[[#This Row],[OUA Code]]&lt;&gt;"",_xlfn.TEXTAFTER(TableOUMPPWRI4[[#This Row],[Structure Line]]," "),TableOUMPPWRI4[[#This Row],[Structure Line]])</f>
        <v>Masters Professional Experience</v>
      </c>
      <c r="E133" s="57">
        <f>TableOUMPPWRI4[[#This Row],[Credit Points]]</f>
        <v>50</v>
      </c>
      <c r="F133" s="110">
        <v>4</v>
      </c>
      <c r="G133" s="110" t="s">
        <v>387</v>
      </c>
      <c r="H133" s="211">
        <v>2</v>
      </c>
      <c r="I133" s="110" t="s">
        <v>386</v>
      </c>
      <c r="J133" s="110" t="s">
        <v>150</v>
      </c>
      <c r="K133" s="110">
        <v>2</v>
      </c>
      <c r="L133" s="110" t="s">
        <v>392</v>
      </c>
      <c r="M133" s="110">
        <v>50</v>
      </c>
      <c r="N133" s="128">
        <v>45292</v>
      </c>
      <c r="O133" s="128"/>
      <c r="Q133" t="s">
        <v>207</v>
      </c>
      <c r="R133">
        <v>1</v>
      </c>
    </row>
    <row r="134" spans="1:18" x14ac:dyDescent="0.25">
      <c r="A134" t="str">
        <f>TableOUMPPWRI4[[#This Row],[Study Package Code]]</f>
        <v>CWRI5020</v>
      </c>
      <c r="B134" s="1">
        <f>TableOUMPPWRI4[[#This Row],[Ver]]</f>
        <v>1</v>
      </c>
      <c r="C134" t="str">
        <f>IF(TableOUMPPWRI4[[#This Row],[Ver]]&gt;0,_xlfn.TEXTBEFORE(TableOUMPPWRI4[[#This Row],[Structure Line]]," "),"")</f>
        <v>CWG500</v>
      </c>
      <c r="D134" t="str">
        <f>IF(TableOUMPPWRI4[[#This Row],[OUA Code]]&lt;&gt;"",_xlfn.TEXTAFTER(TableOUMPPWRI4[[#This Row],[Structure Line]]," "),TableOUMPPWRI4[[#This Row],[Structure Line]])</f>
        <v>Graduate Travel Writing</v>
      </c>
      <c r="E134" s="57">
        <f>TableOUMPPWRI4[[#This Row],[Credit Points]]</f>
        <v>25</v>
      </c>
      <c r="F134" s="110">
        <v>4</v>
      </c>
      <c r="G134" s="110" t="s">
        <v>387</v>
      </c>
      <c r="H134" s="211">
        <v>2</v>
      </c>
      <c r="I134" s="110" t="s">
        <v>386</v>
      </c>
      <c r="J134" s="110" t="s">
        <v>147</v>
      </c>
      <c r="K134" s="110">
        <v>1</v>
      </c>
      <c r="L134" s="110" t="s">
        <v>393</v>
      </c>
      <c r="M134" s="110">
        <v>25</v>
      </c>
      <c r="N134" s="128">
        <v>45658</v>
      </c>
      <c r="O134" s="128"/>
      <c r="Q134" t="s">
        <v>210</v>
      </c>
      <c r="R134">
        <v>1</v>
      </c>
    </row>
    <row r="135" spans="1:18" x14ac:dyDescent="0.25">
      <c r="A135" t="str">
        <f>TableOUMPPWRI4[[#This Row],[Study Package Code]]</f>
        <v>CWRI5032</v>
      </c>
      <c r="B135" s="1">
        <f>TableOUMPPWRI4[[#This Row],[Ver]]</f>
        <v>1</v>
      </c>
      <c r="C135" t="str">
        <f>IF(TableOUMPPWRI4[[#This Row],[Ver]]&gt;0,_xlfn.TEXTBEFORE(TableOUMPPWRI4[[#This Row],[Structure Line]]," "),"")</f>
        <v>CWRI5032</v>
      </c>
      <c r="D135" t="str">
        <f>IF(TableOUMPPWRI4[[#This Row],[OUA Code]]&lt;&gt;"",_xlfn.TEXTAFTER(TableOUMPPWRI4[[#This Row],[Structure Line]]," "),TableOUMPPWRI4[[#This Row],[Structure Line]])</f>
        <v>Graduate Writing Genre Fiction</v>
      </c>
      <c r="E135" s="57">
        <f>TableOUMPPWRI4[[#This Row],[Credit Points]]</f>
        <v>25</v>
      </c>
      <c r="F135" s="110">
        <v>4</v>
      </c>
      <c r="G135" s="110" t="s">
        <v>387</v>
      </c>
      <c r="H135" s="211">
        <v>2</v>
      </c>
      <c r="I135" s="110" t="s">
        <v>386</v>
      </c>
      <c r="J135" s="110" t="s">
        <v>155</v>
      </c>
      <c r="K135" s="110">
        <v>1</v>
      </c>
      <c r="L135" s="110" t="s">
        <v>440</v>
      </c>
      <c r="M135" s="110">
        <v>25</v>
      </c>
      <c r="N135" s="128">
        <v>46023</v>
      </c>
      <c r="O135" s="128"/>
      <c r="Q135" t="s">
        <v>212</v>
      </c>
      <c r="R135">
        <v>1</v>
      </c>
    </row>
    <row r="136" spans="1:18" x14ac:dyDescent="0.25">
      <c r="A136" t="str">
        <f>TableOUMPPWRI4[[#This Row],[Study Package Code]]</f>
        <v>CWRI5038</v>
      </c>
      <c r="B136" s="1">
        <f>TableOUMPPWRI4[[#This Row],[Ver]]</f>
        <v>1</v>
      </c>
      <c r="C136" t="str">
        <f>IF(TableOUMPPWRI4[[#This Row],[Ver]]&gt;0,_xlfn.TEXTBEFORE(TableOUMPPWRI4[[#This Row],[Structure Line]]," "),"")</f>
        <v>CWRI5038</v>
      </c>
      <c r="D136" t="str">
        <f>IF(TableOUMPPWRI4[[#This Row],[OUA Code]]&lt;&gt;"",_xlfn.TEXTAFTER(TableOUMPPWRI4[[#This Row],[Structure Line]]," "),TableOUMPPWRI4[[#This Row],[Structure Line]])</f>
        <v>Graduate Writing Short Fiction</v>
      </c>
      <c r="E136" s="57">
        <f>TableOUMPPWRI4[[#This Row],[Credit Points]]</f>
        <v>25</v>
      </c>
      <c r="F136" s="110">
        <v>4</v>
      </c>
      <c r="G136" s="110" t="s">
        <v>387</v>
      </c>
      <c r="H136" s="211">
        <v>2</v>
      </c>
      <c r="I136" s="110" t="s">
        <v>386</v>
      </c>
      <c r="J136" s="110" t="s">
        <v>164</v>
      </c>
      <c r="K136" s="110">
        <v>1</v>
      </c>
      <c r="L136" s="110" t="s">
        <v>443</v>
      </c>
      <c r="M136" s="110">
        <v>25</v>
      </c>
      <c r="N136" s="128">
        <v>46023</v>
      </c>
      <c r="O136" s="128"/>
      <c r="Q136" t="s">
        <v>349</v>
      </c>
      <c r="R136">
        <v>1</v>
      </c>
    </row>
    <row r="137" spans="1:18" x14ac:dyDescent="0.25">
      <c r="A137" t="str">
        <f>TableOUMPPWRI4[[#This Row],[Study Package Code]]</f>
        <v>CWRI6004</v>
      </c>
      <c r="B137" s="1">
        <f>TableOUMPPWRI4[[#This Row],[Ver]]</f>
        <v>1</v>
      </c>
      <c r="C137" t="str">
        <f>IF(TableOUMPPWRI4[[#This Row],[Ver]]&gt;0,_xlfn.TEXTBEFORE(TableOUMPPWRI4[[#This Row],[Structure Line]]," "),"")</f>
        <v>CWRI6004</v>
      </c>
      <c r="D137" t="str">
        <f>IF(TableOUMPPWRI4[[#This Row],[OUA Code]]&lt;&gt;"",_xlfn.TEXTAFTER(TableOUMPPWRI4[[#This Row],[Structure Line]]," "),TableOUMPPWRI4[[#This Row],[Structure Line]])</f>
        <v>Graduate Engaging Narrative</v>
      </c>
      <c r="E137" s="57">
        <f>TableOUMPPWRI4[[#This Row],[Credit Points]]</f>
        <v>25</v>
      </c>
      <c r="F137" s="110">
        <v>4</v>
      </c>
      <c r="G137" s="110" t="s">
        <v>387</v>
      </c>
      <c r="H137" s="211">
        <v>2</v>
      </c>
      <c r="I137" s="110" t="s">
        <v>386</v>
      </c>
      <c r="J137" s="110" t="s">
        <v>151</v>
      </c>
      <c r="K137" s="110">
        <v>1</v>
      </c>
      <c r="L137" s="110" t="s">
        <v>444</v>
      </c>
      <c r="M137" s="110">
        <v>25</v>
      </c>
      <c r="N137" s="128">
        <v>46023</v>
      </c>
      <c r="O137" s="128"/>
      <c r="Q137" t="s">
        <v>169</v>
      </c>
      <c r="R137">
        <v>1</v>
      </c>
    </row>
    <row r="138" spans="1:18" x14ac:dyDescent="0.25">
      <c r="A138" t="str">
        <f>TableOUMPPWRI4[[#This Row],[Study Package Code]]</f>
        <v>HUMN6002</v>
      </c>
      <c r="B138" s="1">
        <f>TableOUMPPWRI4[[#This Row],[Ver]]</f>
        <v>1</v>
      </c>
      <c r="C138" t="str">
        <f>IF(TableOUMPPWRI4[[#This Row],[Ver]]&gt;0,_xlfn.TEXTBEFORE(TableOUMPPWRI4[[#This Row],[Structure Line]]," "),"")</f>
        <v>HUMN600</v>
      </c>
      <c r="D138" t="str">
        <f>IF(TableOUMPPWRI4[[#This Row],[OUA Code]]&lt;&gt;"",_xlfn.TEXTAFTER(TableOUMPPWRI4[[#This Row],[Structure Line]]," "),TableOUMPPWRI4[[#This Row],[Structure Line]])</f>
        <v>Masters Research Project 1</v>
      </c>
      <c r="E138" s="57">
        <f>TableOUMPPWRI4[[#This Row],[Credit Points]]</f>
        <v>50</v>
      </c>
      <c r="F138" s="110">
        <v>4</v>
      </c>
      <c r="G138" s="110" t="s">
        <v>387</v>
      </c>
      <c r="H138" s="211">
        <v>2</v>
      </c>
      <c r="I138" s="110" t="s">
        <v>386</v>
      </c>
      <c r="J138" s="110" t="s">
        <v>153</v>
      </c>
      <c r="K138" s="110">
        <v>1</v>
      </c>
      <c r="L138" s="110" t="s">
        <v>394</v>
      </c>
      <c r="M138" s="110">
        <v>50</v>
      </c>
      <c r="N138" s="128">
        <v>45292</v>
      </c>
      <c r="O138" s="128"/>
      <c r="Q138" t="s">
        <v>172</v>
      </c>
      <c r="R138">
        <v>1</v>
      </c>
    </row>
    <row r="139" spans="1:18" x14ac:dyDescent="0.25">
      <c r="A139" t="str">
        <f>TableOUMPPWRI4[[#This Row],[Study Package Code]]</f>
        <v>LANG5005</v>
      </c>
      <c r="B139" s="1">
        <f>TableOUMPPWRI4[[#This Row],[Ver]]</f>
        <v>1</v>
      </c>
      <c r="C139" t="str">
        <f>IF(TableOUMPPWRI4[[#This Row],[Ver]]&gt;0,_xlfn.TEXTBEFORE(TableOUMPPWRI4[[#This Row],[Structure Line]]," "),"")</f>
        <v>LANG5005</v>
      </c>
      <c r="D139" t="str">
        <f>IF(TableOUMPPWRI4[[#This Row],[OUA Code]]&lt;&gt;"",_xlfn.TEXTAFTER(TableOUMPPWRI4[[#This Row],[Structure Line]]," "),TableOUMPPWRI4[[#This Row],[Structure Line]])</f>
        <v>Graduate Narrative Nonfiction</v>
      </c>
      <c r="E139" s="57">
        <f>TableOUMPPWRI4[[#This Row],[Credit Points]]</f>
        <v>25</v>
      </c>
      <c r="F139" s="110">
        <v>4</v>
      </c>
      <c r="G139" s="110" t="s">
        <v>387</v>
      </c>
      <c r="H139" s="211">
        <v>2</v>
      </c>
      <c r="I139" s="110" t="s">
        <v>386</v>
      </c>
      <c r="J139" s="110" t="s">
        <v>154</v>
      </c>
      <c r="K139" s="110">
        <v>1</v>
      </c>
      <c r="L139" s="110" t="s">
        <v>446</v>
      </c>
      <c r="M139" s="110">
        <v>25</v>
      </c>
      <c r="N139" s="128">
        <v>46023</v>
      </c>
      <c r="O139" s="128"/>
      <c r="Q139" t="s">
        <v>123</v>
      </c>
      <c r="R139">
        <v>1</v>
      </c>
    </row>
    <row r="140" spans="1:18" x14ac:dyDescent="0.25">
      <c r="A140" t="str">
        <f>TableOUMPPWRI4[[#This Row],[Study Package Code]]</f>
        <v>LANG5009</v>
      </c>
      <c r="B140" s="1">
        <f>TableOUMPPWRI4[[#This Row],[Ver]]</f>
        <v>1</v>
      </c>
      <c r="C140" t="str">
        <f>IF(TableOUMPPWRI4[[#This Row],[Ver]]&gt;0,_xlfn.TEXTBEFORE(TableOUMPPWRI4[[#This Row],[Structure Line]]," "),"")</f>
        <v>LANG5009</v>
      </c>
      <c r="D140" t="str">
        <f>IF(TableOUMPPWRI4[[#This Row],[OUA Code]]&lt;&gt;"",_xlfn.TEXTAFTER(TableOUMPPWRI4[[#This Row],[Structure Line]]," "),TableOUMPPWRI4[[#This Row],[Structure Line]])</f>
        <v>Graduate Publishing</v>
      </c>
      <c r="E140" s="57">
        <f>TableOUMPPWRI4[[#This Row],[Credit Points]]</f>
        <v>25</v>
      </c>
      <c r="F140" s="110">
        <v>4</v>
      </c>
      <c r="G140" s="110" t="s">
        <v>387</v>
      </c>
      <c r="H140" s="211">
        <v>2</v>
      </c>
      <c r="I140" s="110" t="s">
        <v>386</v>
      </c>
      <c r="J140" s="110" t="s">
        <v>159</v>
      </c>
      <c r="K140" s="110">
        <v>1</v>
      </c>
      <c r="L140" s="110" t="s">
        <v>448</v>
      </c>
      <c r="M140" s="110">
        <v>25</v>
      </c>
      <c r="N140" s="128">
        <v>46023</v>
      </c>
      <c r="O140" s="128"/>
      <c r="Q140" t="s">
        <v>125</v>
      </c>
      <c r="R140">
        <v>1</v>
      </c>
    </row>
    <row r="141" spans="1:18" x14ac:dyDescent="0.25">
      <c r="A141" t="str">
        <f>TableOUMPPWRI4[[#This Row],[Study Package Code]]</f>
        <v>LANG5011</v>
      </c>
      <c r="B141" s="1">
        <f>TableOUMPPWRI4[[#This Row],[Ver]]</f>
        <v>1</v>
      </c>
      <c r="C141" t="str">
        <f>IF(TableOUMPPWRI4[[#This Row],[Ver]]&gt;0,_xlfn.TEXTBEFORE(TableOUMPPWRI4[[#This Row],[Structure Line]]," "),"")</f>
        <v>LANG5011</v>
      </c>
      <c r="D141" t="str">
        <f>IF(TableOUMPPWRI4[[#This Row],[OUA Code]]&lt;&gt;"",_xlfn.TEXTAFTER(TableOUMPPWRI4[[#This Row],[Structure Line]]," "),TableOUMPPWRI4[[#This Row],[Structure Line]])</f>
        <v>Graduate Publishing Studio</v>
      </c>
      <c r="E141" s="57">
        <f>TableOUMPPWRI4[[#This Row],[Credit Points]]</f>
        <v>25</v>
      </c>
      <c r="F141" s="110">
        <v>4</v>
      </c>
      <c r="G141" s="110" t="s">
        <v>387</v>
      </c>
      <c r="H141" s="211">
        <v>2</v>
      </c>
      <c r="I141" s="110" t="s">
        <v>386</v>
      </c>
      <c r="J141" s="110" t="s">
        <v>182</v>
      </c>
      <c r="K141" s="110">
        <v>1</v>
      </c>
      <c r="L141" s="110" t="s">
        <v>470</v>
      </c>
      <c r="M141" s="110">
        <v>25</v>
      </c>
      <c r="N141" s="128">
        <v>46023</v>
      </c>
      <c r="O141" s="128"/>
    </row>
    <row r="142" spans="1:18" x14ac:dyDescent="0.25">
      <c r="A142" t="str">
        <f>TableOUMPPWRI4[[#This Row],[Study Package Code]]</f>
        <v>LANG5013</v>
      </c>
      <c r="B142" s="1">
        <f>TableOUMPPWRI4[[#This Row],[Ver]]</f>
        <v>1</v>
      </c>
      <c r="C142" t="str">
        <f>IF(TableOUMPPWRI4[[#This Row],[Ver]]&gt;0,_xlfn.TEXTBEFORE(TableOUMPPWRI4[[#This Row],[Structure Line]]," "),"")</f>
        <v>LANG5013</v>
      </c>
      <c r="D142" t="str">
        <f>IF(TableOUMPPWRI4[[#This Row],[OUA Code]]&lt;&gt;"",_xlfn.TEXTAFTER(TableOUMPPWRI4[[#This Row],[Structure Line]]," "),TableOUMPPWRI4[[#This Row],[Structure Line]])</f>
        <v>Graduate Introduction to Creative and Professional Writing</v>
      </c>
      <c r="E142" s="57">
        <f>TableOUMPPWRI4[[#This Row],[Credit Points]]</f>
        <v>25</v>
      </c>
      <c r="F142" s="110">
        <v>4</v>
      </c>
      <c r="G142" s="110" t="s">
        <v>387</v>
      </c>
      <c r="H142" s="211">
        <v>2</v>
      </c>
      <c r="I142" s="110" t="s">
        <v>386</v>
      </c>
      <c r="J142" s="110" t="s">
        <v>163</v>
      </c>
      <c r="K142" s="110">
        <v>1</v>
      </c>
      <c r="L142" s="110" t="s">
        <v>449</v>
      </c>
      <c r="M142" s="110">
        <v>25</v>
      </c>
      <c r="N142" s="128">
        <v>46023</v>
      </c>
      <c r="O142" s="128"/>
    </row>
    <row r="143" spans="1:18" x14ac:dyDescent="0.25">
      <c r="A143" t="str">
        <f>TableOUMPPWRI4[[#This Row],[Study Package Code]]</f>
        <v>LANG5015</v>
      </c>
      <c r="B143" s="1">
        <f>TableOUMPPWRI4[[#This Row],[Ver]]</f>
        <v>1</v>
      </c>
      <c r="C143" t="str">
        <f>IF(TableOUMPPWRI4[[#This Row],[Ver]]&gt;0,_xlfn.TEXTBEFORE(TableOUMPPWRI4[[#This Row],[Structure Line]]," "),"")</f>
        <v>LANG5015</v>
      </c>
      <c r="D143" t="str">
        <f>IF(TableOUMPPWRI4[[#This Row],[OUA Code]]&lt;&gt;"",_xlfn.TEXTAFTER(TableOUMPPWRI4[[#This Row],[Structure Line]]," "),TableOUMPPWRI4[[#This Row],[Structure Line]])</f>
        <v>Graduate Advanced Narrative Nonfiction</v>
      </c>
      <c r="E143" s="57">
        <f>TableOUMPPWRI4[[#This Row],[Credit Points]]</f>
        <v>25</v>
      </c>
      <c r="F143" s="110">
        <v>4</v>
      </c>
      <c r="G143" s="110" t="s">
        <v>387</v>
      </c>
      <c r="H143" s="211">
        <v>2</v>
      </c>
      <c r="I143" s="110" t="s">
        <v>386</v>
      </c>
      <c r="J143" s="110" t="s">
        <v>173</v>
      </c>
      <c r="K143" s="110">
        <v>1</v>
      </c>
      <c r="L143" s="110" t="s">
        <v>458</v>
      </c>
      <c r="M143" s="110">
        <v>25</v>
      </c>
      <c r="N143" s="128">
        <v>46023</v>
      </c>
      <c r="O143" s="128"/>
    </row>
    <row r="144" spans="1:18" x14ac:dyDescent="0.25">
      <c r="A144" t="str">
        <f>TableOUMPPWRI4[[#This Row],[Study Package Code]]</f>
        <v>NETS5012</v>
      </c>
      <c r="B144" s="1">
        <f>TableOUMPPWRI4[[#This Row],[Ver]]</f>
        <v>2</v>
      </c>
      <c r="C144" t="str">
        <f>IF(TableOUMPPWRI4[[#This Row],[Ver]]&gt;0,_xlfn.TEXTBEFORE(TableOUMPPWRI4[[#This Row],[Structure Line]]," "),"")</f>
        <v>MIC501</v>
      </c>
      <c r="D144" t="str">
        <f>IF(TableOUMPPWRI4[[#This Row],[OUA Code]]&lt;&gt;"",_xlfn.TEXTAFTER(TableOUMPPWRI4[[#This Row],[Structure Line]]," "),TableOUMPPWRI4[[#This Row],[Structure Line]])</f>
        <v>Graduate Web Communications</v>
      </c>
      <c r="E144" s="57">
        <f>TableOUMPPWRI4[[#This Row],[Credit Points]]</f>
        <v>25</v>
      </c>
      <c r="F144" s="110">
        <v>4</v>
      </c>
      <c r="G144" s="110" t="s">
        <v>387</v>
      </c>
      <c r="H144" s="211">
        <v>2</v>
      </c>
      <c r="I144" s="110" t="s">
        <v>386</v>
      </c>
      <c r="J144" s="110" t="s">
        <v>137</v>
      </c>
      <c r="K144" s="110">
        <v>2</v>
      </c>
      <c r="L144" s="110" t="s">
        <v>399</v>
      </c>
      <c r="M144" s="110">
        <v>25</v>
      </c>
      <c r="N144" s="128">
        <v>45658</v>
      </c>
      <c r="O144" s="128"/>
    </row>
    <row r="145" spans="1:18" x14ac:dyDescent="0.25">
      <c r="A145" t="str">
        <f>TableOUMPPWRI4[[#This Row],[Study Package Code]]</f>
        <v>NETS5013</v>
      </c>
      <c r="B145" s="1">
        <f>TableOUMPPWRI4[[#This Row],[Ver]]</f>
        <v>2</v>
      </c>
      <c r="C145" t="str">
        <f>IF(TableOUMPPWRI4[[#This Row],[Ver]]&gt;0,_xlfn.TEXTBEFORE(TableOUMPPWRI4[[#This Row],[Structure Line]]," "),"")</f>
        <v>MIC502</v>
      </c>
      <c r="D145" t="str">
        <f>IF(TableOUMPPWRI4[[#This Row],[OUA Code]]&lt;&gt;"",_xlfn.TEXTAFTER(TableOUMPPWRI4[[#This Row],[Structure Line]]," "),TableOUMPPWRI4[[#This Row],[Structure Line]])</f>
        <v>Graduate Digital Culture and Everyday Life</v>
      </c>
      <c r="E145" s="57">
        <f>TableOUMPPWRI4[[#This Row],[Credit Points]]</f>
        <v>25</v>
      </c>
      <c r="F145" s="110">
        <v>4</v>
      </c>
      <c r="G145" s="110" t="s">
        <v>387</v>
      </c>
      <c r="H145" s="211">
        <v>2</v>
      </c>
      <c r="I145" s="110" t="s">
        <v>386</v>
      </c>
      <c r="J145" s="110" t="s">
        <v>139</v>
      </c>
      <c r="K145" s="110">
        <v>2</v>
      </c>
      <c r="L145" s="110" t="s">
        <v>400</v>
      </c>
      <c r="M145" s="110">
        <v>25</v>
      </c>
      <c r="N145" s="128">
        <v>45658</v>
      </c>
      <c r="O145" s="128"/>
    </row>
    <row r="146" spans="1:18" x14ac:dyDescent="0.25">
      <c r="A146" t="str">
        <f>TableOUMPPWRI4[[#This Row],[Study Package Code]]</f>
        <v>NETS5015</v>
      </c>
      <c r="B146" s="1">
        <f>TableOUMPPWRI4[[#This Row],[Ver]]</f>
        <v>2</v>
      </c>
      <c r="C146" t="str">
        <f>IF(TableOUMPPWRI4[[#This Row],[Ver]]&gt;0,_xlfn.TEXTBEFORE(TableOUMPPWRI4[[#This Row],[Structure Line]]," "),"")</f>
        <v>MIC504</v>
      </c>
      <c r="D146" t="str">
        <f>IF(TableOUMPPWRI4[[#This Row],[OUA Code]]&lt;&gt;"",_xlfn.TEXTAFTER(TableOUMPPWRI4[[#This Row],[Structure Line]]," "),TableOUMPPWRI4[[#This Row],[Structure Line]])</f>
        <v>Graduate Social Media, Communities and Networks</v>
      </c>
      <c r="E146" s="57">
        <f>TableOUMPPWRI4[[#This Row],[Credit Points]]</f>
        <v>25</v>
      </c>
      <c r="F146" s="110">
        <v>4</v>
      </c>
      <c r="G146" s="110" t="s">
        <v>387</v>
      </c>
      <c r="H146" s="211">
        <v>2</v>
      </c>
      <c r="I146" s="110" t="s">
        <v>386</v>
      </c>
      <c r="J146" s="110" t="s">
        <v>170</v>
      </c>
      <c r="K146" s="110">
        <v>2</v>
      </c>
      <c r="L146" s="110" t="s">
        <v>402</v>
      </c>
      <c r="M146" s="110">
        <v>25</v>
      </c>
      <c r="N146" s="128">
        <v>45658</v>
      </c>
      <c r="O146" s="128"/>
    </row>
    <row r="147" spans="1:18" x14ac:dyDescent="0.25">
      <c r="A147" t="str">
        <f>TableOUMPPWRI4[[#This Row],[Study Package Code]]</f>
        <v>NETS5016</v>
      </c>
      <c r="B147" s="1">
        <f>TableOUMPPWRI4[[#This Row],[Ver]]</f>
        <v>2</v>
      </c>
      <c r="C147" t="str">
        <f>IF(TableOUMPPWRI4[[#This Row],[Ver]]&gt;0,_xlfn.TEXTBEFORE(TableOUMPPWRI4[[#This Row],[Structure Line]]," "),"")</f>
        <v>MIC505</v>
      </c>
      <c r="D147" t="str">
        <f>IF(TableOUMPPWRI4[[#This Row],[OUA Code]]&lt;&gt;"",_xlfn.TEXTAFTER(TableOUMPPWRI4[[#This Row],[Structure Line]]," "),TableOUMPPWRI4[[#This Row],[Structure Line]])</f>
        <v>Graduate Writing on the Web</v>
      </c>
      <c r="E147" s="57">
        <f>TableOUMPPWRI4[[#This Row],[Credit Points]]</f>
        <v>25</v>
      </c>
      <c r="F147" s="110">
        <v>4</v>
      </c>
      <c r="G147" s="110" t="s">
        <v>387</v>
      </c>
      <c r="H147" s="211">
        <v>2</v>
      </c>
      <c r="I147" s="110" t="s">
        <v>386</v>
      </c>
      <c r="J147" s="110" t="s">
        <v>167</v>
      </c>
      <c r="K147" s="110">
        <v>2</v>
      </c>
      <c r="L147" s="110" t="s">
        <v>403</v>
      </c>
      <c r="M147" s="110">
        <v>25</v>
      </c>
      <c r="N147" s="128">
        <v>45658</v>
      </c>
      <c r="O147" s="128"/>
    </row>
    <row r="148" spans="1:18" x14ac:dyDescent="0.25">
      <c r="A148" t="str">
        <f>TableOUMPPWRI4[[#This Row],[Study Package Code]]</f>
        <v>PWRP5026</v>
      </c>
      <c r="B148" s="1">
        <f>TableOUMPPWRI4[[#This Row],[Ver]]</f>
        <v>1</v>
      </c>
      <c r="C148" t="str">
        <f>IF(TableOUMPPWRI4[[#This Row],[Ver]]&gt;0,_xlfn.TEXTBEFORE(TableOUMPPWRI4[[#This Row],[Structure Line]]," "),"")</f>
        <v>PWP505</v>
      </c>
      <c r="D148" t="str">
        <f>IF(TableOUMPPWRI4[[#This Row],[OUA Code]]&lt;&gt;"",_xlfn.TEXTAFTER(TableOUMPPWRI4[[#This Row],[Structure Line]]," "),TableOUMPPWRI4[[#This Row],[Structure Line]])</f>
        <v>Graduate Advanced Workplace Writing</v>
      </c>
      <c r="E148" s="57">
        <f>TableOUMPPWRI4[[#This Row],[Credit Points]]</f>
        <v>25</v>
      </c>
      <c r="F148" s="110">
        <v>4</v>
      </c>
      <c r="G148" s="110" t="s">
        <v>387</v>
      </c>
      <c r="H148" s="211">
        <v>2</v>
      </c>
      <c r="I148" s="110" t="s">
        <v>386</v>
      </c>
      <c r="J148" s="110" t="s">
        <v>183</v>
      </c>
      <c r="K148" s="110">
        <v>1</v>
      </c>
      <c r="L148" s="110" t="s">
        <v>418</v>
      </c>
      <c r="M148" s="110">
        <v>25</v>
      </c>
      <c r="N148" s="128">
        <v>45658</v>
      </c>
      <c r="O148" s="128"/>
    </row>
    <row r="149" spans="1:18" x14ac:dyDescent="0.25">
      <c r="A149" t="str">
        <f>TableOUMPPWRI4[[#This Row],[Study Package Code]]</f>
        <v>PWRP5032</v>
      </c>
      <c r="B149" s="1">
        <f>TableOUMPPWRI4[[#This Row],[Ver]]</f>
        <v>1</v>
      </c>
      <c r="C149" t="str">
        <f>IF(TableOUMPPWRI4[[#This Row],[Ver]]&gt;0,_xlfn.TEXTBEFORE(TableOUMPPWRI4[[#This Row],[Structure Line]]," "),"")</f>
        <v>PWP535</v>
      </c>
      <c r="D149" t="str">
        <f>IF(TableOUMPPWRI4[[#This Row],[OUA Code]]&lt;&gt;"",_xlfn.TEXTAFTER(TableOUMPPWRI4[[#This Row],[Structure Line]]," "),TableOUMPPWRI4[[#This Row],[Structure Line]])</f>
        <v>Graduate Skills in Professional Writing</v>
      </c>
      <c r="E149" s="57">
        <f>TableOUMPPWRI4[[#This Row],[Credit Points]]</f>
        <v>25</v>
      </c>
      <c r="F149" s="110">
        <v>4</v>
      </c>
      <c r="G149" s="110" t="s">
        <v>387</v>
      </c>
      <c r="H149" s="211">
        <v>2</v>
      </c>
      <c r="I149" s="110" t="s">
        <v>386</v>
      </c>
      <c r="J149" s="110" t="s">
        <v>169</v>
      </c>
      <c r="K149" s="110">
        <v>1</v>
      </c>
      <c r="L149" s="110" t="s">
        <v>419</v>
      </c>
      <c r="M149" s="110">
        <v>25</v>
      </c>
      <c r="N149" s="128">
        <v>45658</v>
      </c>
      <c r="O149" s="128"/>
    </row>
    <row r="150" spans="1:18" x14ac:dyDescent="0.25">
      <c r="A150" t="str">
        <f>TableOUMPPWRI4[[#This Row],[Study Package Code]]</f>
        <v>PWRP5033</v>
      </c>
      <c r="B150" s="1">
        <f>TableOUMPPWRI4[[#This Row],[Ver]]</f>
        <v>1</v>
      </c>
      <c r="C150" t="str">
        <f>IF(TableOUMPPWRI4[[#This Row],[Ver]]&gt;0,_xlfn.TEXTBEFORE(TableOUMPPWRI4[[#This Row],[Structure Line]]," "),"")</f>
        <v>PWP540</v>
      </c>
      <c r="D150" t="str">
        <f>IF(TableOUMPPWRI4[[#This Row],[OUA Code]]&lt;&gt;"",_xlfn.TEXTAFTER(TableOUMPPWRI4[[#This Row],[Structure Line]]," "),TableOUMPPWRI4[[#This Row],[Structure Line]])</f>
        <v>Graduate Workplace Writing</v>
      </c>
      <c r="E150" s="57">
        <f>TableOUMPPWRI4[[#This Row],[Credit Points]]</f>
        <v>25</v>
      </c>
      <c r="F150" s="110">
        <v>4</v>
      </c>
      <c r="G150" s="110" t="s">
        <v>387</v>
      </c>
      <c r="H150" s="211">
        <v>2</v>
      </c>
      <c r="I150" s="110" t="s">
        <v>386</v>
      </c>
      <c r="J150" s="110" t="s">
        <v>172</v>
      </c>
      <c r="K150" s="110">
        <v>1</v>
      </c>
      <c r="L150" s="110" t="s">
        <v>420</v>
      </c>
      <c r="M150" s="110">
        <v>25</v>
      </c>
      <c r="N150" s="128">
        <v>45658</v>
      </c>
      <c r="O150" s="128"/>
    </row>
    <row r="151" spans="1:18" x14ac:dyDescent="0.25">
      <c r="A151" t="str">
        <f>TableOUMPPWRI4[[#This Row],[Study Package Code]]</f>
        <v>COMS6007</v>
      </c>
      <c r="B151" s="1">
        <f>TableOUMPPWRI4[[#This Row],[Ver]]</f>
        <v>1</v>
      </c>
      <c r="C151" t="str">
        <f>IF(TableOUMPPWRI4[[#This Row],[Ver]]&gt;0,_xlfn.TEXTBEFORE(TableOUMPPWRI4[[#This Row],[Structure Line]]," "),"")</f>
        <v>COM610</v>
      </c>
      <c r="D151" t="str">
        <f>IF(TableOUMPPWRI4[[#This Row],[OUA Code]]&lt;&gt;"",_xlfn.TEXTAFTER(TableOUMPPWRI4[[#This Row],[Structure Line]]," "),TableOUMPPWRI4[[#This Row],[Structure Line]])</f>
        <v>Masters Professional or Creative Project</v>
      </c>
      <c r="E151" s="57">
        <f>TableOUMPPWRI4[[#This Row],[Credit Points]]</f>
        <v>50</v>
      </c>
      <c r="F151" s="110">
        <v>5</v>
      </c>
      <c r="G151" s="110" t="s">
        <v>385</v>
      </c>
      <c r="H151" s="211">
        <v>2</v>
      </c>
      <c r="I151" s="110" t="s">
        <v>386</v>
      </c>
      <c r="J151" s="110" t="s">
        <v>123</v>
      </c>
      <c r="K151" s="110">
        <v>1</v>
      </c>
      <c r="L151" s="110" t="s">
        <v>395</v>
      </c>
      <c r="M151" s="110">
        <v>50</v>
      </c>
      <c r="N151" s="128">
        <v>45292</v>
      </c>
      <c r="O151" s="128"/>
    </row>
    <row r="152" spans="1:18" x14ac:dyDescent="0.25">
      <c r="A152" t="str">
        <f>TableOUMPPWRI4[[#This Row],[Study Package Code]]</f>
        <v>HUMN6004</v>
      </c>
      <c r="B152" s="1">
        <f>TableOUMPPWRI4[[#This Row],[Ver]]</f>
        <v>1</v>
      </c>
      <c r="C152" t="str">
        <f>IF(TableOUMPPWRI4[[#This Row],[Ver]]&gt;0,_xlfn.TEXTBEFORE(TableOUMPPWRI4[[#This Row],[Structure Line]]," "),"")</f>
        <v>HUMN610</v>
      </c>
      <c r="D152" t="str">
        <f>IF(TableOUMPPWRI4[[#This Row],[OUA Code]]&lt;&gt;"",_xlfn.TEXTAFTER(TableOUMPPWRI4[[#This Row],[Structure Line]]," "),TableOUMPPWRI4[[#This Row],[Structure Line]])</f>
        <v>Masters Research Project 2</v>
      </c>
      <c r="E152" s="57">
        <f>TableOUMPPWRI4[[#This Row],[Credit Points]]</f>
        <v>50</v>
      </c>
      <c r="F152" s="110">
        <v>5</v>
      </c>
      <c r="G152" s="110" t="s">
        <v>385</v>
      </c>
      <c r="H152" s="211">
        <v>2</v>
      </c>
      <c r="I152" s="110" t="s">
        <v>386</v>
      </c>
      <c r="J152" s="110" t="s">
        <v>125</v>
      </c>
      <c r="K152" s="110">
        <v>1</v>
      </c>
      <c r="L152" s="110" t="s">
        <v>396</v>
      </c>
      <c r="M152" s="110">
        <v>50</v>
      </c>
      <c r="N152" s="128">
        <v>45292</v>
      </c>
      <c r="O152" s="128"/>
    </row>
    <row r="153" spans="1:18" x14ac:dyDescent="0.25">
      <c r="H153" s="1"/>
    </row>
    <row r="154" spans="1:18" x14ac:dyDescent="0.25">
      <c r="B154"/>
      <c r="E154"/>
      <c r="F154" s="209"/>
      <c r="G154" s="173" t="s">
        <v>374</v>
      </c>
      <c r="H154" s="212">
        <v>46035</v>
      </c>
      <c r="I154" s="171"/>
      <c r="J154" s="171" t="s">
        <v>65</v>
      </c>
      <c r="K154" s="172">
        <v>1</v>
      </c>
      <c r="L154" s="171" t="s">
        <v>43</v>
      </c>
      <c r="M154" s="171"/>
      <c r="N154" s="179">
        <v>42005</v>
      </c>
      <c r="O154" s="174"/>
    </row>
    <row r="155" spans="1:18" x14ac:dyDescent="0.25">
      <c r="A155" t="s">
        <v>0</v>
      </c>
      <c r="B155" s="1" t="s">
        <v>375</v>
      </c>
      <c r="C155" t="s">
        <v>22</v>
      </c>
      <c r="D155" t="s">
        <v>3</v>
      </c>
      <c r="E155" s="57" t="s">
        <v>376</v>
      </c>
      <c r="F155" t="s">
        <v>377</v>
      </c>
      <c r="G155" t="s">
        <v>378</v>
      </c>
      <c r="H155" s="1" t="s">
        <v>379</v>
      </c>
      <c r="I155" t="s">
        <v>23</v>
      </c>
      <c r="J155" t="s">
        <v>380</v>
      </c>
      <c r="K155" t="s">
        <v>1</v>
      </c>
      <c r="L155" t="s">
        <v>381</v>
      </c>
      <c r="M155" t="s">
        <v>58</v>
      </c>
      <c r="N155" t="s">
        <v>382</v>
      </c>
      <c r="O155" t="s">
        <v>383</v>
      </c>
      <c r="Q155" t="s">
        <v>384</v>
      </c>
      <c r="R155" t="s">
        <v>1</v>
      </c>
    </row>
    <row r="156" spans="1:18" x14ac:dyDescent="0.25">
      <c r="A156" t="str">
        <f>TableOCHRIGHT[[#This Row],[Study Package Code]]</f>
        <v>Opt-HRIGHT</v>
      </c>
      <c r="B156" s="1">
        <f>TableOCHRIGHT[[#This Row],[Ver]]</f>
        <v>0</v>
      </c>
      <c r="C156" t="str">
        <f>IF(TableOCHRIGHT[[#This Row],[Ver]]&gt;0,_xlfn.TEXTBEFORE(TableOCHRIGHT[[#This Row],[Structure Line]]," "),"")</f>
        <v/>
      </c>
      <c r="D156" t="str">
        <f>IF(TableOCHRIGHT[[#This Row],[OUA Code]]&lt;&gt;"",_xlfn.TEXTAFTER(TableOCHRIGHT[[#This Row],[Structure Line]]," "),TableOCHRIGHT[[#This Row],[Structure Line]])</f>
        <v>Choose Options</v>
      </c>
      <c r="E156" s="57">
        <f>TableOCHRIGHT[[#This Row],[Credit Points]]</f>
        <v>100</v>
      </c>
      <c r="F156" s="110">
        <v>1</v>
      </c>
      <c r="G156" s="110" t="s">
        <v>387</v>
      </c>
      <c r="H156" s="211">
        <v>0</v>
      </c>
      <c r="I156" s="110" t="s">
        <v>386</v>
      </c>
      <c r="J156" s="110" t="s">
        <v>335</v>
      </c>
      <c r="K156" s="110">
        <v>0</v>
      </c>
      <c r="L156" s="110" t="s">
        <v>336</v>
      </c>
      <c r="M156" s="110">
        <v>100</v>
      </c>
      <c r="N156" s="128"/>
      <c r="O156" s="128"/>
      <c r="Q156" t="s">
        <v>335</v>
      </c>
      <c r="R156">
        <v>0</v>
      </c>
    </row>
    <row r="157" spans="1:18" x14ac:dyDescent="0.25">
      <c r="A157" t="str">
        <f>TableOCHRIGHT[[#This Row],[Study Package Code]]</f>
        <v>HRIG5007</v>
      </c>
      <c r="B157" s="1">
        <f>TableOCHRIGHT[[#This Row],[Ver]]</f>
        <v>2</v>
      </c>
      <c r="C157" t="str">
        <f>IF(TableOCHRIGHT[[#This Row],[Ver]]&gt;0,_xlfn.TEXTBEFORE(TableOCHRIGHT[[#This Row],[Structure Line]]," "),"")</f>
        <v>CHRE502</v>
      </c>
      <c r="D157" t="str">
        <f>IF(TableOCHRIGHT[[#This Row],[OUA Code]]&lt;&gt;"",_xlfn.TEXTAFTER(TableOCHRIGHT[[#This Row],[Structure Line]]," "),TableOCHRIGHT[[#This Row],[Structure Line]])</f>
        <v>Dialogue across Cultures and Religions</v>
      </c>
      <c r="E157" s="57">
        <f>TableOCHRIGHT[[#This Row],[Credit Points]]</f>
        <v>25</v>
      </c>
      <c r="F157" s="110">
        <v>1</v>
      </c>
      <c r="G157" s="110" t="s">
        <v>387</v>
      </c>
      <c r="H157" s="211">
        <v>0</v>
      </c>
      <c r="I157" s="110" t="s">
        <v>386</v>
      </c>
      <c r="J157" s="110" t="s">
        <v>222</v>
      </c>
      <c r="K157" s="110">
        <v>2</v>
      </c>
      <c r="L157" s="110" t="s">
        <v>421</v>
      </c>
      <c r="M157" s="110">
        <v>25</v>
      </c>
      <c r="N157" s="128">
        <v>45292</v>
      </c>
      <c r="O157" s="128"/>
      <c r="Q157" t="s">
        <v>222</v>
      </c>
      <c r="R157">
        <v>2</v>
      </c>
    </row>
    <row r="158" spans="1:18" x14ac:dyDescent="0.25">
      <c r="A158" t="str">
        <f>TableOCHRIGHT[[#This Row],[Study Package Code]]</f>
        <v>HRIG5008</v>
      </c>
      <c r="B158" s="1">
        <f>TableOCHRIGHT[[#This Row],[Ver]]</f>
        <v>2</v>
      </c>
      <c r="C158" t="str">
        <f>IF(TableOCHRIGHT[[#This Row],[Ver]]&gt;0,_xlfn.TEXTBEFORE(TableOCHRIGHT[[#This Row],[Structure Line]]," "),"")</f>
        <v>CHRE506</v>
      </c>
      <c r="D158" t="str">
        <f>IF(TableOCHRIGHT[[#This Row],[OUA Code]]&lt;&gt;"",_xlfn.TEXTAFTER(TableOCHRIGHT[[#This Row],[Structure Line]]," "),TableOCHRIGHT[[#This Row],[Structure Line]])</f>
        <v>International Human Rights Law and Practice</v>
      </c>
      <c r="E158" s="57">
        <f>TableOCHRIGHT[[#This Row],[Credit Points]]</f>
        <v>25</v>
      </c>
      <c r="F158" s="110">
        <v>1</v>
      </c>
      <c r="G158" s="110" t="s">
        <v>387</v>
      </c>
      <c r="H158" s="211">
        <v>0</v>
      </c>
      <c r="I158" s="110" t="s">
        <v>386</v>
      </c>
      <c r="J158" s="110" t="s">
        <v>225</v>
      </c>
      <c r="K158" s="110">
        <v>2</v>
      </c>
      <c r="L158" s="110" t="s">
        <v>422</v>
      </c>
      <c r="M158" s="110">
        <v>25</v>
      </c>
      <c r="N158" s="128">
        <v>45292</v>
      </c>
      <c r="O158" s="128"/>
      <c r="Q158" t="s">
        <v>225</v>
      </c>
      <c r="R158">
        <v>2</v>
      </c>
    </row>
    <row r="159" spans="1:18" x14ac:dyDescent="0.25">
      <c r="A159" t="str">
        <f>TableOCHRIGHT[[#This Row],[Study Package Code]]</f>
        <v>HRIG5009</v>
      </c>
      <c r="B159" s="1">
        <f>TableOCHRIGHT[[#This Row],[Ver]]</f>
        <v>2</v>
      </c>
      <c r="C159" t="str">
        <f>IF(TableOCHRIGHT[[#This Row],[Ver]]&gt;0,_xlfn.TEXTBEFORE(TableOCHRIGHT[[#This Row],[Structure Line]]," "),"")</f>
        <v>CHRE507</v>
      </c>
      <c r="D159" t="str">
        <f>IF(TableOCHRIGHT[[#This Row],[OUA Code]]&lt;&gt;"",_xlfn.TEXTAFTER(TableOCHRIGHT[[#This Row],[Structure Line]]," "),TableOCHRIGHT[[#This Row],[Structure Line]])</f>
        <v>Social Justice and Development</v>
      </c>
      <c r="E159" s="57">
        <f>TableOCHRIGHT[[#This Row],[Credit Points]]</f>
        <v>25</v>
      </c>
      <c r="F159" s="110">
        <v>1</v>
      </c>
      <c r="G159" s="110" t="s">
        <v>387</v>
      </c>
      <c r="H159" s="211">
        <v>0</v>
      </c>
      <c r="I159" s="110" t="s">
        <v>386</v>
      </c>
      <c r="J159" s="110" t="s">
        <v>227</v>
      </c>
      <c r="K159" s="110">
        <v>2</v>
      </c>
      <c r="L159" s="110" t="s">
        <v>423</v>
      </c>
      <c r="M159" s="110">
        <v>25</v>
      </c>
      <c r="N159" s="128">
        <v>45292</v>
      </c>
      <c r="O159" s="128"/>
      <c r="Q159" t="s">
        <v>227</v>
      </c>
      <c r="R159">
        <v>2</v>
      </c>
    </row>
    <row r="160" spans="1:18" x14ac:dyDescent="0.25">
      <c r="A160" t="str">
        <f>TableOCHRIGHT[[#This Row],[Study Package Code]]</f>
        <v>HRIG5010</v>
      </c>
      <c r="B160" s="1">
        <f>TableOCHRIGHT[[#This Row],[Ver]]</f>
        <v>2</v>
      </c>
      <c r="C160" t="str">
        <f>IF(TableOCHRIGHT[[#This Row],[Ver]]&gt;0,_xlfn.TEXTBEFORE(TableOCHRIGHT[[#This Row],[Structure Line]]," "),"")</f>
        <v>CHRE512</v>
      </c>
      <c r="D160" t="str">
        <f>IF(TableOCHRIGHT[[#This Row],[OUA Code]]&lt;&gt;"",_xlfn.TEXTAFTER(TableOCHRIGHT[[#This Row],[Structure Line]]," "),TableOCHRIGHT[[#This Row],[Structure Line]])</f>
        <v>Activism, Advocacy and Change</v>
      </c>
      <c r="E160" s="57">
        <f>TableOCHRIGHT[[#This Row],[Credit Points]]</f>
        <v>25</v>
      </c>
      <c r="F160" s="110">
        <v>1</v>
      </c>
      <c r="G160" s="110" t="s">
        <v>387</v>
      </c>
      <c r="H160" s="211">
        <v>0</v>
      </c>
      <c r="I160" s="110" t="s">
        <v>386</v>
      </c>
      <c r="J160" s="110" t="s">
        <v>228</v>
      </c>
      <c r="K160" s="110">
        <v>2</v>
      </c>
      <c r="L160" s="110" t="s">
        <v>424</v>
      </c>
      <c r="M160" s="110">
        <v>25</v>
      </c>
      <c r="N160" s="128">
        <v>45292</v>
      </c>
      <c r="O160" s="128"/>
      <c r="Q160" t="s">
        <v>228</v>
      </c>
      <c r="R160">
        <v>2</v>
      </c>
    </row>
    <row r="161" spans="1:18" x14ac:dyDescent="0.25">
      <c r="A161" t="str">
        <f>TableOCHRIGHT[[#This Row],[Study Package Code]]</f>
        <v>HRIG5011</v>
      </c>
      <c r="B161" s="1">
        <f>TableOCHRIGHT[[#This Row],[Ver]]</f>
        <v>3</v>
      </c>
      <c r="C161" t="str">
        <f>IF(TableOCHRIGHT[[#This Row],[Ver]]&gt;0,_xlfn.TEXTBEFORE(TableOCHRIGHT[[#This Row],[Structure Line]]," "),"")</f>
        <v>CHRE509</v>
      </c>
      <c r="D161" t="str">
        <f>IF(TableOCHRIGHT[[#This Row],[OUA Code]]&lt;&gt;"",_xlfn.TEXTAFTER(TableOCHRIGHT[[#This Row],[Structure Line]]," "),TableOCHRIGHT[[#This Row],[Structure Line]])</f>
        <v>Forced Migration and Refugee Rights</v>
      </c>
      <c r="E161" s="57">
        <f>TableOCHRIGHT[[#This Row],[Credit Points]]</f>
        <v>25</v>
      </c>
      <c r="F161" s="110">
        <v>1</v>
      </c>
      <c r="G161" s="110" t="s">
        <v>387</v>
      </c>
      <c r="H161" s="211">
        <v>0</v>
      </c>
      <c r="I161" s="110" t="s">
        <v>386</v>
      </c>
      <c r="J161" s="110" t="s">
        <v>229</v>
      </c>
      <c r="K161" s="110">
        <v>3</v>
      </c>
      <c r="L161" s="110" t="s">
        <v>425</v>
      </c>
      <c r="M161" s="110">
        <v>25</v>
      </c>
      <c r="N161" s="128">
        <v>45292</v>
      </c>
      <c r="O161" s="128"/>
      <c r="Q161" t="s">
        <v>229</v>
      </c>
      <c r="R161">
        <v>3</v>
      </c>
    </row>
    <row r="162" spans="1:18" x14ac:dyDescent="0.25">
      <c r="A162" t="str">
        <f>TableOCHRIGHT[[#This Row],[Study Package Code]]</f>
        <v>INTR5007</v>
      </c>
      <c r="B162" s="1">
        <f>TableOCHRIGHT[[#This Row],[Ver]]</f>
        <v>2</v>
      </c>
      <c r="C162" t="str">
        <f>IF(TableOCHRIGHT[[#This Row],[Ver]]&gt;0,_xlfn.TEXTBEFORE(TableOCHRIGHT[[#This Row],[Structure Line]]," "),"")</f>
        <v>CHRE503</v>
      </c>
      <c r="D162" t="str">
        <f>IF(TableOCHRIGHT[[#This Row],[OUA Code]]&lt;&gt;"",_xlfn.TEXTAFTER(TableOCHRIGHT[[#This Row],[Structure Line]]," "),TableOCHRIGHT[[#This Row],[Structure Line]])</f>
        <v>Human Rights Education in Practice</v>
      </c>
      <c r="E162" s="57">
        <f>TableOCHRIGHT[[#This Row],[Credit Points]]</f>
        <v>25</v>
      </c>
      <c r="F162" s="110">
        <v>1</v>
      </c>
      <c r="G162" s="110" t="s">
        <v>387</v>
      </c>
      <c r="H162" s="211">
        <v>0</v>
      </c>
      <c r="I162" s="110" t="s">
        <v>386</v>
      </c>
      <c r="J162" s="110" t="s">
        <v>230</v>
      </c>
      <c r="K162" s="110">
        <v>2</v>
      </c>
      <c r="L162" s="110" t="s">
        <v>426</v>
      </c>
      <c r="M162" s="110">
        <v>25</v>
      </c>
      <c r="N162" s="128">
        <v>45292</v>
      </c>
      <c r="O162" s="128"/>
      <c r="Q162" t="s">
        <v>230</v>
      </c>
      <c r="R162">
        <v>2</v>
      </c>
    </row>
    <row r="163" spans="1:18" x14ac:dyDescent="0.25">
      <c r="B163"/>
      <c r="E163"/>
      <c r="F163" s="209"/>
      <c r="G163" s="173" t="s">
        <v>374</v>
      </c>
      <c r="H163" s="212">
        <v>46035</v>
      </c>
      <c r="I163" s="171"/>
      <c r="J163" s="171" t="s">
        <v>68</v>
      </c>
      <c r="K163" s="172">
        <v>1</v>
      </c>
      <c r="L163" s="171" t="s">
        <v>67</v>
      </c>
      <c r="M163" s="171"/>
      <c r="N163" s="179">
        <v>42005</v>
      </c>
      <c r="O163" s="174"/>
    </row>
    <row r="164" spans="1:18" x14ac:dyDescent="0.25">
      <c r="A164" t="s">
        <v>0</v>
      </c>
      <c r="B164" s="1" t="s">
        <v>375</v>
      </c>
      <c r="C164" t="s">
        <v>22</v>
      </c>
      <c r="D164" t="s">
        <v>3</v>
      </c>
      <c r="E164" s="57" t="s">
        <v>376</v>
      </c>
      <c r="F164" t="s">
        <v>377</v>
      </c>
      <c r="G164" t="s">
        <v>378</v>
      </c>
      <c r="H164" s="1" t="s">
        <v>379</v>
      </c>
      <c r="I164" t="s">
        <v>23</v>
      </c>
      <c r="J164" t="s">
        <v>380</v>
      </c>
      <c r="K164" t="s">
        <v>1</v>
      </c>
      <c r="L164" t="s">
        <v>381</v>
      </c>
      <c r="M164" t="s">
        <v>58</v>
      </c>
      <c r="N164" t="s">
        <v>382</v>
      </c>
      <c r="O164" t="s">
        <v>383</v>
      </c>
      <c r="Q164" t="s">
        <v>384</v>
      </c>
      <c r="R164" t="s">
        <v>1</v>
      </c>
    </row>
    <row r="165" spans="1:18" x14ac:dyDescent="0.25">
      <c r="A165" t="str">
        <f>TableOGHRIGHT[[#This Row],[Study Package Code]]</f>
        <v>HRIG5006</v>
      </c>
      <c r="B165" s="1">
        <f>TableOGHRIGHT[[#This Row],[Ver]]</f>
        <v>2</v>
      </c>
      <c r="C165" t="str">
        <f>IF(TableOGHRIGHT[[#This Row],[Ver]]&gt;0,_xlfn.TEXTBEFORE(TableOGHRIGHT[[#This Row],[Structure Line]]," "),"")</f>
        <v>CHRE501</v>
      </c>
      <c r="D165" t="str">
        <f>IF(TableOGHRIGHT[[#This Row],[OUA Code]]&lt;&gt;"",_xlfn.TEXTAFTER(TableOGHRIGHT[[#This Row],[Structure Line]]," "),TableOGHRIGHT[[#This Row],[Structure Line]])</f>
        <v>Introduction to Human Rights and Social Justice</v>
      </c>
      <c r="E165" s="57">
        <f>TableOGHRIGHT[[#This Row],[Credit Points]]</f>
        <v>25</v>
      </c>
      <c r="F165" s="110">
        <v>1</v>
      </c>
      <c r="G165" s="110" t="s">
        <v>388</v>
      </c>
      <c r="H165" s="211">
        <v>0</v>
      </c>
      <c r="I165" s="110" t="s">
        <v>386</v>
      </c>
      <c r="J165" s="110" t="s">
        <v>223</v>
      </c>
      <c r="K165" s="110">
        <v>2</v>
      </c>
      <c r="L165" s="110" t="s">
        <v>427</v>
      </c>
      <c r="M165" s="110">
        <v>25</v>
      </c>
      <c r="N165" s="128">
        <v>45292</v>
      </c>
      <c r="O165" s="128"/>
      <c r="Q165" t="s">
        <v>223</v>
      </c>
      <c r="R165">
        <v>2</v>
      </c>
    </row>
    <row r="166" spans="1:18" x14ac:dyDescent="0.25">
      <c r="A166" t="str">
        <f>TableOGHRIGHT[[#This Row],[Study Package Code]]</f>
        <v>HRIG5007</v>
      </c>
      <c r="B166" s="1">
        <f>TableOGHRIGHT[[#This Row],[Ver]]</f>
        <v>2</v>
      </c>
      <c r="C166" t="str">
        <f>IF(TableOGHRIGHT[[#This Row],[Ver]]&gt;0,_xlfn.TEXTBEFORE(TableOGHRIGHT[[#This Row],[Structure Line]]," "),"")</f>
        <v>CHRE502</v>
      </c>
      <c r="D166" t="str">
        <f>IF(TableOGHRIGHT[[#This Row],[OUA Code]]&lt;&gt;"",_xlfn.TEXTAFTER(TableOGHRIGHT[[#This Row],[Structure Line]]," "),TableOGHRIGHT[[#This Row],[Structure Line]])</f>
        <v>Dialogue across Cultures and Religions</v>
      </c>
      <c r="E166" s="57">
        <f>TableOGHRIGHT[[#This Row],[Credit Points]]</f>
        <v>25</v>
      </c>
      <c r="F166" s="110">
        <v>2</v>
      </c>
      <c r="G166" s="110" t="s">
        <v>388</v>
      </c>
      <c r="H166" s="211">
        <v>0</v>
      </c>
      <c r="I166" s="110" t="s">
        <v>386</v>
      </c>
      <c r="J166" s="110" t="s">
        <v>222</v>
      </c>
      <c r="K166" s="110">
        <v>2</v>
      </c>
      <c r="L166" s="110" t="s">
        <v>421</v>
      </c>
      <c r="M166" s="110">
        <v>25</v>
      </c>
      <c r="N166" s="128">
        <v>45292</v>
      </c>
      <c r="O166" s="128"/>
      <c r="Q166" t="s">
        <v>222</v>
      </c>
      <c r="R166">
        <v>2</v>
      </c>
    </row>
    <row r="167" spans="1:18" x14ac:dyDescent="0.25">
      <c r="A167" t="str">
        <f>TableOGHRIGHT[[#This Row],[Study Package Code]]</f>
        <v>HRIG5008</v>
      </c>
      <c r="B167" s="1">
        <f>TableOGHRIGHT[[#This Row],[Ver]]</f>
        <v>2</v>
      </c>
      <c r="C167" t="str">
        <f>IF(TableOGHRIGHT[[#This Row],[Ver]]&gt;0,_xlfn.TEXTBEFORE(TableOGHRIGHT[[#This Row],[Structure Line]]," "),"")</f>
        <v>CHRE506</v>
      </c>
      <c r="D167" t="str">
        <f>IF(TableOGHRIGHT[[#This Row],[OUA Code]]&lt;&gt;"",_xlfn.TEXTAFTER(TableOGHRIGHT[[#This Row],[Structure Line]]," "),TableOGHRIGHT[[#This Row],[Structure Line]])</f>
        <v>International Human Rights Law and Practice</v>
      </c>
      <c r="E167" s="57">
        <f>TableOGHRIGHT[[#This Row],[Credit Points]]</f>
        <v>25</v>
      </c>
      <c r="F167" s="110">
        <v>3</v>
      </c>
      <c r="G167" s="110" t="s">
        <v>388</v>
      </c>
      <c r="H167" s="211">
        <v>0</v>
      </c>
      <c r="I167" s="110" t="s">
        <v>386</v>
      </c>
      <c r="J167" s="110" t="s">
        <v>225</v>
      </c>
      <c r="K167" s="110">
        <v>2</v>
      </c>
      <c r="L167" s="110" t="s">
        <v>422</v>
      </c>
      <c r="M167" s="110">
        <v>25</v>
      </c>
      <c r="N167" s="128">
        <v>45292</v>
      </c>
      <c r="O167" s="128"/>
      <c r="Q167" t="s">
        <v>225</v>
      </c>
      <c r="R167">
        <v>2</v>
      </c>
    </row>
    <row r="168" spans="1:18" x14ac:dyDescent="0.25">
      <c r="A168" t="str">
        <f>TableOGHRIGHT[[#This Row],[Study Package Code]]</f>
        <v>HRIG5009</v>
      </c>
      <c r="B168" s="1">
        <f>TableOGHRIGHT[[#This Row],[Ver]]</f>
        <v>2</v>
      </c>
      <c r="C168" t="str">
        <f>IF(TableOGHRIGHT[[#This Row],[Ver]]&gt;0,_xlfn.TEXTBEFORE(TableOGHRIGHT[[#This Row],[Structure Line]]," "),"")</f>
        <v>CHRE507</v>
      </c>
      <c r="D168" t="str">
        <f>IF(TableOGHRIGHT[[#This Row],[OUA Code]]&lt;&gt;"",_xlfn.TEXTAFTER(TableOGHRIGHT[[#This Row],[Structure Line]]," "),TableOGHRIGHT[[#This Row],[Structure Line]])</f>
        <v>Social Justice and Development</v>
      </c>
      <c r="E168" s="57">
        <f>TableOGHRIGHT[[#This Row],[Credit Points]]</f>
        <v>25</v>
      </c>
      <c r="F168" s="110">
        <v>4</v>
      </c>
      <c r="G168" s="110" t="s">
        <v>388</v>
      </c>
      <c r="H168" s="211">
        <v>0</v>
      </c>
      <c r="I168" s="110" t="s">
        <v>386</v>
      </c>
      <c r="J168" s="110" t="s">
        <v>227</v>
      </c>
      <c r="K168" s="110">
        <v>2</v>
      </c>
      <c r="L168" s="110" t="s">
        <v>423</v>
      </c>
      <c r="M168" s="110">
        <v>25</v>
      </c>
      <c r="N168" s="128">
        <v>45292</v>
      </c>
      <c r="O168" s="128"/>
      <c r="Q168" t="s">
        <v>227</v>
      </c>
      <c r="R168">
        <v>2</v>
      </c>
    </row>
    <row r="169" spans="1:18" x14ac:dyDescent="0.25">
      <c r="A169" t="str">
        <f>TableOGHRIGHT[[#This Row],[Study Package Code]]</f>
        <v>HRIG5010</v>
      </c>
      <c r="B169" s="1">
        <f>TableOGHRIGHT[[#This Row],[Ver]]</f>
        <v>2</v>
      </c>
      <c r="C169" t="str">
        <f>IF(TableOGHRIGHT[[#This Row],[Ver]]&gt;0,_xlfn.TEXTBEFORE(TableOGHRIGHT[[#This Row],[Structure Line]]," "),"")</f>
        <v>CHRE512</v>
      </c>
      <c r="D169" t="str">
        <f>IF(TableOGHRIGHT[[#This Row],[OUA Code]]&lt;&gt;"",_xlfn.TEXTAFTER(TableOGHRIGHT[[#This Row],[Structure Line]]," "),TableOGHRIGHT[[#This Row],[Structure Line]])</f>
        <v>Activism, Advocacy and Change</v>
      </c>
      <c r="E169" s="57">
        <f>TableOGHRIGHT[[#This Row],[Credit Points]]</f>
        <v>25</v>
      </c>
      <c r="F169" s="110">
        <v>5</v>
      </c>
      <c r="G169" s="110" t="s">
        <v>388</v>
      </c>
      <c r="H169" s="211">
        <v>0</v>
      </c>
      <c r="I169" s="110" t="s">
        <v>386</v>
      </c>
      <c r="J169" s="110" t="s">
        <v>228</v>
      </c>
      <c r="K169" s="110">
        <v>2</v>
      </c>
      <c r="L169" s="110" t="s">
        <v>424</v>
      </c>
      <c r="M169" s="110">
        <v>25</v>
      </c>
      <c r="N169" s="128">
        <v>45292</v>
      </c>
      <c r="O169" s="128"/>
      <c r="Q169" t="s">
        <v>228</v>
      </c>
      <c r="R169">
        <v>2</v>
      </c>
    </row>
    <row r="170" spans="1:18" x14ac:dyDescent="0.25">
      <c r="A170" t="str">
        <f>TableOGHRIGHT[[#This Row],[Study Package Code]]</f>
        <v>INTR5007</v>
      </c>
      <c r="B170" s="1">
        <f>TableOGHRIGHT[[#This Row],[Ver]]</f>
        <v>2</v>
      </c>
      <c r="C170" t="str">
        <f>IF(TableOGHRIGHT[[#This Row],[Ver]]&gt;0,_xlfn.TEXTBEFORE(TableOGHRIGHT[[#This Row],[Structure Line]]," "),"")</f>
        <v>CHRE503</v>
      </c>
      <c r="D170" t="str">
        <f>IF(TableOGHRIGHT[[#This Row],[OUA Code]]&lt;&gt;"",_xlfn.TEXTAFTER(TableOGHRIGHT[[#This Row],[Structure Line]]," "),TableOGHRIGHT[[#This Row],[Structure Line]])</f>
        <v>Human Rights Education in Practice</v>
      </c>
      <c r="E170" s="57">
        <f>TableOGHRIGHT[[#This Row],[Credit Points]]</f>
        <v>25</v>
      </c>
      <c r="F170" s="110">
        <v>6</v>
      </c>
      <c r="G170" s="110" t="s">
        <v>388</v>
      </c>
      <c r="H170" s="211">
        <v>0</v>
      </c>
      <c r="I170" s="110" t="s">
        <v>386</v>
      </c>
      <c r="J170" s="110" t="s">
        <v>230</v>
      </c>
      <c r="K170" s="110">
        <v>2</v>
      </c>
      <c r="L170" s="110" t="s">
        <v>426</v>
      </c>
      <c r="M170" s="110">
        <v>25</v>
      </c>
      <c r="N170" s="128">
        <v>45292</v>
      </c>
      <c r="O170" s="128"/>
      <c r="Q170" t="s">
        <v>230</v>
      </c>
      <c r="R170">
        <v>2</v>
      </c>
    </row>
    <row r="171" spans="1:18" x14ac:dyDescent="0.25">
      <c r="A171" t="str">
        <f>TableOGHRIGHT[[#This Row],[Study Package Code]]</f>
        <v>Elective</v>
      </c>
      <c r="B171" s="1">
        <f>TableOGHRIGHT[[#This Row],[Ver]]</f>
        <v>0</v>
      </c>
      <c r="C171" t="str">
        <f>IF(TableOGHRIGHT[[#This Row],[Ver]]&gt;0,_xlfn.TEXTBEFORE(TableOGHRIGHT[[#This Row],[Structure Line]]," "),"")</f>
        <v/>
      </c>
      <c r="D171" t="str">
        <f>IF(TableOGHRIGHT[[#This Row],[OUA Code]]&lt;&gt;"",_xlfn.TEXTAFTER(TableOGHRIGHT[[#This Row],[Structure Line]]," "),TableOGHRIGHT[[#This Row],[Structure Line]])</f>
        <v>Choose Electives</v>
      </c>
      <c r="E171" s="57">
        <f>TableOGHRIGHT[[#This Row],[Credit Points]]</f>
        <v>50</v>
      </c>
      <c r="F171" s="110">
        <v>7</v>
      </c>
      <c r="G171" s="110" t="s">
        <v>276</v>
      </c>
      <c r="H171" s="211">
        <v>0</v>
      </c>
      <c r="I171" s="110" t="s">
        <v>386</v>
      </c>
      <c r="J171" s="110" t="s">
        <v>276</v>
      </c>
      <c r="K171" s="110">
        <v>0</v>
      </c>
      <c r="L171" s="110" t="s">
        <v>277</v>
      </c>
      <c r="M171" s="110">
        <v>50</v>
      </c>
      <c r="N171" s="128"/>
      <c r="O171" s="128"/>
      <c r="Q171" t="s">
        <v>276</v>
      </c>
      <c r="R171">
        <v>0</v>
      </c>
    </row>
    <row r="172" spans="1:18" x14ac:dyDescent="0.25">
      <c r="B172"/>
      <c r="E172"/>
      <c r="F172" s="209"/>
      <c r="G172" s="173" t="s">
        <v>374</v>
      </c>
      <c r="H172" s="212">
        <v>46035</v>
      </c>
      <c r="I172" s="171"/>
      <c r="J172" s="171" t="s">
        <v>71</v>
      </c>
      <c r="K172" s="172">
        <v>2</v>
      </c>
      <c r="L172" s="171" t="s">
        <v>50</v>
      </c>
      <c r="M172" s="171"/>
      <c r="N172" s="179">
        <v>45292</v>
      </c>
      <c r="O172" s="174"/>
    </row>
    <row r="173" spans="1:18" x14ac:dyDescent="0.25">
      <c r="A173" t="s">
        <v>0</v>
      </c>
      <c r="B173" s="1" t="s">
        <v>375</v>
      </c>
      <c r="C173" t="s">
        <v>22</v>
      </c>
      <c r="D173" t="s">
        <v>3</v>
      </c>
      <c r="E173" s="57" t="s">
        <v>376</v>
      </c>
      <c r="F173" t="s">
        <v>377</v>
      </c>
      <c r="G173" t="s">
        <v>378</v>
      </c>
      <c r="H173" s="1" t="s">
        <v>379</v>
      </c>
      <c r="I173" t="s">
        <v>23</v>
      </c>
      <c r="J173" t="s">
        <v>380</v>
      </c>
      <c r="K173" t="s">
        <v>1</v>
      </c>
      <c r="L173" t="s">
        <v>381</v>
      </c>
      <c r="M173" t="s">
        <v>58</v>
      </c>
      <c r="N173" t="s">
        <v>382</v>
      </c>
      <c r="O173" t="s">
        <v>383</v>
      </c>
      <c r="Q173" t="s">
        <v>384</v>
      </c>
      <c r="R173" t="s">
        <v>1</v>
      </c>
    </row>
    <row r="174" spans="1:18" x14ac:dyDescent="0.25">
      <c r="A174" t="str">
        <f>TableOMHRIGHT[[#This Row],[Study Package Code]]</f>
        <v>HRIG5006</v>
      </c>
      <c r="B174" s="1">
        <f>TableOMHRIGHT[[#This Row],[Ver]]</f>
        <v>2</v>
      </c>
      <c r="C174" t="str">
        <f>IF(TableOMHRIGHT[[#This Row],[Ver]]&gt;0,_xlfn.TEXTBEFORE(TableOMHRIGHT[[#This Row],[Structure Line]]," "),"")</f>
        <v>CHRE501</v>
      </c>
      <c r="D174" t="str">
        <f>IF(TableOMHRIGHT[[#This Row],[OUA Code]]&lt;&gt;"",_xlfn.TEXTAFTER(TableOMHRIGHT[[#This Row],[Structure Line]]," "),TableOMHRIGHT[[#This Row],[Structure Line]])</f>
        <v>Introduction to Human Rights and Social Justice</v>
      </c>
      <c r="E174" s="57">
        <f>TableOMHRIGHT[[#This Row],[Credit Points]]</f>
        <v>25</v>
      </c>
      <c r="F174" s="110">
        <v>1</v>
      </c>
      <c r="G174" s="110" t="s">
        <v>388</v>
      </c>
      <c r="H174" s="211">
        <v>1</v>
      </c>
      <c r="I174" s="110" t="s">
        <v>386</v>
      </c>
      <c r="J174" s="110" t="s">
        <v>223</v>
      </c>
      <c r="K174" s="110">
        <v>2</v>
      </c>
      <c r="L174" s="110" t="s">
        <v>427</v>
      </c>
      <c r="M174" s="110">
        <v>25</v>
      </c>
      <c r="N174" s="128">
        <v>45292</v>
      </c>
      <c r="O174" s="128"/>
      <c r="Q174" t="s">
        <v>223</v>
      </c>
      <c r="R174">
        <v>2</v>
      </c>
    </row>
    <row r="175" spans="1:18" x14ac:dyDescent="0.25">
      <c r="A175" t="str">
        <f>TableOMHRIGHT[[#This Row],[Study Package Code]]</f>
        <v>HRIG5007</v>
      </c>
      <c r="B175" s="1">
        <f>TableOMHRIGHT[[#This Row],[Ver]]</f>
        <v>2</v>
      </c>
      <c r="C175" t="str">
        <f>IF(TableOMHRIGHT[[#This Row],[Ver]]&gt;0,_xlfn.TEXTBEFORE(TableOMHRIGHT[[#This Row],[Structure Line]]," "),"")</f>
        <v>CHRE502</v>
      </c>
      <c r="D175" t="str">
        <f>IF(TableOMHRIGHT[[#This Row],[OUA Code]]&lt;&gt;"",_xlfn.TEXTAFTER(TableOMHRIGHT[[#This Row],[Structure Line]]," "),TableOMHRIGHT[[#This Row],[Structure Line]])</f>
        <v>Dialogue across Cultures and Religions</v>
      </c>
      <c r="E175" s="57">
        <f>TableOMHRIGHT[[#This Row],[Credit Points]]</f>
        <v>25</v>
      </c>
      <c r="F175" s="110">
        <v>2</v>
      </c>
      <c r="G175" s="110" t="s">
        <v>388</v>
      </c>
      <c r="H175" s="211">
        <v>1</v>
      </c>
      <c r="I175" s="110" t="s">
        <v>386</v>
      </c>
      <c r="J175" s="110" t="s">
        <v>222</v>
      </c>
      <c r="K175" s="110">
        <v>2</v>
      </c>
      <c r="L175" s="110" t="s">
        <v>421</v>
      </c>
      <c r="M175" s="110">
        <v>25</v>
      </c>
      <c r="N175" s="128">
        <v>45292</v>
      </c>
      <c r="O175" s="128"/>
      <c r="Q175" t="s">
        <v>222</v>
      </c>
      <c r="R175">
        <v>2</v>
      </c>
    </row>
    <row r="176" spans="1:18" x14ac:dyDescent="0.25">
      <c r="A176" t="str">
        <f>TableOMHRIGHT[[#This Row],[Study Package Code]]</f>
        <v>INTR5007</v>
      </c>
      <c r="B176" s="1">
        <f>TableOMHRIGHT[[#This Row],[Ver]]</f>
        <v>2</v>
      </c>
      <c r="C176" t="str">
        <f>IF(TableOMHRIGHT[[#This Row],[Ver]]&gt;0,_xlfn.TEXTBEFORE(TableOMHRIGHT[[#This Row],[Structure Line]]," "),"")</f>
        <v>CHRE503</v>
      </c>
      <c r="D176" t="str">
        <f>IF(TableOMHRIGHT[[#This Row],[OUA Code]]&lt;&gt;"",_xlfn.TEXTAFTER(TableOMHRIGHT[[#This Row],[Structure Line]]," "),TableOMHRIGHT[[#This Row],[Structure Line]])</f>
        <v>Human Rights Education in Practice</v>
      </c>
      <c r="E176" s="57">
        <f>TableOMHRIGHT[[#This Row],[Credit Points]]</f>
        <v>25</v>
      </c>
      <c r="F176" s="110">
        <v>3</v>
      </c>
      <c r="G176" s="110" t="s">
        <v>388</v>
      </c>
      <c r="H176" s="211">
        <v>1</v>
      </c>
      <c r="I176" s="110" t="s">
        <v>386</v>
      </c>
      <c r="J176" s="110" t="s">
        <v>230</v>
      </c>
      <c r="K176" s="110">
        <v>2</v>
      </c>
      <c r="L176" s="110" t="s">
        <v>426</v>
      </c>
      <c r="M176" s="110">
        <v>25</v>
      </c>
      <c r="N176" s="128">
        <v>45292</v>
      </c>
      <c r="O176" s="128"/>
      <c r="Q176" t="s">
        <v>230</v>
      </c>
      <c r="R176">
        <v>2</v>
      </c>
    </row>
    <row r="177" spans="1:18" x14ac:dyDescent="0.25">
      <c r="A177" t="str">
        <f>TableOMHRIGHT[[#This Row],[Study Package Code]]</f>
        <v>HRIG5009</v>
      </c>
      <c r="B177" s="1">
        <f>TableOMHRIGHT[[#This Row],[Ver]]</f>
        <v>2</v>
      </c>
      <c r="C177" t="str">
        <f>IF(TableOMHRIGHT[[#This Row],[Ver]]&gt;0,_xlfn.TEXTBEFORE(TableOMHRIGHT[[#This Row],[Structure Line]]," "),"")</f>
        <v>CHRE507</v>
      </c>
      <c r="D177" t="str">
        <f>IF(TableOMHRIGHT[[#This Row],[OUA Code]]&lt;&gt;"",_xlfn.TEXTAFTER(TableOMHRIGHT[[#This Row],[Structure Line]]," "),TableOMHRIGHT[[#This Row],[Structure Line]])</f>
        <v>Social Justice and Development</v>
      </c>
      <c r="E177" s="57">
        <f>TableOMHRIGHT[[#This Row],[Credit Points]]</f>
        <v>25</v>
      </c>
      <c r="F177" s="110">
        <v>4</v>
      </c>
      <c r="G177" s="110" t="s">
        <v>388</v>
      </c>
      <c r="H177" s="211">
        <v>1</v>
      </c>
      <c r="I177" s="110" t="s">
        <v>386</v>
      </c>
      <c r="J177" s="110" t="s">
        <v>227</v>
      </c>
      <c r="K177" s="110">
        <v>2</v>
      </c>
      <c r="L177" s="110" t="s">
        <v>423</v>
      </c>
      <c r="M177" s="110">
        <v>25</v>
      </c>
      <c r="N177" s="128">
        <v>45292</v>
      </c>
      <c r="O177" s="128"/>
      <c r="Q177" t="s">
        <v>227</v>
      </c>
      <c r="R177">
        <v>2</v>
      </c>
    </row>
    <row r="178" spans="1:18" x14ac:dyDescent="0.25">
      <c r="A178" t="str">
        <f>TableOMHRIGHT[[#This Row],[Study Package Code]]</f>
        <v>HRIG5010</v>
      </c>
      <c r="B178" s="1">
        <f>TableOMHRIGHT[[#This Row],[Ver]]</f>
        <v>2</v>
      </c>
      <c r="C178" t="str">
        <f>IF(TableOMHRIGHT[[#This Row],[Ver]]&gt;0,_xlfn.TEXTBEFORE(TableOMHRIGHT[[#This Row],[Structure Line]]," "),"")</f>
        <v>CHRE512</v>
      </c>
      <c r="D178" t="str">
        <f>IF(TableOMHRIGHT[[#This Row],[OUA Code]]&lt;&gt;"",_xlfn.TEXTAFTER(TableOMHRIGHT[[#This Row],[Structure Line]]," "),TableOMHRIGHT[[#This Row],[Structure Line]])</f>
        <v>Activism, Advocacy and Change</v>
      </c>
      <c r="E178" s="57">
        <f>TableOMHRIGHT[[#This Row],[Credit Points]]</f>
        <v>25</v>
      </c>
      <c r="F178" s="110">
        <v>5</v>
      </c>
      <c r="G178" s="110" t="s">
        <v>388</v>
      </c>
      <c r="H178" s="211">
        <v>1</v>
      </c>
      <c r="I178" s="110" t="s">
        <v>386</v>
      </c>
      <c r="J178" s="110" t="s">
        <v>228</v>
      </c>
      <c r="K178" s="110">
        <v>2</v>
      </c>
      <c r="L178" s="110" t="s">
        <v>424</v>
      </c>
      <c r="M178" s="110">
        <v>25</v>
      </c>
      <c r="N178" s="128">
        <v>45292</v>
      </c>
      <c r="O178" s="128"/>
      <c r="Q178" t="s">
        <v>228</v>
      </c>
      <c r="R178">
        <v>2</v>
      </c>
    </row>
    <row r="179" spans="1:18" x14ac:dyDescent="0.25">
      <c r="A179" t="str">
        <f>TableOMHRIGHT[[#This Row],[Study Package Code]]</f>
        <v>AC-HRIGHT1</v>
      </c>
      <c r="B179" s="1">
        <f>TableOMHRIGHT[[#This Row],[Ver]]</f>
        <v>0</v>
      </c>
      <c r="C179" t="str">
        <f>IF(TableOMHRIGHT[[#This Row],[Ver]]&gt;0,_xlfn.TEXTBEFORE(TableOMHRIGHT[[#This Row],[Structure Line]]," "),"")</f>
        <v/>
      </c>
      <c r="D179" t="str">
        <f>IF(TableOMHRIGHT[[#This Row],[OUA Code]]&lt;&gt;"",_xlfn.TEXTAFTER(TableOMHRIGHT[[#This Row],[Structure Line]]," "),TableOMHRIGHT[[#This Row],[Structure Line]])</f>
        <v>Choose COMS6007 or HUMN6002  in Year 1</v>
      </c>
      <c r="E179" s="57">
        <f>TableOMHRIGHT[[#This Row],[Credit Points]]</f>
        <v>50</v>
      </c>
      <c r="F179" s="110">
        <v>6</v>
      </c>
      <c r="G179" s="110" t="s">
        <v>385</v>
      </c>
      <c r="H179" s="211">
        <v>1</v>
      </c>
      <c r="I179" s="110" t="s">
        <v>386</v>
      </c>
      <c r="J179" s="110" t="s">
        <v>246</v>
      </c>
      <c r="K179" s="110">
        <v>0</v>
      </c>
      <c r="L179" s="110" t="s">
        <v>247</v>
      </c>
      <c r="M179" s="110">
        <v>50</v>
      </c>
      <c r="N179" s="128"/>
      <c r="O179" s="128"/>
      <c r="Q179" t="s">
        <v>246</v>
      </c>
      <c r="R179">
        <v>0</v>
      </c>
    </row>
    <row r="180" spans="1:18" x14ac:dyDescent="0.25">
      <c r="A180" t="str">
        <f>TableOMHRIGHT[[#This Row],[Study Package Code]]</f>
        <v>HRIG5008</v>
      </c>
      <c r="B180" s="1">
        <f>TableOMHRIGHT[[#This Row],[Ver]]</f>
        <v>2</v>
      </c>
      <c r="C180" t="str">
        <f>IF(TableOMHRIGHT[[#This Row],[Ver]]&gt;0,_xlfn.TEXTBEFORE(TableOMHRIGHT[[#This Row],[Structure Line]]," "),"")</f>
        <v>CHRE506</v>
      </c>
      <c r="D180" t="str">
        <f>IF(TableOMHRIGHT[[#This Row],[OUA Code]]&lt;&gt;"",_xlfn.TEXTAFTER(TableOMHRIGHT[[#This Row],[Structure Line]]," "),TableOMHRIGHT[[#This Row],[Structure Line]])</f>
        <v>International Human Rights Law and Practice</v>
      </c>
      <c r="E180" s="57">
        <f>TableOMHRIGHT[[#This Row],[Credit Points]]</f>
        <v>25</v>
      </c>
      <c r="F180" s="110">
        <v>7</v>
      </c>
      <c r="G180" s="110" t="s">
        <v>388</v>
      </c>
      <c r="H180" s="211">
        <v>0</v>
      </c>
      <c r="I180" s="110" t="s">
        <v>386</v>
      </c>
      <c r="J180" s="110" t="s">
        <v>225</v>
      </c>
      <c r="K180" s="110">
        <v>2</v>
      </c>
      <c r="L180" s="110" t="s">
        <v>422</v>
      </c>
      <c r="M180" s="110">
        <v>25</v>
      </c>
      <c r="N180" s="128">
        <v>45292</v>
      </c>
      <c r="O180" s="128"/>
      <c r="Q180" t="s">
        <v>225</v>
      </c>
      <c r="R180">
        <v>2</v>
      </c>
    </row>
    <row r="181" spans="1:18" x14ac:dyDescent="0.25">
      <c r="A181" t="str">
        <f>TableOMHRIGHT[[#This Row],[Study Package Code]]</f>
        <v>AC-HRIGHT2</v>
      </c>
      <c r="B181" s="1">
        <f>TableOMHRIGHT[[#This Row],[Ver]]</f>
        <v>0</v>
      </c>
      <c r="C181" t="str">
        <f>IF(TableOMHRIGHT[[#This Row],[Ver]]&gt;0,_xlfn.TEXTBEFORE(TableOMHRIGHT[[#This Row],[Structure Line]]," "),"")</f>
        <v/>
      </c>
      <c r="D181" t="str">
        <f>IF(TableOMHRIGHT[[#This Row],[OUA Code]]&lt;&gt;"",_xlfn.TEXTAFTER(TableOMHRIGHT[[#This Row],[Structure Line]]," "),TableOMHRIGHT[[#This Row],[Structure Line]])</f>
        <v>Choose HUMN6004 or COMS6006 in Year 2</v>
      </c>
      <c r="E181" s="57">
        <f>TableOMHRIGHT[[#This Row],[Credit Points]]</f>
        <v>50</v>
      </c>
      <c r="F181" s="110">
        <v>8</v>
      </c>
      <c r="G181" s="110" t="s">
        <v>385</v>
      </c>
      <c r="H181" s="211">
        <v>2</v>
      </c>
      <c r="I181" s="110" t="s">
        <v>386</v>
      </c>
      <c r="J181" s="110" t="s">
        <v>248</v>
      </c>
      <c r="K181" s="110">
        <v>0</v>
      </c>
      <c r="L181" s="110" t="s">
        <v>249</v>
      </c>
      <c r="M181" s="110">
        <v>50</v>
      </c>
      <c r="N181" s="128"/>
      <c r="O181" s="128"/>
      <c r="Q181" t="s">
        <v>248</v>
      </c>
      <c r="R181">
        <v>0</v>
      </c>
    </row>
    <row r="182" spans="1:18" x14ac:dyDescent="0.25">
      <c r="A182" t="str">
        <f>TableOMHRIGHT[[#This Row],[Study Package Code]]</f>
        <v>Elective</v>
      </c>
      <c r="B182" s="1">
        <f>TableOMHRIGHT[[#This Row],[Ver]]</f>
        <v>0</v>
      </c>
      <c r="C182" t="str">
        <f>IF(TableOMHRIGHT[[#This Row],[Ver]]&gt;0,_xlfn.TEXTBEFORE(TableOMHRIGHT[[#This Row],[Structure Line]]," "),"")</f>
        <v/>
      </c>
      <c r="D182" t="str">
        <f>IF(TableOMHRIGHT[[#This Row],[OUA Code]]&lt;&gt;"",_xlfn.TEXTAFTER(TableOMHRIGHT[[#This Row],[Structure Line]]," "),TableOMHRIGHT[[#This Row],[Structure Line]])</f>
        <v>Choose Electives</v>
      </c>
      <c r="E182" s="57">
        <f>TableOMHRIGHT[[#This Row],[Credit Points]]</f>
        <v>50</v>
      </c>
      <c r="F182" s="110">
        <v>9</v>
      </c>
      <c r="G182" s="110" t="s">
        <v>276</v>
      </c>
      <c r="H182" s="211">
        <v>0</v>
      </c>
      <c r="I182" s="110" t="s">
        <v>386</v>
      </c>
      <c r="J182" s="110" t="s">
        <v>276</v>
      </c>
      <c r="K182" s="110">
        <v>0</v>
      </c>
      <c r="L182" s="110" t="s">
        <v>277</v>
      </c>
      <c r="M182" s="110">
        <v>50</v>
      </c>
      <c r="N182" s="128"/>
      <c r="O182" s="128"/>
      <c r="Q182" t="s">
        <v>276</v>
      </c>
      <c r="R182">
        <v>0</v>
      </c>
    </row>
    <row r="183" spans="1:18" x14ac:dyDescent="0.25">
      <c r="A183" t="str">
        <f>TableOMHRIGHT[[#This Row],[Study Package Code]]</f>
        <v>COMS6007</v>
      </c>
      <c r="B183" s="1">
        <f>TableOMHRIGHT[[#This Row],[Ver]]</f>
        <v>1</v>
      </c>
      <c r="C183" t="str">
        <f>IF(TableOMHRIGHT[[#This Row],[Ver]]&gt;0,_xlfn.TEXTBEFORE(TableOMHRIGHT[[#This Row],[Structure Line]]," "),"")</f>
        <v>COM610</v>
      </c>
      <c r="D183" t="str">
        <f>IF(TableOMHRIGHT[[#This Row],[OUA Code]]&lt;&gt;"",_xlfn.TEXTAFTER(TableOMHRIGHT[[#This Row],[Structure Line]]," "),TableOMHRIGHT[[#This Row],[Structure Line]])</f>
        <v>Masters Professional or Creative Project</v>
      </c>
      <c r="E183" s="57">
        <f>TableOMHRIGHT[[#This Row],[Credit Points]]</f>
        <v>50</v>
      </c>
      <c r="F183" s="110">
        <v>6</v>
      </c>
      <c r="G183" s="110" t="s">
        <v>385</v>
      </c>
      <c r="H183" s="211">
        <v>1</v>
      </c>
      <c r="I183" s="110" t="s">
        <v>386</v>
      </c>
      <c r="J183" s="110" t="s">
        <v>123</v>
      </c>
      <c r="K183" s="110">
        <v>1</v>
      </c>
      <c r="L183" s="110" t="s">
        <v>395</v>
      </c>
      <c r="M183" s="110">
        <v>50</v>
      </c>
      <c r="N183" s="128">
        <v>45292</v>
      </c>
      <c r="O183" s="128"/>
      <c r="Q183" t="s">
        <v>123</v>
      </c>
      <c r="R183">
        <v>1</v>
      </c>
    </row>
    <row r="184" spans="1:18" x14ac:dyDescent="0.25">
      <c r="A184" t="str">
        <f>TableOMHRIGHT[[#This Row],[Study Package Code]]</f>
        <v>HUMN6002</v>
      </c>
      <c r="B184" s="1">
        <f>TableOMHRIGHT[[#This Row],[Ver]]</f>
        <v>1</v>
      </c>
      <c r="C184" t="str">
        <f>IF(TableOMHRIGHT[[#This Row],[Ver]]&gt;0,_xlfn.TEXTBEFORE(TableOMHRIGHT[[#This Row],[Structure Line]]," "),"")</f>
        <v>HUMN600</v>
      </c>
      <c r="D184" t="str">
        <f>IF(TableOMHRIGHT[[#This Row],[OUA Code]]&lt;&gt;"",_xlfn.TEXTAFTER(TableOMHRIGHT[[#This Row],[Structure Line]]," "),TableOMHRIGHT[[#This Row],[Structure Line]])</f>
        <v>Masters Research Project 1</v>
      </c>
      <c r="E184" s="57">
        <f>TableOMHRIGHT[[#This Row],[Credit Points]]</f>
        <v>50</v>
      </c>
      <c r="F184" s="110">
        <v>6</v>
      </c>
      <c r="G184" s="110" t="s">
        <v>385</v>
      </c>
      <c r="H184" s="211">
        <v>1</v>
      </c>
      <c r="I184" s="110" t="s">
        <v>386</v>
      </c>
      <c r="J184" s="110" t="s">
        <v>153</v>
      </c>
      <c r="K184" s="110">
        <v>1</v>
      </c>
      <c r="L184" s="110" t="s">
        <v>394</v>
      </c>
      <c r="M184" s="110">
        <v>50</v>
      </c>
      <c r="N184" s="128">
        <v>45292</v>
      </c>
      <c r="O184" s="128"/>
      <c r="Q184" t="s">
        <v>153</v>
      </c>
      <c r="R184">
        <v>1</v>
      </c>
    </row>
    <row r="185" spans="1:18" x14ac:dyDescent="0.25">
      <c r="A185" t="str">
        <f>TableOMHRIGHT[[#This Row],[Study Package Code]]</f>
        <v>COMS6006</v>
      </c>
      <c r="B185" s="1">
        <f>TableOMHRIGHT[[#This Row],[Ver]]</f>
        <v>2</v>
      </c>
      <c r="C185" t="str">
        <f>IF(TableOMHRIGHT[[#This Row],[Ver]]&gt;0,_xlfn.TEXTBEFORE(TableOMHRIGHT[[#This Row],[Structure Line]]," "),"")</f>
        <v>COM600</v>
      </c>
      <c r="D185" t="str">
        <f>IF(TableOMHRIGHT[[#This Row],[OUA Code]]&lt;&gt;"",_xlfn.TEXTAFTER(TableOMHRIGHT[[#This Row],[Structure Line]]," "),TableOMHRIGHT[[#This Row],[Structure Line]])</f>
        <v>Masters Professional Experience</v>
      </c>
      <c r="E185" s="57">
        <f>TableOMHRIGHT[[#This Row],[Credit Points]]</f>
        <v>50</v>
      </c>
      <c r="F185" s="110">
        <v>8</v>
      </c>
      <c r="G185" s="110" t="s">
        <v>385</v>
      </c>
      <c r="H185" s="211">
        <v>2</v>
      </c>
      <c r="I185" s="110" t="s">
        <v>386</v>
      </c>
      <c r="J185" s="110" t="s">
        <v>150</v>
      </c>
      <c r="K185" s="110">
        <v>2</v>
      </c>
      <c r="L185" s="110" t="s">
        <v>392</v>
      </c>
      <c r="M185" s="110">
        <v>50</v>
      </c>
      <c r="N185" s="128">
        <v>45292</v>
      </c>
      <c r="O185" s="128"/>
      <c r="Q185" t="s">
        <v>150</v>
      </c>
      <c r="R185">
        <v>2</v>
      </c>
    </row>
    <row r="186" spans="1:18" x14ac:dyDescent="0.25">
      <c r="A186" t="str">
        <f>TableOMHRIGHT[[#This Row],[Study Package Code]]</f>
        <v>HUMN6004</v>
      </c>
      <c r="B186" s="1">
        <f>TableOMHRIGHT[[#This Row],[Ver]]</f>
        <v>1</v>
      </c>
      <c r="C186" t="str">
        <f>IF(TableOMHRIGHT[[#This Row],[Ver]]&gt;0,_xlfn.TEXTBEFORE(TableOMHRIGHT[[#This Row],[Structure Line]]," "),"")</f>
        <v>HUMN610</v>
      </c>
      <c r="D186" t="str">
        <f>IF(TableOMHRIGHT[[#This Row],[OUA Code]]&lt;&gt;"",_xlfn.TEXTAFTER(TableOMHRIGHT[[#This Row],[Structure Line]]," "),TableOMHRIGHT[[#This Row],[Structure Line]])</f>
        <v>Masters Research Project 2</v>
      </c>
      <c r="E186" s="57">
        <f>TableOMHRIGHT[[#This Row],[Credit Points]]</f>
        <v>50</v>
      </c>
      <c r="F186" s="110">
        <v>8</v>
      </c>
      <c r="G186" s="110" t="s">
        <v>385</v>
      </c>
      <c r="H186" s="211">
        <v>2</v>
      </c>
      <c r="I186" s="110" t="s">
        <v>386</v>
      </c>
      <c r="J186" s="110" t="s">
        <v>125</v>
      </c>
      <c r="K186" s="110">
        <v>1</v>
      </c>
      <c r="L186" s="110" t="s">
        <v>396</v>
      </c>
      <c r="M186" s="110">
        <v>50</v>
      </c>
      <c r="N186" s="128">
        <v>45292</v>
      </c>
      <c r="O186" s="128"/>
      <c r="Q186" t="s">
        <v>125</v>
      </c>
      <c r="R186">
        <v>1</v>
      </c>
    </row>
    <row r="187" spans="1:18" x14ac:dyDescent="0.25">
      <c r="A187" s="180"/>
      <c r="B187" s="181"/>
      <c r="C187" s="180"/>
      <c r="D187" s="180"/>
      <c r="E187" s="181"/>
      <c r="F187" s="180"/>
      <c r="G187" s="180"/>
      <c r="H187" s="181"/>
      <c r="I187" s="180"/>
      <c r="J187" s="180"/>
      <c r="K187" s="180"/>
      <c r="L187" s="180"/>
      <c r="M187" s="180"/>
      <c r="N187" s="180"/>
      <c r="O187" s="180"/>
      <c r="Q187" s="180"/>
      <c r="R187" s="180"/>
    </row>
    <row r="188" spans="1:18" x14ac:dyDescent="0.25">
      <c r="B188"/>
      <c r="E188"/>
      <c r="F188" s="56"/>
      <c r="G188" s="173" t="s">
        <v>374</v>
      </c>
      <c r="H188" s="212">
        <v>45989</v>
      </c>
      <c r="I188" s="171"/>
      <c r="J188" s="171" t="s">
        <v>60</v>
      </c>
      <c r="K188" s="172">
        <v>1</v>
      </c>
      <c r="L188" s="171" t="s">
        <v>37</v>
      </c>
      <c r="M188" s="171"/>
      <c r="N188" s="179">
        <v>45658</v>
      </c>
      <c r="O188" s="174"/>
    </row>
    <row r="189" spans="1:18" x14ac:dyDescent="0.25">
      <c r="A189" t="s">
        <v>0</v>
      </c>
      <c r="B189" s="1" t="s">
        <v>375</v>
      </c>
      <c r="C189" t="s">
        <v>22</v>
      </c>
      <c r="D189" t="s">
        <v>3</v>
      </c>
      <c r="E189" s="57" t="s">
        <v>376</v>
      </c>
      <c r="F189" t="s">
        <v>377</v>
      </c>
      <c r="G189" t="s">
        <v>378</v>
      </c>
      <c r="H189" s="1" t="s">
        <v>379</v>
      </c>
      <c r="I189" t="s">
        <v>23</v>
      </c>
      <c r="J189" t="s">
        <v>380</v>
      </c>
      <c r="K189" t="s">
        <v>1</v>
      </c>
      <c r="L189" t="s">
        <v>381</v>
      </c>
      <c r="M189" t="s">
        <v>58</v>
      </c>
      <c r="N189" t="s">
        <v>382</v>
      </c>
      <c r="O189" t="s">
        <v>383</v>
      </c>
      <c r="Q189" t="s">
        <v>384</v>
      </c>
      <c r="R189" t="s">
        <v>1</v>
      </c>
    </row>
    <row r="190" spans="1:18" x14ac:dyDescent="0.25">
      <c r="A190" t="str">
        <f>TableOCARTS[[#This Row],[Study Package Code]]</f>
        <v>Stream</v>
      </c>
      <c r="B190" s="1">
        <f>TableOCARTS[[#This Row],[Ver]]</f>
        <v>0</v>
      </c>
      <c r="C190" t="str">
        <f>IF(TableOCARTS[[#This Row],[Ver]]&gt;0,_xlfn.TEXTBEFORE(TableOCARTS[[#This Row],[Structure Line]]," "),"")</f>
        <v/>
      </c>
      <c r="D190" t="str">
        <f>IF(TableOCARTS[[#This Row],[OUA Code]]&lt;&gt;"",_xlfn.TEXTAFTER(TableOCARTS[[#This Row],[Structure Line]]," "),TableOCARTS[[#This Row],[Structure Line]])</f>
        <v>Choose Your Stream</v>
      </c>
      <c r="E190" s="57">
        <f>TableOCARTS[[#This Row],[Credit Points]]</f>
        <v>0</v>
      </c>
      <c r="F190" s="110">
        <v>1</v>
      </c>
      <c r="G190" s="110" t="s">
        <v>387</v>
      </c>
      <c r="H190" s="211">
        <v>0</v>
      </c>
      <c r="I190" s="110" t="s">
        <v>386</v>
      </c>
      <c r="J190" s="110" t="s">
        <v>354</v>
      </c>
      <c r="K190" s="110">
        <v>0</v>
      </c>
      <c r="L190" s="110" t="s">
        <v>355</v>
      </c>
      <c r="M190" s="110"/>
      <c r="N190" s="128"/>
      <c r="O190" s="128"/>
      <c r="Q190" t="s">
        <v>354</v>
      </c>
      <c r="R190">
        <v>0</v>
      </c>
    </row>
    <row r="191" spans="1:18" x14ac:dyDescent="0.25">
      <c r="A191" t="str">
        <f>TableOCARTS[[#This Row],[Study Package Code]]</f>
        <v>OUSP-CWRI1</v>
      </c>
      <c r="B191" s="1">
        <f>TableOCARTS[[#This Row],[Ver]]</f>
        <v>2</v>
      </c>
      <c r="D191" t="str">
        <f>IF(TableOCARTS[[#This Row],[OUA Code]]&lt;&gt;"",_xlfn.TEXTAFTER(TableOCARTS[[#This Row],[Structure Line]]," "),TableOCARTS[[#This Row],[Structure Line]])</f>
        <v>Creative Writing Stream (GCert Arts) (OpenUnis)</v>
      </c>
      <c r="E191" s="57">
        <f>TableOCARTS[[#This Row],[Credit Points]]</f>
        <v>100</v>
      </c>
      <c r="F191" s="110">
        <v>1</v>
      </c>
      <c r="G191" s="110" t="s">
        <v>387</v>
      </c>
      <c r="H191" s="211">
        <v>0</v>
      </c>
      <c r="I191" s="110" t="s">
        <v>386</v>
      </c>
      <c r="J191" s="110" t="s">
        <v>89</v>
      </c>
      <c r="K191" s="110">
        <v>2</v>
      </c>
      <c r="L191" s="110" t="s">
        <v>88</v>
      </c>
      <c r="M191" s="110">
        <v>100</v>
      </c>
      <c r="N191" s="128">
        <v>46023</v>
      </c>
      <c r="O191" s="128"/>
      <c r="Q191" t="s">
        <v>89</v>
      </c>
      <c r="R191">
        <v>1</v>
      </c>
    </row>
    <row r="192" spans="1:18" x14ac:dyDescent="0.25">
      <c r="A192" t="str">
        <f>TableOCARTS[[#This Row],[Study Package Code]]</f>
        <v>OUSP-DGCM1</v>
      </c>
      <c r="B192" s="1">
        <f>TableOCARTS[[#This Row],[Ver]]</f>
        <v>1</v>
      </c>
      <c r="D192" t="str">
        <f>IF(TableOCARTS[[#This Row],[OUA Code]]&lt;&gt;"",_xlfn.TEXTAFTER(TableOCARTS[[#This Row],[Structure Line]]," "),TableOCARTS[[#This Row],[Structure Line]])</f>
        <v>Digital Communications Stream (GradCertA) (OpenUnis)</v>
      </c>
      <c r="E192" s="57">
        <f>TableOCARTS[[#This Row],[Credit Points]]</f>
        <v>100</v>
      </c>
      <c r="F192" s="110">
        <v>1</v>
      </c>
      <c r="G192" s="110" t="s">
        <v>387</v>
      </c>
      <c r="H192" s="211">
        <v>0</v>
      </c>
      <c r="I192" s="110" t="s">
        <v>386</v>
      </c>
      <c r="J192" s="110" t="s">
        <v>90</v>
      </c>
      <c r="K192" s="110">
        <v>1</v>
      </c>
      <c r="L192" s="110" t="s">
        <v>39</v>
      </c>
      <c r="M192" s="110">
        <v>100</v>
      </c>
      <c r="N192" s="128">
        <v>45658</v>
      </c>
      <c r="O192" s="128"/>
      <c r="Q192" t="s">
        <v>90</v>
      </c>
      <c r="R192">
        <v>1</v>
      </c>
    </row>
    <row r="193" spans="1:18" x14ac:dyDescent="0.25">
      <c r="A193" t="str">
        <f>TableOCARTS[[#This Row],[Study Package Code]]</f>
        <v>OUSP-FINA1</v>
      </c>
      <c r="B193" s="1">
        <f>TableOCARTS[[#This Row],[Ver]]</f>
        <v>1</v>
      </c>
      <c r="D193" t="str">
        <f>IF(TableOCARTS[[#This Row],[OUA Code]]&lt;&gt;"",_xlfn.TEXTAFTER(TableOCARTS[[#This Row],[Structure Line]]," "),TableOCARTS[[#This Row],[Structure Line]])</f>
        <v>Fine Art Stream (GCert Arts) (OpenUnis)</v>
      </c>
      <c r="E193" s="57">
        <f>TableOCARTS[[#This Row],[Credit Points]]</f>
        <v>100</v>
      </c>
      <c r="F193" s="110">
        <v>1</v>
      </c>
      <c r="G193" s="110" t="s">
        <v>387</v>
      </c>
      <c r="H193" s="211">
        <v>0</v>
      </c>
      <c r="I193" s="110" t="s">
        <v>386</v>
      </c>
      <c r="J193" s="110" t="s">
        <v>92</v>
      </c>
      <c r="K193" s="110">
        <v>1</v>
      </c>
      <c r="L193" s="110" t="s">
        <v>91</v>
      </c>
      <c r="M193" s="110">
        <v>100</v>
      </c>
      <c r="N193" s="128">
        <v>45658</v>
      </c>
      <c r="O193" s="128"/>
      <c r="Q193" t="s">
        <v>92</v>
      </c>
      <c r="R193">
        <v>1</v>
      </c>
    </row>
    <row r="194" spans="1:18" x14ac:dyDescent="0.25">
      <c r="A194" t="str">
        <f>TableOCARTS[[#This Row],[Study Package Code]]</f>
        <v>OUSP-PWRI1</v>
      </c>
      <c r="B194" s="1">
        <f>TableOCARTS[[#This Row],[Ver]]</f>
        <v>2</v>
      </c>
      <c r="D194" t="str">
        <f>IF(TableOCARTS[[#This Row],[OUA Code]]&lt;&gt;"",_xlfn.TEXTAFTER(TableOCARTS[[#This Row],[Structure Line]]," "),TableOCARTS[[#This Row],[Structure Line]])</f>
        <v>Professional Writing and Publishing Stream (GCertA) (OpenUnis)</v>
      </c>
      <c r="E194" s="57">
        <f>TableOCARTS[[#This Row],[Credit Points]]</f>
        <v>100</v>
      </c>
      <c r="F194" s="110">
        <v>1</v>
      </c>
      <c r="G194" s="110" t="s">
        <v>387</v>
      </c>
      <c r="H194" s="211">
        <v>0</v>
      </c>
      <c r="I194" s="110" t="s">
        <v>386</v>
      </c>
      <c r="J194" s="110" t="s">
        <v>94</v>
      </c>
      <c r="K194" s="110">
        <v>2</v>
      </c>
      <c r="L194" s="110" t="s">
        <v>93</v>
      </c>
      <c r="M194" s="110">
        <v>100</v>
      </c>
      <c r="N194" s="128">
        <v>46023</v>
      </c>
      <c r="O194" s="128"/>
      <c r="Q194" t="s">
        <v>94</v>
      </c>
      <c r="R194">
        <v>1</v>
      </c>
    </row>
    <row r="195" spans="1:18" x14ac:dyDescent="0.25">
      <c r="B195"/>
      <c r="E195"/>
      <c r="F195" s="56"/>
      <c r="G195" s="173" t="s">
        <v>374</v>
      </c>
      <c r="H195" s="212">
        <v>46035</v>
      </c>
      <c r="I195" s="171"/>
      <c r="J195" s="171" t="s">
        <v>89</v>
      </c>
      <c r="K195" s="207">
        <v>2</v>
      </c>
      <c r="L195" s="171" t="s">
        <v>88</v>
      </c>
      <c r="M195" s="171"/>
      <c r="N195" s="208">
        <v>46023</v>
      </c>
      <c r="O195" s="174"/>
    </row>
    <row r="196" spans="1:18" x14ac:dyDescent="0.25">
      <c r="A196" t="s">
        <v>0</v>
      </c>
      <c r="B196" s="1" t="s">
        <v>375</v>
      </c>
      <c r="C196" t="s">
        <v>22</v>
      </c>
      <c r="D196" t="s">
        <v>3</v>
      </c>
      <c r="E196" s="57" t="s">
        <v>376</v>
      </c>
      <c r="F196" t="s">
        <v>377</v>
      </c>
      <c r="G196" t="s">
        <v>378</v>
      </c>
      <c r="H196" s="1" t="s">
        <v>379</v>
      </c>
      <c r="I196" t="s">
        <v>23</v>
      </c>
      <c r="J196" t="s">
        <v>380</v>
      </c>
      <c r="K196" t="s">
        <v>1</v>
      </c>
      <c r="L196" t="s">
        <v>381</v>
      </c>
      <c r="M196" t="s">
        <v>58</v>
      </c>
      <c r="N196" t="s">
        <v>382</v>
      </c>
      <c r="O196" t="s">
        <v>383</v>
      </c>
      <c r="Q196" t="s">
        <v>384</v>
      </c>
      <c r="R196" t="s">
        <v>1</v>
      </c>
    </row>
    <row r="197" spans="1:18" x14ac:dyDescent="0.25">
      <c r="A197" t="str">
        <f>TableOUSPCWRI1[[#This Row],[Study Package Code]]</f>
        <v>COMS5005</v>
      </c>
      <c r="B197" s="1">
        <f>TableOUSPCWRI1[[#This Row],[Ver]]</f>
        <v>1</v>
      </c>
      <c r="C197" t="str">
        <f>IF(TableOUSPCWRI1[[#This Row],[Ver]]&gt;0,_xlfn.TEXTBEFORE(TableOUSPCWRI1[[#This Row],[Structure Line]]," "),"")</f>
        <v>COM500</v>
      </c>
      <c r="D197" t="str">
        <f>IF(TableOUSPCWRI1[[#This Row],[OUA Code]]&lt;&gt;"",_xlfn.TEXTAFTER(TableOUSPCWRI1[[#This Row],[Structure Line]]," "),TableOUSPCWRI1[[#This Row],[Structure Line]])</f>
        <v>Approaches to Arts Research</v>
      </c>
      <c r="E197" s="57">
        <f>TableOUSPCWRI1[[#This Row],[Credit Points]]</f>
        <v>25</v>
      </c>
      <c r="F197" s="110">
        <v>1</v>
      </c>
      <c r="G197" s="110" t="s">
        <v>388</v>
      </c>
      <c r="H197" s="211">
        <v>1</v>
      </c>
      <c r="I197" s="110" t="s">
        <v>386</v>
      </c>
      <c r="J197" s="110" t="s">
        <v>199</v>
      </c>
      <c r="K197" s="110">
        <v>1</v>
      </c>
      <c r="L197" s="110" t="s">
        <v>389</v>
      </c>
      <c r="M197" s="110">
        <v>25</v>
      </c>
      <c r="N197" s="128">
        <v>45658</v>
      </c>
      <c r="O197" s="128"/>
      <c r="Q197" t="s">
        <v>199</v>
      </c>
      <c r="R197">
        <v>1</v>
      </c>
    </row>
    <row r="198" spans="1:18" x14ac:dyDescent="0.25">
      <c r="A198" t="str">
        <f>TableOUSPCWRI1[[#This Row],[Study Package Code]]</f>
        <v>Opt-CWRI1S</v>
      </c>
      <c r="B198" s="1">
        <f>TableOUSPCWRI1[[#This Row],[Ver]]</f>
        <v>0</v>
      </c>
      <c r="C198" t="str">
        <f>IF(TableOUSPCWRI1[[#This Row],[Ver]]&gt;0,_xlfn.TEXTBEFORE(TableOUSPCWRI1[[#This Row],[Structure Line]]," "),"")</f>
        <v/>
      </c>
      <c r="D198" t="str">
        <f>IF(TableOUSPCWRI1[[#This Row],[OUA Code]]&lt;&gt;"",_xlfn.TEXTAFTER(TableOUSPCWRI1[[#This Row],[Structure Line]]," "),TableOUSPCWRI1[[#This Row],[Structure Line]])</f>
        <v>Choose Options</v>
      </c>
      <c r="E198" s="57">
        <f>TableOUSPCWRI1[[#This Row],[Credit Points]]</f>
        <v>75</v>
      </c>
      <c r="F198" s="110">
        <v>2</v>
      </c>
      <c r="G198" s="110" t="s">
        <v>387</v>
      </c>
      <c r="H198" s="211">
        <v>1</v>
      </c>
      <c r="I198" s="110" t="s">
        <v>386</v>
      </c>
      <c r="J198" s="110" t="s">
        <v>193</v>
      </c>
      <c r="K198" s="110">
        <v>0</v>
      </c>
      <c r="L198" s="110" t="s">
        <v>336</v>
      </c>
      <c r="M198" s="110">
        <v>75</v>
      </c>
      <c r="N198" s="128"/>
      <c r="O198" s="128"/>
      <c r="Q198" t="s">
        <v>193</v>
      </c>
      <c r="R198">
        <v>0</v>
      </c>
    </row>
    <row r="199" spans="1:18" x14ac:dyDescent="0.25">
      <c r="A199" t="str">
        <f>TableOUSPCWRI1[[#This Row],[Study Package Code]]</f>
        <v>CWRI5020</v>
      </c>
      <c r="B199" s="1">
        <f>TableOUSPCWRI1[[#This Row],[Ver]]</f>
        <v>1</v>
      </c>
      <c r="C199" t="str">
        <f>IF(TableOUSPCWRI1[[#This Row],[Ver]]&gt;0,_xlfn.TEXTBEFORE(TableOUSPCWRI1[[#This Row],[Structure Line]]," "),"")</f>
        <v>CWG500</v>
      </c>
      <c r="D199" t="str">
        <f>IF(TableOUSPCWRI1[[#This Row],[OUA Code]]&lt;&gt;"",_xlfn.TEXTAFTER(TableOUSPCWRI1[[#This Row],[Structure Line]]," "),TableOUSPCWRI1[[#This Row],[Structure Line]])</f>
        <v>Graduate Travel Writing</v>
      </c>
      <c r="E199" s="57">
        <f>TableOUSPCWRI1[[#This Row],[Credit Points]]</f>
        <v>25</v>
      </c>
      <c r="F199" s="110">
        <v>2</v>
      </c>
      <c r="G199" s="110" t="s">
        <v>387</v>
      </c>
      <c r="H199" s="211">
        <v>1</v>
      </c>
      <c r="I199" s="110" t="s">
        <v>386</v>
      </c>
      <c r="J199" s="110" t="s">
        <v>147</v>
      </c>
      <c r="K199" s="110">
        <v>1</v>
      </c>
      <c r="L199" s="110" t="s">
        <v>393</v>
      </c>
      <c r="M199" s="110">
        <v>25</v>
      </c>
      <c r="N199" s="128">
        <v>45658</v>
      </c>
      <c r="O199" s="128"/>
      <c r="Q199" t="s">
        <v>147</v>
      </c>
      <c r="R199">
        <v>1</v>
      </c>
    </row>
    <row r="200" spans="1:18" x14ac:dyDescent="0.25">
      <c r="A200" t="str">
        <f>TableOUSPCWRI1[[#This Row],[Study Package Code]]</f>
        <v>CWRI5028</v>
      </c>
      <c r="B200" s="1">
        <f>TableOUSPCWRI1[[#This Row],[Ver]]</f>
        <v>1</v>
      </c>
      <c r="C200" t="str">
        <f>IF(TableOUSPCWRI1[[#This Row],[Ver]]&gt;0,_xlfn.TEXTBEFORE(TableOUSPCWRI1[[#This Row],[Structure Line]]," "),"")</f>
        <v>CWRI5028</v>
      </c>
      <c r="D200" t="str">
        <f>IF(TableOUSPCWRI1[[#This Row],[OUA Code]]&lt;&gt;"",_xlfn.TEXTAFTER(TableOUSPCWRI1[[#This Row],[Structure Line]]," "),TableOUSPCWRI1[[#This Row],[Structure Line]])</f>
        <v>Graduate Writing Long Fiction</v>
      </c>
      <c r="E200" s="57">
        <f>TableOUSPCWRI1[[#This Row],[Credit Points]]</f>
        <v>25</v>
      </c>
      <c r="F200" s="110">
        <v>2</v>
      </c>
      <c r="G200" s="110" t="s">
        <v>387</v>
      </c>
      <c r="H200" s="211">
        <v>1</v>
      </c>
      <c r="I200" s="110" t="s">
        <v>386</v>
      </c>
      <c r="J200" s="110" t="s">
        <v>149</v>
      </c>
      <c r="K200" s="110">
        <v>1</v>
      </c>
      <c r="L200" s="110" t="s">
        <v>438</v>
      </c>
      <c r="M200" s="110">
        <v>25</v>
      </c>
      <c r="N200" s="128">
        <v>46023</v>
      </c>
      <c r="O200" s="128"/>
      <c r="Q200" t="s">
        <v>203</v>
      </c>
      <c r="R200">
        <v>1</v>
      </c>
    </row>
    <row r="201" spans="1:18" x14ac:dyDescent="0.25">
      <c r="A201" t="str">
        <f>TableOUSPCWRI1[[#This Row],[Study Package Code]]</f>
        <v>CWRI5030</v>
      </c>
      <c r="B201" s="1">
        <f>TableOUSPCWRI1[[#This Row],[Ver]]</f>
        <v>1</v>
      </c>
      <c r="C201" t="str">
        <f>IF(TableOUSPCWRI1[[#This Row],[Ver]]&gt;0,_xlfn.TEXTBEFORE(TableOUSPCWRI1[[#This Row],[Structure Line]]," "),"")</f>
        <v>CWRI5030</v>
      </c>
      <c r="D201" t="str">
        <f>IF(TableOUSPCWRI1[[#This Row],[OUA Code]]&lt;&gt;"",_xlfn.TEXTAFTER(TableOUSPCWRI1[[#This Row],[Structure Line]]," "),TableOUSPCWRI1[[#This Row],[Structure Line]])</f>
        <v>Graduate Writing for Children</v>
      </c>
      <c r="E201" s="57">
        <f>TableOUSPCWRI1[[#This Row],[Credit Points]]</f>
        <v>25</v>
      </c>
      <c r="F201" s="110">
        <v>2</v>
      </c>
      <c r="G201" s="110" t="s">
        <v>387</v>
      </c>
      <c r="H201" s="211">
        <v>1</v>
      </c>
      <c r="I201" s="110" t="s">
        <v>386</v>
      </c>
      <c r="J201" s="110" t="s">
        <v>152</v>
      </c>
      <c r="K201" s="110">
        <v>1</v>
      </c>
      <c r="L201" s="110" t="s">
        <v>439</v>
      </c>
      <c r="M201" s="110">
        <v>25</v>
      </c>
      <c r="N201" s="128">
        <v>46023</v>
      </c>
      <c r="O201" s="128"/>
      <c r="Q201" t="s">
        <v>205</v>
      </c>
      <c r="R201">
        <v>1</v>
      </c>
    </row>
    <row r="202" spans="1:18" x14ac:dyDescent="0.25">
      <c r="A202" t="str">
        <f>TableOUSPCWRI1[[#This Row],[Study Package Code]]</f>
        <v>CWRI5032</v>
      </c>
      <c r="B202" s="1">
        <f>TableOUSPCWRI1[[#This Row],[Ver]]</f>
        <v>1</v>
      </c>
      <c r="C202" t="str">
        <f>IF(TableOUSPCWRI1[[#This Row],[Ver]]&gt;0,_xlfn.TEXTBEFORE(TableOUSPCWRI1[[#This Row],[Structure Line]]," "),"")</f>
        <v>CWRI5032</v>
      </c>
      <c r="D202" t="str">
        <f>IF(TableOUSPCWRI1[[#This Row],[OUA Code]]&lt;&gt;"",_xlfn.TEXTAFTER(TableOUSPCWRI1[[#This Row],[Structure Line]]," "),TableOUSPCWRI1[[#This Row],[Structure Line]])</f>
        <v>Graduate Writing Genre Fiction</v>
      </c>
      <c r="E202" s="57">
        <f>TableOUSPCWRI1[[#This Row],[Credit Points]]</f>
        <v>25</v>
      </c>
      <c r="F202" s="110">
        <v>2</v>
      </c>
      <c r="G202" s="110" t="s">
        <v>387</v>
      </c>
      <c r="H202" s="211">
        <v>1</v>
      </c>
      <c r="I202" s="110" t="s">
        <v>386</v>
      </c>
      <c r="J202" s="110" t="s">
        <v>155</v>
      </c>
      <c r="K202" s="110">
        <v>1</v>
      </c>
      <c r="L202" s="110" t="s">
        <v>440</v>
      </c>
      <c r="M202" s="110">
        <v>25</v>
      </c>
      <c r="N202" s="128">
        <v>46023</v>
      </c>
      <c r="O202" s="128"/>
      <c r="Q202" t="s">
        <v>208</v>
      </c>
      <c r="R202">
        <v>1</v>
      </c>
    </row>
    <row r="203" spans="1:18" x14ac:dyDescent="0.25">
      <c r="A203" t="str">
        <f>TableOUSPCWRI1[[#This Row],[Study Package Code]]</f>
        <v>CWRI5034</v>
      </c>
      <c r="B203" s="1">
        <f>TableOUSPCWRI1[[#This Row],[Ver]]</f>
        <v>1</v>
      </c>
      <c r="C203" t="str">
        <f>IF(TableOUSPCWRI1[[#This Row],[Ver]]&gt;0,_xlfn.TEXTBEFORE(TableOUSPCWRI1[[#This Row],[Structure Line]]," "),"")</f>
        <v>CWRI5034</v>
      </c>
      <c r="D203" t="str">
        <f>IF(TableOUSPCWRI1[[#This Row],[OUA Code]]&lt;&gt;"",_xlfn.TEXTAFTER(TableOUSPCWRI1[[#This Row],[Structure Line]]," "),TableOUSPCWRI1[[#This Row],[Structure Line]])</f>
        <v>Graduate Writing Poetry</v>
      </c>
      <c r="E203" s="57">
        <f>TableOUSPCWRI1[[#This Row],[Credit Points]]</f>
        <v>25</v>
      </c>
      <c r="F203" s="110">
        <v>2</v>
      </c>
      <c r="G203" s="110" t="s">
        <v>387</v>
      </c>
      <c r="H203" s="211">
        <v>1</v>
      </c>
      <c r="I203" s="110" t="s">
        <v>386</v>
      </c>
      <c r="J203" s="110" t="s">
        <v>157</v>
      </c>
      <c r="K203" s="110">
        <v>1</v>
      </c>
      <c r="L203" s="110" t="s">
        <v>441</v>
      </c>
      <c r="M203" s="110">
        <v>25</v>
      </c>
      <c r="N203" s="128">
        <v>46023</v>
      </c>
      <c r="O203" s="128"/>
      <c r="Q203" t="s">
        <v>211</v>
      </c>
      <c r="R203">
        <v>1</v>
      </c>
    </row>
    <row r="204" spans="1:18" x14ac:dyDescent="0.25">
      <c r="A204" t="str">
        <f>TableOUSPCWRI1[[#This Row],[Study Package Code]]</f>
        <v>CWRI5036</v>
      </c>
      <c r="B204" s="1">
        <f>TableOUSPCWRI1[[#This Row],[Ver]]</f>
        <v>1</v>
      </c>
      <c r="C204" t="str">
        <f>IF(TableOUSPCWRI1[[#This Row],[Ver]]&gt;0,_xlfn.TEXTBEFORE(TableOUSPCWRI1[[#This Row],[Structure Line]]," "),"")</f>
        <v>CWRI5036</v>
      </c>
      <c r="D204" t="str">
        <f>IF(TableOUSPCWRI1[[#This Row],[OUA Code]]&lt;&gt;"",_xlfn.TEXTAFTER(TableOUSPCWRI1[[#This Row],[Structure Line]]," "),TableOUSPCWRI1[[#This Row],[Structure Line]])</f>
        <v>Graduate Experimental Writing</v>
      </c>
      <c r="E204" s="57">
        <f>TableOUSPCWRI1[[#This Row],[Credit Points]]</f>
        <v>25</v>
      </c>
      <c r="F204" s="110">
        <v>2</v>
      </c>
      <c r="G204" s="110" t="s">
        <v>387</v>
      </c>
      <c r="H204" s="211">
        <v>1</v>
      </c>
      <c r="I204" s="110" t="s">
        <v>386</v>
      </c>
      <c r="J204" s="110" t="s">
        <v>160</v>
      </c>
      <c r="K204" s="110">
        <v>1</v>
      </c>
      <c r="L204" s="110" t="s">
        <v>442</v>
      </c>
      <c r="M204" s="110">
        <v>25</v>
      </c>
      <c r="N204" s="128">
        <v>46023</v>
      </c>
      <c r="O204" s="128"/>
      <c r="Q204" t="s">
        <v>213</v>
      </c>
      <c r="R204">
        <v>1</v>
      </c>
    </row>
    <row r="205" spans="1:18" x14ac:dyDescent="0.25">
      <c r="A205" t="str">
        <f>TableOUSPCWRI1[[#This Row],[Study Package Code]]</f>
        <v>CWRI5038</v>
      </c>
      <c r="B205" s="1">
        <f>TableOUSPCWRI1[[#This Row],[Ver]]</f>
        <v>1</v>
      </c>
      <c r="C205" t="str">
        <f>IF(TableOUSPCWRI1[[#This Row],[Ver]]&gt;0,_xlfn.TEXTBEFORE(TableOUSPCWRI1[[#This Row],[Structure Line]]," "),"")</f>
        <v>CWRI5038</v>
      </c>
      <c r="D205" t="str">
        <f>IF(TableOUSPCWRI1[[#This Row],[OUA Code]]&lt;&gt;"",_xlfn.TEXTAFTER(TableOUSPCWRI1[[#This Row],[Structure Line]]," "),TableOUSPCWRI1[[#This Row],[Structure Line]])</f>
        <v>Graduate Writing Short Fiction</v>
      </c>
      <c r="E205" s="57">
        <f>TableOUSPCWRI1[[#This Row],[Credit Points]]</f>
        <v>25</v>
      </c>
      <c r="F205" s="110">
        <v>2</v>
      </c>
      <c r="G205" s="110" t="s">
        <v>387</v>
      </c>
      <c r="H205" s="211">
        <v>1</v>
      </c>
      <c r="I205" s="110" t="s">
        <v>386</v>
      </c>
      <c r="J205" s="110" t="s">
        <v>164</v>
      </c>
      <c r="K205" s="110">
        <v>1</v>
      </c>
      <c r="L205" s="110" t="s">
        <v>443</v>
      </c>
      <c r="M205" s="110">
        <v>25</v>
      </c>
      <c r="N205" s="128">
        <v>46023</v>
      </c>
      <c r="O205" s="128"/>
      <c r="Q205" t="s">
        <v>214</v>
      </c>
      <c r="R205">
        <v>1</v>
      </c>
    </row>
    <row r="206" spans="1:18" x14ac:dyDescent="0.25">
      <c r="A206" t="str">
        <f>TableOUSPCWRI1[[#This Row],[Study Package Code]]</f>
        <v>CWRI6004</v>
      </c>
      <c r="B206" s="1">
        <f>TableOUSPCWRI1[[#This Row],[Ver]]</f>
        <v>1</v>
      </c>
      <c r="C206" t="str">
        <f>IF(TableOUSPCWRI1[[#This Row],[Ver]]&gt;0,_xlfn.TEXTBEFORE(TableOUSPCWRI1[[#This Row],[Structure Line]]," "),"")</f>
        <v>CWRI6004</v>
      </c>
      <c r="D206" t="str">
        <f>IF(TableOUSPCWRI1[[#This Row],[OUA Code]]&lt;&gt;"",_xlfn.TEXTAFTER(TableOUSPCWRI1[[#This Row],[Structure Line]]," "),TableOUSPCWRI1[[#This Row],[Structure Line]])</f>
        <v>Graduate Engaging Narrative</v>
      </c>
      <c r="E206" s="57">
        <f>TableOUSPCWRI1[[#This Row],[Credit Points]]</f>
        <v>25</v>
      </c>
      <c r="F206" s="110">
        <v>2</v>
      </c>
      <c r="G206" s="110" t="s">
        <v>387</v>
      </c>
      <c r="H206" s="211">
        <v>1</v>
      </c>
      <c r="I206" s="110" t="s">
        <v>386</v>
      </c>
      <c r="J206" s="110" t="s">
        <v>151</v>
      </c>
      <c r="K206" s="110">
        <v>1</v>
      </c>
      <c r="L206" s="110" t="s">
        <v>444</v>
      </c>
      <c r="M206" s="110">
        <v>25</v>
      </c>
      <c r="N206" s="128">
        <v>46023</v>
      </c>
      <c r="O206" s="128"/>
      <c r="Q206" t="s">
        <v>202</v>
      </c>
      <c r="R206">
        <v>1</v>
      </c>
    </row>
    <row r="207" spans="1:18" x14ac:dyDescent="0.25">
      <c r="A207">
        <f>TableOUSPCWRI1[[#This Row],[Study Package Code]]</f>
        <v>0</v>
      </c>
      <c r="B207" s="1">
        <f>TableOUSPCWRI1[[#This Row],[Ver]]</f>
        <v>0</v>
      </c>
      <c r="C207" t="str">
        <f>IF(TableOUSPCWRI1[[#This Row],[Ver]]&gt;0,_xlfn.TEXTBEFORE(TableOUSPCWRI1[[#This Row],[Structure Line]]," "),"")</f>
        <v/>
      </c>
      <c r="D207">
        <f>IF(TableOUSPCWRI1[[#This Row],[OUA Code]]&lt;&gt;"",_xlfn.TEXTAFTER(TableOUSPCWRI1[[#This Row],[Structure Line]]," "),TableOUSPCWRI1[[#This Row],[Structure Line]])</f>
        <v>0</v>
      </c>
      <c r="E207" s="57">
        <f>TableOUSPCWRI1[[#This Row],[Credit Points]]</f>
        <v>0</v>
      </c>
      <c r="F207" s="110"/>
      <c r="G207" s="110"/>
      <c r="H207" s="211"/>
      <c r="I207" s="110"/>
      <c r="J207" s="110"/>
      <c r="K207" s="110"/>
      <c r="L207" s="110"/>
      <c r="M207" s="110"/>
      <c r="N207" s="128"/>
      <c r="O207" s="128"/>
      <c r="Q207" t="s">
        <v>215</v>
      </c>
      <c r="R207">
        <v>1</v>
      </c>
    </row>
    <row r="208" spans="1:18" x14ac:dyDescent="0.25">
      <c r="A208">
        <f>TableOUSPCWRI1[[#This Row],[Study Package Code]]</f>
        <v>0</v>
      </c>
      <c r="B208" s="1">
        <f>TableOUSPCWRI1[[#This Row],[Ver]]</f>
        <v>0</v>
      </c>
      <c r="C208" t="str">
        <f>IF(TableOUSPCWRI1[[#This Row],[Ver]]&gt;0,_xlfn.TEXTBEFORE(TableOUSPCWRI1[[#This Row],[Structure Line]]," "),"")</f>
        <v/>
      </c>
      <c r="D208">
        <f>IF(TableOUSPCWRI1[[#This Row],[OUA Code]]&lt;&gt;"",_xlfn.TEXTAFTER(TableOUSPCWRI1[[#This Row],[Structure Line]]," "),TableOUSPCWRI1[[#This Row],[Structure Line]])</f>
        <v>0</v>
      </c>
      <c r="E208" s="57">
        <f>TableOUSPCWRI1[[#This Row],[Credit Points]]</f>
        <v>0</v>
      </c>
      <c r="F208" s="110"/>
      <c r="G208" s="110"/>
      <c r="H208" s="211"/>
      <c r="I208" s="110"/>
      <c r="J208" s="110"/>
      <c r="K208" s="110"/>
      <c r="L208" s="110"/>
      <c r="M208" s="110"/>
      <c r="N208" s="128"/>
      <c r="O208" s="128"/>
      <c r="Q208" t="s">
        <v>172</v>
      </c>
      <c r="R208">
        <v>1</v>
      </c>
    </row>
    <row r="209" spans="1:18" x14ac:dyDescent="0.25">
      <c r="B209"/>
      <c r="E209"/>
      <c r="F209" s="56"/>
      <c r="G209" s="173" t="s">
        <v>374</v>
      </c>
      <c r="H209" s="212">
        <v>45989</v>
      </c>
      <c r="I209" s="171"/>
      <c r="J209" s="171" t="s">
        <v>90</v>
      </c>
      <c r="K209" s="172">
        <v>1</v>
      </c>
      <c r="L209" s="171" t="s">
        <v>39</v>
      </c>
      <c r="M209" s="171"/>
      <c r="N209" s="179">
        <v>45658</v>
      </c>
      <c r="O209" s="174"/>
    </row>
    <row r="210" spans="1:18" x14ac:dyDescent="0.25">
      <c r="A210" t="s">
        <v>0</v>
      </c>
      <c r="B210" s="1" t="s">
        <v>375</v>
      </c>
      <c r="C210" t="s">
        <v>22</v>
      </c>
      <c r="D210" t="s">
        <v>3</v>
      </c>
      <c r="E210" s="57" t="s">
        <v>376</v>
      </c>
      <c r="F210" t="s">
        <v>377</v>
      </c>
      <c r="G210" t="s">
        <v>378</v>
      </c>
      <c r="H210" s="1" t="s">
        <v>379</v>
      </c>
      <c r="I210" t="s">
        <v>23</v>
      </c>
      <c r="J210" t="s">
        <v>380</v>
      </c>
      <c r="K210" t="s">
        <v>1</v>
      </c>
      <c r="L210" t="s">
        <v>381</v>
      </c>
      <c r="M210" t="s">
        <v>58</v>
      </c>
      <c r="N210" t="s">
        <v>382</v>
      </c>
      <c r="O210" t="s">
        <v>383</v>
      </c>
      <c r="Q210" t="s">
        <v>384</v>
      </c>
      <c r="R210" t="s">
        <v>1</v>
      </c>
    </row>
    <row r="211" spans="1:18" x14ac:dyDescent="0.25">
      <c r="A211" t="str">
        <f>TableOUSPDGCM1[[#This Row],[Study Package Code]]</f>
        <v>COMS5005</v>
      </c>
      <c r="B211" s="1">
        <f>TableOUSPDGCM1[[#This Row],[Ver]]</f>
        <v>1</v>
      </c>
      <c r="C211" t="str">
        <f>IF(TableOUSPDGCM1[[#This Row],[Ver]]&gt;0,_xlfn.TEXTBEFORE(TableOUSPDGCM1[[#This Row],[Structure Line]]," "),"")</f>
        <v>COM500</v>
      </c>
      <c r="D211" t="str">
        <f>IF(TableOUSPDGCM1[[#This Row],[OUA Code]]&lt;&gt;"",_xlfn.TEXTAFTER(TableOUSPDGCM1[[#This Row],[Structure Line]]," "),TableOUSPDGCM1[[#This Row],[Structure Line]])</f>
        <v>Approaches to Arts Research</v>
      </c>
      <c r="E211" s="57">
        <f>TableOUSPDGCM1[[#This Row],[Credit Points]]</f>
        <v>25</v>
      </c>
      <c r="F211" s="110">
        <v>1</v>
      </c>
      <c r="G211" s="110" t="s">
        <v>388</v>
      </c>
      <c r="H211" s="211">
        <v>1</v>
      </c>
      <c r="I211" s="110" t="s">
        <v>386</v>
      </c>
      <c r="J211" s="110" t="s">
        <v>199</v>
      </c>
      <c r="K211" s="110">
        <v>1</v>
      </c>
      <c r="L211" s="110" t="s">
        <v>389</v>
      </c>
      <c r="M211" s="110">
        <v>25</v>
      </c>
      <c r="N211" s="128">
        <v>45658</v>
      </c>
      <c r="O211" s="128"/>
      <c r="Q211" t="s">
        <v>199</v>
      </c>
      <c r="R211">
        <v>1</v>
      </c>
    </row>
    <row r="212" spans="1:18" x14ac:dyDescent="0.25">
      <c r="A212" t="str">
        <f>TableOUSPDGCM1[[#This Row],[Study Package Code]]</f>
        <v>AC-DGCM1S</v>
      </c>
      <c r="B212" s="1">
        <f>TableOUSPDGCM1[[#This Row],[Ver]]</f>
        <v>0</v>
      </c>
      <c r="C212" t="str">
        <f>IF(TableOUSPDGCM1[[#This Row],[Ver]]&gt;0,_xlfn.TEXTBEFORE(TableOUSPDGCM1[[#This Row],[Structure Line]]," "),"")</f>
        <v/>
      </c>
      <c r="D212" t="str">
        <f>IF(TableOUSPDGCM1[[#This Row],[OUA Code]]&lt;&gt;"",_xlfn.TEXTAFTER(TableOUSPDGCM1[[#This Row],[Structure Line]]," "),TableOUSPDGCM1[[#This Row],[Structure Line]])</f>
        <v>Choose NETS5013 or NETS5012</v>
      </c>
      <c r="E212" s="57">
        <f>TableOUSPDGCM1[[#This Row],[Credit Points]]</f>
        <v>25</v>
      </c>
      <c r="F212" s="110">
        <v>2</v>
      </c>
      <c r="G212" s="110" t="s">
        <v>385</v>
      </c>
      <c r="H212" s="211">
        <v>1</v>
      </c>
      <c r="I212" s="110" t="s">
        <v>386</v>
      </c>
      <c r="J212" s="110" t="s">
        <v>194</v>
      </c>
      <c r="K212" s="110">
        <v>0</v>
      </c>
      <c r="L212" s="110" t="s">
        <v>445</v>
      </c>
      <c r="M212" s="110">
        <v>25</v>
      </c>
      <c r="N212" s="128"/>
      <c r="O212" s="128"/>
      <c r="Q212" t="s">
        <v>194</v>
      </c>
      <c r="R212">
        <v>0</v>
      </c>
    </row>
    <row r="213" spans="1:18" x14ac:dyDescent="0.25">
      <c r="A213" t="str">
        <f>TableOUSPDGCM1[[#This Row],[Study Package Code]]</f>
        <v>Opt-DGCM1S</v>
      </c>
      <c r="B213" s="1">
        <f>TableOUSPDGCM1[[#This Row],[Ver]]</f>
        <v>0</v>
      </c>
      <c r="C213" t="str">
        <f>IF(TableOUSPDGCM1[[#This Row],[Ver]]&gt;0,_xlfn.TEXTBEFORE(TableOUSPDGCM1[[#This Row],[Structure Line]]," "),"")</f>
        <v/>
      </c>
      <c r="D213" t="str">
        <f>IF(TableOUSPDGCM1[[#This Row],[OUA Code]]&lt;&gt;"",_xlfn.TEXTAFTER(TableOUSPDGCM1[[#This Row],[Structure Line]]," "),TableOUSPDGCM1[[#This Row],[Structure Line]])</f>
        <v>Choose Options</v>
      </c>
      <c r="E213" s="57">
        <f>TableOUSPDGCM1[[#This Row],[Credit Points]]</f>
        <v>50</v>
      </c>
      <c r="F213" s="110">
        <v>3</v>
      </c>
      <c r="G213" s="110" t="s">
        <v>387</v>
      </c>
      <c r="H213" s="211">
        <v>1</v>
      </c>
      <c r="I213" s="110" t="s">
        <v>386</v>
      </c>
      <c r="J213" s="110" t="s">
        <v>197</v>
      </c>
      <c r="K213" s="110">
        <v>0</v>
      </c>
      <c r="L213" s="110" t="s">
        <v>336</v>
      </c>
      <c r="M213" s="110">
        <v>50</v>
      </c>
      <c r="N213" s="128"/>
      <c r="O213" s="128"/>
      <c r="Q213" t="s">
        <v>197</v>
      </c>
      <c r="R213">
        <v>0</v>
      </c>
    </row>
    <row r="214" spans="1:18" x14ac:dyDescent="0.25">
      <c r="A214" t="str">
        <f>TableOUSPDGCM1[[#This Row],[Study Package Code]]</f>
        <v>NETS5012</v>
      </c>
      <c r="B214" s="1">
        <f>TableOUSPDGCM1[[#This Row],[Ver]]</f>
        <v>2</v>
      </c>
      <c r="C214" t="str">
        <f>IF(TableOUSPDGCM1[[#This Row],[Ver]]&gt;0,_xlfn.TEXTBEFORE(TableOUSPDGCM1[[#This Row],[Structure Line]]," "),"")</f>
        <v>MIC501</v>
      </c>
      <c r="D214" t="str">
        <f>IF(TableOUSPDGCM1[[#This Row],[OUA Code]]&lt;&gt;"",_xlfn.TEXTAFTER(TableOUSPDGCM1[[#This Row],[Structure Line]]," "),TableOUSPDGCM1[[#This Row],[Structure Line]])</f>
        <v>Graduate Web Communications</v>
      </c>
      <c r="E214" s="57">
        <f>TableOUSPDGCM1[[#This Row],[Credit Points]]</f>
        <v>25</v>
      </c>
      <c r="F214" s="110">
        <v>2</v>
      </c>
      <c r="G214" s="110" t="s">
        <v>385</v>
      </c>
      <c r="H214" s="211">
        <v>1</v>
      </c>
      <c r="I214" s="110" t="s">
        <v>386</v>
      </c>
      <c r="J214" s="110" t="s">
        <v>137</v>
      </c>
      <c r="K214" s="110">
        <v>2</v>
      </c>
      <c r="L214" s="110" t="s">
        <v>399</v>
      </c>
      <c r="M214" s="110">
        <v>25</v>
      </c>
      <c r="N214" s="128">
        <v>45658</v>
      </c>
      <c r="O214" s="128"/>
      <c r="Q214" t="s">
        <v>137</v>
      </c>
      <c r="R214">
        <v>2</v>
      </c>
    </row>
    <row r="215" spans="1:18" x14ac:dyDescent="0.25">
      <c r="A215" t="str">
        <f>TableOUSPDGCM1[[#This Row],[Study Package Code]]</f>
        <v>NETS5013</v>
      </c>
      <c r="B215" s="1">
        <f>TableOUSPDGCM1[[#This Row],[Ver]]</f>
        <v>2</v>
      </c>
      <c r="C215" t="str">
        <f>IF(TableOUSPDGCM1[[#This Row],[Ver]]&gt;0,_xlfn.TEXTBEFORE(TableOUSPDGCM1[[#This Row],[Structure Line]]," "),"")</f>
        <v>MIC502</v>
      </c>
      <c r="D215" t="str">
        <f>IF(TableOUSPDGCM1[[#This Row],[OUA Code]]&lt;&gt;"",_xlfn.TEXTAFTER(TableOUSPDGCM1[[#This Row],[Structure Line]]," "),TableOUSPDGCM1[[#This Row],[Structure Line]])</f>
        <v>Graduate Digital Culture and Everyday Life</v>
      </c>
      <c r="E215" s="57">
        <f>TableOUSPDGCM1[[#This Row],[Credit Points]]</f>
        <v>25</v>
      </c>
      <c r="F215" s="110">
        <v>2</v>
      </c>
      <c r="G215" s="110" t="s">
        <v>385</v>
      </c>
      <c r="H215" s="211">
        <v>1</v>
      </c>
      <c r="I215" s="110" t="s">
        <v>386</v>
      </c>
      <c r="J215" s="110" t="s">
        <v>139</v>
      </c>
      <c r="K215" s="110">
        <v>2</v>
      </c>
      <c r="L215" s="110" t="s">
        <v>400</v>
      </c>
      <c r="M215" s="110">
        <v>25</v>
      </c>
      <c r="N215" s="128">
        <v>45658</v>
      </c>
      <c r="O215" s="128"/>
      <c r="Q215" t="s">
        <v>139</v>
      </c>
      <c r="R215">
        <v>2</v>
      </c>
    </row>
    <row r="216" spans="1:18" x14ac:dyDescent="0.25">
      <c r="A216" t="str">
        <f>TableOUSPDGCM1[[#This Row],[Study Package Code]]</f>
        <v>NETS5012</v>
      </c>
      <c r="B216" s="1">
        <f>TableOUSPDGCM1[[#This Row],[Ver]]</f>
        <v>2</v>
      </c>
      <c r="C216" t="str">
        <f>IF(TableOUSPDGCM1[[#This Row],[Ver]]&gt;0,_xlfn.TEXTBEFORE(TableOUSPDGCM1[[#This Row],[Structure Line]]," "),"")</f>
        <v>MIC501</v>
      </c>
      <c r="D216" t="str">
        <f>IF(TableOUSPDGCM1[[#This Row],[OUA Code]]&lt;&gt;"",_xlfn.TEXTAFTER(TableOUSPDGCM1[[#This Row],[Structure Line]]," "),TableOUSPDGCM1[[#This Row],[Structure Line]])</f>
        <v>Graduate Web Communications</v>
      </c>
      <c r="E216" s="57">
        <f>TableOUSPDGCM1[[#This Row],[Credit Points]]</f>
        <v>25</v>
      </c>
      <c r="F216" s="110">
        <v>3</v>
      </c>
      <c r="G216" s="110" t="s">
        <v>387</v>
      </c>
      <c r="H216" s="211">
        <v>1</v>
      </c>
      <c r="I216" s="110" t="s">
        <v>386</v>
      </c>
      <c r="J216" s="110" t="s">
        <v>137</v>
      </c>
      <c r="K216" s="110">
        <v>2</v>
      </c>
      <c r="L216" s="110" t="s">
        <v>399</v>
      </c>
      <c r="M216" s="110">
        <v>25</v>
      </c>
      <c r="N216" s="128">
        <v>45658</v>
      </c>
      <c r="O216" s="128"/>
      <c r="Q216" t="s">
        <v>137</v>
      </c>
      <c r="R216">
        <v>2</v>
      </c>
    </row>
    <row r="217" spans="1:18" x14ac:dyDescent="0.25">
      <c r="A217" t="str">
        <f>TableOUSPDGCM1[[#This Row],[Study Package Code]]</f>
        <v>NETS5013</v>
      </c>
      <c r="B217" s="1">
        <f>TableOUSPDGCM1[[#This Row],[Ver]]</f>
        <v>2</v>
      </c>
      <c r="C217" t="str">
        <f>IF(TableOUSPDGCM1[[#This Row],[Ver]]&gt;0,_xlfn.TEXTBEFORE(TableOUSPDGCM1[[#This Row],[Structure Line]]," "),"")</f>
        <v>MIC502</v>
      </c>
      <c r="D217" t="str">
        <f>IF(TableOUSPDGCM1[[#This Row],[OUA Code]]&lt;&gt;"",_xlfn.TEXTAFTER(TableOUSPDGCM1[[#This Row],[Structure Line]]," "),TableOUSPDGCM1[[#This Row],[Structure Line]])</f>
        <v>Graduate Digital Culture and Everyday Life</v>
      </c>
      <c r="E217" s="57">
        <f>TableOUSPDGCM1[[#This Row],[Credit Points]]</f>
        <v>25</v>
      </c>
      <c r="F217" s="110">
        <v>3</v>
      </c>
      <c r="G217" s="110" t="s">
        <v>387</v>
      </c>
      <c r="H217" s="211">
        <v>1</v>
      </c>
      <c r="I217" s="110" t="s">
        <v>386</v>
      </c>
      <c r="J217" s="110" t="s">
        <v>139</v>
      </c>
      <c r="K217" s="110">
        <v>2</v>
      </c>
      <c r="L217" s="110" t="s">
        <v>400</v>
      </c>
      <c r="M217" s="110">
        <v>25</v>
      </c>
      <c r="N217" s="128">
        <v>45658</v>
      </c>
      <c r="O217" s="128"/>
      <c r="Q217" t="s">
        <v>139</v>
      </c>
      <c r="R217">
        <v>2</v>
      </c>
    </row>
    <row r="218" spans="1:18" x14ac:dyDescent="0.25">
      <c r="A218" t="str">
        <f>TableOUSPDGCM1[[#This Row],[Study Package Code]]</f>
        <v>NETS5014</v>
      </c>
      <c r="B218" s="1">
        <f>TableOUSPDGCM1[[#This Row],[Ver]]</f>
        <v>3</v>
      </c>
      <c r="C218" t="str">
        <f>IF(TableOUSPDGCM1[[#This Row],[Ver]]&gt;0,_xlfn.TEXTBEFORE(TableOUSPDGCM1[[#This Row],[Structure Line]]," "),"")</f>
        <v>MIC503</v>
      </c>
      <c r="D218" t="str">
        <f>IF(TableOUSPDGCM1[[#This Row],[OUA Code]]&lt;&gt;"",_xlfn.TEXTAFTER(TableOUSPDGCM1[[#This Row],[Structure Line]]," "),TableOUSPDGCM1[[#This Row],[Structure Line]])</f>
        <v>Graduate Online Power and Resistance</v>
      </c>
      <c r="E218" s="57">
        <f>TableOUSPDGCM1[[#This Row],[Credit Points]]</f>
        <v>25</v>
      </c>
      <c r="F218" s="110">
        <v>3</v>
      </c>
      <c r="G218" s="110" t="s">
        <v>387</v>
      </c>
      <c r="H218" s="211">
        <v>1</v>
      </c>
      <c r="I218" s="110" t="s">
        <v>386</v>
      </c>
      <c r="J218" s="110" t="s">
        <v>168</v>
      </c>
      <c r="K218" s="110">
        <v>3</v>
      </c>
      <c r="L218" s="110" t="s">
        <v>401</v>
      </c>
      <c r="M218" s="110">
        <v>25</v>
      </c>
      <c r="N218" s="128">
        <v>45658</v>
      </c>
      <c r="O218" s="128"/>
      <c r="Q218" t="s">
        <v>168</v>
      </c>
      <c r="R218">
        <v>3</v>
      </c>
    </row>
    <row r="219" spans="1:18" x14ac:dyDescent="0.25">
      <c r="A219" t="str">
        <f>TableOUSPDGCM1[[#This Row],[Study Package Code]]</f>
        <v>NETS5015</v>
      </c>
      <c r="B219" s="1">
        <f>TableOUSPDGCM1[[#This Row],[Ver]]</f>
        <v>2</v>
      </c>
      <c r="C219" t="str">
        <f>IF(TableOUSPDGCM1[[#This Row],[Ver]]&gt;0,_xlfn.TEXTBEFORE(TableOUSPDGCM1[[#This Row],[Structure Line]]," "),"")</f>
        <v>MIC504</v>
      </c>
      <c r="D219" t="str">
        <f>IF(TableOUSPDGCM1[[#This Row],[OUA Code]]&lt;&gt;"",_xlfn.TEXTAFTER(TableOUSPDGCM1[[#This Row],[Structure Line]]," "),TableOUSPDGCM1[[#This Row],[Structure Line]])</f>
        <v>Graduate Social Media, Communities and Networks</v>
      </c>
      <c r="E219" s="57">
        <f>TableOUSPDGCM1[[#This Row],[Credit Points]]</f>
        <v>25</v>
      </c>
      <c r="F219" s="110">
        <v>3</v>
      </c>
      <c r="G219" s="110" t="s">
        <v>387</v>
      </c>
      <c r="H219" s="211">
        <v>1</v>
      </c>
      <c r="I219" s="110" t="s">
        <v>386</v>
      </c>
      <c r="J219" s="110" t="s">
        <v>170</v>
      </c>
      <c r="K219" s="110">
        <v>2</v>
      </c>
      <c r="L219" s="110" t="s">
        <v>402</v>
      </c>
      <c r="M219" s="110">
        <v>25</v>
      </c>
      <c r="N219" s="128">
        <v>45658</v>
      </c>
      <c r="O219" s="128"/>
      <c r="Q219" t="s">
        <v>170</v>
      </c>
      <c r="R219">
        <v>2</v>
      </c>
    </row>
    <row r="220" spans="1:18" x14ac:dyDescent="0.25">
      <c r="A220" t="str">
        <f>TableOUSPDGCM1[[#This Row],[Study Package Code]]</f>
        <v>NETS5016</v>
      </c>
      <c r="B220" s="1">
        <f>TableOUSPDGCM1[[#This Row],[Ver]]</f>
        <v>2</v>
      </c>
      <c r="C220" t="str">
        <f>IF(TableOUSPDGCM1[[#This Row],[Ver]]&gt;0,_xlfn.TEXTBEFORE(TableOUSPDGCM1[[#This Row],[Structure Line]]," "),"")</f>
        <v>MIC505</v>
      </c>
      <c r="D220" t="str">
        <f>IF(TableOUSPDGCM1[[#This Row],[OUA Code]]&lt;&gt;"",_xlfn.TEXTAFTER(TableOUSPDGCM1[[#This Row],[Structure Line]]," "),TableOUSPDGCM1[[#This Row],[Structure Line]])</f>
        <v>Graduate Writing on the Web</v>
      </c>
      <c r="E220" s="57">
        <f>TableOUSPDGCM1[[#This Row],[Credit Points]]</f>
        <v>25</v>
      </c>
      <c r="F220" s="110">
        <v>3</v>
      </c>
      <c r="G220" s="110" t="s">
        <v>387</v>
      </c>
      <c r="H220" s="211">
        <v>1</v>
      </c>
      <c r="I220" s="110" t="s">
        <v>386</v>
      </c>
      <c r="J220" s="110" t="s">
        <v>167</v>
      </c>
      <c r="K220" s="110">
        <v>2</v>
      </c>
      <c r="L220" s="110" t="s">
        <v>403</v>
      </c>
      <c r="M220" s="110">
        <v>25</v>
      </c>
      <c r="N220" s="128">
        <v>45658</v>
      </c>
      <c r="O220" s="128"/>
      <c r="Q220" t="s">
        <v>167</v>
      </c>
      <c r="R220">
        <v>2</v>
      </c>
    </row>
    <row r="221" spans="1:18" x14ac:dyDescent="0.25">
      <c r="A221" t="str">
        <f>TableOUSPDGCM1[[#This Row],[Study Package Code]]</f>
        <v>NETS5017</v>
      </c>
      <c r="B221" s="1">
        <f>TableOUSPDGCM1[[#This Row],[Ver]]</f>
        <v>2</v>
      </c>
      <c r="C221" t="str">
        <f>IF(TableOUSPDGCM1[[#This Row],[Ver]]&gt;0,_xlfn.TEXTBEFORE(TableOUSPDGCM1[[#This Row],[Structure Line]]," "),"")</f>
        <v>MIC506</v>
      </c>
      <c r="D221" t="str">
        <f>IF(TableOUSPDGCM1[[#This Row],[OUA Code]]&lt;&gt;"",_xlfn.TEXTAFTER(TableOUSPDGCM1[[#This Row],[Structure Line]]," "),TableOUSPDGCM1[[#This Row],[Structure Line]])</f>
        <v>Graduate The Digital Economy</v>
      </c>
      <c r="E221" s="57">
        <f>TableOUSPDGCM1[[#This Row],[Credit Points]]</f>
        <v>25</v>
      </c>
      <c r="F221" s="110">
        <v>3</v>
      </c>
      <c r="G221" s="110" t="s">
        <v>387</v>
      </c>
      <c r="H221" s="211">
        <v>1</v>
      </c>
      <c r="I221" s="110" t="s">
        <v>386</v>
      </c>
      <c r="J221" s="110" t="s">
        <v>174</v>
      </c>
      <c r="K221" s="110">
        <v>2</v>
      </c>
      <c r="L221" s="110" t="s">
        <v>404</v>
      </c>
      <c r="M221" s="110">
        <v>25</v>
      </c>
      <c r="N221" s="128">
        <v>45658</v>
      </c>
      <c r="O221" s="128"/>
      <c r="Q221" t="s">
        <v>174</v>
      </c>
      <c r="R221">
        <v>2</v>
      </c>
    </row>
    <row r="222" spans="1:18" x14ac:dyDescent="0.25">
      <c r="A222" t="str">
        <f>TableOUSPDGCM1[[#This Row],[Study Package Code]]</f>
        <v>NETS5018</v>
      </c>
      <c r="B222" s="1">
        <f>TableOUSPDGCM1[[#This Row],[Ver]]</f>
        <v>2</v>
      </c>
      <c r="C222" t="str">
        <f>IF(TableOUSPDGCM1[[#This Row],[Ver]]&gt;0,_xlfn.TEXTBEFORE(TableOUSPDGCM1[[#This Row],[Structure Line]]," "),"")</f>
        <v>MIC507</v>
      </c>
      <c r="D222" t="str">
        <f>IF(TableOUSPDGCM1[[#This Row],[OUA Code]]&lt;&gt;"",_xlfn.TEXTAFTER(TableOUSPDGCM1[[#This Row],[Structure Line]]," "),TableOUSPDGCM1[[#This Row],[Structure Line]])</f>
        <v>Graduate Technology, Innovation and Societies</v>
      </c>
      <c r="E222" s="57">
        <f>TableOUSPDGCM1[[#This Row],[Credit Points]]</f>
        <v>25</v>
      </c>
      <c r="F222" s="110">
        <v>3</v>
      </c>
      <c r="G222" s="110" t="s">
        <v>387</v>
      </c>
      <c r="H222" s="211">
        <v>1</v>
      </c>
      <c r="I222" s="110" t="s">
        <v>386</v>
      </c>
      <c r="J222" s="110" t="s">
        <v>176</v>
      </c>
      <c r="K222" s="110">
        <v>2</v>
      </c>
      <c r="L222" s="110" t="s">
        <v>405</v>
      </c>
      <c r="M222" s="110">
        <v>25</v>
      </c>
      <c r="N222" s="128">
        <v>45658</v>
      </c>
      <c r="O222" s="128"/>
      <c r="Q222" t="s">
        <v>176</v>
      </c>
      <c r="R222">
        <v>2</v>
      </c>
    </row>
    <row r="223" spans="1:18" x14ac:dyDescent="0.25">
      <c r="A223" t="str">
        <f>TableOUSPDGCM1[[#This Row],[Study Package Code]]</f>
        <v>NETS5020</v>
      </c>
      <c r="B223" s="1">
        <f>TableOUSPDGCM1[[#This Row],[Ver]]</f>
        <v>2</v>
      </c>
      <c r="C223" t="str">
        <f>IF(TableOUSPDGCM1[[#This Row],[Ver]]&gt;0,_xlfn.TEXTBEFORE(TableOUSPDGCM1[[#This Row],[Structure Line]]," "),"")</f>
        <v>MIC509</v>
      </c>
      <c r="D223" t="str">
        <f>IF(TableOUSPDGCM1[[#This Row],[OUA Code]]&lt;&gt;"",_xlfn.TEXTAFTER(TableOUSPDGCM1[[#This Row],[Structure Line]]," "),TableOUSPDGCM1[[#This Row],[Structure Line]])</f>
        <v>Graduate Web Media</v>
      </c>
      <c r="E223" s="57">
        <f>TableOUSPDGCM1[[#This Row],[Credit Points]]</f>
        <v>25</v>
      </c>
      <c r="F223" s="110">
        <v>3</v>
      </c>
      <c r="G223" s="110" t="s">
        <v>387</v>
      </c>
      <c r="H223" s="211">
        <v>1</v>
      </c>
      <c r="I223" s="110" t="s">
        <v>386</v>
      </c>
      <c r="J223" s="110" t="s">
        <v>180</v>
      </c>
      <c r="K223" s="110">
        <v>2</v>
      </c>
      <c r="L223" s="110" t="s">
        <v>406</v>
      </c>
      <c r="M223" s="110">
        <v>25</v>
      </c>
      <c r="N223" s="128">
        <v>45658</v>
      </c>
      <c r="O223" s="128"/>
      <c r="Q223" t="s">
        <v>180</v>
      </c>
      <c r="R223">
        <v>2</v>
      </c>
    </row>
    <row r="224" spans="1:18" x14ac:dyDescent="0.25">
      <c r="A224" t="str">
        <f>TableOUSPDGCM1[[#This Row],[Study Package Code]]</f>
        <v>NETS5021</v>
      </c>
      <c r="B224" s="1">
        <f>TableOUSPDGCM1[[#This Row],[Ver]]</f>
        <v>3</v>
      </c>
      <c r="C224" t="str">
        <f>IF(TableOUSPDGCM1[[#This Row],[Ver]]&gt;0,_xlfn.TEXTBEFORE(TableOUSPDGCM1[[#This Row],[Structure Line]]," "),"")</f>
        <v>MIC510</v>
      </c>
      <c r="D224" t="str">
        <f>IF(TableOUSPDGCM1[[#This Row],[OUA Code]]&lt;&gt;"",_xlfn.TEXTAFTER(TableOUSPDGCM1[[#This Row],[Structure Line]]," "),TableOUSPDGCM1[[#This Row],[Structure Line]])</f>
        <v>Graduate Online Games and Play</v>
      </c>
      <c r="E224" s="57">
        <f>TableOUSPDGCM1[[#This Row],[Credit Points]]</f>
        <v>25</v>
      </c>
      <c r="F224" s="110">
        <v>3</v>
      </c>
      <c r="G224" s="110" t="s">
        <v>387</v>
      </c>
      <c r="H224" s="211">
        <v>1</v>
      </c>
      <c r="I224" s="110" t="s">
        <v>386</v>
      </c>
      <c r="J224" s="110" t="s">
        <v>181</v>
      </c>
      <c r="K224" s="110">
        <v>3</v>
      </c>
      <c r="L224" s="110" t="s">
        <v>407</v>
      </c>
      <c r="M224" s="110">
        <v>25</v>
      </c>
      <c r="N224" s="128">
        <v>45658</v>
      </c>
      <c r="O224" s="128"/>
      <c r="Q224" t="s">
        <v>181</v>
      </c>
      <c r="R224">
        <v>3</v>
      </c>
    </row>
    <row r="225" spans="1:18" x14ac:dyDescent="0.25">
      <c r="B225"/>
      <c r="E225"/>
      <c r="F225" s="56"/>
      <c r="G225" s="173" t="s">
        <v>374</v>
      </c>
      <c r="H225" s="212">
        <v>45989</v>
      </c>
      <c r="I225" s="171"/>
      <c r="J225" s="171" t="s">
        <v>92</v>
      </c>
      <c r="K225" s="172">
        <v>1</v>
      </c>
      <c r="L225" s="171" t="s">
        <v>91</v>
      </c>
      <c r="M225" s="171"/>
      <c r="N225" s="179">
        <v>45658</v>
      </c>
      <c r="O225" s="174"/>
    </row>
    <row r="226" spans="1:18" x14ac:dyDescent="0.25">
      <c r="A226" t="s">
        <v>0</v>
      </c>
      <c r="B226" s="1" t="s">
        <v>375</v>
      </c>
      <c r="C226" t="s">
        <v>22</v>
      </c>
      <c r="D226" t="s">
        <v>3</v>
      </c>
      <c r="E226" s="57" t="s">
        <v>376</v>
      </c>
      <c r="F226" t="s">
        <v>377</v>
      </c>
      <c r="G226" t="s">
        <v>378</v>
      </c>
      <c r="H226" s="1" t="s">
        <v>379</v>
      </c>
      <c r="I226" t="s">
        <v>23</v>
      </c>
      <c r="J226" t="s">
        <v>380</v>
      </c>
      <c r="K226" t="s">
        <v>1</v>
      </c>
      <c r="L226" t="s">
        <v>381</v>
      </c>
      <c r="M226" t="s">
        <v>58</v>
      </c>
      <c r="N226" t="s">
        <v>382</v>
      </c>
      <c r="O226" t="s">
        <v>383</v>
      </c>
      <c r="Q226" t="s">
        <v>384</v>
      </c>
      <c r="R226" t="s">
        <v>1</v>
      </c>
    </row>
    <row r="227" spans="1:18" x14ac:dyDescent="0.25">
      <c r="A227" t="str">
        <f>TableOUSPFINA1[[#This Row],[Study Package Code]]</f>
        <v>COMS5005</v>
      </c>
      <c r="B227" s="1">
        <f>TableOUSPFINA1[[#This Row],[Ver]]</f>
        <v>1</v>
      </c>
      <c r="C227" t="str">
        <f>IF(TableOUSPFINA1[[#This Row],[Ver]]&gt;0,_xlfn.TEXTBEFORE(TableOUSPFINA1[[#This Row],[Structure Line]]," "),"")</f>
        <v>COM500</v>
      </c>
      <c r="D227" t="str">
        <f>IF(TableOUSPFINA1[[#This Row],[OUA Code]]&lt;&gt;"",_xlfn.TEXTAFTER(TableOUSPFINA1[[#This Row],[Structure Line]]," "),TableOUSPFINA1[[#This Row],[Structure Line]])</f>
        <v>Approaches to Arts Research</v>
      </c>
      <c r="E227" s="57">
        <f>TableOUSPFINA1[[#This Row],[Credit Points]]</f>
        <v>25</v>
      </c>
      <c r="F227" s="110">
        <v>1</v>
      </c>
      <c r="G227" s="110" t="s">
        <v>388</v>
      </c>
      <c r="H227" s="211">
        <v>1</v>
      </c>
      <c r="I227" s="110" t="s">
        <v>386</v>
      </c>
      <c r="J227" s="110" t="s">
        <v>199</v>
      </c>
      <c r="K227" s="110">
        <v>1</v>
      </c>
      <c r="L227" s="110" t="s">
        <v>389</v>
      </c>
      <c r="M227" s="110">
        <v>25</v>
      </c>
      <c r="N227" s="128">
        <v>45658</v>
      </c>
      <c r="O227" s="128"/>
      <c r="Q227" t="s">
        <v>199</v>
      </c>
      <c r="R227">
        <v>1</v>
      </c>
    </row>
    <row r="228" spans="1:18" x14ac:dyDescent="0.25">
      <c r="A228" t="str">
        <f>TableOUSPFINA1[[#This Row],[Study Package Code]]</f>
        <v>AC-FINA1S</v>
      </c>
      <c r="B228" s="1">
        <f>TableOUSPFINA1[[#This Row],[Ver]]</f>
        <v>0</v>
      </c>
      <c r="C228" t="str">
        <f>IF(TableOUSPFINA1[[#This Row],[Ver]]&gt;0,_xlfn.TEXTBEFORE(TableOUSPFINA1[[#This Row],[Structure Line]]," "),"")</f>
        <v/>
      </c>
      <c r="D228" t="str">
        <f>IF(TableOUSPFINA1[[#This Row],[OUA Code]]&lt;&gt;"",_xlfn.TEXTAFTER(TableOUSPFINA1[[#This Row],[Structure Line]]," "),TableOUSPFINA1[[#This Row],[Structure Line]])</f>
        <v>Choose VISA5018 or VISA5020</v>
      </c>
      <c r="E228" s="57">
        <f>TableOUSPFINA1[[#This Row],[Credit Points]]</f>
        <v>25</v>
      </c>
      <c r="F228" s="110">
        <v>2</v>
      </c>
      <c r="G228" s="110" t="s">
        <v>385</v>
      </c>
      <c r="H228" s="211">
        <v>1</v>
      </c>
      <c r="I228" s="110" t="s">
        <v>386</v>
      </c>
      <c r="J228" s="110" t="s">
        <v>195</v>
      </c>
      <c r="K228" s="110">
        <v>0</v>
      </c>
      <c r="L228" s="110" t="s">
        <v>408</v>
      </c>
      <c r="M228" s="110">
        <v>25</v>
      </c>
      <c r="N228" s="128"/>
      <c r="O228" s="128"/>
      <c r="Q228" t="s">
        <v>195</v>
      </c>
      <c r="R228">
        <v>0</v>
      </c>
    </row>
    <row r="229" spans="1:18" x14ac:dyDescent="0.25">
      <c r="A229" t="str">
        <f>TableOUSPFINA1[[#This Row],[Study Package Code]]</f>
        <v>Opt-FINA1S</v>
      </c>
      <c r="B229" s="1">
        <f>TableOUSPFINA1[[#This Row],[Ver]]</f>
        <v>0</v>
      </c>
      <c r="C229" t="str">
        <f>IF(TableOUSPFINA1[[#This Row],[Ver]]&gt;0,_xlfn.TEXTBEFORE(TableOUSPFINA1[[#This Row],[Structure Line]]," "),"")</f>
        <v/>
      </c>
      <c r="D229" t="str">
        <f>IF(TableOUSPFINA1[[#This Row],[OUA Code]]&lt;&gt;"",_xlfn.TEXTAFTER(TableOUSPFINA1[[#This Row],[Structure Line]]," "),TableOUSPFINA1[[#This Row],[Structure Line]])</f>
        <v>Choose Options</v>
      </c>
      <c r="E229" s="57">
        <f>TableOUSPFINA1[[#This Row],[Credit Points]]</f>
        <v>50</v>
      </c>
      <c r="F229" s="110">
        <v>3</v>
      </c>
      <c r="G229" s="110" t="s">
        <v>387</v>
      </c>
      <c r="H229" s="211">
        <v>1</v>
      </c>
      <c r="I229" s="110" t="s">
        <v>386</v>
      </c>
      <c r="J229" s="110" t="s">
        <v>198</v>
      </c>
      <c r="K229" s="110">
        <v>0</v>
      </c>
      <c r="L229" s="110" t="s">
        <v>336</v>
      </c>
      <c r="M229" s="110">
        <v>50</v>
      </c>
      <c r="N229" s="128"/>
      <c r="O229" s="128"/>
      <c r="Q229" t="s">
        <v>198</v>
      </c>
      <c r="R229">
        <v>0</v>
      </c>
    </row>
    <row r="230" spans="1:18" x14ac:dyDescent="0.25">
      <c r="A230" t="str">
        <f>TableOUSPFINA1[[#This Row],[Study Package Code]]</f>
        <v>VISA5018</v>
      </c>
      <c r="B230" s="1">
        <f>TableOUSPFINA1[[#This Row],[Ver]]</f>
        <v>1</v>
      </c>
      <c r="C230" t="str">
        <f>IF(TableOUSPFINA1[[#This Row],[Ver]]&gt;0,_xlfn.TEXTBEFORE(TableOUSPFINA1[[#This Row],[Structure Line]]," "),"")</f>
        <v>VSW515</v>
      </c>
      <c r="D230" t="str">
        <f>IF(TableOUSPFINA1[[#This Row],[OUA Code]]&lt;&gt;"",_xlfn.TEXTAFTER(TableOUSPFINA1[[#This Row],[Structure Line]]," "),TableOUSPFINA1[[#This Row],[Structure Line]])</f>
        <v>Graduate Fine Art Studio Materials</v>
      </c>
      <c r="E230" s="57">
        <f>TableOUSPFINA1[[#This Row],[Credit Points]]</f>
        <v>25</v>
      </c>
      <c r="F230" s="110">
        <v>2</v>
      </c>
      <c r="G230" s="110" t="s">
        <v>385</v>
      </c>
      <c r="H230" s="211">
        <v>1</v>
      </c>
      <c r="I230" s="110" t="s">
        <v>386</v>
      </c>
      <c r="J230" s="110" t="s">
        <v>138</v>
      </c>
      <c r="K230" s="110">
        <v>1</v>
      </c>
      <c r="L230" s="110" t="s">
        <v>412</v>
      </c>
      <c r="M230" s="110">
        <v>25</v>
      </c>
      <c r="N230" s="128">
        <v>45658</v>
      </c>
      <c r="O230" s="128"/>
      <c r="Q230" t="s">
        <v>138</v>
      </c>
      <c r="R230">
        <v>1</v>
      </c>
    </row>
    <row r="231" spans="1:18" x14ac:dyDescent="0.25">
      <c r="A231" t="str">
        <f>TableOUSPFINA1[[#This Row],[Study Package Code]]</f>
        <v>VISA5020</v>
      </c>
      <c r="B231" s="1">
        <f>TableOUSPFINA1[[#This Row],[Ver]]</f>
        <v>1</v>
      </c>
      <c r="C231" t="str">
        <f>IF(TableOUSPFINA1[[#This Row],[Ver]]&gt;0,_xlfn.TEXTBEFORE(TableOUSPFINA1[[#This Row],[Structure Line]]," "),"")</f>
        <v>VSW525</v>
      </c>
      <c r="D231" t="str">
        <f>IF(TableOUSPFINA1[[#This Row],[OUA Code]]&lt;&gt;"",_xlfn.TEXTAFTER(TableOUSPFINA1[[#This Row],[Structure Line]]," "),TableOUSPFINA1[[#This Row],[Structure Line]])</f>
        <v>Graduate Fine Art Studio Methods</v>
      </c>
      <c r="E231" s="57">
        <f>TableOUSPFINA1[[#This Row],[Credit Points]]</f>
        <v>25</v>
      </c>
      <c r="F231" s="110">
        <v>2</v>
      </c>
      <c r="G231" s="110" t="s">
        <v>385</v>
      </c>
      <c r="H231" s="211">
        <v>1</v>
      </c>
      <c r="I231" s="110" t="s">
        <v>386</v>
      </c>
      <c r="J231" s="110" t="s">
        <v>140</v>
      </c>
      <c r="K231" s="110">
        <v>1</v>
      </c>
      <c r="L231" s="110" t="s">
        <v>414</v>
      </c>
      <c r="M231" s="110">
        <v>25</v>
      </c>
      <c r="N231" s="128">
        <v>45658</v>
      </c>
      <c r="O231" s="128"/>
      <c r="Q231" t="s">
        <v>140</v>
      </c>
      <c r="R231">
        <v>1</v>
      </c>
    </row>
    <row r="232" spans="1:18" x14ac:dyDescent="0.25">
      <c r="A232" t="str">
        <f>TableOUSPFINA1[[#This Row],[Study Package Code]]</f>
        <v>VISA5015</v>
      </c>
      <c r="B232" s="1">
        <f>TableOUSPFINA1[[#This Row],[Ver]]</f>
        <v>1</v>
      </c>
      <c r="C232" t="str">
        <f>IF(TableOUSPFINA1[[#This Row],[Ver]]&gt;0,_xlfn.TEXTBEFORE(TableOUSPFINA1[[#This Row],[Structure Line]]," "),"")</f>
        <v>VSW500</v>
      </c>
      <c r="D232" t="str">
        <f>IF(TableOUSPFINA1[[#This Row],[OUA Code]]&lt;&gt;"",_xlfn.TEXTAFTER(TableOUSPFINA1[[#This Row],[Structure Line]]," "),TableOUSPFINA1[[#This Row],[Structure Line]])</f>
        <v>Graduate Drawing</v>
      </c>
      <c r="E232" s="57">
        <f>TableOUSPFINA1[[#This Row],[Credit Points]]</f>
        <v>25</v>
      </c>
      <c r="F232" s="110">
        <v>3</v>
      </c>
      <c r="G232" s="110" t="s">
        <v>387</v>
      </c>
      <c r="H232" s="211">
        <v>1</v>
      </c>
      <c r="I232" s="110" t="s">
        <v>386</v>
      </c>
      <c r="J232" s="110" t="s">
        <v>162</v>
      </c>
      <c r="K232" s="110">
        <v>1</v>
      </c>
      <c r="L232" s="110" t="s">
        <v>409</v>
      </c>
      <c r="M232" s="110">
        <v>25</v>
      </c>
      <c r="N232" s="128">
        <v>45658</v>
      </c>
      <c r="O232" s="128"/>
      <c r="Q232" t="s">
        <v>162</v>
      </c>
      <c r="R232">
        <v>1</v>
      </c>
    </row>
    <row r="233" spans="1:18" x14ac:dyDescent="0.25">
      <c r="A233" t="str">
        <f>TableOUSPFINA1[[#This Row],[Study Package Code]]</f>
        <v>VISA5016</v>
      </c>
      <c r="B233" s="1">
        <f>TableOUSPFINA1[[#This Row],[Ver]]</f>
        <v>1</v>
      </c>
      <c r="C233" t="str">
        <f>IF(TableOUSPFINA1[[#This Row],[Ver]]&gt;0,_xlfn.TEXTBEFORE(TableOUSPFINA1[[#This Row],[Structure Line]]," "),"")</f>
        <v>VSW505</v>
      </c>
      <c r="D233" t="str">
        <f>IF(TableOUSPFINA1[[#This Row],[OUA Code]]&lt;&gt;"",_xlfn.TEXTAFTER(TableOUSPFINA1[[#This Row],[Structure Line]]," "),TableOUSPFINA1[[#This Row],[Structure Line]])</f>
        <v>Graduate Fine Art Project</v>
      </c>
      <c r="E233" s="57">
        <f>TableOUSPFINA1[[#This Row],[Credit Points]]</f>
        <v>25</v>
      </c>
      <c r="F233" s="110">
        <v>3</v>
      </c>
      <c r="G233" s="110" t="s">
        <v>387</v>
      </c>
      <c r="H233" s="211">
        <v>1</v>
      </c>
      <c r="I233" s="110" t="s">
        <v>386</v>
      </c>
      <c r="J233" s="110" t="s">
        <v>165</v>
      </c>
      <c r="K233" s="110">
        <v>1</v>
      </c>
      <c r="L233" s="110" t="s">
        <v>410</v>
      </c>
      <c r="M233" s="110">
        <v>25</v>
      </c>
      <c r="N233" s="128">
        <v>45658</v>
      </c>
      <c r="O233" s="128"/>
      <c r="Q233" t="s">
        <v>165</v>
      </c>
      <c r="R233">
        <v>1</v>
      </c>
    </row>
    <row r="234" spans="1:18" x14ac:dyDescent="0.25">
      <c r="A234" t="str">
        <f>TableOUSPFINA1[[#This Row],[Study Package Code]]</f>
        <v>VISA5017</v>
      </c>
      <c r="B234" s="1">
        <f>TableOUSPFINA1[[#This Row],[Ver]]</f>
        <v>1</v>
      </c>
      <c r="C234" t="str">
        <f>IF(TableOUSPFINA1[[#This Row],[Ver]]&gt;0,_xlfn.TEXTBEFORE(TableOUSPFINA1[[#This Row],[Structure Line]]," "),"")</f>
        <v>VSW510</v>
      </c>
      <c r="D234" t="str">
        <f>IF(TableOUSPFINA1[[#This Row],[OUA Code]]&lt;&gt;"",_xlfn.TEXTAFTER(TableOUSPFINA1[[#This Row],[Structure Line]]," "),TableOUSPFINA1[[#This Row],[Structure Line]])</f>
        <v>Graduate Fine Art Studio Extension</v>
      </c>
      <c r="E234" s="57">
        <f>TableOUSPFINA1[[#This Row],[Credit Points]]</f>
        <v>25</v>
      </c>
      <c r="F234" s="110">
        <v>3</v>
      </c>
      <c r="G234" s="110" t="s">
        <v>387</v>
      </c>
      <c r="H234" s="211">
        <v>1</v>
      </c>
      <c r="I234" s="110" t="s">
        <v>386</v>
      </c>
      <c r="J234" s="110" t="s">
        <v>166</v>
      </c>
      <c r="K234" s="110">
        <v>1</v>
      </c>
      <c r="L234" s="110" t="s">
        <v>411</v>
      </c>
      <c r="M234" s="110">
        <v>25</v>
      </c>
      <c r="N234" s="128">
        <v>45658</v>
      </c>
      <c r="O234" s="128"/>
      <c r="Q234" t="s">
        <v>166</v>
      </c>
      <c r="R234">
        <v>1</v>
      </c>
    </row>
    <row r="235" spans="1:18" x14ac:dyDescent="0.25">
      <c r="A235" t="str">
        <f>TableOUSPFINA1[[#This Row],[Study Package Code]]</f>
        <v>VISA5018</v>
      </c>
      <c r="B235" s="1">
        <f>TableOUSPFINA1[[#This Row],[Ver]]</f>
        <v>1</v>
      </c>
      <c r="C235" t="str">
        <f>IF(TableOUSPFINA1[[#This Row],[Ver]]&gt;0,_xlfn.TEXTBEFORE(TableOUSPFINA1[[#This Row],[Structure Line]]," "),"")</f>
        <v>VSW515</v>
      </c>
      <c r="D235" t="str">
        <f>IF(TableOUSPFINA1[[#This Row],[OUA Code]]&lt;&gt;"",_xlfn.TEXTAFTER(TableOUSPFINA1[[#This Row],[Structure Line]]," "),TableOUSPFINA1[[#This Row],[Structure Line]])</f>
        <v>Graduate Fine Art Studio Materials</v>
      </c>
      <c r="E235" s="57">
        <f>TableOUSPFINA1[[#This Row],[Credit Points]]</f>
        <v>25</v>
      </c>
      <c r="F235" s="110">
        <v>3</v>
      </c>
      <c r="G235" s="110" t="s">
        <v>387</v>
      </c>
      <c r="H235" s="211">
        <v>1</v>
      </c>
      <c r="I235" s="110" t="s">
        <v>386</v>
      </c>
      <c r="J235" s="110" t="s">
        <v>138</v>
      </c>
      <c r="K235" s="110">
        <v>1</v>
      </c>
      <c r="L235" s="110" t="s">
        <v>412</v>
      </c>
      <c r="M235" s="110">
        <v>25</v>
      </c>
      <c r="N235" s="128">
        <v>45658</v>
      </c>
      <c r="O235" s="128"/>
      <c r="Q235" t="s">
        <v>138</v>
      </c>
      <c r="R235">
        <v>1</v>
      </c>
    </row>
    <row r="236" spans="1:18" x14ac:dyDescent="0.25">
      <c r="A236" t="str">
        <f>TableOUSPFINA1[[#This Row],[Study Package Code]]</f>
        <v>VISA5019</v>
      </c>
      <c r="B236" s="1">
        <f>TableOUSPFINA1[[#This Row],[Ver]]</f>
        <v>1</v>
      </c>
      <c r="C236" t="str">
        <f>IF(TableOUSPFINA1[[#This Row],[Ver]]&gt;0,_xlfn.TEXTBEFORE(TableOUSPFINA1[[#This Row],[Structure Line]]," "),"")</f>
        <v>VSW520</v>
      </c>
      <c r="D236" t="str">
        <f>IF(TableOUSPFINA1[[#This Row],[OUA Code]]&lt;&gt;"",_xlfn.TEXTAFTER(TableOUSPFINA1[[#This Row],[Structure Line]]," "),TableOUSPFINA1[[#This Row],[Structure Line]])</f>
        <v>Graduate Fine Art Studio Strategies</v>
      </c>
      <c r="E236" s="57">
        <f>TableOUSPFINA1[[#This Row],[Credit Points]]</f>
        <v>25</v>
      </c>
      <c r="F236" s="110">
        <v>3</v>
      </c>
      <c r="G236" s="110" t="s">
        <v>387</v>
      </c>
      <c r="H236" s="211">
        <v>1</v>
      </c>
      <c r="I236" s="110" t="s">
        <v>386</v>
      </c>
      <c r="J236" s="110" t="s">
        <v>171</v>
      </c>
      <c r="K236" s="110">
        <v>1</v>
      </c>
      <c r="L236" s="110" t="s">
        <v>413</v>
      </c>
      <c r="M236" s="110">
        <v>25</v>
      </c>
      <c r="N236" s="128">
        <v>45658</v>
      </c>
      <c r="O236" s="128"/>
      <c r="Q236" t="s">
        <v>171</v>
      </c>
      <c r="R236">
        <v>1</v>
      </c>
    </row>
    <row r="237" spans="1:18" x14ac:dyDescent="0.25">
      <c r="A237" t="str">
        <f>TableOUSPFINA1[[#This Row],[Study Package Code]]</f>
        <v>VISA5020</v>
      </c>
      <c r="B237" s="1">
        <f>TableOUSPFINA1[[#This Row],[Ver]]</f>
        <v>1</v>
      </c>
      <c r="C237" t="str">
        <f>IF(TableOUSPFINA1[[#This Row],[Ver]]&gt;0,_xlfn.TEXTBEFORE(TableOUSPFINA1[[#This Row],[Structure Line]]," "),"")</f>
        <v>VSW525</v>
      </c>
      <c r="D237" t="str">
        <f>IF(TableOUSPFINA1[[#This Row],[OUA Code]]&lt;&gt;"",_xlfn.TEXTAFTER(TableOUSPFINA1[[#This Row],[Structure Line]]," "),TableOUSPFINA1[[#This Row],[Structure Line]])</f>
        <v>Graduate Fine Art Studio Methods</v>
      </c>
      <c r="E237" s="57">
        <f>TableOUSPFINA1[[#This Row],[Credit Points]]</f>
        <v>25</v>
      </c>
      <c r="F237" s="110">
        <v>3</v>
      </c>
      <c r="G237" s="110" t="s">
        <v>387</v>
      </c>
      <c r="H237" s="211">
        <v>1</v>
      </c>
      <c r="I237" s="110" t="s">
        <v>386</v>
      </c>
      <c r="J237" s="110" t="s">
        <v>140</v>
      </c>
      <c r="K237" s="110">
        <v>1</v>
      </c>
      <c r="L237" s="110" t="s">
        <v>414</v>
      </c>
      <c r="M237" s="110">
        <v>25</v>
      </c>
      <c r="N237" s="128">
        <v>45658</v>
      </c>
      <c r="O237" s="128"/>
      <c r="Q237" t="s">
        <v>140</v>
      </c>
      <c r="R237">
        <v>1</v>
      </c>
    </row>
    <row r="238" spans="1:18" x14ac:dyDescent="0.25">
      <c r="B238"/>
      <c r="E238"/>
      <c r="F238" s="56"/>
      <c r="G238" s="173" t="s">
        <v>374</v>
      </c>
      <c r="H238" s="212">
        <v>46035</v>
      </c>
      <c r="I238" s="171"/>
      <c r="J238" s="171" t="s">
        <v>94</v>
      </c>
      <c r="K238" s="207">
        <v>2</v>
      </c>
      <c r="L238" s="171" t="s">
        <v>93</v>
      </c>
      <c r="M238" s="171"/>
      <c r="N238" s="208">
        <v>46023</v>
      </c>
      <c r="O238" s="174"/>
    </row>
    <row r="239" spans="1:18" x14ac:dyDescent="0.25">
      <c r="A239" t="s">
        <v>0</v>
      </c>
      <c r="B239" s="1" t="s">
        <v>375</v>
      </c>
      <c r="C239" t="s">
        <v>22</v>
      </c>
      <c r="D239" t="s">
        <v>3</v>
      </c>
      <c r="E239" s="57" t="s">
        <v>376</v>
      </c>
      <c r="F239" t="s">
        <v>377</v>
      </c>
      <c r="G239" t="s">
        <v>378</v>
      </c>
      <c r="H239" s="1" t="s">
        <v>379</v>
      </c>
      <c r="I239" t="s">
        <v>23</v>
      </c>
      <c r="J239" t="s">
        <v>380</v>
      </c>
      <c r="K239" t="s">
        <v>1</v>
      </c>
      <c r="L239" t="s">
        <v>381</v>
      </c>
      <c r="M239" t="s">
        <v>58</v>
      </c>
      <c r="N239" t="s">
        <v>382</v>
      </c>
      <c r="O239" t="s">
        <v>383</v>
      </c>
      <c r="Q239" t="s">
        <v>384</v>
      </c>
      <c r="R239" t="s">
        <v>1</v>
      </c>
    </row>
    <row r="240" spans="1:18" x14ac:dyDescent="0.25">
      <c r="A240" t="str">
        <f>TableOUSPPWRI1[[#This Row],[Study Package Code]]</f>
        <v>COMS5005</v>
      </c>
      <c r="B240" s="1">
        <f>TableOUSPPWRI1[[#This Row],[Ver]]</f>
        <v>1</v>
      </c>
      <c r="C240" t="str">
        <f>IF(TableOUSPPWRI1[[#This Row],[Ver]]&gt;0,_xlfn.TEXTBEFORE(TableOUSPPWRI1[[#This Row],[Structure Line]]," "),"")</f>
        <v>COM500</v>
      </c>
      <c r="D240" t="str">
        <f>IF(TableOUSPPWRI1[[#This Row],[OUA Code]]&lt;&gt;"",_xlfn.TEXTAFTER(TableOUSPPWRI1[[#This Row],[Structure Line]]," "),TableOUSPPWRI1[[#This Row],[Structure Line]])</f>
        <v>Approaches to Arts Research</v>
      </c>
      <c r="E240" s="57">
        <f>TableOUSPPWRI1[[#This Row],[Credit Points]]</f>
        <v>25</v>
      </c>
      <c r="F240" s="110">
        <v>1</v>
      </c>
      <c r="G240" s="110" t="s">
        <v>388</v>
      </c>
      <c r="H240" s="211">
        <v>1</v>
      </c>
      <c r="I240" s="110" t="s">
        <v>386</v>
      </c>
      <c r="J240" s="110" t="s">
        <v>199</v>
      </c>
      <c r="K240" s="110">
        <v>1</v>
      </c>
      <c r="L240" s="110" t="s">
        <v>389</v>
      </c>
      <c r="M240" s="110">
        <v>25</v>
      </c>
      <c r="N240" s="128">
        <v>45658</v>
      </c>
      <c r="O240" s="128"/>
      <c r="Q240" t="s">
        <v>199</v>
      </c>
      <c r="R240">
        <v>1</v>
      </c>
    </row>
    <row r="241" spans="1:18" x14ac:dyDescent="0.25">
      <c r="A241" t="str">
        <f>TableOUSPPWRI1[[#This Row],[Study Package Code]]</f>
        <v>Opt-PWRI1S</v>
      </c>
      <c r="B241" s="1">
        <f>TableOUSPPWRI1[[#This Row],[Ver]]</f>
        <v>0</v>
      </c>
      <c r="C241" t="str">
        <f>IF(TableOUSPPWRI1[[#This Row],[Ver]]&gt;0,_xlfn.TEXTBEFORE(TableOUSPPWRI1[[#This Row],[Structure Line]]," "),"")</f>
        <v/>
      </c>
      <c r="D241" t="str">
        <f>IF(TableOUSPPWRI1[[#This Row],[OUA Code]]&lt;&gt;"",_xlfn.TEXTAFTER(TableOUSPPWRI1[[#This Row],[Structure Line]]," "),TableOUSPPWRI1[[#This Row],[Structure Line]])</f>
        <v>Choose Options</v>
      </c>
      <c r="E241" s="57">
        <f>TableOUSPPWRI1[[#This Row],[Credit Points]]</f>
        <v>0</v>
      </c>
      <c r="F241" s="110">
        <v>2</v>
      </c>
      <c r="G241" s="110" t="s">
        <v>387</v>
      </c>
      <c r="H241" s="211">
        <v>1</v>
      </c>
      <c r="I241" s="110" t="s">
        <v>386</v>
      </c>
      <c r="J241" s="110" t="s">
        <v>196</v>
      </c>
      <c r="K241" s="110">
        <v>0</v>
      </c>
      <c r="L241" s="110" t="s">
        <v>336</v>
      </c>
      <c r="M241" s="110"/>
      <c r="N241" s="128"/>
      <c r="O241" s="128"/>
      <c r="Q241" t="s">
        <v>196</v>
      </c>
      <c r="R241">
        <v>0</v>
      </c>
    </row>
    <row r="242" spans="1:18" x14ac:dyDescent="0.25">
      <c r="A242" t="str">
        <f>TableOUSPPWRI1[[#This Row],[Study Package Code]]</f>
        <v>CWRI6004</v>
      </c>
      <c r="B242" s="1">
        <f>TableOUSPPWRI1[[#This Row],[Ver]]</f>
        <v>1</v>
      </c>
      <c r="C242" t="str">
        <f>IF(TableOUSPPWRI1[[#This Row],[Ver]]&gt;0,_xlfn.TEXTBEFORE(TableOUSPPWRI1[[#This Row],[Structure Line]]," "),"")</f>
        <v>CWRI6004</v>
      </c>
      <c r="D242" t="str">
        <f>IF(TableOUSPPWRI1[[#This Row],[OUA Code]]&lt;&gt;"",_xlfn.TEXTAFTER(TableOUSPPWRI1[[#This Row],[Structure Line]]," "),TableOUSPPWRI1[[#This Row],[Structure Line]])</f>
        <v>Graduate Engaging Narrative</v>
      </c>
      <c r="E242" s="57">
        <f>TableOUSPPWRI1[[#This Row],[Credit Points]]</f>
        <v>25</v>
      </c>
      <c r="F242" s="110">
        <v>2</v>
      </c>
      <c r="G242" s="110" t="s">
        <v>387</v>
      </c>
      <c r="H242" s="211">
        <v>1</v>
      </c>
      <c r="I242" s="110" t="s">
        <v>386</v>
      </c>
      <c r="J242" s="110" t="s">
        <v>151</v>
      </c>
      <c r="K242" s="110">
        <v>1</v>
      </c>
      <c r="L242" s="110" t="s">
        <v>444</v>
      </c>
      <c r="M242" s="110">
        <v>25</v>
      </c>
      <c r="N242" s="128">
        <v>46023</v>
      </c>
      <c r="O242" s="128"/>
      <c r="Q242" t="s">
        <v>202</v>
      </c>
      <c r="R242">
        <v>1</v>
      </c>
    </row>
    <row r="243" spans="1:18" x14ac:dyDescent="0.25">
      <c r="A243" t="str">
        <f>TableOUSPPWRI1[[#This Row],[Study Package Code]]</f>
        <v>LANG5005</v>
      </c>
      <c r="B243" s="1">
        <f>TableOUSPPWRI1[[#This Row],[Ver]]</f>
        <v>1</v>
      </c>
      <c r="C243" t="str">
        <f>IF(TableOUSPPWRI1[[#This Row],[Ver]]&gt;0,_xlfn.TEXTBEFORE(TableOUSPPWRI1[[#This Row],[Structure Line]]," "),"")</f>
        <v>LANG5005</v>
      </c>
      <c r="D243" t="str">
        <f>IF(TableOUSPPWRI1[[#This Row],[OUA Code]]&lt;&gt;"",_xlfn.TEXTAFTER(TableOUSPPWRI1[[#This Row],[Structure Line]]," "),TableOUSPPWRI1[[#This Row],[Structure Line]])</f>
        <v>Graduate Narrative Nonfiction</v>
      </c>
      <c r="E243" s="57">
        <f>TableOUSPPWRI1[[#This Row],[Credit Points]]</f>
        <v>25</v>
      </c>
      <c r="F243" s="110">
        <v>2</v>
      </c>
      <c r="G243" s="110" t="s">
        <v>387</v>
      </c>
      <c r="H243" s="211">
        <v>1</v>
      </c>
      <c r="I243" s="110" t="s">
        <v>386</v>
      </c>
      <c r="J243" s="110" t="s">
        <v>154</v>
      </c>
      <c r="K243" s="110">
        <v>1</v>
      </c>
      <c r="L243" s="110" t="s">
        <v>446</v>
      </c>
      <c r="M243" s="110">
        <v>25</v>
      </c>
      <c r="N243" s="128">
        <v>46023</v>
      </c>
      <c r="O243" s="128"/>
      <c r="Q243" t="s">
        <v>204</v>
      </c>
      <c r="R243">
        <v>1</v>
      </c>
    </row>
    <row r="244" spans="1:18" x14ac:dyDescent="0.25">
      <c r="A244" t="str">
        <f>TableOUSPPWRI1[[#This Row],[Study Package Code]]</f>
        <v>LANG5007</v>
      </c>
      <c r="B244" s="1">
        <f>TableOUSPPWRI1[[#This Row],[Ver]]</f>
        <v>1</v>
      </c>
      <c r="C244" t="str">
        <f>IF(TableOUSPPWRI1[[#This Row],[Ver]]&gt;0,_xlfn.TEXTBEFORE(TableOUSPPWRI1[[#This Row],[Structure Line]]," "),"")</f>
        <v>LANG5007</v>
      </c>
      <c r="D244" t="str">
        <f>IF(TableOUSPPWRI1[[#This Row],[OUA Code]]&lt;&gt;"",_xlfn.TEXTAFTER(TableOUSPPWRI1[[#This Row],[Structure Line]]," "),TableOUSPPWRI1[[#This Row],[Structure Line]])</f>
        <v>Graduate Editing</v>
      </c>
      <c r="E244" s="57">
        <f>TableOUSPPWRI1[[#This Row],[Credit Points]]</f>
        <v>25</v>
      </c>
      <c r="F244" s="110">
        <v>2</v>
      </c>
      <c r="G244" s="110" t="s">
        <v>387</v>
      </c>
      <c r="H244" s="211">
        <v>1</v>
      </c>
      <c r="I244" s="110" t="s">
        <v>386</v>
      </c>
      <c r="J244" s="110" t="s">
        <v>156</v>
      </c>
      <c r="K244" s="110">
        <v>1</v>
      </c>
      <c r="L244" s="110" t="s">
        <v>447</v>
      </c>
      <c r="M244" s="110">
        <v>25</v>
      </c>
      <c r="N244" s="128">
        <v>46023</v>
      </c>
      <c r="O244" s="128"/>
      <c r="Q244" t="s">
        <v>207</v>
      </c>
      <c r="R244">
        <v>1</v>
      </c>
    </row>
    <row r="245" spans="1:18" x14ac:dyDescent="0.25">
      <c r="A245" t="str">
        <f>TableOUSPPWRI1[[#This Row],[Study Package Code]]</f>
        <v>LANG5009</v>
      </c>
      <c r="B245" s="1">
        <f>TableOUSPPWRI1[[#This Row],[Ver]]</f>
        <v>1</v>
      </c>
      <c r="C245" t="str">
        <f>IF(TableOUSPPWRI1[[#This Row],[Ver]]&gt;0,_xlfn.TEXTBEFORE(TableOUSPPWRI1[[#This Row],[Structure Line]]," "),"")</f>
        <v>LANG5009</v>
      </c>
      <c r="D245" t="str">
        <f>IF(TableOUSPPWRI1[[#This Row],[OUA Code]]&lt;&gt;"",_xlfn.TEXTAFTER(TableOUSPPWRI1[[#This Row],[Structure Line]]," "),TableOUSPPWRI1[[#This Row],[Structure Line]])</f>
        <v>Graduate Publishing</v>
      </c>
      <c r="E245" s="57">
        <f>TableOUSPPWRI1[[#This Row],[Credit Points]]</f>
        <v>25</v>
      </c>
      <c r="F245" s="110">
        <v>2</v>
      </c>
      <c r="G245" s="110" t="s">
        <v>387</v>
      </c>
      <c r="H245" s="211">
        <v>1</v>
      </c>
      <c r="I245" s="110" t="s">
        <v>386</v>
      </c>
      <c r="J245" s="110" t="s">
        <v>159</v>
      </c>
      <c r="K245" s="110">
        <v>1</v>
      </c>
      <c r="L245" s="110" t="s">
        <v>448</v>
      </c>
      <c r="M245" s="110">
        <v>25</v>
      </c>
      <c r="N245" s="128">
        <v>46023</v>
      </c>
      <c r="O245" s="128"/>
      <c r="Q245" t="s">
        <v>210</v>
      </c>
      <c r="R245">
        <v>1</v>
      </c>
    </row>
    <row r="246" spans="1:18" x14ac:dyDescent="0.25">
      <c r="A246" t="str">
        <f>TableOUSPPWRI1[[#This Row],[Study Package Code]]</f>
        <v>LANG5013</v>
      </c>
      <c r="B246" s="1">
        <f>TableOUSPPWRI1[[#This Row],[Ver]]</f>
        <v>1</v>
      </c>
      <c r="C246" t="str">
        <f>IF(TableOUSPPWRI1[[#This Row],[Ver]]&gt;0,_xlfn.TEXTBEFORE(TableOUSPPWRI1[[#This Row],[Structure Line]]," "),"")</f>
        <v>LANG5013</v>
      </c>
      <c r="D246" t="str">
        <f>IF(TableOUSPPWRI1[[#This Row],[OUA Code]]&lt;&gt;"",_xlfn.TEXTAFTER(TableOUSPPWRI1[[#This Row],[Structure Line]]," "),TableOUSPPWRI1[[#This Row],[Structure Line]])</f>
        <v>Graduate Introduction to Creative and Professional Writing</v>
      </c>
      <c r="E246" s="57">
        <f>TableOUSPPWRI1[[#This Row],[Credit Points]]</f>
        <v>25</v>
      </c>
      <c r="F246" s="110">
        <v>2</v>
      </c>
      <c r="G246" s="110" t="s">
        <v>387</v>
      </c>
      <c r="H246" s="211">
        <v>1</v>
      </c>
      <c r="I246" s="110" t="s">
        <v>386</v>
      </c>
      <c r="J246" s="110" t="s">
        <v>163</v>
      </c>
      <c r="K246" s="110">
        <v>1</v>
      </c>
      <c r="L246" s="110" t="s">
        <v>449</v>
      </c>
      <c r="M246" s="110">
        <v>25</v>
      </c>
      <c r="N246" s="128">
        <v>46023</v>
      </c>
      <c r="O246" s="128"/>
      <c r="Q246" t="s">
        <v>212</v>
      </c>
      <c r="R246">
        <v>1</v>
      </c>
    </row>
    <row r="247" spans="1:18" x14ac:dyDescent="0.25">
      <c r="A247" t="str">
        <f>TableOUSPPWRI1[[#This Row],[Study Package Code]]</f>
        <v>PWRP5032</v>
      </c>
      <c r="B247" s="1">
        <f>TableOUSPPWRI1[[#This Row],[Ver]]</f>
        <v>1</v>
      </c>
      <c r="C247" t="str">
        <f>IF(TableOUSPPWRI1[[#This Row],[Ver]]&gt;0,_xlfn.TEXTBEFORE(TableOUSPPWRI1[[#This Row],[Structure Line]]," "),"")</f>
        <v>PWP535</v>
      </c>
      <c r="D247" t="str">
        <f>IF(TableOUSPPWRI1[[#This Row],[OUA Code]]&lt;&gt;"",_xlfn.TEXTAFTER(TableOUSPPWRI1[[#This Row],[Structure Line]]," "),TableOUSPPWRI1[[#This Row],[Structure Line]])</f>
        <v>Graduate Skills in Professional Writing</v>
      </c>
      <c r="E247" s="57">
        <f>TableOUSPPWRI1[[#This Row],[Credit Points]]</f>
        <v>25</v>
      </c>
      <c r="F247" s="110">
        <v>2</v>
      </c>
      <c r="G247" s="110" t="s">
        <v>387</v>
      </c>
      <c r="H247" s="211">
        <v>1</v>
      </c>
      <c r="I247" s="110" t="s">
        <v>386</v>
      </c>
      <c r="J247" s="110" t="s">
        <v>169</v>
      </c>
      <c r="K247" s="110">
        <v>1</v>
      </c>
      <c r="L247" s="110" t="s">
        <v>419</v>
      </c>
      <c r="M247" s="110">
        <v>25</v>
      </c>
      <c r="N247" s="128">
        <v>45658</v>
      </c>
      <c r="O247" s="128"/>
      <c r="Q247" t="s">
        <v>169</v>
      </c>
      <c r="R247">
        <v>1</v>
      </c>
    </row>
    <row r="248" spans="1:18" x14ac:dyDescent="0.25">
      <c r="A248" t="str">
        <f>TableOUSPPWRI1[[#This Row],[Study Package Code]]</f>
        <v>PWRP5033</v>
      </c>
      <c r="B248" s="1">
        <f>TableOUSPPWRI1[[#This Row],[Ver]]</f>
        <v>1</v>
      </c>
      <c r="C248" t="str">
        <f>IF(TableOUSPPWRI1[[#This Row],[Ver]]&gt;0,_xlfn.TEXTBEFORE(TableOUSPPWRI1[[#This Row],[Structure Line]]," "),"")</f>
        <v>PWP540</v>
      </c>
      <c r="D248" t="str">
        <f>IF(TableOUSPPWRI1[[#This Row],[OUA Code]]&lt;&gt;"",_xlfn.TEXTAFTER(TableOUSPPWRI1[[#This Row],[Structure Line]]," "),TableOUSPPWRI1[[#This Row],[Structure Line]])</f>
        <v>Graduate Workplace Writing</v>
      </c>
      <c r="E248" s="57">
        <f>TableOUSPPWRI1[[#This Row],[Credit Points]]</f>
        <v>25</v>
      </c>
      <c r="F248" s="110">
        <v>2</v>
      </c>
      <c r="G248" s="110" t="s">
        <v>387</v>
      </c>
      <c r="H248" s="211">
        <v>1</v>
      </c>
      <c r="I248" s="110" t="s">
        <v>386</v>
      </c>
      <c r="J248" s="110" t="s">
        <v>172</v>
      </c>
      <c r="K248" s="110">
        <v>1</v>
      </c>
      <c r="L248" s="110" t="s">
        <v>420</v>
      </c>
      <c r="M248" s="110">
        <v>25</v>
      </c>
      <c r="N248" s="128">
        <v>45658</v>
      </c>
      <c r="O248" s="128"/>
      <c r="Q248" t="s">
        <v>172</v>
      </c>
      <c r="R248">
        <v>1</v>
      </c>
    </row>
    <row r="250" spans="1:18" x14ac:dyDescent="0.25">
      <c r="B250"/>
      <c r="E250"/>
      <c r="F250" s="209"/>
      <c r="G250" s="173" t="s">
        <v>374</v>
      </c>
      <c r="H250" s="212">
        <v>46035</v>
      </c>
      <c r="I250" s="171"/>
      <c r="J250" s="171" t="s">
        <v>436</v>
      </c>
      <c r="K250" s="207">
        <v>2</v>
      </c>
      <c r="L250" s="171" t="s">
        <v>435</v>
      </c>
      <c r="M250" s="171"/>
      <c r="N250" s="208">
        <v>46023</v>
      </c>
      <c r="O250" s="174"/>
    </row>
    <row r="251" spans="1:18" x14ac:dyDescent="0.25">
      <c r="A251" t="s">
        <v>0</v>
      </c>
      <c r="B251" s="1" t="s">
        <v>375</v>
      </c>
      <c r="C251" t="s">
        <v>22</v>
      </c>
      <c r="D251" t="s">
        <v>3</v>
      </c>
      <c r="E251" s="57" t="s">
        <v>376</v>
      </c>
      <c r="F251" t="s">
        <v>377</v>
      </c>
      <c r="G251" t="s">
        <v>378</v>
      </c>
      <c r="H251" s="1" t="s">
        <v>379</v>
      </c>
      <c r="I251" t="s">
        <v>23</v>
      </c>
      <c r="J251" t="s">
        <v>380</v>
      </c>
      <c r="K251" t="s">
        <v>1</v>
      </c>
      <c r="L251" t="s">
        <v>381</v>
      </c>
      <c r="M251" t="s">
        <v>58</v>
      </c>
      <c r="N251" t="s">
        <v>382</v>
      </c>
      <c r="O251" t="s">
        <v>383</v>
      </c>
      <c r="Q251" t="s">
        <v>384</v>
      </c>
      <c r="R251" t="s">
        <v>1</v>
      </c>
    </row>
    <row r="252" spans="1:18" x14ac:dyDescent="0.25">
      <c r="A252" t="str">
        <f>TableOGARTS[[#This Row],[Study Package Code]]</f>
        <v>Major</v>
      </c>
      <c r="B252" s="1">
        <f>TableOGARTS[[#This Row],[Ver]]</f>
        <v>0</v>
      </c>
      <c r="C252" t="str">
        <f>IF(TableOGARTS[[#This Row],[Ver]]&gt;0,_xlfn.TEXTBEFORE(TableOGARTS[[#This Row],[Structure Line]]," "),"")</f>
        <v/>
      </c>
      <c r="D252" t="str">
        <f>IF(TableOGARTS[[#This Row],[OUA Code]]&lt;&gt;"",_xlfn.TEXTAFTER(TableOGARTS[[#This Row],[Structure Line]]," "),TableOGARTS[[#This Row],[Structure Line]])</f>
        <v>Choose a Major</v>
      </c>
      <c r="E252" s="57">
        <f>TableOGARTS[[#This Row],[Credit Points]]</f>
        <v>200</v>
      </c>
      <c r="F252" s="110">
        <v>1</v>
      </c>
      <c r="G252" s="110" t="s">
        <v>385</v>
      </c>
      <c r="H252" s="211">
        <v>1</v>
      </c>
      <c r="I252" s="110" t="s">
        <v>386</v>
      </c>
      <c r="J252" s="110" t="s">
        <v>512</v>
      </c>
      <c r="K252" s="110">
        <v>0</v>
      </c>
      <c r="L252" s="110" t="s">
        <v>251</v>
      </c>
      <c r="M252" s="110">
        <v>200</v>
      </c>
      <c r="N252" s="128"/>
      <c r="O252" s="128"/>
    </row>
    <row r="253" spans="1:18" x14ac:dyDescent="0.25">
      <c r="A253" t="str">
        <f>TableOGARTS[[#This Row],[Study Package Code]]</f>
        <v>OUMP-CWRI3</v>
      </c>
      <c r="B253" s="1">
        <f>TableOGARTS[[#This Row],[Ver]]</f>
        <v>1</v>
      </c>
      <c r="D253" t="str">
        <f>IF(TableOGARTS[[#This Row],[OUA Code]]&lt;&gt;"",_xlfn.TEXTAFTER(TableOGARTS[[#This Row],[Structure Line]]," "),TableOGARTS[[#This Row],[Structure Line]])</f>
        <v>Creative Writing Major (GradDipA) (OpenUnis)</v>
      </c>
      <c r="E253" s="57">
        <f>TableOGARTS[[#This Row],[Credit Points]]</f>
        <v>200</v>
      </c>
      <c r="F253" s="110">
        <v>1</v>
      </c>
      <c r="G253" s="110" t="s">
        <v>385</v>
      </c>
      <c r="H253" s="211">
        <v>1</v>
      </c>
      <c r="I253" s="110" t="s">
        <v>386</v>
      </c>
      <c r="J253" s="110" t="s">
        <v>513</v>
      </c>
      <c r="K253" s="110">
        <v>1</v>
      </c>
      <c r="L253" s="110" t="s">
        <v>514</v>
      </c>
      <c r="M253" s="110">
        <v>200</v>
      </c>
      <c r="N253" s="128">
        <v>46023</v>
      </c>
      <c r="O253" s="128"/>
    </row>
    <row r="254" spans="1:18" x14ac:dyDescent="0.25">
      <c r="A254" t="str">
        <f>TableOGARTS[[#This Row],[Study Package Code]]</f>
        <v>OUMP-DGCM2</v>
      </c>
      <c r="B254" s="1">
        <f>TableOGARTS[[#This Row],[Ver]]</f>
        <v>1</v>
      </c>
      <c r="D254" t="str">
        <f>IF(TableOGARTS[[#This Row],[OUA Code]]&lt;&gt;"",_xlfn.TEXTAFTER(TableOGARTS[[#This Row],[Structure Line]]," "),TableOGARTS[[#This Row],[Structure Line]])</f>
        <v>Digital Communications Major (GradDipA) (OpenUnis)</v>
      </c>
      <c r="E254" s="57">
        <f>TableOGARTS[[#This Row],[Credit Points]]</f>
        <v>200</v>
      </c>
      <c r="F254" s="110">
        <v>1</v>
      </c>
      <c r="G254" s="110" t="s">
        <v>385</v>
      </c>
      <c r="H254" s="211">
        <v>1</v>
      </c>
      <c r="I254" s="110" t="s">
        <v>386</v>
      </c>
      <c r="J254" s="110" t="s">
        <v>515</v>
      </c>
      <c r="K254" s="110">
        <v>1</v>
      </c>
      <c r="L254" s="110" t="s">
        <v>516</v>
      </c>
      <c r="M254" s="110">
        <v>200</v>
      </c>
      <c r="N254" s="128">
        <v>45658</v>
      </c>
      <c r="O254" s="128"/>
    </row>
    <row r="255" spans="1:18" x14ac:dyDescent="0.25">
      <c r="A255" t="str">
        <f>TableOGARTS[[#This Row],[Study Package Code]]</f>
        <v>OUMP-FINA2</v>
      </c>
      <c r="B255" s="1">
        <f>TableOGARTS[[#This Row],[Ver]]</f>
        <v>1</v>
      </c>
      <c r="D255" t="str">
        <f>IF(TableOGARTS[[#This Row],[OUA Code]]&lt;&gt;"",_xlfn.TEXTAFTER(TableOGARTS[[#This Row],[Structure Line]]," "),TableOGARTS[[#This Row],[Structure Line]])</f>
        <v>Fine Art Major (GradDipA) (OpenUnis)</v>
      </c>
      <c r="E255" s="57">
        <f>TableOGARTS[[#This Row],[Credit Points]]</f>
        <v>200</v>
      </c>
      <c r="F255" s="110">
        <v>1</v>
      </c>
      <c r="G255" s="110" t="s">
        <v>385</v>
      </c>
      <c r="H255" s="211">
        <v>1</v>
      </c>
      <c r="I255" s="110" t="s">
        <v>386</v>
      </c>
      <c r="J255" s="110" t="s">
        <v>517</v>
      </c>
      <c r="K255" s="110">
        <v>1</v>
      </c>
      <c r="L255" s="110" t="s">
        <v>518</v>
      </c>
      <c r="M255" s="110">
        <v>200</v>
      </c>
      <c r="N255" s="128">
        <v>45658</v>
      </c>
      <c r="O255" s="128"/>
    </row>
    <row r="256" spans="1:18" x14ac:dyDescent="0.25">
      <c r="A256" t="str">
        <f>TableOGARTS[[#This Row],[Study Package Code]]</f>
        <v>OUMP-PWRI3</v>
      </c>
      <c r="B256" s="1">
        <f>TableOGARTS[[#This Row],[Ver]]</f>
        <v>1</v>
      </c>
      <c r="D256" t="str">
        <f>IF(TableOGARTS[[#This Row],[OUA Code]]&lt;&gt;"",_xlfn.TEXTAFTER(TableOGARTS[[#This Row],[Structure Line]]," "),TableOGARTS[[#This Row],[Structure Line]])</f>
        <v>Professional Writing and Publishing Major (GradDipA) (OpenUnis)</v>
      </c>
      <c r="E256" s="57">
        <f>TableOGARTS[[#This Row],[Credit Points]]</f>
        <v>200</v>
      </c>
      <c r="F256" s="110">
        <v>1</v>
      </c>
      <c r="G256" s="110" t="s">
        <v>385</v>
      </c>
      <c r="H256" s="211">
        <v>1</v>
      </c>
      <c r="I256" s="110" t="s">
        <v>386</v>
      </c>
      <c r="J256" s="110" t="s">
        <v>519</v>
      </c>
      <c r="K256" s="110">
        <v>1</v>
      </c>
      <c r="L256" s="110" t="s">
        <v>520</v>
      </c>
      <c r="M256" s="110">
        <v>200</v>
      </c>
      <c r="N256" s="128">
        <v>46023</v>
      </c>
      <c r="O256" s="128"/>
    </row>
    <row r="257" spans="1:18" x14ac:dyDescent="0.25">
      <c r="B257"/>
      <c r="E257"/>
      <c r="F257" s="209"/>
      <c r="G257" s="173" t="s">
        <v>374</v>
      </c>
      <c r="H257" s="212">
        <v>46035</v>
      </c>
      <c r="I257" s="171"/>
      <c r="J257" s="171" t="s">
        <v>513</v>
      </c>
      <c r="K257" s="172">
        <v>1</v>
      </c>
      <c r="L257" s="171" t="s">
        <v>514</v>
      </c>
      <c r="M257" s="171"/>
      <c r="N257" s="179">
        <v>46023</v>
      </c>
      <c r="O257" s="174"/>
    </row>
    <row r="258" spans="1:18" x14ac:dyDescent="0.25">
      <c r="A258" t="s">
        <v>0</v>
      </c>
      <c r="B258" s="1" t="s">
        <v>375</v>
      </c>
      <c r="C258" t="s">
        <v>22</v>
      </c>
      <c r="D258" t="s">
        <v>3</v>
      </c>
      <c r="E258" s="57" t="s">
        <v>376</v>
      </c>
      <c r="F258" t="s">
        <v>377</v>
      </c>
      <c r="G258" t="s">
        <v>378</v>
      </c>
      <c r="H258" s="1" t="s">
        <v>379</v>
      </c>
      <c r="I258" t="s">
        <v>23</v>
      </c>
      <c r="J258" t="s">
        <v>380</v>
      </c>
      <c r="K258" t="s">
        <v>1</v>
      </c>
      <c r="L258" t="s">
        <v>381</v>
      </c>
      <c r="M258" t="s">
        <v>58</v>
      </c>
      <c r="N258" t="s">
        <v>382</v>
      </c>
      <c r="O258" t="s">
        <v>383</v>
      </c>
      <c r="Q258" t="s">
        <v>384</v>
      </c>
      <c r="R258" t="s">
        <v>1</v>
      </c>
    </row>
    <row r="259" spans="1:18" x14ac:dyDescent="0.25">
      <c r="A259" t="str">
        <f>TableOUMPCWRI3[[#This Row],[Study Package Code]]</f>
        <v>COMS5005</v>
      </c>
      <c r="B259" s="1">
        <f>TableOUMPCWRI3[[#This Row],[Ver]]</f>
        <v>1</v>
      </c>
      <c r="C259" t="str">
        <f>IF(TableOUMPCWRI3[[#This Row],[Ver]]&gt;0,_xlfn.TEXTBEFORE(TableOUMPCWRI3[[#This Row],[Structure Line]]," "),"")</f>
        <v>COM500</v>
      </c>
      <c r="D259" t="str">
        <f>IF(TableOUMPCWRI3[[#This Row],[OUA Code]]&lt;&gt;"",_xlfn.TEXTAFTER(TableOUMPCWRI3[[#This Row],[Structure Line]]," "),TableOUMPCWRI3[[#This Row],[Structure Line]])</f>
        <v>Approaches to Arts Research</v>
      </c>
      <c r="E259" s="57">
        <f>TableOUMPCWRI3[[#This Row],[Credit Points]]</f>
        <v>25</v>
      </c>
      <c r="F259" s="110">
        <v>1</v>
      </c>
      <c r="G259" s="110" t="s">
        <v>388</v>
      </c>
      <c r="H259" s="211">
        <v>1</v>
      </c>
      <c r="I259" s="110" t="s">
        <v>386</v>
      </c>
      <c r="J259" s="110" t="s">
        <v>199</v>
      </c>
      <c r="K259" s="110">
        <v>1</v>
      </c>
      <c r="L259" s="110" t="s">
        <v>389</v>
      </c>
      <c r="M259" s="110">
        <v>25</v>
      </c>
      <c r="N259" s="128">
        <v>45658</v>
      </c>
      <c r="O259" s="128"/>
    </row>
    <row r="260" spans="1:18" x14ac:dyDescent="0.25">
      <c r="A260" t="str">
        <f>TableOUMPCWRI3[[#This Row],[Study Package Code]]</f>
        <v>COMS6008</v>
      </c>
      <c r="B260" s="1">
        <f>TableOUMPCWRI3[[#This Row],[Ver]]</f>
        <v>1</v>
      </c>
      <c r="C260" t="str">
        <f>IF(TableOUMPCWRI3[[#This Row],[Ver]]&gt;0,_xlfn.TEXTBEFORE(TableOUMPCWRI3[[#This Row],[Structure Line]]," "),"")</f>
        <v>COM605</v>
      </c>
      <c r="D260" t="str">
        <f>IF(TableOUMPCWRI3[[#This Row],[OUA Code]]&lt;&gt;"",_xlfn.TEXTAFTER(TableOUMPCWRI3[[#This Row],[Structure Line]]," "),TableOUMPCWRI3[[#This Row],[Structure Line]])</f>
        <v>Planning an Arts Research Project</v>
      </c>
      <c r="E260" s="57">
        <f>TableOUMPCWRI3[[#This Row],[Credit Points]]</f>
        <v>25</v>
      </c>
      <c r="F260" s="110">
        <v>2</v>
      </c>
      <c r="G260" s="110" t="s">
        <v>388</v>
      </c>
      <c r="H260" s="211">
        <v>1</v>
      </c>
      <c r="I260" s="110" t="s">
        <v>386</v>
      </c>
      <c r="J260" s="110" t="s">
        <v>231</v>
      </c>
      <c r="K260" s="110">
        <v>1</v>
      </c>
      <c r="L260" s="110" t="s">
        <v>390</v>
      </c>
      <c r="M260" s="110">
        <v>25</v>
      </c>
      <c r="N260" s="128">
        <v>45658</v>
      </c>
      <c r="O260" s="128"/>
    </row>
    <row r="261" spans="1:18" x14ac:dyDescent="0.25">
      <c r="A261" t="str">
        <f>TableOUMPCWRI3[[#This Row],[Study Package Code]]</f>
        <v>Opt-CWRI3</v>
      </c>
      <c r="B261" s="1">
        <f>TableOUMPCWRI3[[#This Row],[Ver]]</f>
        <v>0</v>
      </c>
      <c r="C261" t="str">
        <f>IF(TableOUMPCWRI3[[#This Row],[Ver]]&gt;0,_xlfn.TEXTBEFORE(TableOUMPCWRI3[[#This Row],[Structure Line]]," "),"")</f>
        <v/>
      </c>
      <c r="D261" t="str">
        <f>IF(TableOUMPCWRI3[[#This Row],[OUA Code]]&lt;&gt;"",_xlfn.TEXTAFTER(TableOUMPCWRI3[[#This Row],[Structure Line]]," "),TableOUMPCWRI3[[#This Row],[Structure Line]])</f>
        <v>Choose Options</v>
      </c>
      <c r="E261" s="57">
        <f>TableOUMPCWRI3[[#This Row],[Credit Points]]</f>
        <v>150</v>
      </c>
      <c r="F261" s="110">
        <v>3</v>
      </c>
      <c r="G261" s="110" t="s">
        <v>387</v>
      </c>
      <c r="H261" s="211">
        <v>1</v>
      </c>
      <c r="I261" s="110" t="s">
        <v>386</v>
      </c>
      <c r="J261" s="110" t="s">
        <v>521</v>
      </c>
      <c r="K261" s="110">
        <v>0</v>
      </c>
      <c r="L261" s="110" t="s">
        <v>336</v>
      </c>
      <c r="M261" s="110">
        <v>150</v>
      </c>
      <c r="N261" s="128"/>
      <c r="O261" s="128"/>
    </row>
    <row r="262" spans="1:18" x14ac:dyDescent="0.25">
      <c r="A262" t="str">
        <f>TableOUMPCWRI3[[#This Row],[Study Package Code]]</f>
        <v>CWRI5020</v>
      </c>
      <c r="B262" s="1">
        <f>TableOUMPCWRI3[[#This Row],[Ver]]</f>
        <v>1</v>
      </c>
      <c r="C262" t="str">
        <f>IF(TableOUMPCWRI3[[#This Row],[Ver]]&gt;0,_xlfn.TEXTBEFORE(TableOUMPCWRI3[[#This Row],[Structure Line]]," "),"")</f>
        <v>CWG500</v>
      </c>
      <c r="D262" t="str">
        <f>IF(TableOUMPCWRI3[[#This Row],[OUA Code]]&lt;&gt;"",_xlfn.TEXTAFTER(TableOUMPCWRI3[[#This Row],[Structure Line]]," "),TableOUMPCWRI3[[#This Row],[Structure Line]])</f>
        <v>Graduate Travel Writing</v>
      </c>
      <c r="E262" s="57">
        <f>TableOUMPCWRI3[[#This Row],[Credit Points]]</f>
        <v>25</v>
      </c>
      <c r="F262" s="110">
        <v>3</v>
      </c>
      <c r="G262" s="110" t="s">
        <v>387</v>
      </c>
      <c r="H262" s="211">
        <v>1</v>
      </c>
      <c r="I262" s="110" t="s">
        <v>386</v>
      </c>
      <c r="J262" s="110" t="s">
        <v>147</v>
      </c>
      <c r="K262" s="110">
        <v>1</v>
      </c>
      <c r="L262" s="110" t="s">
        <v>393</v>
      </c>
      <c r="M262" s="110">
        <v>25</v>
      </c>
      <c r="N262" s="128">
        <v>45658</v>
      </c>
      <c r="O262" s="128"/>
    </row>
    <row r="263" spans="1:18" x14ac:dyDescent="0.25">
      <c r="A263" t="str">
        <f>TableOUMPCWRI3[[#This Row],[Study Package Code]]</f>
        <v>CWRI5028</v>
      </c>
      <c r="B263" s="1">
        <f>TableOUMPCWRI3[[#This Row],[Ver]]</f>
        <v>1</v>
      </c>
      <c r="C263" t="str">
        <f>IF(TableOUMPCWRI3[[#This Row],[Ver]]&gt;0,_xlfn.TEXTBEFORE(TableOUMPCWRI3[[#This Row],[Structure Line]]," "),"")</f>
        <v>CWRI5028</v>
      </c>
      <c r="D263" t="str">
        <f>IF(TableOUMPCWRI3[[#This Row],[OUA Code]]&lt;&gt;"",_xlfn.TEXTAFTER(TableOUMPCWRI3[[#This Row],[Structure Line]]," "),TableOUMPCWRI3[[#This Row],[Structure Line]])</f>
        <v>Graduate Writing Long Fiction</v>
      </c>
      <c r="E263" s="57">
        <f>TableOUMPCWRI3[[#This Row],[Credit Points]]</f>
        <v>25</v>
      </c>
      <c r="F263" s="110">
        <v>3</v>
      </c>
      <c r="G263" s="110" t="s">
        <v>387</v>
      </c>
      <c r="H263" s="211">
        <v>1</v>
      </c>
      <c r="I263" s="110" t="s">
        <v>386</v>
      </c>
      <c r="J263" s="110" t="s">
        <v>149</v>
      </c>
      <c r="K263" s="110">
        <v>1</v>
      </c>
      <c r="L263" s="110" t="s">
        <v>438</v>
      </c>
      <c r="M263" s="110">
        <v>25</v>
      </c>
      <c r="N263" s="128">
        <v>46023</v>
      </c>
      <c r="O263" s="128"/>
    </row>
    <row r="264" spans="1:18" x14ac:dyDescent="0.25">
      <c r="A264" t="str">
        <f>TableOUMPCWRI3[[#This Row],[Study Package Code]]</f>
        <v>CWRI5030</v>
      </c>
      <c r="B264" s="1">
        <f>TableOUMPCWRI3[[#This Row],[Ver]]</f>
        <v>1</v>
      </c>
      <c r="C264" t="str">
        <f>IF(TableOUMPCWRI3[[#This Row],[Ver]]&gt;0,_xlfn.TEXTBEFORE(TableOUMPCWRI3[[#This Row],[Structure Line]]," "),"")</f>
        <v>CWRI5030</v>
      </c>
      <c r="D264" t="str">
        <f>IF(TableOUMPCWRI3[[#This Row],[OUA Code]]&lt;&gt;"",_xlfn.TEXTAFTER(TableOUMPCWRI3[[#This Row],[Structure Line]]," "),TableOUMPCWRI3[[#This Row],[Structure Line]])</f>
        <v>Graduate Writing for Children</v>
      </c>
      <c r="E264" s="57">
        <f>TableOUMPCWRI3[[#This Row],[Credit Points]]</f>
        <v>25</v>
      </c>
      <c r="F264" s="110">
        <v>3</v>
      </c>
      <c r="G264" s="110" t="s">
        <v>387</v>
      </c>
      <c r="H264" s="211">
        <v>1</v>
      </c>
      <c r="I264" s="110" t="s">
        <v>386</v>
      </c>
      <c r="J264" s="110" t="s">
        <v>152</v>
      </c>
      <c r="K264" s="110">
        <v>1</v>
      </c>
      <c r="L264" s="110" t="s">
        <v>439</v>
      </c>
      <c r="M264" s="110">
        <v>25</v>
      </c>
      <c r="N264" s="128">
        <v>46023</v>
      </c>
      <c r="O264" s="128"/>
    </row>
    <row r="265" spans="1:18" x14ac:dyDescent="0.25">
      <c r="A265" t="str">
        <f>TableOUMPCWRI3[[#This Row],[Study Package Code]]</f>
        <v>CWRI5032</v>
      </c>
      <c r="B265" s="1">
        <f>TableOUMPCWRI3[[#This Row],[Ver]]</f>
        <v>1</v>
      </c>
      <c r="C265" t="str">
        <f>IF(TableOUMPCWRI3[[#This Row],[Ver]]&gt;0,_xlfn.TEXTBEFORE(TableOUMPCWRI3[[#This Row],[Structure Line]]," "),"")</f>
        <v>CWRI5032</v>
      </c>
      <c r="D265" t="str">
        <f>IF(TableOUMPCWRI3[[#This Row],[OUA Code]]&lt;&gt;"",_xlfn.TEXTAFTER(TableOUMPCWRI3[[#This Row],[Structure Line]]," "),TableOUMPCWRI3[[#This Row],[Structure Line]])</f>
        <v>Graduate Writing Genre Fiction</v>
      </c>
      <c r="E265" s="57">
        <f>TableOUMPCWRI3[[#This Row],[Credit Points]]</f>
        <v>25</v>
      </c>
      <c r="F265" s="110">
        <v>3</v>
      </c>
      <c r="G265" s="110" t="s">
        <v>387</v>
      </c>
      <c r="H265" s="211">
        <v>1</v>
      </c>
      <c r="I265" s="110" t="s">
        <v>386</v>
      </c>
      <c r="J265" s="110" t="s">
        <v>155</v>
      </c>
      <c r="K265" s="110">
        <v>1</v>
      </c>
      <c r="L265" s="110" t="s">
        <v>440</v>
      </c>
      <c r="M265" s="110">
        <v>25</v>
      </c>
      <c r="N265" s="128">
        <v>46023</v>
      </c>
      <c r="O265" s="128"/>
    </row>
    <row r="266" spans="1:18" x14ac:dyDescent="0.25">
      <c r="A266" t="str">
        <f>TableOUMPCWRI3[[#This Row],[Study Package Code]]</f>
        <v>CWRI5034</v>
      </c>
      <c r="B266" s="1">
        <f>TableOUMPCWRI3[[#This Row],[Ver]]</f>
        <v>1</v>
      </c>
      <c r="C266" t="str">
        <f>IF(TableOUMPCWRI3[[#This Row],[Ver]]&gt;0,_xlfn.TEXTBEFORE(TableOUMPCWRI3[[#This Row],[Structure Line]]," "),"")</f>
        <v>CWRI5034</v>
      </c>
      <c r="D266" t="str">
        <f>IF(TableOUMPCWRI3[[#This Row],[OUA Code]]&lt;&gt;"",_xlfn.TEXTAFTER(TableOUMPCWRI3[[#This Row],[Structure Line]]," "),TableOUMPCWRI3[[#This Row],[Structure Line]])</f>
        <v>Graduate Writing Poetry</v>
      </c>
      <c r="E266" s="57">
        <f>TableOUMPCWRI3[[#This Row],[Credit Points]]</f>
        <v>25</v>
      </c>
      <c r="F266" s="110">
        <v>3</v>
      </c>
      <c r="G266" s="110" t="s">
        <v>387</v>
      </c>
      <c r="H266" s="211">
        <v>1</v>
      </c>
      <c r="I266" s="110" t="s">
        <v>386</v>
      </c>
      <c r="J266" s="110" t="s">
        <v>157</v>
      </c>
      <c r="K266" s="110">
        <v>1</v>
      </c>
      <c r="L266" s="110" t="s">
        <v>441</v>
      </c>
      <c r="M266" s="110">
        <v>25</v>
      </c>
      <c r="N266" s="128">
        <v>46023</v>
      </c>
      <c r="O266" s="128"/>
    </row>
    <row r="267" spans="1:18" x14ac:dyDescent="0.25">
      <c r="A267" t="str">
        <f>TableOUMPCWRI3[[#This Row],[Study Package Code]]</f>
        <v>CWRI5036</v>
      </c>
      <c r="B267" s="1">
        <f>TableOUMPCWRI3[[#This Row],[Ver]]</f>
        <v>1</v>
      </c>
      <c r="C267" t="str">
        <f>IF(TableOUMPCWRI3[[#This Row],[Ver]]&gt;0,_xlfn.TEXTBEFORE(TableOUMPCWRI3[[#This Row],[Structure Line]]," "),"")</f>
        <v>CWRI5036</v>
      </c>
      <c r="D267" t="str">
        <f>IF(TableOUMPCWRI3[[#This Row],[OUA Code]]&lt;&gt;"",_xlfn.TEXTAFTER(TableOUMPCWRI3[[#This Row],[Structure Line]]," "),TableOUMPCWRI3[[#This Row],[Structure Line]])</f>
        <v>Graduate Experimental Writing</v>
      </c>
      <c r="E267" s="57">
        <f>TableOUMPCWRI3[[#This Row],[Credit Points]]</f>
        <v>25</v>
      </c>
      <c r="F267" s="110">
        <v>3</v>
      </c>
      <c r="G267" s="110" t="s">
        <v>387</v>
      </c>
      <c r="H267" s="211">
        <v>1</v>
      </c>
      <c r="I267" s="110" t="s">
        <v>386</v>
      </c>
      <c r="J267" s="110" t="s">
        <v>160</v>
      </c>
      <c r="K267" s="110">
        <v>1</v>
      </c>
      <c r="L267" s="110" t="s">
        <v>442</v>
      </c>
      <c r="M267" s="110">
        <v>25</v>
      </c>
      <c r="N267" s="128">
        <v>46023</v>
      </c>
      <c r="O267" s="128"/>
    </row>
    <row r="268" spans="1:18" x14ac:dyDescent="0.25">
      <c r="A268" t="str">
        <f>TableOUMPCWRI3[[#This Row],[Study Package Code]]</f>
        <v>CWRI5038</v>
      </c>
      <c r="B268" s="1">
        <f>TableOUMPCWRI3[[#This Row],[Ver]]</f>
        <v>1</v>
      </c>
      <c r="C268" t="str">
        <f>IF(TableOUMPCWRI3[[#This Row],[Ver]]&gt;0,_xlfn.TEXTBEFORE(TableOUMPCWRI3[[#This Row],[Structure Line]]," "),"")</f>
        <v>CWRI5038</v>
      </c>
      <c r="D268" t="str">
        <f>IF(TableOUMPCWRI3[[#This Row],[OUA Code]]&lt;&gt;"",_xlfn.TEXTAFTER(TableOUMPCWRI3[[#This Row],[Structure Line]]," "),TableOUMPCWRI3[[#This Row],[Structure Line]])</f>
        <v>Graduate Writing Short Fiction</v>
      </c>
      <c r="E268" s="57">
        <f>TableOUMPCWRI3[[#This Row],[Credit Points]]</f>
        <v>25</v>
      </c>
      <c r="F268" s="110">
        <v>3</v>
      </c>
      <c r="G268" s="110" t="s">
        <v>387</v>
      </c>
      <c r="H268" s="211">
        <v>1</v>
      </c>
      <c r="I268" s="110" t="s">
        <v>386</v>
      </c>
      <c r="J268" s="110" t="s">
        <v>164</v>
      </c>
      <c r="K268" s="110">
        <v>1</v>
      </c>
      <c r="L268" s="110" t="s">
        <v>443</v>
      </c>
      <c r="M268" s="110">
        <v>25</v>
      </c>
      <c r="N268" s="128">
        <v>46023</v>
      </c>
      <c r="O268" s="128"/>
    </row>
    <row r="269" spans="1:18" x14ac:dyDescent="0.25">
      <c r="A269" t="str">
        <f>TableOUMPCWRI3[[#This Row],[Study Package Code]]</f>
        <v>CWRI6004</v>
      </c>
      <c r="B269" s="1">
        <f>TableOUMPCWRI3[[#This Row],[Ver]]</f>
        <v>1</v>
      </c>
      <c r="C269" t="str">
        <f>IF(TableOUMPCWRI3[[#This Row],[Ver]]&gt;0,_xlfn.TEXTBEFORE(TableOUMPCWRI3[[#This Row],[Structure Line]]," "),"")</f>
        <v>CWRI6004</v>
      </c>
      <c r="D269" t="str">
        <f>IF(TableOUMPCWRI3[[#This Row],[OUA Code]]&lt;&gt;"",_xlfn.TEXTAFTER(TableOUMPCWRI3[[#This Row],[Structure Line]]," "),TableOUMPCWRI3[[#This Row],[Structure Line]])</f>
        <v>Graduate Engaging Narrative</v>
      </c>
      <c r="E269" s="57">
        <f>TableOUMPCWRI3[[#This Row],[Credit Points]]</f>
        <v>25</v>
      </c>
      <c r="F269" s="110">
        <v>3</v>
      </c>
      <c r="G269" s="110" t="s">
        <v>387</v>
      </c>
      <c r="H269" s="211">
        <v>1</v>
      </c>
      <c r="I269" s="110" t="s">
        <v>386</v>
      </c>
      <c r="J269" s="110" t="s">
        <v>151</v>
      </c>
      <c r="K269" s="110">
        <v>1</v>
      </c>
      <c r="L269" s="110" t="s">
        <v>444</v>
      </c>
      <c r="M269" s="110">
        <v>25</v>
      </c>
      <c r="N269" s="128">
        <v>46023</v>
      </c>
      <c r="O269" s="128"/>
    </row>
    <row r="270" spans="1:18" x14ac:dyDescent="0.25">
      <c r="A270" t="str">
        <f>TableOUMPCWRI3[[#This Row],[Study Package Code]]</f>
        <v>LANG5005</v>
      </c>
      <c r="B270" s="1">
        <f>TableOUMPCWRI3[[#This Row],[Ver]]</f>
        <v>1</v>
      </c>
      <c r="C270" t="str">
        <f>IF(TableOUMPCWRI3[[#This Row],[Ver]]&gt;0,_xlfn.TEXTBEFORE(TableOUMPCWRI3[[#This Row],[Structure Line]]," "),"")</f>
        <v>LANG5005</v>
      </c>
      <c r="D270" t="str">
        <f>IF(TableOUMPCWRI3[[#This Row],[OUA Code]]&lt;&gt;"",_xlfn.TEXTAFTER(TableOUMPCWRI3[[#This Row],[Structure Line]]," "),TableOUMPCWRI3[[#This Row],[Structure Line]])</f>
        <v>Graduate Narrative Nonfiction</v>
      </c>
      <c r="E270" s="57">
        <f>TableOUMPCWRI3[[#This Row],[Credit Points]]</f>
        <v>25</v>
      </c>
      <c r="F270" s="110">
        <v>3</v>
      </c>
      <c r="G270" s="110" t="s">
        <v>387</v>
      </c>
      <c r="H270" s="211">
        <v>1</v>
      </c>
      <c r="I270" s="110" t="s">
        <v>386</v>
      </c>
      <c r="J270" s="110" t="s">
        <v>154</v>
      </c>
      <c r="K270" s="110">
        <v>1</v>
      </c>
      <c r="L270" s="110" t="s">
        <v>446</v>
      </c>
      <c r="M270" s="110">
        <v>25</v>
      </c>
      <c r="N270" s="128">
        <v>46023</v>
      </c>
      <c r="O270" s="128"/>
    </row>
    <row r="271" spans="1:18" x14ac:dyDescent="0.25">
      <c r="A271" t="str">
        <f>TableOUMPCWRI3[[#This Row],[Study Package Code]]</f>
        <v>LANG5007</v>
      </c>
      <c r="B271" s="1">
        <f>TableOUMPCWRI3[[#This Row],[Ver]]</f>
        <v>1</v>
      </c>
      <c r="C271" t="str">
        <f>IF(TableOUMPCWRI3[[#This Row],[Ver]]&gt;0,_xlfn.TEXTBEFORE(TableOUMPCWRI3[[#This Row],[Structure Line]]," "),"")</f>
        <v>LANG5007</v>
      </c>
      <c r="D271" t="str">
        <f>IF(TableOUMPCWRI3[[#This Row],[OUA Code]]&lt;&gt;"",_xlfn.TEXTAFTER(TableOUMPCWRI3[[#This Row],[Structure Line]]," "),TableOUMPCWRI3[[#This Row],[Structure Line]])</f>
        <v>Graduate Editing</v>
      </c>
      <c r="E271" s="57">
        <f>TableOUMPCWRI3[[#This Row],[Credit Points]]</f>
        <v>25</v>
      </c>
      <c r="F271" s="110">
        <v>3</v>
      </c>
      <c r="G271" s="110" t="s">
        <v>387</v>
      </c>
      <c r="H271" s="211">
        <v>1</v>
      </c>
      <c r="I271" s="110" t="s">
        <v>386</v>
      </c>
      <c r="J271" s="110" t="s">
        <v>156</v>
      </c>
      <c r="K271" s="110">
        <v>1</v>
      </c>
      <c r="L271" s="110" t="s">
        <v>447</v>
      </c>
      <c r="M271" s="110">
        <v>25</v>
      </c>
      <c r="N271" s="128">
        <v>46023</v>
      </c>
      <c r="O271" s="128"/>
    </row>
    <row r="272" spans="1:18" x14ac:dyDescent="0.25">
      <c r="B272"/>
      <c r="E272"/>
      <c r="F272" s="209"/>
      <c r="G272" s="173" t="s">
        <v>374</v>
      </c>
      <c r="H272" s="212">
        <v>45992</v>
      </c>
      <c r="I272" s="171"/>
      <c r="J272" s="171" t="s">
        <v>515</v>
      </c>
      <c r="K272" s="172">
        <v>1</v>
      </c>
      <c r="L272" s="171" t="s">
        <v>516</v>
      </c>
      <c r="M272" s="171"/>
      <c r="N272" s="179">
        <v>45658</v>
      </c>
      <c r="O272" s="174"/>
    </row>
    <row r="273" spans="1:18" x14ac:dyDescent="0.25">
      <c r="A273" t="s">
        <v>0</v>
      </c>
      <c r="B273" s="1" t="s">
        <v>375</v>
      </c>
      <c r="C273" t="s">
        <v>22</v>
      </c>
      <c r="D273" t="s">
        <v>3</v>
      </c>
      <c r="E273" s="57" t="s">
        <v>376</v>
      </c>
      <c r="F273" t="s">
        <v>377</v>
      </c>
      <c r="G273" t="s">
        <v>378</v>
      </c>
      <c r="H273" s="1" t="s">
        <v>379</v>
      </c>
      <c r="I273" t="s">
        <v>23</v>
      </c>
      <c r="J273" t="s">
        <v>380</v>
      </c>
      <c r="K273" t="s">
        <v>1</v>
      </c>
      <c r="L273" t="s">
        <v>381</v>
      </c>
      <c r="M273" t="s">
        <v>58</v>
      </c>
      <c r="N273" t="s">
        <v>382</v>
      </c>
      <c r="O273" t="s">
        <v>383</v>
      </c>
      <c r="Q273" t="s">
        <v>384</v>
      </c>
      <c r="R273" t="s">
        <v>1</v>
      </c>
    </row>
    <row r="274" spans="1:18" x14ac:dyDescent="0.25">
      <c r="A274" t="str">
        <f>TableOUMPDGCM2[[#This Row],[Study Package Code]]</f>
        <v>COMS5005</v>
      </c>
      <c r="B274" s="1">
        <f>TableOUMPDGCM2[[#This Row],[Ver]]</f>
        <v>1</v>
      </c>
      <c r="C274" t="str">
        <f>IF(TableOUMPDGCM2[[#This Row],[Ver]]&gt;0,_xlfn.TEXTBEFORE(TableOUMPDGCM2[[#This Row],[Structure Line]]," "),"")</f>
        <v>COM500</v>
      </c>
      <c r="D274" t="str">
        <f>IF(TableOUMPDGCM2[[#This Row],[OUA Code]]&lt;&gt;"",_xlfn.TEXTAFTER(TableOUMPDGCM2[[#This Row],[Structure Line]]," "),TableOUMPDGCM2[[#This Row],[Structure Line]])</f>
        <v>Approaches to Arts Research</v>
      </c>
      <c r="E274" s="57">
        <f>TableOUMPDGCM2[[#This Row],[Credit Points]]</f>
        <v>25</v>
      </c>
      <c r="F274" s="110">
        <v>1</v>
      </c>
      <c r="G274" s="110" t="s">
        <v>388</v>
      </c>
      <c r="H274" s="211">
        <v>1</v>
      </c>
      <c r="I274" s="110" t="s">
        <v>386</v>
      </c>
      <c r="J274" s="110" t="s">
        <v>199</v>
      </c>
      <c r="K274" s="110">
        <v>1</v>
      </c>
      <c r="L274" s="110" t="s">
        <v>389</v>
      </c>
      <c r="M274" s="110">
        <v>25</v>
      </c>
      <c r="N274" s="128">
        <v>45658</v>
      </c>
      <c r="O274" s="128"/>
    </row>
    <row r="275" spans="1:18" x14ac:dyDescent="0.25">
      <c r="A275" t="str">
        <f>TableOUMPDGCM2[[#This Row],[Study Package Code]]</f>
        <v>COMS6008</v>
      </c>
      <c r="B275" s="1">
        <f>TableOUMPDGCM2[[#This Row],[Ver]]</f>
        <v>1</v>
      </c>
      <c r="C275" t="str">
        <f>IF(TableOUMPDGCM2[[#This Row],[Ver]]&gt;0,_xlfn.TEXTBEFORE(TableOUMPDGCM2[[#This Row],[Structure Line]]," "),"")</f>
        <v>COM605</v>
      </c>
      <c r="D275" t="str">
        <f>IF(TableOUMPDGCM2[[#This Row],[OUA Code]]&lt;&gt;"",_xlfn.TEXTAFTER(TableOUMPDGCM2[[#This Row],[Structure Line]]," "),TableOUMPDGCM2[[#This Row],[Structure Line]])</f>
        <v>Planning an Arts Research Project</v>
      </c>
      <c r="E275" s="57">
        <f>TableOUMPDGCM2[[#This Row],[Credit Points]]</f>
        <v>25</v>
      </c>
      <c r="F275" s="110">
        <v>2</v>
      </c>
      <c r="G275" s="110" t="s">
        <v>388</v>
      </c>
      <c r="H275" s="211">
        <v>1</v>
      </c>
      <c r="I275" s="110" t="s">
        <v>386</v>
      </c>
      <c r="J275" s="110" t="s">
        <v>231</v>
      </c>
      <c r="K275" s="110">
        <v>1</v>
      </c>
      <c r="L275" s="110" t="s">
        <v>390</v>
      </c>
      <c r="M275" s="110">
        <v>25</v>
      </c>
      <c r="N275" s="128">
        <v>45658</v>
      </c>
      <c r="O275" s="128"/>
    </row>
    <row r="276" spans="1:18" x14ac:dyDescent="0.25">
      <c r="A276" t="str">
        <f>TableOUMPDGCM2[[#This Row],[Study Package Code]]</f>
        <v>AC-DGCM2</v>
      </c>
      <c r="B276" s="1">
        <f>TableOUMPDGCM2[[#This Row],[Ver]]</f>
        <v>0</v>
      </c>
      <c r="C276" t="str">
        <f>IF(TableOUMPDGCM2[[#This Row],[Ver]]&gt;0,_xlfn.TEXTBEFORE(TableOUMPDGCM2[[#This Row],[Structure Line]]," "),"")</f>
        <v/>
      </c>
      <c r="D276" t="str">
        <f>IF(TableOUMPDGCM2[[#This Row],[OUA Code]]&lt;&gt;"",_xlfn.TEXTAFTER(TableOUMPDGCM2[[#This Row],[Structure Line]]," "),TableOUMPDGCM2[[#This Row],[Structure Line]])</f>
        <v>Choose NETS5013 or NETS5012</v>
      </c>
      <c r="E276" s="57">
        <f>TableOUMPDGCM2[[#This Row],[Credit Points]]</f>
        <v>25</v>
      </c>
      <c r="F276" s="110">
        <v>3</v>
      </c>
      <c r="G276" s="110" t="s">
        <v>385</v>
      </c>
      <c r="H276" s="211">
        <v>1</v>
      </c>
      <c r="I276" s="110" t="s">
        <v>386</v>
      </c>
      <c r="J276" s="110" t="s">
        <v>522</v>
      </c>
      <c r="K276" s="110">
        <v>0</v>
      </c>
      <c r="L276" s="110" t="s">
        <v>445</v>
      </c>
      <c r="M276" s="110">
        <v>25</v>
      </c>
      <c r="N276" s="128"/>
      <c r="O276" s="128"/>
    </row>
    <row r="277" spans="1:18" x14ac:dyDescent="0.25">
      <c r="A277" t="str">
        <f>TableOUMPDGCM2[[#This Row],[Study Package Code]]</f>
        <v>Opt-DGCM2</v>
      </c>
      <c r="B277" s="1">
        <f>TableOUMPDGCM2[[#This Row],[Ver]]</f>
        <v>0</v>
      </c>
      <c r="C277" t="str">
        <f>IF(TableOUMPDGCM2[[#This Row],[Ver]]&gt;0,_xlfn.TEXTBEFORE(TableOUMPDGCM2[[#This Row],[Structure Line]]," "),"")</f>
        <v/>
      </c>
      <c r="D277" t="str">
        <f>IF(TableOUMPDGCM2[[#This Row],[OUA Code]]&lt;&gt;"",_xlfn.TEXTAFTER(TableOUMPDGCM2[[#This Row],[Structure Line]]," "),TableOUMPDGCM2[[#This Row],[Structure Line]])</f>
        <v>Choose Options</v>
      </c>
      <c r="E277" s="57">
        <f>TableOUMPDGCM2[[#This Row],[Credit Points]]</f>
        <v>125</v>
      </c>
      <c r="F277" s="110">
        <v>4</v>
      </c>
      <c r="G277" s="110" t="s">
        <v>387</v>
      </c>
      <c r="H277" s="211">
        <v>1</v>
      </c>
      <c r="I277" s="110" t="s">
        <v>386</v>
      </c>
      <c r="J277" s="110" t="s">
        <v>523</v>
      </c>
      <c r="K277" s="110">
        <v>0</v>
      </c>
      <c r="L277" s="110" t="s">
        <v>336</v>
      </c>
      <c r="M277" s="110">
        <v>125</v>
      </c>
      <c r="N277" s="128"/>
      <c r="O277" s="128"/>
    </row>
    <row r="278" spans="1:18" x14ac:dyDescent="0.25">
      <c r="A278" t="str">
        <f>TableOUMPDGCM2[[#This Row],[Study Package Code]]</f>
        <v>NETS5012</v>
      </c>
      <c r="B278" s="1">
        <f>TableOUMPDGCM2[[#This Row],[Ver]]</f>
        <v>2</v>
      </c>
      <c r="C278" t="str">
        <f>IF(TableOUMPDGCM2[[#This Row],[Ver]]&gt;0,_xlfn.TEXTBEFORE(TableOUMPDGCM2[[#This Row],[Structure Line]]," "),"")</f>
        <v>MIC501</v>
      </c>
      <c r="D278" t="str">
        <f>IF(TableOUMPDGCM2[[#This Row],[OUA Code]]&lt;&gt;"",_xlfn.TEXTAFTER(TableOUMPDGCM2[[#This Row],[Structure Line]]," "),TableOUMPDGCM2[[#This Row],[Structure Line]])</f>
        <v>Graduate Web Communications</v>
      </c>
      <c r="E278" s="57">
        <f>TableOUMPDGCM2[[#This Row],[Credit Points]]</f>
        <v>25</v>
      </c>
      <c r="F278" s="110">
        <v>3</v>
      </c>
      <c r="G278" s="110" t="s">
        <v>385</v>
      </c>
      <c r="H278" s="211">
        <v>1</v>
      </c>
      <c r="I278" s="110" t="s">
        <v>386</v>
      </c>
      <c r="J278" s="110" t="s">
        <v>137</v>
      </c>
      <c r="K278" s="110">
        <v>2</v>
      </c>
      <c r="L278" s="110" t="s">
        <v>399</v>
      </c>
      <c r="M278" s="110">
        <v>25</v>
      </c>
      <c r="N278" s="128">
        <v>45658</v>
      </c>
      <c r="O278" s="128"/>
    </row>
    <row r="279" spans="1:18" x14ac:dyDescent="0.25">
      <c r="A279" t="str">
        <f>TableOUMPDGCM2[[#This Row],[Study Package Code]]</f>
        <v>NETS5013</v>
      </c>
      <c r="B279" s="1">
        <f>TableOUMPDGCM2[[#This Row],[Ver]]</f>
        <v>2</v>
      </c>
      <c r="C279" t="str">
        <f>IF(TableOUMPDGCM2[[#This Row],[Ver]]&gt;0,_xlfn.TEXTBEFORE(TableOUMPDGCM2[[#This Row],[Structure Line]]," "),"")</f>
        <v>MIC502</v>
      </c>
      <c r="D279" t="str">
        <f>IF(TableOUMPDGCM2[[#This Row],[OUA Code]]&lt;&gt;"",_xlfn.TEXTAFTER(TableOUMPDGCM2[[#This Row],[Structure Line]]," "),TableOUMPDGCM2[[#This Row],[Structure Line]])</f>
        <v>Graduate Digital Culture and Everyday Life</v>
      </c>
      <c r="E279" s="57">
        <f>TableOUMPDGCM2[[#This Row],[Credit Points]]</f>
        <v>25</v>
      </c>
      <c r="F279" s="110">
        <v>3</v>
      </c>
      <c r="G279" s="110" t="s">
        <v>385</v>
      </c>
      <c r="H279" s="211">
        <v>1</v>
      </c>
      <c r="I279" s="110" t="s">
        <v>386</v>
      </c>
      <c r="J279" s="110" t="s">
        <v>139</v>
      </c>
      <c r="K279" s="110">
        <v>2</v>
      </c>
      <c r="L279" s="110" t="s">
        <v>400</v>
      </c>
      <c r="M279" s="110">
        <v>25</v>
      </c>
      <c r="N279" s="128">
        <v>45658</v>
      </c>
      <c r="O279" s="128"/>
    </row>
    <row r="280" spans="1:18" x14ac:dyDescent="0.25">
      <c r="A280" t="str">
        <f>TableOUMPDGCM2[[#This Row],[Study Package Code]]</f>
        <v>INFO5042</v>
      </c>
      <c r="B280" s="1">
        <f>TableOUMPDGCM2[[#This Row],[Ver]]</f>
        <v>1</v>
      </c>
      <c r="C280" t="str">
        <f>IF(TableOUMPDGCM2[[#This Row],[Ver]]&gt;0,_xlfn.TEXTBEFORE(TableOUMPDGCM2[[#This Row],[Structure Line]]," "),"")</f>
        <v>INF510</v>
      </c>
      <c r="D280" t="str">
        <f>IF(TableOUMPDGCM2[[#This Row],[OUA Code]]&lt;&gt;"",_xlfn.TEXTAFTER(TableOUMPDGCM2[[#This Row],[Structure Line]]," "),TableOUMPDGCM2[[#This Row],[Structure Line]])</f>
        <v>Telling Stories with Data</v>
      </c>
      <c r="E280" s="57">
        <f>TableOUMPDGCM2[[#This Row],[Credit Points]]</f>
        <v>25</v>
      </c>
      <c r="F280" s="110">
        <v>4</v>
      </c>
      <c r="G280" s="110" t="s">
        <v>387</v>
      </c>
      <c r="H280" s="211">
        <v>1</v>
      </c>
      <c r="I280" s="110" t="s">
        <v>386</v>
      </c>
      <c r="J280" s="110" t="s">
        <v>161</v>
      </c>
      <c r="K280" s="110">
        <v>1</v>
      </c>
      <c r="L280" s="110" t="s">
        <v>398</v>
      </c>
      <c r="M280" s="110">
        <v>25</v>
      </c>
      <c r="N280" s="128">
        <v>44927</v>
      </c>
      <c r="O280" s="128"/>
    </row>
    <row r="281" spans="1:18" x14ac:dyDescent="0.25">
      <c r="A281" t="str">
        <f>TableOUMPDGCM2[[#This Row],[Study Package Code]]</f>
        <v>NETS5012</v>
      </c>
      <c r="B281" s="1">
        <f>TableOUMPDGCM2[[#This Row],[Ver]]</f>
        <v>2</v>
      </c>
      <c r="C281" t="str">
        <f>IF(TableOUMPDGCM2[[#This Row],[Ver]]&gt;0,_xlfn.TEXTBEFORE(TableOUMPDGCM2[[#This Row],[Structure Line]]," "),"")</f>
        <v>MIC501</v>
      </c>
      <c r="D281" t="str">
        <f>IF(TableOUMPDGCM2[[#This Row],[OUA Code]]&lt;&gt;"",_xlfn.TEXTAFTER(TableOUMPDGCM2[[#This Row],[Structure Line]]," "),TableOUMPDGCM2[[#This Row],[Structure Line]])</f>
        <v>Graduate Web Communications</v>
      </c>
      <c r="E281" s="57">
        <f>TableOUMPDGCM2[[#This Row],[Credit Points]]</f>
        <v>0</v>
      </c>
      <c r="F281" s="110">
        <v>4</v>
      </c>
      <c r="G281" s="110" t="s">
        <v>387</v>
      </c>
      <c r="H281" s="211">
        <v>1</v>
      </c>
      <c r="I281" s="110" t="s">
        <v>386</v>
      </c>
      <c r="J281" s="110" t="s">
        <v>137</v>
      </c>
      <c r="K281" s="110">
        <v>2</v>
      </c>
      <c r="L281" s="110" t="s">
        <v>399</v>
      </c>
      <c r="M281" s="110"/>
      <c r="N281" s="128">
        <v>45658</v>
      </c>
      <c r="O281" s="128"/>
    </row>
    <row r="282" spans="1:18" x14ac:dyDescent="0.25">
      <c r="A282" t="str">
        <f>TableOUMPDGCM2[[#This Row],[Study Package Code]]</f>
        <v>NETS5013</v>
      </c>
      <c r="B282" s="1">
        <f>TableOUMPDGCM2[[#This Row],[Ver]]</f>
        <v>2</v>
      </c>
      <c r="C282" t="str">
        <f>IF(TableOUMPDGCM2[[#This Row],[Ver]]&gt;0,_xlfn.TEXTBEFORE(TableOUMPDGCM2[[#This Row],[Structure Line]]," "),"")</f>
        <v>MIC502</v>
      </c>
      <c r="D282" t="str">
        <f>IF(TableOUMPDGCM2[[#This Row],[OUA Code]]&lt;&gt;"",_xlfn.TEXTAFTER(TableOUMPDGCM2[[#This Row],[Structure Line]]," "),TableOUMPDGCM2[[#This Row],[Structure Line]])</f>
        <v>Graduate Digital Culture and Everyday Life</v>
      </c>
      <c r="E282" s="57">
        <f>TableOUMPDGCM2[[#This Row],[Credit Points]]</f>
        <v>0</v>
      </c>
      <c r="F282" s="110">
        <v>4</v>
      </c>
      <c r="G282" s="110" t="s">
        <v>387</v>
      </c>
      <c r="H282" s="211">
        <v>1</v>
      </c>
      <c r="I282" s="110" t="s">
        <v>386</v>
      </c>
      <c r="J282" s="110" t="s">
        <v>139</v>
      </c>
      <c r="K282" s="110">
        <v>2</v>
      </c>
      <c r="L282" s="110" t="s">
        <v>400</v>
      </c>
      <c r="M282" s="110"/>
      <c r="N282" s="128">
        <v>45658</v>
      </c>
      <c r="O282" s="128"/>
    </row>
    <row r="283" spans="1:18" x14ac:dyDescent="0.25">
      <c r="A283" t="str">
        <f>TableOUMPDGCM2[[#This Row],[Study Package Code]]</f>
        <v>NETS5014</v>
      </c>
      <c r="B283" s="1">
        <f>TableOUMPDGCM2[[#This Row],[Ver]]</f>
        <v>3</v>
      </c>
      <c r="C283" t="str">
        <f>IF(TableOUMPDGCM2[[#This Row],[Ver]]&gt;0,_xlfn.TEXTBEFORE(TableOUMPDGCM2[[#This Row],[Structure Line]]," "),"")</f>
        <v>MIC503</v>
      </c>
      <c r="D283" t="str">
        <f>IF(TableOUMPDGCM2[[#This Row],[OUA Code]]&lt;&gt;"",_xlfn.TEXTAFTER(TableOUMPDGCM2[[#This Row],[Structure Line]]," "),TableOUMPDGCM2[[#This Row],[Structure Line]])</f>
        <v>Graduate Online Power and Resistance</v>
      </c>
      <c r="E283" s="57">
        <f>TableOUMPDGCM2[[#This Row],[Credit Points]]</f>
        <v>25</v>
      </c>
      <c r="F283" s="110">
        <v>4</v>
      </c>
      <c r="G283" s="110" t="s">
        <v>387</v>
      </c>
      <c r="H283" s="211">
        <v>1</v>
      </c>
      <c r="I283" s="110" t="s">
        <v>386</v>
      </c>
      <c r="J283" s="110" t="s">
        <v>168</v>
      </c>
      <c r="K283" s="110">
        <v>3</v>
      </c>
      <c r="L283" s="110" t="s">
        <v>401</v>
      </c>
      <c r="M283" s="110">
        <v>25</v>
      </c>
      <c r="N283" s="128">
        <v>45658</v>
      </c>
      <c r="O283" s="128"/>
    </row>
    <row r="284" spans="1:18" x14ac:dyDescent="0.25">
      <c r="A284" t="str">
        <f>TableOUMPDGCM2[[#This Row],[Study Package Code]]</f>
        <v>NETS5015</v>
      </c>
      <c r="B284" s="1">
        <f>TableOUMPDGCM2[[#This Row],[Ver]]</f>
        <v>2</v>
      </c>
      <c r="C284" t="str">
        <f>IF(TableOUMPDGCM2[[#This Row],[Ver]]&gt;0,_xlfn.TEXTBEFORE(TableOUMPDGCM2[[#This Row],[Structure Line]]," "),"")</f>
        <v>MIC504</v>
      </c>
      <c r="D284" t="str">
        <f>IF(TableOUMPDGCM2[[#This Row],[OUA Code]]&lt;&gt;"",_xlfn.TEXTAFTER(TableOUMPDGCM2[[#This Row],[Structure Line]]," "),TableOUMPDGCM2[[#This Row],[Structure Line]])</f>
        <v>Graduate Social Media, Communities and Networks</v>
      </c>
      <c r="E284" s="57">
        <f>TableOUMPDGCM2[[#This Row],[Credit Points]]</f>
        <v>25</v>
      </c>
      <c r="F284" s="110">
        <v>4</v>
      </c>
      <c r="G284" s="110" t="s">
        <v>387</v>
      </c>
      <c r="H284" s="211">
        <v>1</v>
      </c>
      <c r="I284" s="110" t="s">
        <v>386</v>
      </c>
      <c r="J284" s="110" t="s">
        <v>170</v>
      </c>
      <c r="K284" s="110">
        <v>2</v>
      </c>
      <c r="L284" s="110" t="s">
        <v>402</v>
      </c>
      <c r="M284" s="110">
        <v>25</v>
      </c>
      <c r="N284" s="128">
        <v>45658</v>
      </c>
      <c r="O284" s="128"/>
    </row>
    <row r="285" spans="1:18" x14ac:dyDescent="0.25">
      <c r="A285" t="str">
        <f>TableOUMPDGCM2[[#This Row],[Study Package Code]]</f>
        <v>NETS5016</v>
      </c>
      <c r="B285" s="1">
        <f>TableOUMPDGCM2[[#This Row],[Ver]]</f>
        <v>2</v>
      </c>
      <c r="C285" t="str">
        <f>IF(TableOUMPDGCM2[[#This Row],[Ver]]&gt;0,_xlfn.TEXTBEFORE(TableOUMPDGCM2[[#This Row],[Structure Line]]," "),"")</f>
        <v>MIC505</v>
      </c>
      <c r="D285" t="str">
        <f>IF(TableOUMPDGCM2[[#This Row],[OUA Code]]&lt;&gt;"",_xlfn.TEXTAFTER(TableOUMPDGCM2[[#This Row],[Structure Line]]," "),TableOUMPDGCM2[[#This Row],[Structure Line]])</f>
        <v>Graduate Writing on the Web</v>
      </c>
      <c r="E285" s="57">
        <f>TableOUMPDGCM2[[#This Row],[Credit Points]]</f>
        <v>25</v>
      </c>
      <c r="F285" s="110">
        <v>4</v>
      </c>
      <c r="G285" s="110" t="s">
        <v>387</v>
      </c>
      <c r="H285" s="211">
        <v>1</v>
      </c>
      <c r="I285" s="110" t="s">
        <v>386</v>
      </c>
      <c r="J285" s="110" t="s">
        <v>167</v>
      </c>
      <c r="K285" s="110">
        <v>2</v>
      </c>
      <c r="L285" s="110" t="s">
        <v>403</v>
      </c>
      <c r="M285" s="110">
        <v>25</v>
      </c>
      <c r="N285" s="128">
        <v>45658</v>
      </c>
      <c r="O285" s="128"/>
    </row>
    <row r="286" spans="1:18" x14ac:dyDescent="0.25">
      <c r="A286" t="str">
        <f>TableOUMPDGCM2[[#This Row],[Study Package Code]]</f>
        <v>NETS5017</v>
      </c>
      <c r="B286" s="1">
        <f>TableOUMPDGCM2[[#This Row],[Ver]]</f>
        <v>2</v>
      </c>
      <c r="C286" t="str">
        <f>IF(TableOUMPDGCM2[[#This Row],[Ver]]&gt;0,_xlfn.TEXTBEFORE(TableOUMPDGCM2[[#This Row],[Structure Line]]," "),"")</f>
        <v>MIC506</v>
      </c>
      <c r="D286" t="str">
        <f>IF(TableOUMPDGCM2[[#This Row],[OUA Code]]&lt;&gt;"",_xlfn.TEXTAFTER(TableOUMPDGCM2[[#This Row],[Structure Line]]," "),TableOUMPDGCM2[[#This Row],[Structure Line]])</f>
        <v>Graduate The Digital Economy</v>
      </c>
      <c r="E286" s="57">
        <f>TableOUMPDGCM2[[#This Row],[Credit Points]]</f>
        <v>25</v>
      </c>
      <c r="F286" s="110">
        <v>4</v>
      </c>
      <c r="G286" s="110" t="s">
        <v>387</v>
      </c>
      <c r="H286" s="211">
        <v>1</v>
      </c>
      <c r="I286" s="110" t="s">
        <v>386</v>
      </c>
      <c r="J286" s="110" t="s">
        <v>174</v>
      </c>
      <c r="K286" s="110">
        <v>2</v>
      </c>
      <c r="L286" s="110" t="s">
        <v>404</v>
      </c>
      <c r="M286" s="110">
        <v>25</v>
      </c>
      <c r="N286" s="128">
        <v>45658</v>
      </c>
      <c r="O286" s="128"/>
    </row>
    <row r="287" spans="1:18" x14ac:dyDescent="0.25">
      <c r="A287" t="str">
        <f>TableOUMPDGCM2[[#This Row],[Study Package Code]]</f>
        <v>NETS5018</v>
      </c>
      <c r="B287" s="1">
        <f>TableOUMPDGCM2[[#This Row],[Ver]]</f>
        <v>2</v>
      </c>
      <c r="C287" t="str">
        <f>IF(TableOUMPDGCM2[[#This Row],[Ver]]&gt;0,_xlfn.TEXTBEFORE(TableOUMPDGCM2[[#This Row],[Structure Line]]," "),"")</f>
        <v>MIC507</v>
      </c>
      <c r="D287" t="str">
        <f>IF(TableOUMPDGCM2[[#This Row],[OUA Code]]&lt;&gt;"",_xlfn.TEXTAFTER(TableOUMPDGCM2[[#This Row],[Structure Line]]," "),TableOUMPDGCM2[[#This Row],[Structure Line]])</f>
        <v>Graduate Technology, Innovation and Societies</v>
      </c>
      <c r="E287" s="57">
        <f>TableOUMPDGCM2[[#This Row],[Credit Points]]</f>
        <v>25</v>
      </c>
      <c r="F287" s="110">
        <v>4</v>
      </c>
      <c r="G287" s="110" t="s">
        <v>387</v>
      </c>
      <c r="H287" s="211">
        <v>1</v>
      </c>
      <c r="I287" s="110" t="s">
        <v>386</v>
      </c>
      <c r="J287" s="110" t="s">
        <v>176</v>
      </c>
      <c r="K287" s="110">
        <v>2</v>
      </c>
      <c r="L287" s="110" t="s">
        <v>405</v>
      </c>
      <c r="M287" s="110">
        <v>25</v>
      </c>
      <c r="N287" s="128">
        <v>45658</v>
      </c>
      <c r="O287" s="128"/>
    </row>
    <row r="288" spans="1:18" x14ac:dyDescent="0.25">
      <c r="A288" t="str">
        <f>TableOUMPDGCM2[[#This Row],[Study Package Code]]</f>
        <v>NETS5019</v>
      </c>
      <c r="B288" s="1">
        <f>TableOUMPDGCM2[[#This Row],[Ver]]</f>
        <v>4</v>
      </c>
      <c r="C288" t="str">
        <f>IF(TableOUMPDGCM2[[#This Row],[Ver]]&gt;0,_xlfn.TEXTBEFORE(TableOUMPDGCM2[[#This Row],[Structure Line]]," "),"")</f>
        <v>MIC508</v>
      </c>
      <c r="D288" t="str">
        <f>IF(TableOUMPDGCM2[[#This Row],[OUA Code]]&lt;&gt;"",_xlfn.TEXTAFTER(TableOUMPDGCM2[[#This Row],[Structure Line]]," "),TableOUMPDGCM2[[#This Row],[Structure Line]])</f>
        <v>Graduate Digital Creation Futures</v>
      </c>
      <c r="E288" s="57">
        <f>TableOUMPDGCM2[[#This Row],[Credit Points]]</f>
        <v>25</v>
      </c>
      <c r="F288" s="110">
        <v>4</v>
      </c>
      <c r="G288" s="110" t="s">
        <v>387</v>
      </c>
      <c r="H288" s="211">
        <v>1</v>
      </c>
      <c r="I288" s="110" t="s">
        <v>386</v>
      </c>
      <c r="J288" s="110" t="s">
        <v>178</v>
      </c>
      <c r="K288" s="110">
        <v>4</v>
      </c>
      <c r="L288" s="110" t="s">
        <v>463</v>
      </c>
      <c r="M288" s="110">
        <v>25</v>
      </c>
      <c r="N288" s="128">
        <v>46023</v>
      </c>
      <c r="O288" s="128"/>
    </row>
    <row r="289" spans="1:18" x14ac:dyDescent="0.25">
      <c r="A289" t="str">
        <f>TableOUMPDGCM2[[#This Row],[Study Package Code]]</f>
        <v>NETS5020</v>
      </c>
      <c r="B289" s="1">
        <f>TableOUMPDGCM2[[#This Row],[Ver]]</f>
        <v>2</v>
      </c>
      <c r="C289" t="str">
        <f>IF(TableOUMPDGCM2[[#This Row],[Ver]]&gt;0,_xlfn.TEXTBEFORE(TableOUMPDGCM2[[#This Row],[Structure Line]]," "),"")</f>
        <v>MIC509</v>
      </c>
      <c r="D289" t="str">
        <f>IF(TableOUMPDGCM2[[#This Row],[OUA Code]]&lt;&gt;"",_xlfn.TEXTAFTER(TableOUMPDGCM2[[#This Row],[Structure Line]]," "),TableOUMPDGCM2[[#This Row],[Structure Line]])</f>
        <v>Graduate Web Media</v>
      </c>
      <c r="E289" s="57">
        <f>TableOUMPDGCM2[[#This Row],[Credit Points]]</f>
        <v>25</v>
      </c>
      <c r="F289" s="110">
        <v>4</v>
      </c>
      <c r="G289" s="110" t="s">
        <v>387</v>
      </c>
      <c r="H289" s="211">
        <v>1</v>
      </c>
      <c r="I289" s="110" t="s">
        <v>386</v>
      </c>
      <c r="J289" s="110" t="s">
        <v>180</v>
      </c>
      <c r="K289" s="110">
        <v>2</v>
      </c>
      <c r="L289" s="110" t="s">
        <v>406</v>
      </c>
      <c r="M289" s="110">
        <v>25</v>
      </c>
      <c r="N289" s="128">
        <v>45658</v>
      </c>
      <c r="O289" s="128"/>
    </row>
    <row r="290" spans="1:18" x14ac:dyDescent="0.25">
      <c r="A290" t="str">
        <f>TableOUMPDGCM2[[#This Row],[Study Package Code]]</f>
        <v>NETS5021</v>
      </c>
      <c r="B290" s="1">
        <f>TableOUMPDGCM2[[#This Row],[Ver]]</f>
        <v>3</v>
      </c>
      <c r="C290" t="str">
        <f>IF(TableOUMPDGCM2[[#This Row],[Ver]]&gt;0,_xlfn.TEXTBEFORE(TableOUMPDGCM2[[#This Row],[Structure Line]]," "),"")</f>
        <v>MIC510</v>
      </c>
      <c r="D290" t="str">
        <f>IF(TableOUMPDGCM2[[#This Row],[OUA Code]]&lt;&gt;"",_xlfn.TEXTAFTER(TableOUMPDGCM2[[#This Row],[Structure Line]]," "),TableOUMPDGCM2[[#This Row],[Structure Line]])</f>
        <v>Graduate Online Games and Play</v>
      </c>
      <c r="E290" s="57">
        <f>TableOUMPDGCM2[[#This Row],[Credit Points]]</f>
        <v>25</v>
      </c>
      <c r="F290" s="110">
        <v>4</v>
      </c>
      <c r="G290" s="110" t="s">
        <v>387</v>
      </c>
      <c r="H290" s="211">
        <v>1</v>
      </c>
      <c r="I290" s="110" t="s">
        <v>386</v>
      </c>
      <c r="J290" s="110" t="s">
        <v>181</v>
      </c>
      <c r="K290" s="110">
        <v>3</v>
      </c>
      <c r="L290" s="110" t="s">
        <v>407</v>
      </c>
      <c r="M290" s="110">
        <v>25</v>
      </c>
      <c r="N290" s="128">
        <v>45658</v>
      </c>
      <c r="O290" s="128"/>
    </row>
    <row r="291" spans="1:18" x14ac:dyDescent="0.25">
      <c r="B291"/>
      <c r="E291"/>
      <c r="F291" s="209"/>
      <c r="G291" s="173" t="s">
        <v>374</v>
      </c>
      <c r="H291" s="212">
        <v>45992</v>
      </c>
      <c r="I291" s="171"/>
      <c r="J291" s="171" t="s">
        <v>517</v>
      </c>
      <c r="K291" s="172">
        <v>1</v>
      </c>
      <c r="L291" s="171" t="s">
        <v>518</v>
      </c>
      <c r="M291" s="171"/>
      <c r="N291" s="179">
        <v>45658</v>
      </c>
      <c r="O291" s="174"/>
    </row>
    <row r="292" spans="1:18" x14ac:dyDescent="0.25">
      <c r="A292" t="s">
        <v>0</v>
      </c>
      <c r="B292" s="1" t="s">
        <v>375</v>
      </c>
      <c r="C292" t="s">
        <v>22</v>
      </c>
      <c r="D292" t="s">
        <v>3</v>
      </c>
      <c r="E292" s="57" t="s">
        <v>376</v>
      </c>
      <c r="F292" t="s">
        <v>377</v>
      </c>
      <c r="G292" t="s">
        <v>378</v>
      </c>
      <c r="H292" s="1" t="s">
        <v>379</v>
      </c>
      <c r="I292" t="s">
        <v>23</v>
      </c>
      <c r="J292" t="s">
        <v>380</v>
      </c>
      <c r="K292" t="s">
        <v>1</v>
      </c>
      <c r="L292" t="s">
        <v>381</v>
      </c>
      <c r="M292" t="s">
        <v>58</v>
      </c>
      <c r="N292" t="s">
        <v>382</v>
      </c>
      <c r="O292" t="s">
        <v>383</v>
      </c>
      <c r="Q292" t="s">
        <v>384</v>
      </c>
      <c r="R292" t="s">
        <v>1</v>
      </c>
    </row>
    <row r="293" spans="1:18" x14ac:dyDescent="0.25">
      <c r="A293" t="str">
        <f>TableOUMPFINA2[[#This Row],[Study Package Code]]</f>
        <v>COMS5005</v>
      </c>
      <c r="B293" s="1">
        <f>TableOUMPFINA2[[#This Row],[Ver]]</f>
        <v>1</v>
      </c>
      <c r="C293" t="str">
        <f>IF(TableOUMPFINA2[[#This Row],[Ver]]&gt;0,_xlfn.TEXTBEFORE(TableOUMPFINA2[[#This Row],[Structure Line]]," "),"")</f>
        <v>COM500</v>
      </c>
      <c r="D293" t="str">
        <f>IF(TableOUMPFINA2[[#This Row],[OUA Code]]&lt;&gt;"",_xlfn.TEXTAFTER(TableOUMPFINA2[[#This Row],[Structure Line]]," "),TableOUMPFINA2[[#This Row],[Structure Line]])</f>
        <v>Approaches to Arts Research</v>
      </c>
      <c r="E293" s="57">
        <f>TableOUMPFINA2[[#This Row],[Credit Points]]</f>
        <v>25</v>
      </c>
      <c r="F293" s="110">
        <v>1</v>
      </c>
      <c r="G293" s="110" t="s">
        <v>388</v>
      </c>
      <c r="H293" s="211">
        <v>1</v>
      </c>
      <c r="I293" s="110" t="s">
        <v>386</v>
      </c>
      <c r="J293" s="110" t="s">
        <v>199</v>
      </c>
      <c r="K293" s="110">
        <v>1</v>
      </c>
      <c r="L293" s="110" t="s">
        <v>389</v>
      </c>
      <c r="M293" s="110">
        <v>25</v>
      </c>
      <c r="N293" s="128">
        <v>45658</v>
      </c>
      <c r="O293" s="128"/>
    </row>
    <row r="294" spans="1:18" x14ac:dyDescent="0.25">
      <c r="A294" t="str">
        <f>TableOUMPFINA2[[#This Row],[Study Package Code]]</f>
        <v>COMS6008</v>
      </c>
      <c r="B294" s="1">
        <f>TableOUMPFINA2[[#This Row],[Ver]]</f>
        <v>1</v>
      </c>
      <c r="C294" t="str">
        <f>IF(TableOUMPFINA2[[#This Row],[Ver]]&gt;0,_xlfn.TEXTBEFORE(TableOUMPFINA2[[#This Row],[Structure Line]]," "),"")</f>
        <v>COM605</v>
      </c>
      <c r="D294" t="str">
        <f>IF(TableOUMPFINA2[[#This Row],[OUA Code]]&lt;&gt;"",_xlfn.TEXTAFTER(TableOUMPFINA2[[#This Row],[Structure Line]]," "),TableOUMPFINA2[[#This Row],[Structure Line]])</f>
        <v>Planning an Arts Research Project</v>
      </c>
      <c r="E294" s="57">
        <f>TableOUMPFINA2[[#This Row],[Credit Points]]</f>
        <v>25</v>
      </c>
      <c r="F294" s="110">
        <v>2</v>
      </c>
      <c r="G294" s="110" t="s">
        <v>388</v>
      </c>
      <c r="H294" s="211">
        <v>1</v>
      </c>
      <c r="I294" s="110" t="s">
        <v>386</v>
      </c>
      <c r="J294" s="110" t="s">
        <v>231</v>
      </c>
      <c r="K294" s="110">
        <v>1</v>
      </c>
      <c r="L294" s="110" t="s">
        <v>390</v>
      </c>
      <c r="M294" s="110">
        <v>25</v>
      </c>
      <c r="N294" s="128">
        <v>45658</v>
      </c>
      <c r="O294" s="128"/>
    </row>
    <row r="295" spans="1:18" x14ac:dyDescent="0.25">
      <c r="A295" t="str">
        <f>TableOUMPFINA2[[#This Row],[Study Package Code]]</f>
        <v>AC-FINA2</v>
      </c>
      <c r="B295" s="1">
        <f>TableOUMPFINA2[[#This Row],[Ver]]</f>
        <v>0</v>
      </c>
      <c r="C295" t="str">
        <f>IF(TableOUMPFINA2[[#This Row],[Ver]]&gt;0,_xlfn.TEXTBEFORE(TableOUMPFINA2[[#This Row],[Structure Line]]," "),"")</f>
        <v/>
      </c>
      <c r="D295" t="str">
        <f>IF(TableOUMPFINA2[[#This Row],[OUA Code]]&lt;&gt;"",_xlfn.TEXTAFTER(TableOUMPFINA2[[#This Row],[Structure Line]]," "),TableOUMPFINA2[[#This Row],[Structure Line]])</f>
        <v>Choose VISA5018 or VISA5020</v>
      </c>
      <c r="E295" s="57">
        <f>TableOUMPFINA2[[#This Row],[Credit Points]]</f>
        <v>25</v>
      </c>
      <c r="F295" s="110">
        <v>3</v>
      </c>
      <c r="G295" s="110" t="s">
        <v>385</v>
      </c>
      <c r="H295" s="211">
        <v>1</v>
      </c>
      <c r="I295" s="110" t="s">
        <v>386</v>
      </c>
      <c r="J295" s="110" t="s">
        <v>524</v>
      </c>
      <c r="K295" s="110">
        <v>0</v>
      </c>
      <c r="L295" s="110" t="s">
        <v>408</v>
      </c>
      <c r="M295" s="110">
        <v>25</v>
      </c>
      <c r="N295" s="128"/>
      <c r="O295" s="128"/>
    </row>
    <row r="296" spans="1:18" x14ac:dyDescent="0.25">
      <c r="A296" t="str">
        <f>TableOUMPFINA2[[#This Row],[Study Package Code]]</f>
        <v>Opt-FINA2</v>
      </c>
      <c r="B296" s="1">
        <f>TableOUMPFINA2[[#This Row],[Ver]]</f>
        <v>0</v>
      </c>
      <c r="C296" t="str">
        <f>IF(TableOUMPFINA2[[#This Row],[Ver]]&gt;0,_xlfn.TEXTBEFORE(TableOUMPFINA2[[#This Row],[Structure Line]]," "),"")</f>
        <v/>
      </c>
      <c r="D296" t="str">
        <f>IF(TableOUMPFINA2[[#This Row],[OUA Code]]&lt;&gt;"",_xlfn.TEXTAFTER(TableOUMPFINA2[[#This Row],[Structure Line]]," "),TableOUMPFINA2[[#This Row],[Structure Line]])</f>
        <v>Choose Options</v>
      </c>
      <c r="E296" s="57">
        <f>TableOUMPFINA2[[#This Row],[Credit Points]]</f>
        <v>125</v>
      </c>
      <c r="F296" s="110">
        <v>4</v>
      </c>
      <c r="G296" s="110" t="s">
        <v>387</v>
      </c>
      <c r="H296" s="211">
        <v>1</v>
      </c>
      <c r="I296" s="110" t="s">
        <v>386</v>
      </c>
      <c r="J296" s="110" t="s">
        <v>525</v>
      </c>
      <c r="K296" s="110">
        <v>0</v>
      </c>
      <c r="L296" s="110" t="s">
        <v>336</v>
      </c>
      <c r="M296" s="110">
        <v>125</v>
      </c>
      <c r="N296" s="128"/>
      <c r="O296" s="128"/>
    </row>
    <row r="297" spans="1:18" x14ac:dyDescent="0.25">
      <c r="A297" t="str">
        <f>TableOUMPFINA2[[#This Row],[Study Package Code]]</f>
        <v>VISA5018</v>
      </c>
      <c r="B297" s="1">
        <f>TableOUMPFINA2[[#This Row],[Ver]]</f>
        <v>1</v>
      </c>
      <c r="C297" t="str">
        <f>IF(TableOUMPFINA2[[#This Row],[Ver]]&gt;0,_xlfn.TEXTBEFORE(TableOUMPFINA2[[#This Row],[Structure Line]]," "),"")</f>
        <v>VSW515</v>
      </c>
      <c r="D297" t="str">
        <f>IF(TableOUMPFINA2[[#This Row],[OUA Code]]&lt;&gt;"",_xlfn.TEXTAFTER(TableOUMPFINA2[[#This Row],[Structure Line]]," "),TableOUMPFINA2[[#This Row],[Structure Line]])</f>
        <v>Graduate Fine Art Studio Materials</v>
      </c>
      <c r="E297" s="57">
        <f>TableOUMPFINA2[[#This Row],[Credit Points]]</f>
        <v>25</v>
      </c>
      <c r="F297" s="110">
        <v>3</v>
      </c>
      <c r="G297" s="110" t="s">
        <v>385</v>
      </c>
      <c r="H297" s="211">
        <v>1</v>
      </c>
      <c r="I297" s="110" t="s">
        <v>386</v>
      </c>
      <c r="J297" s="110" t="s">
        <v>138</v>
      </c>
      <c r="K297" s="110">
        <v>1</v>
      </c>
      <c r="L297" s="110" t="s">
        <v>412</v>
      </c>
      <c r="M297" s="110">
        <v>25</v>
      </c>
      <c r="N297" s="128">
        <v>45658</v>
      </c>
      <c r="O297" s="128"/>
    </row>
    <row r="298" spans="1:18" x14ac:dyDescent="0.25">
      <c r="A298" t="str">
        <f>TableOUMPFINA2[[#This Row],[Study Package Code]]</f>
        <v>VISA5020</v>
      </c>
      <c r="B298" s="1">
        <f>TableOUMPFINA2[[#This Row],[Ver]]</f>
        <v>1</v>
      </c>
      <c r="C298" t="str">
        <f>IF(TableOUMPFINA2[[#This Row],[Ver]]&gt;0,_xlfn.TEXTBEFORE(TableOUMPFINA2[[#This Row],[Structure Line]]," "),"")</f>
        <v>VSW525</v>
      </c>
      <c r="D298" t="str">
        <f>IF(TableOUMPFINA2[[#This Row],[OUA Code]]&lt;&gt;"",_xlfn.TEXTAFTER(TableOUMPFINA2[[#This Row],[Structure Line]]," "),TableOUMPFINA2[[#This Row],[Structure Line]])</f>
        <v>Graduate Fine Art Studio Methods</v>
      </c>
      <c r="E298" s="57">
        <f>TableOUMPFINA2[[#This Row],[Credit Points]]</f>
        <v>25</v>
      </c>
      <c r="F298" s="110">
        <v>3</v>
      </c>
      <c r="G298" s="110" t="s">
        <v>385</v>
      </c>
      <c r="H298" s="211">
        <v>1</v>
      </c>
      <c r="I298" s="110" t="s">
        <v>386</v>
      </c>
      <c r="J298" s="110" t="s">
        <v>140</v>
      </c>
      <c r="K298" s="110">
        <v>1</v>
      </c>
      <c r="L298" s="110" t="s">
        <v>414</v>
      </c>
      <c r="M298" s="110">
        <v>25</v>
      </c>
      <c r="N298" s="128">
        <v>45658</v>
      </c>
      <c r="O298" s="128"/>
    </row>
    <row r="299" spans="1:18" x14ac:dyDescent="0.25">
      <c r="A299" t="str">
        <f>TableOUMPFINA2[[#This Row],[Study Package Code]]</f>
        <v>VISA5015</v>
      </c>
      <c r="B299" s="1">
        <f>TableOUMPFINA2[[#This Row],[Ver]]</f>
        <v>1</v>
      </c>
      <c r="C299" t="str">
        <f>IF(TableOUMPFINA2[[#This Row],[Ver]]&gt;0,_xlfn.TEXTBEFORE(TableOUMPFINA2[[#This Row],[Structure Line]]," "),"")</f>
        <v>VSW500</v>
      </c>
      <c r="D299" t="str">
        <f>IF(TableOUMPFINA2[[#This Row],[OUA Code]]&lt;&gt;"",_xlfn.TEXTAFTER(TableOUMPFINA2[[#This Row],[Structure Line]]," "),TableOUMPFINA2[[#This Row],[Structure Line]])</f>
        <v>Graduate Drawing</v>
      </c>
      <c r="E299" s="57">
        <f>TableOUMPFINA2[[#This Row],[Credit Points]]</f>
        <v>25</v>
      </c>
      <c r="F299" s="110">
        <v>4</v>
      </c>
      <c r="G299" s="110" t="s">
        <v>387</v>
      </c>
      <c r="H299" s="211">
        <v>1</v>
      </c>
      <c r="I299" s="110" t="s">
        <v>386</v>
      </c>
      <c r="J299" s="110" t="s">
        <v>162</v>
      </c>
      <c r="K299" s="110">
        <v>1</v>
      </c>
      <c r="L299" s="110" t="s">
        <v>409</v>
      </c>
      <c r="M299" s="110">
        <v>25</v>
      </c>
      <c r="N299" s="128">
        <v>45658</v>
      </c>
      <c r="O299" s="128"/>
    </row>
    <row r="300" spans="1:18" x14ac:dyDescent="0.25">
      <c r="A300" t="str">
        <f>TableOUMPFINA2[[#This Row],[Study Package Code]]</f>
        <v>VISA5016</v>
      </c>
      <c r="B300" s="1">
        <f>TableOUMPFINA2[[#This Row],[Ver]]</f>
        <v>1</v>
      </c>
      <c r="C300" t="str">
        <f>IF(TableOUMPFINA2[[#This Row],[Ver]]&gt;0,_xlfn.TEXTBEFORE(TableOUMPFINA2[[#This Row],[Structure Line]]," "),"")</f>
        <v>VSW505</v>
      </c>
      <c r="D300" t="str">
        <f>IF(TableOUMPFINA2[[#This Row],[OUA Code]]&lt;&gt;"",_xlfn.TEXTAFTER(TableOUMPFINA2[[#This Row],[Structure Line]]," "),TableOUMPFINA2[[#This Row],[Structure Line]])</f>
        <v>Graduate Fine Art Project</v>
      </c>
      <c r="E300" s="57">
        <f>TableOUMPFINA2[[#This Row],[Credit Points]]</f>
        <v>25</v>
      </c>
      <c r="F300" s="110">
        <v>4</v>
      </c>
      <c r="G300" s="110" t="s">
        <v>387</v>
      </c>
      <c r="H300" s="211">
        <v>1</v>
      </c>
      <c r="I300" s="110" t="s">
        <v>386</v>
      </c>
      <c r="J300" s="110" t="s">
        <v>165</v>
      </c>
      <c r="K300" s="110">
        <v>1</v>
      </c>
      <c r="L300" s="110" t="s">
        <v>410</v>
      </c>
      <c r="M300" s="110">
        <v>25</v>
      </c>
      <c r="N300" s="128">
        <v>45658</v>
      </c>
      <c r="O300" s="128"/>
    </row>
    <row r="301" spans="1:18" x14ac:dyDescent="0.25">
      <c r="A301" t="str">
        <f>TableOUMPFINA2[[#This Row],[Study Package Code]]</f>
        <v>VISA5017</v>
      </c>
      <c r="B301" s="1">
        <f>TableOUMPFINA2[[#This Row],[Ver]]</f>
        <v>1</v>
      </c>
      <c r="C301" t="str">
        <f>IF(TableOUMPFINA2[[#This Row],[Ver]]&gt;0,_xlfn.TEXTBEFORE(TableOUMPFINA2[[#This Row],[Structure Line]]," "),"")</f>
        <v>VSW510</v>
      </c>
      <c r="D301" t="str">
        <f>IF(TableOUMPFINA2[[#This Row],[OUA Code]]&lt;&gt;"",_xlfn.TEXTAFTER(TableOUMPFINA2[[#This Row],[Structure Line]]," "),TableOUMPFINA2[[#This Row],[Structure Line]])</f>
        <v>Graduate Fine Art Studio Extension</v>
      </c>
      <c r="E301" s="57">
        <f>TableOUMPFINA2[[#This Row],[Credit Points]]</f>
        <v>25</v>
      </c>
      <c r="F301" s="110">
        <v>4</v>
      </c>
      <c r="G301" s="110" t="s">
        <v>387</v>
      </c>
      <c r="H301" s="211">
        <v>1</v>
      </c>
      <c r="I301" s="110" t="s">
        <v>386</v>
      </c>
      <c r="J301" s="110" t="s">
        <v>166</v>
      </c>
      <c r="K301" s="110">
        <v>1</v>
      </c>
      <c r="L301" s="110" t="s">
        <v>411</v>
      </c>
      <c r="M301" s="110">
        <v>25</v>
      </c>
      <c r="N301" s="128">
        <v>45658</v>
      </c>
      <c r="O301" s="128"/>
    </row>
    <row r="302" spans="1:18" x14ac:dyDescent="0.25">
      <c r="A302" t="str">
        <f>TableOUMPFINA2[[#This Row],[Study Package Code]]</f>
        <v>VISA5018</v>
      </c>
      <c r="B302" s="1">
        <f>TableOUMPFINA2[[#This Row],[Ver]]</f>
        <v>1</v>
      </c>
      <c r="C302" t="str">
        <f>IF(TableOUMPFINA2[[#This Row],[Ver]]&gt;0,_xlfn.TEXTBEFORE(TableOUMPFINA2[[#This Row],[Structure Line]]," "),"")</f>
        <v>VSW515</v>
      </c>
      <c r="D302" t="str">
        <f>IF(TableOUMPFINA2[[#This Row],[OUA Code]]&lt;&gt;"",_xlfn.TEXTAFTER(TableOUMPFINA2[[#This Row],[Structure Line]]," "),TableOUMPFINA2[[#This Row],[Structure Line]])</f>
        <v>Graduate Fine Art Studio Materials</v>
      </c>
      <c r="E302" s="57">
        <f>TableOUMPFINA2[[#This Row],[Credit Points]]</f>
        <v>25</v>
      </c>
      <c r="F302" s="110">
        <v>4</v>
      </c>
      <c r="G302" s="110" t="s">
        <v>387</v>
      </c>
      <c r="H302" s="211">
        <v>1</v>
      </c>
      <c r="I302" s="110" t="s">
        <v>386</v>
      </c>
      <c r="J302" s="110" t="s">
        <v>138</v>
      </c>
      <c r="K302" s="110">
        <v>1</v>
      </c>
      <c r="L302" s="110" t="s">
        <v>412</v>
      </c>
      <c r="M302" s="110">
        <v>25</v>
      </c>
      <c r="N302" s="128">
        <v>45658</v>
      </c>
      <c r="O302" s="128"/>
    </row>
    <row r="303" spans="1:18" x14ac:dyDescent="0.25">
      <c r="A303" t="str">
        <f>TableOUMPFINA2[[#This Row],[Study Package Code]]</f>
        <v>VISA5019</v>
      </c>
      <c r="B303" s="1">
        <f>TableOUMPFINA2[[#This Row],[Ver]]</f>
        <v>1</v>
      </c>
      <c r="C303" t="str">
        <f>IF(TableOUMPFINA2[[#This Row],[Ver]]&gt;0,_xlfn.TEXTBEFORE(TableOUMPFINA2[[#This Row],[Structure Line]]," "),"")</f>
        <v>VSW520</v>
      </c>
      <c r="D303" t="str">
        <f>IF(TableOUMPFINA2[[#This Row],[OUA Code]]&lt;&gt;"",_xlfn.TEXTAFTER(TableOUMPFINA2[[#This Row],[Structure Line]]," "),TableOUMPFINA2[[#This Row],[Structure Line]])</f>
        <v>Graduate Fine Art Studio Strategies</v>
      </c>
      <c r="E303" s="57">
        <f>TableOUMPFINA2[[#This Row],[Credit Points]]</f>
        <v>25</v>
      </c>
      <c r="F303" s="110">
        <v>4</v>
      </c>
      <c r="G303" s="110" t="s">
        <v>387</v>
      </c>
      <c r="H303" s="211">
        <v>1</v>
      </c>
      <c r="I303" s="110" t="s">
        <v>386</v>
      </c>
      <c r="J303" s="110" t="s">
        <v>171</v>
      </c>
      <c r="K303" s="110">
        <v>1</v>
      </c>
      <c r="L303" s="110" t="s">
        <v>413</v>
      </c>
      <c r="M303" s="110">
        <v>25</v>
      </c>
      <c r="N303" s="128">
        <v>45658</v>
      </c>
      <c r="O303" s="128"/>
    </row>
    <row r="304" spans="1:18" x14ac:dyDescent="0.25">
      <c r="A304" t="str">
        <f>TableOUMPFINA2[[#This Row],[Study Package Code]]</f>
        <v>VISA5020</v>
      </c>
      <c r="B304" s="1">
        <f>TableOUMPFINA2[[#This Row],[Ver]]</f>
        <v>1</v>
      </c>
      <c r="C304" t="str">
        <f>IF(TableOUMPFINA2[[#This Row],[Ver]]&gt;0,_xlfn.TEXTBEFORE(TableOUMPFINA2[[#This Row],[Structure Line]]," "),"")</f>
        <v>VSW525</v>
      </c>
      <c r="D304" t="str">
        <f>IF(TableOUMPFINA2[[#This Row],[OUA Code]]&lt;&gt;"",_xlfn.TEXTAFTER(TableOUMPFINA2[[#This Row],[Structure Line]]," "),TableOUMPFINA2[[#This Row],[Structure Line]])</f>
        <v>Graduate Fine Art Studio Methods</v>
      </c>
      <c r="E304" s="57">
        <f>TableOUMPFINA2[[#This Row],[Credit Points]]</f>
        <v>25</v>
      </c>
      <c r="F304" s="110">
        <v>4</v>
      </c>
      <c r="G304" s="110" t="s">
        <v>387</v>
      </c>
      <c r="H304" s="211">
        <v>1</v>
      </c>
      <c r="I304" s="110" t="s">
        <v>386</v>
      </c>
      <c r="J304" s="110" t="s">
        <v>140</v>
      </c>
      <c r="K304" s="110">
        <v>1</v>
      </c>
      <c r="L304" s="110" t="s">
        <v>414</v>
      </c>
      <c r="M304" s="110">
        <v>25</v>
      </c>
      <c r="N304" s="128">
        <v>45658</v>
      </c>
      <c r="O304" s="128"/>
    </row>
    <row r="305" spans="1:18" x14ac:dyDescent="0.25">
      <c r="B305"/>
      <c r="E305"/>
      <c r="F305" s="209"/>
      <c r="G305" s="173" t="s">
        <v>374</v>
      </c>
      <c r="H305" s="212">
        <v>46035</v>
      </c>
      <c r="I305" s="171"/>
      <c r="J305" s="171" t="s">
        <v>519</v>
      </c>
      <c r="K305" s="172">
        <v>1</v>
      </c>
      <c r="L305" s="171" t="s">
        <v>520</v>
      </c>
      <c r="M305" s="171">
        <v>200</v>
      </c>
      <c r="N305" s="213">
        <v>46023</v>
      </c>
      <c r="O305" s="174"/>
    </row>
    <row r="306" spans="1:18" x14ac:dyDescent="0.25">
      <c r="A306" t="s">
        <v>0</v>
      </c>
      <c r="B306" s="1" t="s">
        <v>375</v>
      </c>
      <c r="C306" t="s">
        <v>22</v>
      </c>
      <c r="D306" t="s">
        <v>3</v>
      </c>
      <c r="E306" s="57" t="s">
        <v>376</v>
      </c>
      <c r="F306" t="s">
        <v>377</v>
      </c>
      <c r="G306" t="s">
        <v>378</v>
      </c>
      <c r="H306" s="1" t="s">
        <v>379</v>
      </c>
      <c r="I306" t="s">
        <v>23</v>
      </c>
      <c r="J306" t="s">
        <v>380</v>
      </c>
      <c r="K306" t="s">
        <v>1</v>
      </c>
      <c r="L306" t="s">
        <v>381</v>
      </c>
      <c r="M306" t="s">
        <v>58</v>
      </c>
      <c r="N306" t="s">
        <v>382</v>
      </c>
      <c r="O306" t="s">
        <v>383</v>
      </c>
      <c r="Q306" t="s">
        <v>384</v>
      </c>
      <c r="R306" t="s">
        <v>1</v>
      </c>
    </row>
    <row r="307" spans="1:18" x14ac:dyDescent="0.25">
      <c r="A307" t="str">
        <f>TableOUMPPWRI3[[#This Row],[Study Package Code]]</f>
        <v>COMS5005</v>
      </c>
      <c r="B307" s="1">
        <f>TableOUMPPWRI3[[#This Row],[Ver]]</f>
        <v>1</v>
      </c>
      <c r="C307" t="str">
        <f>IF(TableOUMPPWRI3[[#This Row],[Ver]]&gt;0,_xlfn.TEXTBEFORE(TableOUMPPWRI3[[#This Row],[Structure Line]]," "),"")</f>
        <v>COM500</v>
      </c>
      <c r="D307" t="str">
        <f>IF(TableOUMPPWRI3[[#This Row],[OUA Code]]&lt;&gt;"",_xlfn.TEXTAFTER(TableOUMPPWRI3[[#This Row],[Structure Line]]," "),TableOUMPPWRI3[[#This Row],[Structure Line]])</f>
        <v>Approaches to Arts Research</v>
      </c>
      <c r="E307" s="57">
        <f>TableOUMPPWRI3[[#This Row],[Credit Points]]</f>
        <v>25</v>
      </c>
      <c r="F307" s="110">
        <v>1</v>
      </c>
      <c r="G307" s="110" t="s">
        <v>388</v>
      </c>
      <c r="H307" s="211">
        <v>1</v>
      </c>
      <c r="I307" s="110" t="s">
        <v>386</v>
      </c>
      <c r="J307" s="110" t="s">
        <v>199</v>
      </c>
      <c r="K307" s="110">
        <v>1</v>
      </c>
      <c r="L307" s="110" t="s">
        <v>389</v>
      </c>
      <c r="M307" s="110">
        <v>25</v>
      </c>
      <c r="N307" s="128">
        <v>45658</v>
      </c>
      <c r="O307" s="128"/>
    </row>
    <row r="308" spans="1:18" x14ac:dyDescent="0.25">
      <c r="A308" t="str">
        <f>TableOUMPPWRI3[[#This Row],[Study Package Code]]</f>
        <v>COMS6008</v>
      </c>
      <c r="B308" s="1">
        <f>TableOUMPPWRI3[[#This Row],[Ver]]</f>
        <v>1</v>
      </c>
      <c r="C308" t="str">
        <f>IF(TableOUMPPWRI3[[#This Row],[Ver]]&gt;0,_xlfn.TEXTBEFORE(TableOUMPPWRI3[[#This Row],[Structure Line]]," "),"")</f>
        <v>COM605</v>
      </c>
      <c r="D308" t="str">
        <f>IF(TableOUMPPWRI3[[#This Row],[OUA Code]]&lt;&gt;"",_xlfn.TEXTAFTER(TableOUMPPWRI3[[#This Row],[Structure Line]]," "),TableOUMPPWRI3[[#This Row],[Structure Line]])</f>
        <v>Planning an Arts Research Project</v>
      </c>
      <c r="E308" s="57">
        <f>TableOUMPPWRI3[[#This Row],[Credit Points]]</f>
        <v>25</v>
      </c>
      <c r="F308" s="110">
        <v>2</v>
      </c>
      <c r="G308" s="110" t="s">
        <v>388</v>
      </c>
      <c r="H308" s="211">
        <v>1</v>
      </c>
      <c r="I308" s="110" t="s">
        <v>386</v>
      </c>
      <c r="J308" s="110" t="s">
        <v>231</v>
      </c>
      <c r="K308" s="110">
        <v>1</v>
      </c>
      <c r="L308" s="110" t="s">
        <v>390</v>
      </c>
      <c r="M308" s="110">
        <v>25</v>
      </c>
      <c r="N308" s="128">
        <v>45658</v>
      </c>
      <c r="O308" s="128"/>
    </row>
    <row r="309" spans="1:18" x14ac:dyDescent="0.25">
      <c r="A309" t="str">
        <f>TableOUMPPWRI3[[#This Row],[Study Package Code]]</f>
        <v>Opt-PWRI3</v>
      </c>
      <c r="B309" s="1">
        <f>TableOUMPPWRI3[[#This Row],[Ver]]</f>
        <v>0</v>
      </c>
      <c r="C309" t="str">
        <f>IF(TableOUMPPWRI3[[#This Row],[Ver]]&gt;0,_xlfn.TEXTBEFORE(TableOUMPPWRI3[[#This Row],[Structure Line]]," "),"")</f>
        <v/>
      </c>
      <c r="D309" t="str">
        <f>IF(TableOUMPPWRI3[[#This Row],[OUA Code]]&lt;&gt;"",_xlfn.TEXTAFTER(TableOUMPPWRI3[[#This Row],[Structure Line]]," "),TableOUMPPWRI3[[#This Row],[Structure Line]])</f>
        <v>Choose Options</v>
      </c>
      <c r="E309" s="57">
        <f>TableOUMPPWRI3[[#This Row],[Credit Points]]</f>
        <v>150</v>
      </c>
      <c r="F309" s="110">
        <v>3</v>
      </c>
      <c r="G309" s="110" t="s">
        <v>387</v>
      </c>
      <c r="H309" s="211">
        <v>1</v>
      </c>
      <c r="I309" s="110" t="s">
        <v>386</v>
      </c>
      <c r="J309" s="110" t="s">
        <v>526</v>
      </c>
      <c r="K309" s="110">
        <v>0</v>
      </c>
      <c r="L309" s="110" t="s">
        <v>336</v>
      </c>
      <c r="M309" s="110">
        <v>150</v>
      </c>
      <c r="N309" s="128"/>
      <c r="O309" s="128"/>
    </row>
    <row r="310" spans="1:18" x14ac:dyDescent="0.25">
      <c r="A310" t="str">
        <f>TableOUMPPWRI3[[#This Row],[Study Package Code]]</f>
        <v>CWRI6004</v>
      </c>
      <c r="B310" s="1">
        <f>TableOUMPPWRI3[[#This Row],[Ver]]</f>
        <v>1</v>
      </c>
      <c r="C310" t="str">
        <f>IF(TableOUMPPWRI3[[#This Row],[Ver]]&gt;0,_xlfn.TEXTBEFORE(TableOUMPPWRI3[[#This Row],[Structure Line]]," "),"")</f>
        <v>CWRI6004</v>
      </c>
      <c r="D310" t="str">
        <f>IF(TableOUMPPWRI3[[#This Row],[OUA Code]]&lt;&gt;"",_xlfn.TEXTAFTER(TableOUMPPWRI3[[#This Row],[Structure Line]]," "),TableOUMPPWRI3[[#This Row],[Structure Line]])</f>
        <v>Graduate Engaging Narrative</v>
      </c>
      <c r="E310" s="57">
        <f>TableOUMPPWRI3[[#This Row],[Credit Points]]</f>
        <v>25</v>
      </c>
      <c r="F310" s="110">
        <v>3</v>
      </c>
      <c r="G310" s="110" t="s">
        <v>387</v>
      </c>
      <c r="H310" s="211">
        <v>1</v>
      </c>
      <c r="I310" s="110" t="s">
        <v>386</v>
      </c>
      <c r="J310" s="110" t="s">
        <v>151</v>
      </c>
      <c r="K310" s="110">
        <v>1</v>
      </c>
      <c r="L310" s="110" t="s">
        <v>444</v>
      </c>
      <c r="M310" s="110">
        <v>25</v>
      </c>
      <c r="N310" s="128">
        <v>46023</v>
      </c>
      <c r="O310" s="128"/>
    </row>
    <row r="311" spans="1:18" x14ac:dyDescent="0.25">
      <c r="A311" t="str">
        <f>TableOUMPPWRI3[[#This Row],[Study Package Code]]</f>
        <v>LANG5005</v>
      </c>
      <c r="B311" s="1">
        <f>TableOUMPPWRI3[[#This Row],[Ver]]</f>
        <v>1</v>
      </c>
      <c r="C311" t="str">
        <f>IF(TableOUMPPWRI3[[#This Row],[Ver]]&gt;0,_xlfn.TEXTBEFORE(TableOUMPPWRI3[[#This Row],[Structure Line]]," "),"")</f>
        <v>LANG5005</v>
      </c>
      <c r="D311" t="str">
        <f>IF(TableOUMPPWRI3[[#This Row],[OUA Code]]&lt;&gt;"",_xlfn.TEXTAFTER(TableOUMPPWRI3[[#This Row],[Structure Line]]," "),TableOUMPPWRI3[[#This Row],[Structure Line]])</f>
        <v>Graduate Narrative Nonfiction</v>
      </c>
      <c r="E311" s="57">
        <f>TableOUMPPWRI3[[#This Row],[Credit Points]]</f>
        <v>25</v>
      </c>
      <c r="F311" s="110">
        <v>3</v>
      </c>
      <c r="G311" s="110" t="s">
        <v>387</v>
      </c>
      <c r="H311" s="211">
        <v>1</v>
      </c>
      <c r="I311" s="110" t="s">
        <v>386</v>
      </c>
      <c r="J311" s="110" t="s">
        <v>154</v>
      </c>
      <c r="K311" s="110">
        <v>1</v>
      </c>
      <c r="L311" s="110" t="s">
        <v>446</v>
      </c>
      <c r="M311" s="110">
        <v>25</v>
      </c>
      <c r="N311" s="128">
        <v>46023</v>
      </c>
      <c r="O311" s="128"/>
    </row>
    <row r="312" spans="1:18" x14ac:dyDescent="0.25">
      <c r="A312" t="str">
        <f>TableOUMPPWRI3[[#This Row],[Study Package Code]]</f>
        <v>LANG5007</v>
      </c>
      <c r="B312" s="1">
        <f>TableOUMPPWRI3[[#This Row],[Ver]]</f>
        <v>1</v>
      </c>
      <c r="C312" t="str">
        <f>IF(TableOUMPPWRI3[[#This Row],[Ver]]&gt;0,_xlfn.TEXTBEFORE(TableOUMPPWRI3[[#This Row],[Structure Line]]," "),"")</f>
        <v>LANG5007</v>
      </c>
      <c r="D312" t="str">
        <f>IF(TableOUMPPWRI3[[#This Row],[OUA Code]]&lt;&gt;"",_xlfn.TEXTAFTER(TableOUMPPWRI3[[#This Row],[Structure Line]]," "),TableOUMPPWRI3[[#This Row],[Structure Line]])</f>
        <v>Graduate Editing</v>
      </c>
      <c r="E312" s="57">
        <f>TableOUMPPWRI3[[#This Row],[Credit Points]]</f>
        <v>25</v>
      </c>
      <c r="F312" s="110">
        <v>3</v>
      </c>
      <c r="G312" s="110" t="s">
        <v>387</v>
      </c>
      <c r="H312" s="211">
        <v>1</v>
      </c>
      <c r="I312" s="110" t="s">
        <v>386</v>
      </c>
      <c r="J312" s="110" t="s">
        <v>156</v>
      </c>
      <c r="K312" s="110">
        <v>1</v>
      </c>
      <c r="L312" s="110" t="s">
        <v>447</v>
      </c>
      <c r="M312" s="110">
        <v>25</v>
      </c>
      <c r="N312" s="128">
        <v>46023</v>
      </c>
      <c r="O312" s="128"/>
    </row>
    <row r="313" spans="1:18" x14ac:dyDescent="0.25">
      <c r="A313" t="str">
        <f>TableOUMPPWRI3[[#This Row],[Study Package Code]]</f>
        <v>LANG5009</v>
      </c>
      <c r="B313" s="1">
        <f>TableOUMPPWRI3[[#This Row],[Ver]]</f>
        <v>1</v>
      </c>
      <c r="C313" t="str">
        <f>IF(TableOUMPPWRI3[[#This Row],[Ver]]&gt;0,_xlfn.TEXTBEFORE(TableOUMPPWRI3[[#This Row],[Structure Line]]," "),"")</f>
        <v>LANG5009</v>
      </c>
      <c r="D313" t="str">
        <f>IF(TableOUMPPWRI3[[#This Row],[OUA Code]]&lt;&gt;"",_xlfn.TEXTAFTER(TableOUMPPWRI3[[#This Row],[Structure Line]]," "),TableOUMPPWRI3[[#This Row],[Structure Line]])</f>
        <v>Graduate Publishing</v>
      </c>
      <c r="E313" s="57">
        <f>TableOUMPPWRI3[[#This Row],[Credit Points]]</f>
        <v>25</v>
      </c>
      <c r="F313" s="110">
        <v>3</v>
      </c>
      <c r="G313" s="110" t="s">
        <v>387</v>
      </c>
      <c r="H313" s="211">
        <v>1</v>
      </c>
      <c r="I313" s="110" t="s">
        <v>386</v>
      </c>
      <c r="J313" s="110" t="s">
        <v>159</v>
      </c>
      <c r="K313" s="110">
        <v>1</v>
      </c>
      <c r="L313" s="110" t="s">
        <v>448</v>
      </c>
      <c r="M313" s="110">
        <v>25</v>
      </c>
      <c r="N313" s="128">
        <v>46023</v>
      </c>
      <c r="O313" s="128"/>
    </row>
    <row r="314" spans="1:18" x14ac:dyDescent="0.25">
      <c r="A314" t="str">
        <f>TableOUMPPWRI3[[#This Row],[Study Package Code]]</f>
        <v>LANG5013</v>
      </c>
      <c r="B314" s="1">
        <f>TableOUMPPWRI3[[#This Row],[Ver]]</f>
        <v>1</v>
      </c>
      <c r="C314" t="str">
        <f>IF(TableOUMPPWRI3[[#This Row],[Ver]]&gt;0,_xlfn.TEXTBEFORE(TableOUMPPWRI3[[#This Row],[Structure Line]]," "),"")</f>
        <v>LANG5013</v>
      </c>
      <c r="D314" t="str">
        <f>IF(TableOUMPPWRI3[[#This Row],[OUA Code]]&lt;&gt;"",_xlfn.TEXTAFTER(TableOUMPPWRI3[[#This Row],[Structure Line]]," "),TableOUMPPWRI3[[#This Row],[Structure Line]])</f>
        <v>Graduate Introduction to Creative and Professional Writing</v>
      </c>
      <c r="E314" s="57">
        <f>TableOUMPPWRI3[[#This Row],[Credit Points]]</f>
        <v>25</v>
      </c>
      <c r="F314" s="110">
        <v>3</v>
      </c>
      <c r="G314" s="110" t="s">
        <v>387</v>
      </c>
      <c r="H314" s="211">
        <v>1</v>
      </c>
      <c r="I314" s="110" t="s">
        <v>386</v>
      </c>
      <c r="J314" s="110" t="s">
        <v>163</v>
      </c>
      <c r="K314" s="110">
        <v>1</v>
      </c>
      <c r="L314" s="110" t="s">
        <v>449</v>
      </c>
      <c r="M314" s="110">
        <v>25</v>
      </c>
      <c r="N314" s="128">
        <v>46023</v>
      </c>
      <c r="O314" s="128"/>
    </row>
    <row r="315" spans="1:18" x14ac:dyDescent="0.25">
      <c r="A315" t="str">
        <f>TableOUMPPWRI3[[#This Row],[Study Package Code]]</f>
        <v>NETS5012</v>
      </c>
      <c r="B315" s="1">
        <f>TableOUMPPWRI3[[#This Row],[Ver]]</f>
        <v>2</v>
      </c>
      <c r="C315" t="str">
        <f>IF(TableOUMPPWRI3[[#This Row],[Ver]]&gt;0,_xlfn.TEXTBEFORE(TableOUMPPWRI3[[#This Row],[Structure Line]]," "),"")</f>
        <v>MIC501</v>
      </c>
      <c r="D315" t="str">
        <f>IF(TableOUMPPWRI3[[#This Row],[OUA Code]]&lt;&gt;"",_xlfn.TEXTAFTER(TableOUMPPWRI3[[#This Row],[Structure Line]]," "),TableOUMPPWRI3[[#This Row],[Structure Line]])</f>
        <v>Graduate Web Communications</v>
      </c>
      <c r="E315" s="57">
        <f>TableOUMPPWRI3[[#This Row],[Credit Points]]</f>
        <v>25</v>
      </c>
      <c r="F315" s="110">
        <v>3</v>
      </c>
      <c r="G315" s="110" t="s">
        <v>387</v>
      </c>
      <c r="H315" s="211">
        <v>1</v>
      </c>
      <c r="I315" s="110" t="s">
        <v>386</v>
      </c>
      <c r="J315" s="110" t="s">
        <v>137</v>
      </c>
      <c r="K315" s="110">
        <v>2</v>
      </c>
      <c r="L315" s="110" t="s">
        <v>399</v>
      </c>
      <c r="M315" s="110">
        <v>25</v>
      </c>
      <c r="N315" s="128">
        <v>45658</v>
      </c>
      <c r="O315" s="128"/>
    </row>
    <row r="316" spans="1:18" x14ac:dyDescent="0.25">
      <c r="A316" t="str">
        <f>TableOUMPPWRI3[[#This Row],[Study Package Code]]</f>
        <v>NETS5016</v>
      </c>
      <c r="B316" s="1">
        <f>TableOUMPPWRI3[[#This Row],[Ver]]</f>
        <v>2</v>
      </c>
      <c r="C316" t="str">
        <f>IF(TableOUMPPWRI3[[#This Row],[Ver]]&gt;0,_xlfn.TEXTBEFORE(TableOUMPPWRI3[[#This Row],[Structure Line]]," "),"")</f>
        <v>MIC505</v>
      </c>
      <c r="D316" t="str">
        <f>IF(TableOUMPPWRI3[[#This Row],[OUA Code]]&lt;&gt;"",_xlfn.TEXTAFTER(TableOUMPPWRI3[[#This Row],[Structure Line]]," "),TableOUMPPWRI3[[#This Row],[Structure Line]])</f>
        <v>Graduate Writing on the Web</v>
      </c>
      <c r="E316" s="57">
        <f>TableOUMPPWRI3[[#This Row],[Credit Points]]</f>
        <v>25</v>
      </c>
      <c r="F316" s="110">
        <v>3</v>
      </c>
      <c r="G316" s="110" t="s">
        <v>387</v>
      </c>
      <c r="H316" s="211">
        <v>1</v>
      </c>
      <c r="I316" s="110" t="s">
        <v>386</v>
      </c>
      <c r="J316" s="110" t="s">
        <v>167</v>
      </c>
      <c r="K316" s="110">
        <v>2</v>
      </c>
      <c r="L316" s="110" t="s">
        <v>403</v>
      </c>
      <c r="M316" s="110">
        <v>25</v>
      </c>
      <c r="N316" s="128">
        <v>45658</v>
      </c>
      <c r="O316" s="128"/>
    </row>
    <row r="317" spans="1:18" x14ac:dyDescent="0.25">
      <c r="A317" t="str">
        <f>TableOUMPPWRI3[[#This Row],[Study Package Code]]</f>
        <v>PWRP5032</v>
      </c>
      <c r="B317" s="1">
        <f>TableOUMPPWRI3[[#This Row],[Ver]]</f>
        <v>1</v>
      </c>
      <c r="C317" t="str">
        <f>IF(TableOUMPPWRI3[[#This Row],[Ver]]&gt;0,_xlfn.TEXTBEFORE(TableOUMPPWRI3[[#This Row],[Structure Line]]," "),"")</f>
        <v>PWP535</v>
      </c>
      <c r="D317" t="str">
        <f>IF(TableOUMPPWRI3[[#This Row],[OUA Code]]&lt;&gt;"",_xlfn.TEXTAFTER(TableOUMPPWRI3[[#This Row],[Structure Line]]," "),TableOUMPPWRI3[[#This Row],[Structure Line]])</f>
        <v>Graduate Skills in Professional Writing</v>
      </c>
      <c r="E317" s="57">
        <f>TableOUMPPWRI3[[#This Row],[Credit Points]]</f>
        <v>25</v>
      </c>
      <c r="F317" s="110">
        <v>3</v>
      </c>
      <c r="G317" s="110" t="s">
        <v>387</v>
      </c>
      <c r="H317" s="211">
        <v>1</v>
      </c>
      <c r="I317" s="110" t="s">
        <v>386</v>
      </c>
      <c r="J317" s="110" t="s">
        <v>169</v>
      </c>
      <c r="K317" s="110">
        <v>1</v>
      </c>
      <c r="L317" s="110" t="s">
        <v>419</v>
      </c>
      <c r="M317" s="110">
        <v>25</v>
      </c>
      <c r="N317" s="128">
        <v>45658</v>
      </c>
      <c r="O317" s="128"/>
    </row>
    <row r="318" spans="1:18" x14ac:dyDescent="0.25">
      <c r="A318" t="str">
        <f>TableOUMPPWRI3[[#This Row],[Study Package Code]]</f>
        <v>PWRP5033</v>
      </c>
      <c r="B318" s="1">
        <f>TableOUMPPWRI3[[#This Row],[Ver]]</f>
        <v>1</v>
      </c>
      <c r="C318" t="str">
        <f>IF(TableOUMPPWRI3[[#This Row],[Ver]]&gt;0,_xlfn.TEXTBEFORE(TableOUMPPWRI3[[#This Row],[Structure Line]]," "),"")</f>
        <v>PWP540</v>
      </c>
      <c r="D318" t="str">
        <f>IF(TableOUMPPWRI3[[#This Row],[OUA Code]]&lt;&gt;"",_xlfn.TEXTAFTER(TableOUMPPWRI3[[#This Row],[Structure Line]]," "),TableOUMPPWRI3[[#This Row],[Structure Line]])</f>
        <v>Graduate Workplace Writing</v>
      </c>
      <c r="E318" s="57">
        <f>TableOUMPPWRI3[[#This Row],[Credit Points]]</f>
        <v>25</v>
      </c>
      <c r="F318" s="110">
        <v>3</v>
      </c>
      <c r="G318" s="110" t="s">
        <v>387</v>
      </c>
      <c r="H318" s="211">
        <v>1</v>
      </c>
      <c r="I318" s="110" t="s">
        <v>386</v>
      </c>
      <c r="J318" s="110" t="s">
        <v>172</v>
      </c>
      <c r="K318" s="110">
        <v>1</v>
      </c>
      <c r="L318" s="110" t="s">
        <v>420</v>
      </c>
      <c r="M318" s="110">
        <v>25</v>
      </c>
      <c r="N318" s="128">
        <v>45658</v>
      </c>
      <c r="O318" s="128"/>
    </row>
  </sheetData>
  <conditionalFormatting sqref="J3:J7">
    <cfRule type="duplicateValues" dxfId="40" priority="210"/>
  </conditionalFormatting>
  <conditionalFormatting sqref="J10:J42">
    <cfRule type="duplicateValues" dxfId="39" priority="360"/>
  </conditionalFormatting>
  <conditionalFormatting sqref="J45:J82">
    <cfRule type="duplicateValues" dxfId="38" priority="437"/>
  </conditionalFormatting>
  <conditionalFormatting sqref="J85:J116">
    <cfRule type="duplicateValues" dxfId="37" priority="462"/>
  </conditionalFormatting>
  <conditionalFormatting sqref="J119:J152">
    <cfRule type="duplicateValues" dxfId="36" priority="485"/>
  </conditionalFormatting>
  <conditionalFormatting sqref="J156:J162">
    <cfRule type="duplicateValues" dxfId="35" priority="222"/>
  </conditionalFormatting>
  <conditionalFormatting sqref="J165:J171">
    <cfRule type="duplicateValues" dxfId="34" priority="223"/>
  </conditionalFormatting>
  <conditionalFormatting sqref="J174:J186">
    <cfRule type="duplicateValues" dxfId="33" priority="224"/>
  </conditionalFormatting>
  <conditionalFormatting sqref="J190:J194">
    <cfRule type="duplicateValues" dxfId="32" priority="277"/>
  </conditionalFormatting>
  <conditionalFormatting sqref="J197:J208">
    <cfRule type="duplicateValues" dxfId="31" priority="278"/>
  </conditionalFormatting>
  <conditionalFormatting sqref="J211:J224">
    <cfRule type="duplicateValues" dxfId="30" priority="279"/>
  </conditionalFormatting>
  <conditionalFormatting sqref="J227:J237">
    <cfRule type="duplicateValues" dxfId="29" priority="280"/>
  </conditionalFormatting>
  <conditionalFormatting sqref="J240:J248">
    <cfRule type="duplicateValues" dxfId="28" priority="281"/>
  </conditionalFormatting>
  <conditionalFormatting sqref="J252:J256">
    <cfRule type="duplicateValues" dxfId="27" priority="3"/>
  </conditionalFormatting>
  <conditionalFormatting sqref="J259:J271">
    <cfRule type="duplicateValues" dxfId="26" priority="549"/>
  </conditionalFormatting>
  <conditionalFormatting sqref="J274:J290">
    <cfRule type="duplicateValues" dxfId="25" priority="552"/>
  </conditionalFormatting>
  <conditionalFormatting sqref="J293:J304">
    <cfRule type="duplicateValues" dxfId="24" priority="553"/>
  </conditionalFormatting>
  <conditionalFormatting sqref="J307:J318">
    <cfRule type="duplicateValues" dxfId="23" priority="555"/>
  </conditionalFormatting>
  <conditionalFormatting sqref="N3:N7 N10:N42 N45:N82 N85:N116 N119:N152">
    <cfRule type="cellIs" dxfId="22" priority="59" operator="greaterThan">
      <formula>$P$1</formula>
    </cfRule>
  </conditionalFormatting>
  <conditionalFormatting sqref="N156:N162">
    <cfRule type="cellIs" dxfId="21" priority="37" operator="greaterThan">
      <formula>$P$1</formula>
    </cfRule>
  </conditionalFormatting>
  <conditionalFormatting sqref="N165:N171">
    <cfRule type="cellIs" dxfId="20" priority="33" operator="greaterThan">
      <formula>$P$1</formula>
    </cfRule>
  </conditionalFormatting>
  <conditionalFormatting sqref="N174:N186">
    <cfRule type="cellIs" dxfId="19" priority="29" operator="greaterThan">
      <formula>$P$1</formula>
    </cfRule>
  </conditionalFormatting>
  <conditionalFormatting sqref="N190:N194">
    <cfRule type="cellIs" dxfId="18" priority="25" operator="greaterThan">
      <formula>$P$1</formula>
    </cfRule>
  </conditionalFormatting>
  <conditionalFormatting sqref="N197:N208">
    <cfRule type="cellIs" dxfId="17" priority="21" operator="greaterThan">
      <formula>$P$1</formula>
    </cfRule>
  </conditionalFormatting>
  <conditionalFormatting sqref="N211:N224">
    <cfRule type="cellIs" dxfId="16" priority="17" operator="greaterThan">
      <formula>$P$1</formula>
    </cfRule>
  </conditionalFormatting>
  <conditionalFormatting sqref="N227:N237">
    <cfRule type="cellIs" dxfId="15" priority="13" operator="greaterThan">
      <formula>$P$1</formula>
    </cfRule>
  </conditionalFormatting>
  <conditionalFormatting sqref="N240:N248">
    <cfRule type="cellIs" dxfId="14" priority="9" operator="greaterThan">
      <formula>$P$1</formula>
    </cfRule>
  </conditionalFormatting>
  <conditionalFormatting sqref="N252:N256 N259:N271 N274:N290 N293:N304 N307:N318">
    <cfRule type="cellIs" dxfId="13" priority="1" operator="greaterThan">
      <formula>$P$1</formula>
    </cfRule>
  </conditionalFormatting>
  <conditionalFormatting sqref="O3:O7 O10:O42 O45:O82 O85:O116 O119:O152">
    <cfRule type="notContainsBlanks" dxfId="12" priority="60">
      <formula>LEN(TRIM(O3))&gt;0</formula>
    </cfRule>
  </conditionalFormatting>
  <conditionalFormatting sqref="O156:O162">
    <cfRule type="notContainsBlanks" dxfId="11" priority="38">
      <formula>LEN(TRIM(O156))&gt;0</formula>
    </cfRule>
  </conditionalFormatting>
  <conditionalFormatting sqref="O165:O171">
    <cfRule type="notContainsBlanks" dxfId="10" priority="34">
      <formula>LEN(TRIM(O165))&gt;0</formula>
    </cfRule>
  </conditionalFormatting>
  <conditionalFormatting sqref="O174:O186">
    <cfRule type="notContainsBlanks" dxfId="9" priority="30">
      <formula>LEN(TRIM(O174))&gt;0</formula>
    </cfRule>
  </conditionalFormatting>
  <conditionalFormatting sqref="O190:O194">
    <cfRule type="notContainsBlanks" dxfId="8" priority="26">
      <formula>LEN(TRIM(O190))&gt;0</formula>
    </cfRule>
  </conditionalFormatting>
  <conditionalFormatting sqref="O197:O208">
    <cfRule type="notContainsBlanks" dxfId="7" priority="22">
      <formula>LEN(TRIM(O197))&gt;0</formula>
    </cfRule>
  </conditionalFormatting>
  <conditionalFormatting sqref="O211:O224">
    <cfRule type="notContainsBlanks" dxfId="6" priority="18">
      <formula>LEN(TRIM(O211))&gt;0</formula>
    </cfRule>
  </conditionalFormatting>
  <conditionalFormatting sqref="O227:O237">
    <cfRule type="notContainsBlanks" dxfId="5" priority="14">
      <formula>LEN(TRIM(O227))&gt;0</formula>
    </cfRule>
  </conditionalFormatting>
  <conditionalFormatting sqref="O240:O248">
    <cfRule type="notContainsBlanks" dxfId="4" priority="10">
      <formula>LEN(TRIM(O240))&gt;0</formula>
    </cfRule>
  </conditionalFormatting>
  <conditionalFormatting sqref="O252:O256 O259:O271 O274:O290 O293:O304 O307:O318">
    <cfRule type="notContainsBlanks" dxfId="3" priority="2">
      <formula>LEN(TRIM(O252))&gt;0</formula>
    </cfRule>
  </conditionalFormatting>
  <conditionalFormatting sqref="Q3:R7 Q10:R42 Q45:R82 Q85:R116 Q119:R152 Q156:R162 Q165:R171 Q174:R186 Q190:R194 Q211:R224 Q227:R237 Q240:R248 Q259:R271 Q274:R290 Q293:R304 Q307:R318">
    <cfRule type="expression" dxfId="2" priority="211">
      <formula>Q3&lt;&gt;J3</formula>
    </cfRule>
  </conditionalFormatting>
  <conditionalFormatting sqref="Q197:R208">
    <cfRule type="expression" dxfId="1" priority="367">
      <formula>Q197&lt;&gt;J197</formula>
    </cfRule>
  </conditionalFormatting>
  <conditionalFormatting sqref="Q252:R256">
    <cfRule type="expression" dxfId="0" priority="4">
      <formula>Q252&lt;&gt;J252</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702FBB4C-6ADF-4262-9F1C-6F0710538C55}">
  <ds:schemaRefs>
    <ds:schemaRef ds:uri="1f4c0b20-2c14-4291-851e-36bd297de4e2"/>
    <ds:schemaRef ds:uri="http://schemas.microsoft.com/office/2006/metadata/properties"/>
    <ds:schemaRef ds:uri="http://schemas.microsoft.com/sharepoint/v4"/>
    <ds:schemaRef ds:uri="http://purl.org/dc/dcmitype/"/>
    <ds:schemaRef ds:uri="http://purl.org/dc/elements/1.1/"/>
    <ds:schemaRef ds:uri="http://schemas.openxmlformats.org/package/2006/metadata/core-properties"/>
    <ds:schemaRef ds:uri="ba69df13-0c3c-4942-8695-6ca01564010c"/>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63C9576-5392-4CCA-86BE-63B7B1BC7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6039A1F5-05C8-4003-AB46-70BE7B41929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OM-ARTS</vt:lpstr>
      <vt:lpstr>OG-ARTS</vt:lpstr>
      <vt:lpstr>OC-ARTS</vt:lpstr>
      <vt:lpstr>GC-HRIGHT (OUA)</vt:lpstr>
      <vt:lpstr>GD-HRIGHT (OUA)</vt:lpstr>
      <vt:lpstr>CourseDetails</vt:lpstr>
      <vt:lpstr>Unitsets</vt:lpstr>
      <vt:lpstr>Handbook</vt:lpstr>
      <vt:lpstr>Structures</vt:lpstr>
      <vt:lpstr>Availabilities</vt:lpstr>
      <vt:lpstr>'GC-HRIGHT (OUA)'!Print_Area</vt:lpstr>
      <vt:lpstr>'GD-HRIGHT (OUA)'!Print_Area</vt:lpstr>
      <vt:lpstr>'OC-ARTS'!Print_Area</vt:lpstr>
      <vt:lpstr>'OG-ARTS'!Print_Area</vt:lpstr>
      <vt:lpstr>'OM-ARTS'!Print_Area</vt:lpstr>
      <vt:lpstr>RangeACOptOCARTS</vt:lpstr>
      <vt:lpstr>RangeACOptOGARTS</vt:lpstr>
      <vt:lpstr>RangeACsOMARTS</vt:lpstr>
      <vt:lpstr>RangeCourseNotes</vt:lpstr>
      <vt:lpstr>RangeOptionsHRIGHTS</vt:lpstr>
      <vt:lpstr>RangeOptionsOMARTS</vt:lpstr>
      <vt:lpstr>RangeUnitsetsHRIGHTS</vt:lpstr>
      <vt:lpstr>RangeUnitsetsOCARTS</vt:lpstr>
      <vt:lpstr>RangeUnitsetsOGARTS</vt:lpstr>
      <vt:lpstr>RangeUnitsetsOMARTS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2026-02-05T06:38:15Z</cp:lastPrinted>
  <dcterms:created xsi:type="dcterms:W3CDTF">2022-02-28T04:48:12Z</dcterms:created>
  <dcterms:modified xsi:type="dcterms:W3CDTF">2026-02-05T06:40:21Z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