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70F3F3A3-F095-4EF0-9B3F-C58500BBCF4D}" xr6:coauthVersionLast="47" xr6:coauthVersionMax="47" xr10:uidLastSave="{00000000-0000-0000-0000-000000000000}"/>
  <workbookProtection workbookAlgorithmName="SHA-512" workbookHashValue="KyiszVkTxpMkP9jlb9QQevIJaHeu6Um7tiYbBY3TBvDa4BYNZaL3DIPV5qF6LiZ5oLVKXwkrg/gyB0XpwflK2A==" workbookSaltValue="DL65zCp2NJZlBMc2HFtxyw==" workbookSpinCount="100000" lockStructure="1"/>
  <bookViews>
    <workbookView xWindow="-120" yWindow="-120" windowWidth="29040" windowHeight="17520" xr2:uid="{00000000-000D-0000-FFFF-FFFF00000000}"/>
  </bookViews>
  <sheets>
    <sheet name="GC Proj Man (OUA)" sheetId="10" r:id="rId1"/>
    <sheet name="GD Proj Man (OUA)" sheetId="11" state="hidden" r:id="rId2"/>
    <sheet name="MSc (Proj Man) (OUA)" sheetId="5" state="hidden" r:id="rId3"/>
    <sheet name="CourseDetails" sheetId="12" state="hidden" r:id="rId4"/>
    <sheet name="Unitsets" sheetId="2"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0">'GC Proj Man (OUA)'!$A$3:$L$17</definedName>
    <definedName name="_xlnm.Print_Area" localSheetId="1">'GD Proj Man (OUA)'!$A$3:$L$29</definedName>
    <definedName name="_xlnm.Print_Area" localSheetId="2">'MSc (Proj Man) (OUA)'!$A$3:$L$30</definedName>
    <definedName name="RangeAltCores">Unitsets!$C$19:$AH$23</definedName>
    <definedName name="RangeUnitsets">Unitsets!$C$3:$AH$15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D27" i="8"/>
  <c r="C43" i="8"/>
  <c r="D43" i="8" s="1"/>
  <c r="C44" i="8"/>
  <c r="D44" i="8" s="1"/>
  <c r="C45" i="8"/>
  <c r="D45" i="8" s="1"/>
  <c r="C46" i="8"/>
  <c r="D46" i="8" s="1"/>
  <c r="C47" i="8"/>
  <c r="D47" i="8" s="1"/>
  <c r="C48" i="8"/>
  <c r="D48" i="8" s="1"/>
  <c r="C49" i="8"/>
  <c r="D49" i="8" s="1"/>
  <c r="C50" i="8"/>
  <c r="D50" i="8" s="1"/>
  <c r="C51" i="8"/>
  <c r="D51" i="8" s="1"/>
  <c r="C52" i="8"/>
  <c r="D52" i="8" s="1"/>
  <c r="C53" i="8"/>
  <c r="D53" i="8" s="1"/>
  <c r="C30" i="8"/>
  <c r="D30" i="8" s="1"/>
  <c r="C31" i="8"/>
  <c r="D31" i="8" s="1"/>
  <c r="C32" i="8"/>
  <c r="D32" i="8" s="1"/>
  <c r="C33" i="8"/>
  <c r="D33" i="8" s="1"/>
  <c r="C34" i="8"/>
  <c r="D34" i="8" s="1"/>
  <c r="C35" i="8"/>
  <c r="D35" i="8" s="1"/>
  <c r="C36" i="8"/>
  <c r="D36" i="8" s="1"/>
  <c r="C37" i="8"/>
  <c r="D37" i="8" s="1"/>
  <c r="C38" i="8"/>
  <c r="D38" i="8" s="1"/>
  <c r="C39" i="8"/>
  <c r="D39" i="8" s="1"/>
  <c r="C40" i="8"/>
  <c r="D40" i="8" s="1"/>
  <c r="C25" i="8"/>
  <c r="D25" i="8" s="1"/>
  <c r="C11" i="8"/>
  <c r="D11" i="8" s="1"/>
  <c r="C12" i="8"/>
  <c r="D12" i="8" s="1"/>
  <c r="C13" i="8"/>
  <c r="D13" i="8" s="1"/>
  <c r="C14" i="8"/>
  <c r="D14" i="8" s="1"/>
  <c r="C15" i="8"/>
  <c r="D15" i="8" s="1"/>
  <c r="C16" i="8"/>
  <c r="D16" i="8" s="1"/>
  <c r="C17" i="8"/>
  <c r="D17" i="8" s="1"/>
  <c r="C18" i="8"/>
  <c r="D18" i="8" s="1"/>
  <c r="C19" i="8"/>
  <c r="D19" i="8" s="1"/>
  <c r="C20" i="8"/>
  <c r="D20" i="8" s="1"/>
  <c r="C3" i="8"/>
  <c r="D3" i="8" s="1"/>
  <c r="C4" i="8"/>
  <c r="D4" i="8" s="1"/>
  <c r="C5" i="8"/>
  <c r="D5" i="8" s="1"/>
  <c r="C6" i="8"/>
  <c r="D6" i="8" s="1"/>
  <c r="L4" i="5"/>
  <c r="G6" i="5"/>
  <c r="J7" i="2"/>
  <c r="J6" i="2"/>
  <c r="J5" i="2"/>
  <c r="J4" i="2"/>
  <c r="H5" i="2"/>
  <c r="H6" i="2"/>
  <c r="H7" i="2"/>
  <c r="H4" i="2"/>
  <c r="G17" i="3" l="1"/>
  <c r="H17" i="3"/>
  <c r="I17" i="3"/>
  <c r="J17" i="3"/>
  <c r="G7" i="5" l="1"/>
  <c r="G6" i="11"/>
  <c r="G6" i="10"/>
  <c r="A1" i="3" l="1"/>
  <c r="B1" i="3"/>
  <c r="C1" i="3"/>
  <c r="D1" i="3"/>
  <c r="E1" i="3"/>
  <c r="F1" i="3"/>
  <c r="G1" i="3"/>
  <c r="H1" i="3"/>
  <c r="I1" i="3"/>
  <c r="J1" i="3"/>
  <c r="K1" i="3"/>
  <c r="L1" i="3"/>
  <c r="M1" i="3"/>
  <c r="N1" i="3"/>
  <c r="O1" i="3"/>
  <c r="P1" i="3"/>
  <c r="L21" i="5" l="1"/>
  <c r="K21" i="5"/>
  <c r="J21" i="5"/>
  <c r="I21" i="5"/>
  <c r="H21" i="5"/>
  <c r="L22" i="11"/>
  <c r="K22" i="11"/>
  <c r="J22" i="11"/>
  <c r="I22" i="11"/>
  <c r="H22" i="11"/>
  <c r="H21" i="11"/>
  <c r="G5" i="11" l="1"/>
  <c r="L5" i="11"/>
  <c r="G5" i="10"/>
  <c r="L5" i="10"/>
  <c r="A9" i="11" l="1"/>
  <c r="A13" i="11"/>
  <c r="A12" i="11"/>
  <c r="A10" i="11"/>
  <c r="A15" i="11"/>
  <c r="A18" i="11"/>
  <c r="A19" i="11"/>
  <c r="A24" i="11"/>
  <c r="A23" i="11"/>
  <c r="A25" i="11"/>
  <c r="A16" i="11"/>
  <c r="A13" i="10"/>
  <c r="C13" i="10" s="1"/>
  <c r="A10" i="10"/>
  <c r="C10" i="10" s="1"/>
  <c r="A12" i="10"/>
  <c r="C12" i="10" s="1"/>
  <c r="A9" i="10"/>
  <c r="C9" i="10" s="1"/>
  <c r="G16" i="3"/>
  <c r="H16" i="3"/>
  <c r="I16" i="3"/>
  <c r="J16" i="3"/>
  <c r="G7" i="3"/>
  <c r="G8" i="3"/>
  <c r="H7" i="3"/>
  <c r="H8" i="3"/>
  <c r="I7" i="3"/>
  <c r="I8" i="3"/>
  <c r="J7" i="3"/>
  <c r="J8" i="3"/>
  <c r="E9" i="11" l="1"/>
  <c r="E10" i="11" s="1"/>
  <c r="G9" i="11"/>
  <c r="B9" i="11"/>
  <c r="C9" i="11"/>
  <c r="D9" i="11"/>
  <c r="F9" i="11"/>
  <c r="B13" i="11"/>
  <c r="D13" i="11"/>
  <c r="C13" i="11"/>
  <c r="G13" i="11"/>
  <c r="F13" i="11"/>
  <c r="E15" i="11"/>
  <c r="E16" i="11" s="1"/>
  <c r="F15" i="11"/>
  <c r="G15" i="11"/>
  <c r="C15" i="11"/>
  <c r="B15" i="11"/>
  <c r="D15" i="11"/>
  <c r="F10" i="11"/>
  <c r="C10" i="11"/>
  <c r="G10" i="11"/>
  <c r="B10" i="11"/>
  <c r="D10" i="11"/>
  <c r="C12" i="11"/>
  <c r="D12" i="11"/>
  <c r="B12" i="11"/>
  <c r="E12" i="11"/>
  <c r="E13" i="11" s="1"/>
  <c r="F12" i="11"/>
  <c r="G12" i="11"/>
  <c r="B25" i="11"/>
  <c r="F25" i="11"/>
  <c r="D25" i="11"/>
  <c r="C25" i="11"/>
  <c r="G25" i="11"/>
  <c r="D24" i="11"/>
  <c r="C24" i="11"/>
  <c r="B24" i="11"/>
  <c r="G24" i="11"/>
  <c r="F24" i="11"/>
  <c r="G23" i="11"/>
  <c r="D23" i="11"/>
  <c r="F23" i="11"/>
  <c r="C23" i="11"/>
  <c r="B23" i="11"/>
  <c r="F18" i="11"/>
  <c r="G18" i="11"/>
  <c r="E18" i="11"/>
  <c r="E19" i="11" s="1"/>
  <c r="D18" i="11"/>
  <c r="C18" i="11"/>
  <c r="B18" i="11"/>
  <c r="C16" i="11"/>
  <c r="B16" i="11"/>
  <c r="F16" i="11"/>
  <c r="D16" i="11"/>
  <c r="G16" i="11"/>
  <c r="D19" i="11"/>
  <c r="C19" i="11"/>
  <c r="B19" i="11"/>
  <c r="G19" i="11"/>
  <c r="F19" i="11"/>
  <c r="G9" i="10"/>
  <c r="F9" i="10"/>
  <c r="E9" i="10"/>
  <c r="E10" i="10" s="1"/>
  <c r="D9" i="10"/>
  <c r="B9" i="10"/>
  <c r="F10" i="10"/>
  <c r="D10" i="10"/>
  <c r="B10" i="10"/>
  <c r="G10" i="10"/>
  <c r="H13" i="10"/>
  <c r="G13" i="10"/>
  <c r="F13" i="10"/>
  <c r="D13" i="10"/>
  <c r="K13" i="10"/>
  <c r="J13" i="10"/>
  <c r="B13" i="10"/>
  <c r="I13" i="10"/>
  <c r="B12" i="10"/>
  <c r="G12" i="10"/>
  <c r="F12" i="10"/>
  <c r="E12" i="10"/>
  <c r="E13" i="10" s="1"/>
  <c r="D12" i="10"/>
  <c r="J19" i="3"/>
  <c r="K25" i="11" s="1"/>
  <c r="I19" i="3"/>
  <c r="J25" i="11" s="1"/>
  <c r="H19" i="3"/>
  <c r="I25" i="11" s="1"/>
  <c r="G19" i="3"/>
  <c r="H25" i="11" s="1"/>
  <c r="J18" i="3"/>
  <c r="K24" i="11" s="1"/>
  <c r="I18" i="3"/>
  <c r="J24" i="11" s="1"/>
  <c r="H18" i="3"/>
  <c r="I24" i="11" s="1"/>
  <c r="G18" i="3"/>
  <c r="H24" i="11" s="1"/>
  <c r="J15" i="3"/>
  <c r="I15" i="3"/>
  <c r="H15" i="3"/>
  <c r="G15" i="3"/>
  <c r="J14" i="3"/>
  <c r="I14" i="3"/>
  <c r="H14" i="3"/>
  <c r="G14" i="3"/>
  <c r="J13" i="3"/>
  <c r="I13" i="3"/>
  <c r="H13" i="3"/>
  <c r="G13" i="3"/>
  <c r="J12" i="3"/>
  <c r="K10" i="11" s="1"/>
  <c r="I12" i="3"/>
  <c r="J10" i="11" s="1"/>
  <c r="H12" i="3"/>
  <c r="I10" i="11" s="1"/>
  <c r="G12" i="3"/>
  <c r="H10" i="11" s="1"/>
  <c r="J11" i="3"/>
  <c r="K12" i="11" s="1"/>
  <c r="I11" i="3"/>
  <c r="J12" i="10" s="1"/>
  <c r="H11" i="3"/>
  <c r="I12" i="10" s="1"/>
  <c r="G11" i="3"/>
  <c r="J10" i="3"/>
  <c r="I10" i="3"/>
  <c r="J18" i="11" s="1"/>
  <c r="H10" i="3"/>
  <c r="I18" i="11" s="1"/>
  <c r="G10" i="3"/>
  <c r="H18" i="11" s="1"/>
  <c r="J9" i="3"/>
  <c r="I9" i="3"/>
  <c r="H9" i="3"/>
  <c r="G9" i="3"/>
  <c r="J6" i="3"/>
  <c r="I6" i="3"/>
  <c r="H6" i="3"/>
  <c r="G6" i="3"/>
  <c r="J5" i="3"/>
  <c r="K23" i="11" s="1"/>
  <c r="I5" i="3"/>
  <c r="J23" i="11" s="1"/>
  <c r="H5" i="3"/>
  <c r="I23" i="11" s="1"/>
  <c r="G5" i="3"/>
  <c r="H23" i="11" s="1"/>
  <c r="J4" i="3"/>
  <c r="I4" i="3"/>
  <c r="H4" i="3"/>
  <c r="G4" i="3"/>
  <c r="J3" i="3"/>
  <c r="I3" i="3"/>
  <c r="H3" i="3"/>
  <c r="G3" i="3"/>
  <c r="I9" i="11" l="1"/>
  <c r="J15" i="11"/>
  <c r="J19" i="11"/>
  <c r="K18" i="11"/>
  <c r="K19" i="11"/>
  <c r="H9" i="11"/>
  <c r="I19" i="11"/>
  <c r="J13" i="11"/>
  <c r="K13" i="11"/>
  <c r="I13" i="11"/>
  <c r="H13" i="11"/>
  <c r="K9" i="11"/>
  <c r="J9" i="11"/>
  <c r="H15" i="11"/>
  <c r="I15" i="11"/>
  <c r="K15" i="11"/>
  <c r="H12" i="11"/>
  <c r="H19" i="11"/>
  <c r="J12" i="11"/>
  <c r="J9" i="10"/>
  <c r="J16" i="11"/>
  <c r="K9" i="10"/>
  <c r="K16" i="11"/>
  <c r="H9" i="10"/>
  <c r="I9" i="10"/>
  <c r="H10" i="10"/>
  <c r="I10" i="10"/>
  <c r="H12" i="10"/>
  <c r="J10" i="10"/>
  <c r="K10" i="10"/>
  <c r="K12" i="10"/>
  <c r="I12" i="11"/>
  <c r="H16" i="11"/>
  <c r="I16" i="11"/>
  <c r="G5" i="5"/>
  <c r="E43" i="8" l="1"/>
  <c r="E44" i="8"/>
  <c r="E45" i="8"/>
  <c r="E46" i="8"/>
  <c r="E47" i="8"/>
  <c r="E48" i="8"/>
  <c r="E49" i="8"/>
  <c r="E50" i="8"/>
  <c r="E51" i="8"/>
  <c r="E52" i="8"/>
  <c r="E53" i="8"/>
  <c r="B43" i="8"/>
  <c r="B44" i="8"/>
  <c r="B45" i="8"/>
  <c r="B46" i="8"/>
  <c r="B47" i="8"/>
  <c r="B48" i="8"/>
  <c r="B49" i="8"/>
  <c r="B50" i="8"/>
  <c r="B51" i="8"/>
  <c r="B52" i="8"/>
  <c r="B53" i="8"/>
  <c r="A43" i="8"/>
  <c r="A44" i="8"/>
  <c r="A45" i="8"/>
  <c r="A46" i="8"/>
  <c r="A47" i="8"/>
  <c r="A48" i="8"/>
  <c r="A49" i="8"/>
  <c r="A50" i="8"/>
  <c r="A51" i="8"/>
  <c r="A52" i="8"/>
  <c r="A53" i="8"/>
  <c r="E30" i="8"/>
  <c r="E31" i="8"/>
  <c r="E32" i="8"/>
  <c r="E33" i="8"/>
  <c r="E34" i="8"/>
  <c r="E35" i="8"/>
  <c r="E36" i="8"/>
  <c r="E37" i="8"/>
  <c r="E38" i="8"/>
  <c r="E39" i="8"/>
  <c r="E40" i="8"/>
  <c r="B30" i="8"/>
  <c r="B31" i="8"/>
  <c r="B32" i="8"/>
  <c r="B33" i="8"/>
  <c r="B34" i="8"/>
  <c r="B35" i="8"/>
  <c r="B36" i="8"/>
  <c r="B37" i="8"/>
  <c r="B38" i="8"/>
  <c r="B39" i="8"/>
  <c r="B40" i="8"/>
  <c r="A30" i="8"/>
  <c r="A31" i="8"/>
  <c r="A32" i="8"/>
  <c r="A33" i="8"/>
  <c r="A34" i="8"/>
  <c r="A35" i="8"/>
  <c r="A36" i="8"/>
  <c r="A37" i="8"/>
  <c r="A38" i="8"/>
  <c r="A39" i="8"/>
  <c r="A40" i="8"/>
  <c r="E25" i="8"/>
  <c r="E26" i="8"/>
  <c r="E27" i="8"/>
  <c r="B25" i="8"/>
  <c r="B26" i="8"/>
  <c r="B27" i="8"/>
  <c r="A25" i="8"/>
  <c r="A26" i="8"/>
  <c r="A27" i="8"/>
  <c r="E11" i="8"/>
  <c r="E12" i="8"/>
  <c r="E13" i="8"/>
  <c r="E14" i="8"/>
  <c r="E15" i="8"/>
  <c r="E16" i="8"/>
  <c r="E17" i="8"/>
  <c r="E18" i="8"/>
  <c r="E19" i="8"/>
  <c r="E20" i="8"/>
  <c r="B11" i="8"/>
  <c r="B12" i="8"/>
  <c r="B13" i="8"/>
  <c r="B14" i="8"/>
  <c r="B15" i="8"/>
  <c r="B16" i="8"/>
  <c r="B17" i="8"/>
  <c r="B18" i="8"/>
  <c r="B19" i="8"/>
  <c r="B20" i="8"/>
  <c r="A11" i="8"/>
  <c r="A12" i="8"/>
  <c r="A13" i="8"/>
  <c r="A14" i="8"/>
  <c r="A15" i="8"/>
  <c r="A16" i="8"/>
  <c r="A17" i="8"/>
  <c r="A18" i="8"/>
  <c r="A19" i="8"/>
  <c r="A20" i="8"/>
  <c r="E3" i="8"/>
  <c r="E4" i="8"/>
  <c r="E5" i="8"/>
  <c r="E6" i="8"/>
  <c r="B3" i="8"/>
  <c r="B4" i="8"/>
  <c r="B5" i="8"/>
  <c r="B6" i="8"/>
  <c r="A3" i="8"/>
  <c r="A4" i="8"/>
  <c r="A5" i="8"/>
  <c r="A6" i="8"/>
  <c r="L17" i="3" l="1"/>
  <c r="P17" i="3"/>
  <c r="O17" i="3"/>
  <c r="N17" i="3"/>
  <c r="M17" i="3"/>
  <c r="M7" i="3"/>
  <c r="M8" i="3"/>
  <c r="M16" i="3"/>
  <c r="L16" i="3"/>
  <c r="L7" i="3"/>
  <c r="L8" i="3"/>
  <c r="P7" i="3"/>
  <c r="P8" i="3"/>
  <c r="P16" i="3"/>
  <c r="O8" i="3"/>
  <c r="O7" i="3"/>
  <c r="O16" i="3"/>
  <c r="N6" i="3"/>
  <c r="N9" i="3"/>
  <c r="N4" i="3"/>
  <c r="N10" i="3"/>
  <c r="N18" i="3"/>
  <c r="N11" i="3"/>
  <c r="N19" i="3"/>
  <c r="N14" i="3"/>
  <c r="N12" i="3"/>
  <c r="N7" i="3"/>
  <c r="N3" i="3"/>
  <c r="N13" i="3"/>
  <c r="N16" i="3"/>
  <c r="N5" i="3"/>
  <c r="N15" i="3"/>
  <c r="N8" i="3"/>
  <c r="L4" i="3"/>
  <c r="M4" i="3"/>
  <c r="O4" i="3"/>
  <c r="P4" i="3"/>
  <c r="L9" i="3"/>
  <c r="L10" i="3"/>
  <c r="L11" i="3"/>
  <c r="L12" i="3"/>
  <c r="L13" i="3"/>
  <c r="L14" i="3"/>
  <c r="L15" i="3"/>
  <c r="L18" i="3"/>
  <c r="L19" i="3"/>
  <c r="L5" i="3"/>
  <c r="L6" i="3"/>
  <c r="L3" i="3"/>
  <c r="M3" i="3"/>
  <c r="M5" i="3"/>
  <c r="M6" i="3"/>
  <c r="M9" i="3"/>
  <c r="M10" i="3"/>
  <c r="M11" i="3"/>
  <c r="M12" i="3"/>
  <c r="M13" i="3"/>
  <c r="M14" i="3"/>
  <c r="M15" i="3"/>
  <c r="M18" i="3"/>
  <c r="M19" i="3"/>
  <c r="O3" i="3"/>
  <c r="O5" i="3"/>
  <c r="O6" i="3"/>
  <c r="O9" i="3"/>
  <c r="O10" i="3"/>
  <c r="O11" i="3"/>
  <c r="O12" i="3"/>
  <c r="O13" i="3"/>
  <c r="O14" i="3"/>
  <c r="O15" i="3"/>
  <c r="O18" i="3"/>
  <c r="O19" i="3"/>
  <c r="P3" i="3"/>
  <c r="P5" i="3"/>
  <c r="P6" i="3"/>
  <c r="P9" i="3"/>
  <c r="P10" i="3"/>
  <c r="P11" i="3"/>
  <c r="P12" i="3"/>
  <c r="P13" i="3"/>
  <c r="P14" i="3"/>
  <c r="P15" i="3"/>
  <c r="P18" i="3"/>
  <c r="P19" i="3"/>
  <c r="A25" i="5" l="1"/>
  <c r="E25" i="5" s="1"/>
  <c r="A23" i="5"/>
  <c r="A26" i="5"/>
  <c r="A22" i="5"/>
  <c r="A10" i="5"/>
  <c r="E10" i="5" s="1"/>
  <c r="A20" i="5"/>
  <c r="A11" i="5"/>
  <c r="A19" i="5"/>
  <c r="E19" i="5" s="1"/>
  <c r="A13" i="5"/>
  <c r="E13" i="5" s="1"/>
  <c r="A17" i="5"/>
  <c r="A14" i="5"/>
  <c r="A16" i="5"/>
  <c r="E16" i="5" s="1"/>
  <c r="E20" i="5" l="1"/>
  <c r="E26" i="5"/>
  <c r="E17" i="5"/>
  <c r="E11" i="5"/>
  <c r="E14" i="5"/>
  <c r="F22" i="5"/>
  <c r="G22" i="5"/>
  <c r="H22" i="5"/>
  <c r="I22" i="5"/>
  <c r="E22" i="5"/>
  <c r="E23" i="5" s="1"/>
  <c r="K20" i="5"/>
  <c r="J20" i="5"/>
  <c r="H20" i="5"/>
  <c r="I20" i="5"/>
  <c r="I10" i="5"/>
  <c r="H10" i="5"/>
  <c r="K10" i="5"/>
  <c r="J10" i="5"/>
  <c r="I16" i="5"/>
  <c r="H16" i="5"/>
  <c r="K16" i="5"/>
  <c r="J16" i="5"/>
  <c r="J22" i="5"/>
  <c r="K22" i="5"/>
  <c r="K14" i="5"/>
  <c r="J14" i="5"/>
  <c r="H14" i="5"/>
  <c r="I14" i="5"/>
  <c r="K26" i="5"/>
  <c r="J26" i="5"/>
  <c r="H26" i="5"/>
  <c r="I26" i="5"/>
  <c r="K17" i="5"/>
  <c r="J17" i="5"/>
  <c r="I17" i="5"/>
  <c r="H17" i="5"/>
  <c r="I13" i="5"/>
  <c r="H13" i="5"/>
  <c r="K13" i="5"/>
  <c r="J13" i="5"/>
  <c r="I25" i="5"/>
  <c r="H25" i="5"/>
  <c r="K25" i="5"/>
  <c r="J25" i="5"/>
  <c r="K11" i="5"/>
  <c r="J11" i="5"/>
  <c r="I11" i="5"/>
  <c r="H11" i="5"/>
  <c r="K23" i="5"/>
  <c r="J23" i="5"/>
  <c r="I23" i="5"/>
  <c r="H23" i="5"/>
  <c r="I19" i="5"/>
  <c r="H19" i="5"/>
  <c r="K19" i="5"/>
  <c r="J19" i="5"/>
  <c r="D16" i="5"/>
  <c r="F16" i="5"/>
  <c r="G16" i="5"/>
  <c r="D14" i="5"/>
  <c r="F14" i="5"/>
  <c r="G14" i="5"/>
  <c r="D17" i="5"/>
  <c r="F17" i="5"/>
  <c r="G17" i="5"/>
  <c r="D13" i="5"/>
  <c r="F13" i="5"/>
  <c r="G13" i="5"/>
  <c r="D19" i="5"/>
  <c r="F19" i="5"/>
  <c r="G19" i="5"/>
  <c r="D11" i="5"/>
  <c r="F11" i="5"/>
  <c r="G11" i="5"/>
  <c r="D20" i="5"/>
  <c r="F20" i="5"/>
  <c r="G20" i="5"/>
  <c r="D10" i="5"/>
  <c r="F10" i="5"/>
  <c r="G10" i="5"/>
  <c r="D22" i="5"/>
  <c r="C20" i="5"/>
  <c r="B20" i="5"/>
  <c r="C10" i="5"/>
  <c r="B10" i="5"/>
  <c r="C19" i="5"/>
  <c r="B19" i="5"/>
  <c r="C16" i="5"/>
  <c r="B16" i="5"/>
  <c r="C22" i="5"/>
  <c r="B22" i="5"/>
  <c r="C13" i="5"/>
  <c r="B13" i="5"/>
  <c r="C14" i="5"/>
  <c r="B14" i="5"/>
  <c r="G26" i="5"/>
  <c r="D26" i="5"/>
  <c r="C26" i="5"/>
  <c r="B26" i="5"/>
  <c r="F26" i="5"/>
  <c r="C25" i="5"/>
  <c r="D25" i="5"/>
  <c r="B25" i="5"/>
  <c r="G25" i="5"/>
  <c r="F25" i="5"/>
  <c r="C11" i="5"/>
  <c r="B11" i="5"/>
  <c r="C17" i="5"/>
  <c r="B17" i="5"/>
  <c r="C23" i="5"/>
  <c r="G23" i="5"/>
  <c r="F23" i="5"/>
  <c r="B23" i="5"/>
  <c r="D23" i="5"/>
</calcChain>
</file>

<file path=xl/sharedStrings.xml><?xml version="1.0" encoding="utf-8"?>
<sst xmlns="http://schemas.openxmlformats.org/spreadsheetml/2006/main" count="990" uniqueCount="209">
  <si>
    <t>UDC</t>
  </si>
  <si>
    <t>Ver</t>
  </si>
  <si>
    <t>OUA Cd</t>
  </si>
  <si>
    <t>Unit Title</t>
  </si>
  <si>
    <t>SP</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</si>
  <si>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</si>
  <si>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</si>
  <si>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</si>
  <si>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</si>
  <si>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</si>
  <si>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</si>
  <si>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</si>
  <si>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Graduate Certificate in Project Management (OpenUnis)</t>
  </si>
  <si>
    <t>Course version:</t>
  </si>
  <si>
    <t>Commencing:</t>
  </si>
  <si>
    <t>Study Period 1 (February - May)</t>
  </si>
  <si>
    <t>Credits to Complete:</t>
  </si>
  <si>
    <t>Year 1</t>
  </si>
  <si>
    <t>2026 Availabilities</t>
  </si>
  <si>
    <t>Curtin Code</t>
  </si>
  <si>
    <t>OUA Code</t>
  </si>
  <si>
    <t>Study Period</t>
  </si>
  <si>
    <t>Pre Requisite(s)</t>
  </si>
  <si>
    <t>Credit Points</t>
  </si>
  <si>
    <t>SP1</t>
  </si>
  <si>
    <t>SP2</t>
  </si>
  <si>
    <t>SP3</t>
  </si>
  <si>
    <t>SP4</t>
  </si>
  <si>
    <t>Notes / Progress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</si>
  <si>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</si>
  <si>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</si>
  <si>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</si>
  <si>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</si>
  <si>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Project Management (OpenUnis)</t>
  </si>
  <si>
    <t>Alternate Core subjects</t>
  </si>
  <si>
    <t>CP</t>
  </si>
  <si>
    <t>Master of Science (Project Management) (OpenUnis)</t>
  </si>
  <si>
    <t xml:space="preserve">Stream: </t>
  </si>
  <si>
    <t>Professional Stream (OUA MSc Proj Mngmt)</t>
  </si>
  <si>
    <t>Stream version:</t>
  </si>
  <si>
    <t>Study Period 4 (November - February)</t>
  </si>
  <si>
    <t>Year 2</t>
  </si>
  <si>
    <t>Project Management</t>
  </si>
  <si>
    <t>TableCourses</t>
  </si>
  <si>
    <t>Choose your Stream (drop-down list)</t>
  </si>
  <si>
    <t>SM Version</t>
  </si>
  <si>
    <t>SM Effective Date</t>
  </si>
  <si>
    <t>Akari Iteration</t>
  </si>
  <si>
    <t>Akari Effective Date</t>
  </si>
  <si>
    <t>SM Availabilities</t>
  </si>
  <si>
    <t>OM-PROJM</t>
  </si>
  <si>
    <t>v.1</t>
  </si>
  <si>
    <t>300 credit points required</t>
  </si>
  <si>
    <t>SP1; SP2; SP3; SP4</t>
  </si>
  <si>
    <t>OG-PROJM</t>
  </si>
  <si>
    <t>v.2</t>
  </si>
  <si>
    <t xml:space="preserve">200 credit points required </t>
  </si>
  <si>
    <t>OC-PROJM</t>
  </si>
  <si>
    <t xml:space="preserve">100 credit points required </t>
  </si>
  <si>
    <t>TableStudyPeriod</t>
  </si>
  <si>
    <t>Choose your commencing study period (drop-down list)</t>
  </si>
  <si>
    <t>Start</t>
  </si>
  <si>
    <t>Next</t>
  </si>
  <si>
    <t>Next2</t>
  </si>
  <si>
    <t>Next3</t>
  </si>
  <si>
    <t>Study Period 2 (May - August)</t>
  </si>
  <si>
    <t>Study Period 3 (August - November)</t>
  </si>
  <si>
    <t>TableStreams</t>
  </si>
  <si>
    <t>OUSP-PROFL</t>
  </si>
  <si>
    <t>Research Stream (OUA MSc Proj Mngmt)</t>
  </si>
  <si>
    <t>OUSP-RESCH</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</si>
  <si>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</si>
  <si>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</si>
  <si>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</si>
  <si>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</si>
  <si>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</si>
  <si>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</si>
  <si>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</si>
  <si>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</si>
  <si>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</si>
  <si>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OC-PROJMSP1</t>
  </si>
  <si>
    <t>OC-PROJMSP2</t>
  </si>
  <si>
    <t>OC-PROJMSP3</t>
  </si>
  <si>
    <t>OC-PROJMSP4</t>
  </si>
  <si>
    <t>OG-PROJMSP1</t>
  </si>
  <si>
    <t>OG-PROJMSP2</t>
  </si>
  <si>
    <t>OG-PROJMSP3</t>
  </si>
  <si>
    <t>OG-PROJMSP4</t>
  </si>
  <si>
    <t>OUSP-PROFLSP1</t>
  </si>
  <si>
    <t>OUSP-PROFLSP2</t>
  </si>
  <si>
    <t>OUSP-PROFLSP3</t>
  </si>
  <si>
    <t>OUSP-PROFLSP4</t>
  </si>
  <si>
    <t>OUSP-RESCHSP1</t>
  </si>
  <si>
    <t>OUSP-RESCHSP2</t>
  </si>
  <si>
    <t>OUSP-RESCHSP3</t>
  </si>
  <si>
    <t>OUSP-RESCHSP4</t>
  </si>
  <si>
    <t>Y1SP1</t>
  </si>
  <si>
    <t>PRJM6013</t>
  </si>
  <si>
    <t>Y1SP2</t>
  </si>
  <si>
    <t>PRJM6015</t>
  </si>
  <si>
    <t>Y1SP3</t>
  </si>
  <si>
    <t>Y1SP4</t>
  </si>
  <si>
    <t>PRJM6016</t>
  </si>
  <si>
    <t>PRJM6021</t>
  </si>
  <si>
    <t>PRJM6018</t>
  </si>
  <si>
    <t>PRJM6014</t>
  </si>
  <si>
    <t>PRJM6020</t>
  </si>
  <si>
    <t>PRJM6017</t>
  </si>
  <si>
    <t>AltCore</t>
  </si>
  <si>
    <t>PRJM6026</t>
  </si>
  <si>
    <t>-</t>
  </si>
  <si>
    <t>URDE6007</t>
  </si>
  <si>
    <t>Y2SP1</t>
  </si>
  <si>
    <t>Y2SP2</t>
  </si>
  <si>
    <t>Y2SP3</t>
  </si>
  <si>
    <t>Y2SP4</t>
  </si>
  <si>
    <t>Elective</t>
  </si>
  <si>
    <t>PRJM6023</t>
  </si>
  <si>
    <t>50CP Unit</t>
  </si>
  <si>
    <t>RangeAltCores</t>
  </si>
  <si>
    <t>--</t>
  </si>
  <si>
    <t>AC-PROJM</t>
  </si>
  <si>
    <t>Title</t>
  </si>
  <si>
    <t>Notes</t>
  </si>
  <si>
    <t>Please note this is a double (50CP) subject</t>
  </si>
  <si>
    <t>Not relevant to this study sequence</t>
  </si>
  <si>
    <t>See below</t>
  </si>
  <si>
    <t>Study either PRM630 or DBE600 (see below)</t>
  </si>
  <si>
    <t>Study a Postgraduate Level Elective Subject</t>
  </si>
  <si>
    <t>Check OUA Website</t>
  </si>
  <si>
    <t>Project Management Overview</t>
  </si>
  <si>
    <t>Project Cost Management</t>
  </si>
  <si>
    <t>Project Planning and Schedule Management</t>
  </si>
  <si>
    <t>Project Risk Management</t>
  </si>
  <si>
    <t>50CP</t>
  </si>
  <si>
    <t>Project Procurement Management</t>
  </si>
  <si>
    <t>Program and Portfolio Management</t>
  </si>
  <si>
    <t>Project Management Integrated Project</t>
  </si>
  <si>
    <t>150CP</t>
  </si>
  <si>
    <t>Project and People</t>
  </si>
  <si>
    <t>Project Management Dissertation</t>
  </si>
  <si>
    <t>PRM500</t>
  </si>
  <si>
    <t>PRM560</t>
  </si>
  <si>
    <t>PRM510</t>
  </si>
  <si>
    <t>PRM520</t>
  </si>
  <si>
    <t>PRM600</t>
  </si>
  <si>
    <t>PRM540</t>
  </si>
  <si>
    <t>PRM550</t>
  </si>
  <si>
    <t>PRM530</t>
  </si>
  <si>
    <t>PRM620</t>
  </si>
  <si>
    <t>DBE600 or PRM610</t>
  </si>
  <si>
    <t>Agile Management</t>
  </si>
  <si>
    <t>PRM630</t>
  </si>
  <si>
    <t>Design and Built Environment Research Methods</t>
  </si>
  <si>
    <t>DBE600</t>
  </si>
  <si>
    <t>Downloaded:</t>
  </si>
  <si>
    <t>Version</t>
  </si>
  <si>
    <t>CPs</t>
  </si>
  <si>
    <t>No.</t>
  </si>
  <si>
    <t>Component Type</t>
  </si>
  <si>
    <t>Year Level</t>
  </si>
  <si>
    <t>Study Package Code</t>
  </si>
  <si>
    <t>Structure Line</t>
  </si>
  <si>
    <t>Effective</t>
  </si>
  <si>
    <t>Discont.</t>
  </si>
  <si>
    <t>SPK</t>
  </si>
  <si>
    <t>Core</t>
  </si>
  <si>
    <t>Semester 1</t>
  </si>
  <si>
    <t>PRM500 Project Management Overview</t>
  </si>
  <si>
    <t>Study Period 3</t>
  </si>
  <si>
    <t>PRM510 Project and People</t>
  </si>
  <si>
    <t>PRM520 Project Cost Management</t>
  </si>
  <si>
    <t>PRM530 Project Planning and Schedule Management</t>
  </si>
  <si>
    <t>Semester 2</t>
  </si>
  <si>
    <t>PRM540 Project Procurement Management</t>
  </si>
  <si>
    <t>PRM550 Project Risk Management</t>
  </si>
  <si>
    <t>PRM560 Program and Portfolio Management</t>
  </si>
  <si>
    <t>Choose URDE6007 or PRJM6026</t>
  </si>
  <si>
    <t>PRM630 Agile Management</t>
  </si>
  <si>
    <t>DBE600 Design and Built Environment Research Methods</t>
  </si>
  <si>
    <t>NA</t>
  </si>
  <si>
    <t>Stream</t>
  </si>
  <si>
    <t>PRM600 Project Management Integrated Project</t>
  </si>
  <si>
    <t>PRM620 Project Management Dissertation</t>
  </si>
  <si>
    <t>Row Labels</t>
  </si>
  <si>
    <t>OpenUnis SP 1</t>
  </si>
  <si>
    <t>OpenUnis SP 2</t>
  </si>
  <si>
    <t>OpenUnis SP 3</t>
  </si>
  <si>
    <t>OpenUnis SP 4</t>
  </si>
  <si>
    <t>1)      Update high level course / component &amp; study period details (CourseDetails Tab)</t>
  </si>
  <si>
    <t>Choose a Stream</t>
  </si>
  <si>
    <t>Professional Stream students study their optional unit in Year 2, semester 1 while Research Stream Students study PRJM6012 Project Management Research 2</t>
  </si>
  <si>
    <t>AC1</t>
  </si>
  <si>
    <t>AC2</t>
  </si>
  <si>
    <t>AC3</t>
  </si>
  <si>
    <t>2026 to Check</t>
  </si>
  <si>
    <t>PRJM6017 has new availabilities from 2025 onwards, check if sequencing OK.</t>
  </si>
  <si>
    <t>Different to SM structure, due to Pre Reqs</t>
  </si>
  <si>
    <t>Previous</t>
  </si>
  <si>
    <t>Pre-reqs (21/11/2025)</t>
  </si>
  <si>
    <t>Nil</t>
  </si>
  <si>
    <t>GC</t>
  </si>
  <si>
    <t>GD</t>
  </si>
  <si>
    <t>Masters</t>
  </si>
  <si>
    <t>Single availabilities on Pre req'd units is an issue.</t>
  </si>
  <si>
    <t>RESTED 2026</t>
  </si>
  <si>
    <t>Rested</t>
  </si>
  <si>
    <t>Good To Go</t>
  </si>
  <si>
    <t>Rested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</si>
</sst>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8"/>
      <color theme="5"/>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i/>
      <sz val="10"/>
      <color rgb="FFA6A6A6"/>
      <name val="Arial"/>
      <family val="2"/>
    </font>
    <font>
      <b/>
      <sz val="10"/>
      <color theme="1"/>
      <name val="Segoe UI"/>
      <family val="2"/>
    </font>
    <font>
      <b/>
      <i/>
      <sz val="12"/>
      <color rgb="FFC00000"/>
      <name val="Calibri"/>
      <family val="2"/>
      <scheme val="minor"/>
    </font>
    <font>
      <b/>
      <sz val="18"/>
      <color theme="1"/>
      <name val="Segoe UI"/>
      <family val="2"/>
    </font>
    <font>
      <b/>
      <sz val="11"/>
      <name val="Segoe UI"/>
      <family val="2"/>
    </font>
    <font>
      <sz val="12"/>
      <name val="Calibri"/>
      <family val="2"/>
      <scheme val="minor"/>
    </font>
    <font>
      <b/>
      <sz val="9"/>
      <color theme="0"/>
      <name val="Segoe UI"/>
      <family val="2"/>
    </font>
    <font>
      <sz val="11"/>
      <color rgb="FF006100"/>
      <name val="Calibri"/>
      <family val="2"/>
      <scheme val="minor"/>
    </font>
    <font>
      <sz val="12"/>
      <color rgb="FFFF0000"/>
      <name val="Calibri"/>
      <family val="2"/>
      <scheme val="minor"/>
    </font>
    <font>
      <sz val="8"/>
      <color theme="0" tint="-0.34998626667073579"/>
      <name val="Arial"/>
      <family val="2"/>
    </font>
    <font>
      <b/>
      <i/>
      <sz val="12"/>
      <color rgb="FF00B050"/>
      <name val="Calibri"/>
      <family val="2"/>
      <scheme val="minor"/>
    </font>
    <font>
      <sz val="10"/>
      <name val="Arial"/>
      <family val="2"/>
    </font>
    <font>
      <b/>
      <sz val="11"/>
      <color theme="0" tint="-0.14999847407452621"/>
      <name val="Segoe UI"/>
      <family val="2"/>
    </font>
    <font>
      <sz val="8"/>
      <name val="Calibri"/>
      <family val="2"/>
      <scheme val="minor"/>
    </font>
    <font>
      <sz val="10"/>
      <color rgb="FF00B050"/>
      <name val="Arial"/>
      <family val="2"/>
    </font>
    <font>
      <b/>
      <sz val="12"/>
      <name val="Calibri"/>
      <family val="2"/>
      <scheme val="minor"/>
    </font>
    <font>
      <b/>
      <i/>
      <sz val="12"/>
      <name val="Calibri"/>
      <family val="2"/>
      <scheme val="minor"/>
    </font>
    <font>
      <sz val="12"/>
      <color rgb="FF00B05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00B0F0"/>
        <bgColor indexed="64"/>
      </patternFill>
    </fill>
    <fill>
      <patternFill patternType="solid">
        <fgColor rgb="FF92D05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indexed="64"/>
      </left>
      <right/>
      <top style="thin">
        <color rgb="FF000000"/>
      </top>
      <bottom/>
      <diagonal/>
    </border>
    <border>
      <left style="thin">
        <color indexed="64"/>
      </left>
      <right/>
      <top/>
      <bottom style="thin">
        <color rgb="FF000000"/>
      </bottom>
      <diagonal/>
    </border>
    <border>
      <left/>
      <right style="double">
        <color auto="1"/>
      </right>
      <top/>
      <bottom/>
      <diagonal/>
    </border>
    <border>
      <left/>
      <right style="thin">
        <color indexed="64"/>
      </right>
      <top style="thin">
        <color rgb="FF000000"/>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medium">
        <color auto="1"/>
      </left>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90691854609822"/>
      </right>
      <top style="thin">
        <color theme="0" tint="-0.14987640003662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90691854609822"/>
      </right>
      <top style="thin">
        <color theme="0" tint="-0.14993743705557422"/>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90691854609822"/>
      </right>
      <top style="thin">
        <color theme="0" tint="-0.1498764000366222"/>
      </top>
      <bottom style="thin">
        <color theme="0" tint="-0.14996795556505021"/>
      </bottom>
      <diagonal/>
    </border>
  </borders>
  <cellStyleXfs count="4">
    <xf numFmtId="0" fontId="0" fillId="0" borderId="0"/>
    <xf numFmtId="0" fontId="1" fillId="0" borderId="0"/>
    <xf numFmtId="0" fontId="24" fillId="0" borderId="0" applyNumberFormat="0" applyFill="0" applyBorder="0" applyAlignment="0" applyProtection="0"/>
    <xf numFmtId="0" fontId="46" fillId="14" borderId="0" applyNumberFormat="0" applyBorder="0" applyAlignment="0" applyProtection="0"/>
  </cellStyleXfs>
  <cellXfs count="348">
    <xf numFmtId="0" fontId="0" fillId="0" borderId="0" xfId="0"/>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9" fillId="0" borderId="0" xfId="0" applyFont="1"/>
    <xf numFmtId="0" fontId="6" fillId="0" borderId="0" xfId="0" applyFont="1" applyAlignment="1">
      <alignment horizontal="right"/>
    </xf>
    <xf numFmtId="0" fontId="9" fillId="0" borderId="0" xfId="0" applyFont="1" applyAlignment="1">
      <alignment horizontal="left"/>
    </xf>
    <xf numFmtId="0" fontId="13" fillId="0" borderId="0" xfId="0" applyFont="1" applyAlignment="1">
      <alignment horizontal="left"/>
    </xf>
    <xf numFmtId="0" fontId="11" fillId="0" borderId="0" xfId="0" applyFont="1"/>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Alignment="1">
      <alignment horizontal="center" vertical="center"/>
    </xf>
    <xf numFmtId="0" fontId="15" fillId="0" borderId="8" xfId="1" applyFont="1" applyBorder="1" applyAlignment="1">
      <alignment horizontal="center"/>
    </xf>
    <xf numFmtId="0" fontId="15" fillId="0" borderId="9" xfId="1" applyFont="1" applyBorder="1" applyAlignment="1">
      <alignment horizontal="center"/>
    </xf>
    <xf numFmtId="0" fontId="15" fillId="0" borderId="9" xfId="1" applyFont="1" applyBorder="1"/>
    <xf numFmtId="0" fontId="15" fillId="0" borderId="10" xfId="1" applyFont="1" applyBorder="1"/>
    <xf numFmtId="0" fontId="1" fillId="0" borderId="0" xfId="1"/>
    <xf numFmtId="0" fontId="1" fillId="0" borderId="0" xfId="1" applyAlignment="1">
      <alignment horizontal="center"/>
    </xf>
    <xf numFmtId="0" fontId="1" fillId="0" borderId="0" xfId="1" applyProtection="1">
      <protection locked="0"/>
    </xf>
    <xf numFmtId="0" fontId="21" fillId="2" borderId="0" xfId="1" applyFont="1" applyFill="1" applyAlignment="1" applyProtection="1">
      <alignment vertical="center"/>
      <protection locked="0"/>
    </xf>
    <xf numFmtId="0" fontId="21" fillId="2" borderId="0" xfId="1" applyFont="1" applyFill="1" applyAlignment="1">
      <alignment vertical="center"/>
    </xf>
    <xf numFmtId="0" fontId="21" fillId="2" borderId="0" xfId="1" applyFont="1" applyFill="1" applyAlignment="1" applyProtection="1">
      <alignment wrapText="1"/>
      <protection locked="0"/>
    </xf>
    <xf numFmtId="0" fontId="21" fillId="2" borderId="0" xfId="1" applyFont="1" applyFill="1" applyAlignment="1">
      <alignment wrapText="1"/>
    </xf>
    <xf numFmtId="0" fontId="21" fillId="2" borderId="0" xfId="1" applyFont="1" applyFill="1" applyProtection="1">
      <protection locked="0"/>
    </xf>
    <xf numFmtId="0" fontId="21" fillId="2" borderId="0" xfId="1" applyFont="1" applyFill="1"/>
    <xf numFmtId="0" fontId="28" fillId="2" borderId="0" xfId="1" applyFont="1" applyFill="1" applyProtection="1">
      <protection locked="0"/>
    </xf>
    <xf numFmtId="0" fontId="28"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5" fillId="0" borderId="0" xfId="0" applyFont="1" applyAlignment="1">
      <alignment horizontal="center"/>
    </xf>
    <xf numFmtId="0" fontId="2" fillId="0" borderId="0" xfId="0" applyFont="1"/>
    <xf numFmtId="14" fontId="0" fillId="0" borderId="0" xfId="0" applyNumberFormat="1"/>
    <xf numFmtId="0" fontId="0" fillId="0" borderId="0" xfId="0" applyAlignment="1">
      <alignment wrapText="1"/>
    </xf>
    <xf numFmtId="0" fontId="0" fillId="0" borderId="26" xfId="0" applyBorder="1"/>
    <xf numFmtId="0" fontId="9" fillId="0" borderId="0" xfId="0" applyFont="1" applyAlignment="1">
      <alignment vertical="center"/>
    </xf>
    <xf numFmtId="0" fontId="2" fillId="3" borderId="1" xfId="0" applyFont="1" applyFill="1" applyBorder="1" applyAlignment="1">
      <alignment horizontal="center" vertical="center"/>
    </xf>
    <xf numFmtId="0" fontId="2" fillId="3" borderId="1" xfId="0" applyFont="1" applyFill="1" applyBorder="1"/>
    <xf numFmtId="0" fontId="3" fillId="0" borderId="20" xfId="0" applyFont="1" applyBorder="1" applyAlignment="1">
      <alignment horizontal="center" vertical="center"/>
    </xf>
    <xf numFmtId="0" fontId="4"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3" borderId="3" xfId="0" applyFont="1" applyFill="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3" fillId="0" borderId="28" xfId="0" applyFont="1" applyBorder="1" applyAlignment="1">
      <alignment horizontal="center" vertical="center"/>
    </xf>
    <xf numFmtId="0" fontId="7" fillId="0" borderId="0" xfId="0" applyFont="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2" fillId="3" borderId="2" xfId="0" applyFont="1" applyFill="1" applyBorder="1" applyAlignment="1">
      <alignment horizontal="right" vertical="center"/>
    </xf>
    <xf numFmtId="0" fontId="2" fillId="3" borderId="4" xfId="0" applyFont="1" applyFill="1" applyBorder="1"/>
    <xf numFmtId="0" fontId="3" fillId="7" borderId="0" xfId="0" applyFont="1" applyFill="1" applyAlignment="1">
      <alignment horizontal="center" vertical="center"/>
    </xf>
    <xf numFmtId="0" fontId="0" fillId="0" borderId="31" xfId="0" applyBorder="1" applyAlignment="1">
      <alignment horizontal="center"/>
    </xf>
    <xf numFmtId="0" fontId="39" fillId="0" borderId="0" xfId="0" applyFont="1" applyAlignment="1">
      <alignment horizontal="right"/>
    </xf>
    <xf numFmtId="0" fontId="3" fillId="0" borderId="29" xfId="0" applyFont="1" applyBorder="1" applyAlignment="1">
      <alignment horizontal="center" vertical="center"/>
    </xf>
    <xf numFmtId="0" fontId="4" fillId="0" borderId="3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2" xfId="0" quotePrefix="1" applyFont="1" applyBorder="1" applyAlignment="1">
      <alignment horizontal="center" vertical="center"/>
    </xf>
    <xf numFmtId="0" fontId="41" fillId="0" borderId="0" xfId="0" applyFont="1"/>
    <xf numFmtId="0" fontId="39" fillId="0" borderId="0" xfId="0" applyFont="1" applyAlignment="1">
      <alignment horizontal="left"/>
    </xf>
    <xf numFmtId="0" fontId="12" fillId="0" borderId="33" xfId="0" applyFont="1" applyBorder="1" applyAlignment="1">
      <alignment horizontal="centerContinuous"/>
    </xf>
    <xf numFmtId="0" fontId="5" fillId="0" borderId="34" xfId="0" applyFont="1" applyBorder="1" applyAlignment="1">
      <alignment horizontal="centerContinuous"/>
    </xf>
    <xf numFmtId="0" fontId="6" fillId="0" borderId="34" xfId="0" applyFont="1" applyBorder="1" applyAlignment="1">
      <alignment horizontal="centerContinuous"/>
    </xf>
    <xf numFmtId="0" fontId="5" fillId="0" borderId="35" xfId="0" applyFont="1" applyBorder="1" applyAlignment="1">
      <alignment horizontal="centerContinuous"/>
    </xf>
    <xf numFmtId="0" fontId="2" fillId="3" borderId="5" xfId="0" applyFont="1" applyFill="1" applyBorder="1" applyAlignment="1">
      <alignment horizontal="right" vertical="center" wrapText="1"/>
    </xf>
    <xf numFmtId="0" fontId="2" fillId="3" borderId="4" xfId="0" applyFont="1" applyFill="1" applyBorder="1" applyAlignment="1">
      <alignment wrapText="1"/>
    </xf>
    <xf numFmtId="0" fontId="2" fillId="4" borderId="5" xfId="0" applyFont="1" applyFill="1" applyBorder="1" applyAlignment="1">
      <alignment horizontal="right" vertical="center" wrapText="1"/>
    </xf>
    <xf numFmtId="0" fontId="2" fillId="3" borderId="0" xfId="0" applyFont="1" applyFill="1" applyAlignment="1">
      <alignment horizontal="right" vertical="center" wrapText="1"/>
    </xf>
    <xf numFmtId="0" fontId="2" fillId="4" borderId="0" xfId="0" applyFont="1" applyFill="1" applyAlignment="1">
      <alignment horizontal="right" vertical="center" wrapText="1"/>
    </xf>
    <xf numFmtId="0" fontId="2" fillId="3" borderId="23" xfId="0" applyFont="1" applyFill="1" applyBorder="1" applyAlignment="1">
      <alignment horizontal="right" vertical="center" wrapText="1"/>
    </xf>
    <xf numFmtId="0" fontId="2" fillId="4" borderId="24" xfId="0" applyFont="1" applyFill="1" applyBorder="1" applyAlignment="1">
      <alignment horizontal="right" vertical="center" wrapText="1"/>
    </xf>
    <xf numFmtId="0" fontId="2" fillId="3" borderId="0" xfId="0" applyFont="1" applyFill="1" applyAlignment="1">
      <alignment wrapText="1"/>
    </xf>
    <xf numFmtId="0" fontId="2" fillId="3" borderId="3" xfId="0" applyFont="1" applyFill="1" applyBorder="1" applyAlignment="1">
      <alignment horizontal="right" vertical="center" wrapText="1"/>
    </xf>
    <xf numFmtId="0" fontId="2" fillId="3" borderId="1" xfId="0" applyFont="1" applyFill="1" applyBorder="1" applyAlignment="1">
      <alignment wrapText="1"/>
    </xf>
    <xf numFmtId="0" fontId="2" fillId="4" borderId="3"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25" fillId="11" borderId="0" xfId="2" applyFont="1" applyFill="1" applyAlignment="1" applyProtection="1">
      <alignment vertical="center"/>
    </xf>
    <xf numFmtId="0" fontId="24" fillId="11" borderId="0" xfId="2" applyFill="1" applyAlignment="1" applyProtection="1">
      <alignment vertical="center"/>
    </xf>
    <xf numFmtId="0" fontId="18" fillId="2" borderId="18" xfId="1" applyFont="1" applyFill="1" applyBorder="1" applyAlignment="1" applyProtection="1">
      <alignment horizontal="center" vertical="center" wrapText="1"/>
      <protection locked="0"/>
    </xf>
    <xf numFmtId="0" fontId="18" fillId="2" borderId="45" xfId="1" applyFont="1" applyFill="1" applyBorder="1" applyAlignment="1" applyProtection="1">
      <alignment horizontal="center" vertical="center" wrapText="1"/>
      <protection locked="0"/>
    </xf>
    <xf numFmtId="0" fontId="18" fillId="0" borderId="49" xfId="1" applyFont="1" applyBorder="1" applyAlignment="1" applyProtection="1">
      <alignment horizontal="center" vertical="center" wrapText="1"/>
      <protection locked="0"/>
    </xf>
    <xf numFmtId="0" fontId="18" fillId="0" borderId="45" xfId="1" applyFont="1" applyBorder="1" applyAlignment="1" applyProtection="1">
      <alignment horizontal="center" vertical="center" wrapText="1"/>
      <protection locked="0"/>
    </xf>
    <xf numFmtId="0" fontId="18" fillId="0" borderId="18" xfId="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9" borderId="0" xfId="0" applyFont="1" applyFill="1" applyAlignment="1">
      <alignment horizontal="center" vertical="center"/>
    </xf>
    <xf numFmtId="0" fontId="3" fillId="9" borderId="24" xfId="0" applyFont="1" applyFill="1" applyBorder="1" applyAlignment="1">
      <alignment horizontal="center" vertical="center"/>
    </xf>
    <xf numFmtId="0" fontId="3" fillId="9" borderId="2" xfId="0" applyFont="1" applyFill="1" applyBorder="1" applyAlignment="1">
      <alignment horizontal="center" vertical="center"/>
    </xf>
    <xf numFmtId="0" fontId="34" fillId="10" borderId="0" xfId="1" applyFont="1" applyFill="1" applyAlignment="1">
      <alignment vertical="center" wrapText="1"/>
    </xf>
    <xf numFmtId="0" fontId="17" fillId="2" borderId="0" xfId="1" applyFont="1" applyFill="1" applyAlignment="1">
      <alignment horizontal="right" vertical="center" indent="1"/>
    </xf>
    <xf numFmtId="0" fontId="18" fillId="2" borderId="0" xfId="1" applyFont="1" applyFill="1" applyAlignment="1">
      <alignment horizontal="right" vertical="center" indent="1"/>
    </xf>
    <xf numFmtId="0" fontId="17" fillId="2" borderId="0" xfId="1" applyFont="1" applyFill="1" applyAlignment="1">
      <alignment vertical="center"/>
    </xf>
    <xf numFmtId="14" fontId="18" fillId="2" borderId="0" xfId="1" applyNumberFormat="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horizontal="left" vertical="center" indent="1"/>
    </xf>
    <xf numFmtId="0" fontId="18" fillId="2" borderId="0" xfId="1" applyFont="1" applyFill="1" applyAlignment="1">
      <alignment horizontal="left" vertical="center" wrapText="1"/>
    </xf>
    <xf numFmtId="0" fontId="18" fillId="0" borderId="0" xfId="1" applyFont="1" applyAlignment="1">
      <alignment vertical="top" wrapText="1"/>
    </xf>
    <xf numFmtId="0" fontId="19" fillId="10" borderId="0" xfId="1" applyFont="1" applyFill="1" applyAlignment="1">
      <alignment horizontal="center" vertical="center"/>
    </xf>
    <xf numFmtId="0" fontId="19" fillId="10" borderId="0" xfId="1" applyFont="1" applyFill="1" applyAlignment="1">
      <alignment horizontal="left" vertical="center" indent="1"/>
    </xf>
    <xf numFmtId="0" fontId="19" fillId="10" borderId="0" xfId="1" applyFont="1" applyFill="1" applyAlignment="1">
      <alignment vertical="center"/>
    </xf>
    <xf numFmtId="0" fontId="19" fillId="10" borderId="19" xfId="1" applyFont="1" applyFill="1" applyBorder="1" applyAlignment="1">
      <alignment horizontal="left" vertical="center"/>
    </xf>
    <xf numFmtId="0" fontId="19" fillId="10" borderId="0" xfId="1" applyFont="1" applyFill="1" applyAlignment="1">
      <alignment horizontal="left" vertical="center"/>
    </xf>
    <xf numFmtId="0" fontId="19" fillId="10" borderId="15" xfId="1" applyFont="1" applyFill="1" applyBorder="1" applyAlignment="1">
      <alignment horizontal="left" vertical="center"/>
    </xf>
    <xf numFmtId="0" fontId="20" fillId="2" borderId="0" xfId="1" applyFont="1" applyFill="1" applyAlignment="1">
      <alignment vertical="center"/>
    </xf>
    <xf numFmtId="0" fontId="19" fillId="10" borderId="0" xfId="1" applyFont="1" applyFill="1" applyAlignment="1">
      <alignment horizontal="center" vertical="center" wrapText="1"/>
    </xf>
    <xf numFmtId="0" fontId="18" fillId="2" borderId="43" xfId="1" applyFont="1" applyFill="1" applyBorder="1" applyAlignment="1">
      <alignment horizontal="center" vertical="center" wrapText="1"/>
    </xf>
    <xf numFmtId="0" fontId="18" fillId="0" borderId="36" xfId="1" applyFont="1" applyBorder="1" applyAlignment="1">
      <alignment horizontal="center" vertical="center" wrapText="1"/>
    </xf>
    <xf numFmtId="0" fontId="18" fillId="2" borderId="17" xfId="1" applyFont="1" applyFill="1" applyBorder="1" applyAlignment="1">
      <alignment horizontal="center" vertical="center" wrapText="1"/>
    </xf>
    <xf numFmtId="0" fontId="18" fillId="2" borderId="17" xfId="1" applyFont="1" applyFill="1" applyBorder="1" applyAlignment="1">
      <alignment vertical="center" wrapText="1"/>
    </xf>
    <xf numFmtId="0" fontId="21" fillId="2" borderId="17" xfId="1" applyFont="1" applyFill="1" applyBorder="1" applyAlignment="1">
      <alignment horizontal="center" vertical="center" wrapText="1"/>
    </xf>
    <xf numFmtId="0" fontId="20" fillId="2" borderId="0" xfId="1" applyFont="1" applyFill="1" applyAlignment="1">
      <alignment wrapText="1"/>
    </xf>
    <xf numFmtId="0" fontId="18" fillId="2" borderId="44"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41" xfId="1" applyFont="1" applyFill="1" applyBorder="1" applyAlignment="1">
      <alignment vertical="center" wrapText="1"/>
    </xf>
    <xf numFmtId="0" fontId="21" fillId="2" borderId="41" xfId="1" applyFont="1" applyFill="1" applyBorder="1" applyAlignment="1">
      <alignment horizontal="center" vertical="center" wrapText="1"/>
    </xf>
    <xf numFmtId="0" fontId="18" fillId="2" borderId="48" xfId="1" applyFont="1" applyFill="1" applyBorder="1" applyAlignment="1">
      <alignment horizontal="center" vertical="center" wrapText="1"/>
    </xf>
    <xf numFmtId="0" fontId="18" fillId="2" borderId="38" xfId="1" applyFont="1" applyFill="1" applyBorder="1" applyAlignment="1">
      <alignment horizontal="center" vertical="center" wrapText="1"/>
    </xf>
    <xf numFmtId="0" fontId="18" fillId="2" borderId="38" xfId="1" applyFont="1" applyFill="1" applyBorder="1" applyAlignment="1">
      <alignment vertical="center" wrapText="1"/>
    </xf>
    <xf numFmtId="0" fontId="21" fillId="2" borderId="38" xfId="1" applyFont="1" applyFill="1" applyBorder="1" applyAlignment="1">
      <alignment horizontal="center" vertical="center" wrapText="1"/>
    </xf>
    <xf numFmtId="0" fontId="18" fillId="0" borderId="38" xfId="1" applyFont="1" applyBorder="1" applyAlignment="1">
      <alignment horizontal="center" vertical="center" wrapText="1"/>
    </xf>
    <xf numFmtId="0" fontId="18" fillId="0" borderId="41" xfId="1" applyFont="1" applyBorder="1" applyAlignment="1">
      <alignment horizontal="center" vertical="center" wrapText="1"/>
    </xf>
    <xf numFmtId="0" fontId="20" fillId="2" borderId="0" xfId="1" applyFont="1" applyFill="1"/>
    <xf numFmtId="0" fontId="18" fillId="0" borderId="17" xfId="1" applyFont="1" applyBorder="1" applyAlignment="1">
      <alignment horizontal="center" vertical="center" wrapText="1"/>
    </xf>
    <xf numFmtId="0" fontId="18" fillId="0" borderId="17" xfId="1" applyFont="1" applyBorder="1" applyAlignment="1">
      <alignment horizontal="left" vertical="center"/>
    </xf>
    <xf numFmtId="0" fontId="18" fillId="2" borderId="37" xfId="1" applyFont="1" applyFill="1" applyBorder="1" applyAlignment="1">
      <alignment horizontal="center" vertical="center" wrapText="1"/>
    </xf>
    <xf numFmtId="0" fontId="18" fillId="0" borderId="38" xfId="1" applyFont="1" applyBorder="1" applyAlignment="1">
      <alignment vertical="center" wrapText="1"/>
    </xf>
    <xf numFmtId="0" fontId="18" fillId="2" borderId="40" xfId="1" applyFont="1" applyFill="1" applyBorder="1" applyAlignment="1">
      <alignment horizontal="center" vertical="center" wrapText="1"/>
    </xf>
    <xf numFmtId="0" fontId="18" fillId="0" borderId="41" xfId="1" applyFont="1" applyBorder="1" applyAlignment="1">
      <alignment horizontal="left" vertical="center"/>
    </xf>
    <xf numFmtId="0" fontId="18" fillId="0" borderId="38" xfId="1" applyFont="1" applyBorder="1" applyAlignment="1">
      <alignment horizontal="left" vertical="center"/>
    </xf>
    <xf numFmtId="0" fontId="29" fillId="2" borderId="0" xfId="1" applyFont="1" applyFill="1" applyAlignment="1">
      <alignment horizontal="left" vertical="center" wrapText="1"/>
    </xf>
    <xf numFmtId="0" fontId="30" fillId="2" borderId="0" xfId="1" applyFont="1" applyFill="1" applyAlignment="1">
      <alignment horizontal="left" vertical="center" wrapText="1"/>
    </xf>
    <xf numFmtId="0" fontId="31" fillId="2" borderId="0" xfId="1" applyFont="1" applyFill="1" applyAlignment="1">
      <alignment vertical="center"/>
    </xf>
    <xf numFmtId="0" fontId="32" fillId="2" borderId="0" xfId="1" applyFont="1" applyFill="1"/>
    <xf numFmtId="0" fontId="36" fillId="10" borderId="0" xfId="1" applyFont="1" applyFill="1" applyAlignment="1">
      <alignment horizontal="left" vertical="center"/>
    </xf>
    <xf numFmtId="0" fontId="33" fillId="0" borderId="16" xfId="1" applyFont="1" applyBorder="1" applyAlignment="1">
      <alignment horizontal="left" vertical="center"/>
    </xf>
    <xf numFmtId="0" fontId="33" fillId="0" borderId="17" xfId="1" applyFont="1" applyBorder="1" applyAlignment="1">
      <alignment horizontal="center" vertical="center"/>
    </xf>
    <xf numFmtId="0" fontId="33" fillId="0" borderId="17" xfId="1" applyFont="1" applyBorder="1" applyAlignment="1">
      <alignment vertical="center"/>
    </xf>
    <xf numFmtId="0" fontId="33" fillId="0" borderId="17" xfId="1" applyFont="1" applyBorder="1" applyAlignment="1">
      <alignment vertical="center" wrapText="1"/>
    </xf>
    <xf numFmtId="0" fontId="33" fillId="0" borderId="17" xfId="1" applyFont="1" applyBorder="1" applyAlignment="1">
      <alignment horizontal="center" vertical="center" wrapText="1"/>
    </xf>
    <xf numFmtId="0" fontId="27" fillId="2" borderId="0" xfId="1" applyFont="1" applyFill="1"/>
    <xf numFmtId="0" fontId="29" fillId="2" borderId="0" xfId="1" applyFont="1" applyFill="1" applyAlignment="1">
      <alignment vertical="center"/>
    </xf>
    <xf numFmtId="0" fontId="11" fillId="2" borderId="0" xfId="1" applyFont="1" applyFill="1" applyAlignment="1">
      <alignment vertical="center"/>
    </xf>
    <xf numFmtId="0" fontId="31" fillId="2" borderId="0" xfId="1" applyFont="1" applyFill="1" applyAlignment="1">
      <alignment horizontal="right" vertical="center"/>
    </xf>
    <xf numFmtId="0" fontId="40" fillId="2" borderId="0" xfId="1" applyFont="1" applyFill="1" applyAlignment="1" applyProtection="1">
      <alignment vertical="center"/>
      <protection locked="0"/>
    </xf>
    <xf numFmtId="0" fontId="43" fillId="2" borderId="0" xfId="1" applyFont="1" applyFill="1" applyAlignment="1" applyProtection="1">
      <alignment vertical="center"/>
      <protection locked="0"/>
    </xf>
    <xf numFmtId="0" fontId="15" fillId="0" borderId="0" xfId="1" applyFont="1" applyAlignment="1">
      <alignment horizontal="center"/>
    </xf>
    <xf numFmtId="0" fontId="15" fillId="0" borderId="0" xfId="1" applyFont="1"/>
    <xf numFmtId="0" fontId="7" fillId="0" borderId="0" xfId="1" applyFont="1" applyAlignment="1">
      <alignment horizontal="center" vertical="center"/>
    </xf>
    <xf numFmtId="0" fontId="38" fillId="12" borderId="46" xfId="1" applyFont="1" applyFill="1" applyBorder="1" applyAlignment="1">
      <alignment horizontal="center" vertical="center" wrapText="1"/>
    </xf>
    <xf numFmtId="0" fontId="38" fillId="12" borderId="0" xfId="1" applyFont="1" applyFill="1" applyAlignment="1">
      <alignment horizontal="center" vertical="center" wrapText="1"/>
    </xf>
    <xf numFmtId="0" fontId="22" fillId="12" borderId="0" xfId="1" applyFont="1" applyFill="1" applyAlignment="1">
      <alignment horizontal="center" vertical="center" wrapText="1"/>
    </xf>
    <xf numFmtId="0" fontId="38" fillId="12" borderId="15" xfId="1" applyFont="1" applyFill="1" applyBorder="1" applyAlignment="1">
      <alignment horizontal="center" vertical="center" wrapText="1"/>
    </xf>
    <xf numFmtId="0" fontId="38" fillId="12" borderId="47" xfId="1" applyFont="1" applyFill="1" applyBorder="1" applyAlignment="1">
      <alignment horizontal="center" vertical="center" wrapText="1"/>
    </xf>
    <xf numFmtId="0" fontId="38" fillId="12" borderId="10" xfId="1" applyFont="1" applyFill="1" applyBorder="1" applyAlignment="1">
      <alignment horizontal="center" vertical="center" wrapText="1"/>
    </xf>
    <xf numFmtId="0" fontId="22" fillId="0" borderId="0" xfId="1" applyFont="1" applyAlignment="1">
      <alignment horizontal="center" vertical="center" wrapText="1"/>
    </xf>
    <xf numFmtId="0" fontId="20" fillId="2" borderId="0" xfId="1" applyFont="1" applyFill="1" applyAlignment="1">
      <alignment horizontal="center" vertical="center"/>
    </xf>
    <xf numFmtId="0" fontId="32" fillId="2" borderId="0" xfId="1" applyFont="1" applyFill="1" applyAlignment="1">
      <alignment horizontal="center" vertical="center"/>
    </xf>
    <xf numFmtId="0" fontId="1" fillId="0" borderId="0" xfId="1" applyAlignment="1">
      <alignment horizontal="center" vertical="center"/>
    </xf>
    <xf numFmtId="0" fontId="0" fillId="9" borderId="0" xfId="0" applyFill="1"/>
    <xf numFmtId="0" fontId="3" fillId="8" borderId="0" xfId="0" applyFont="1" applyFill="1" applyAlignment="1">
      <alignment horizontal="center" vertical="center"/>
    </xf>
    <xf numFmtId="0" fontId="3" fillId="8" borderId="26"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4" xfId="0" applyFont="1" applyFill="1" applyBorder="1" applyAlignment="1">
      <alignment horizontal="center" vertical="center"/>
    </xf>
    <xf numFmtId="0" fontId="45" fillId="2" borderId="0" xfId="1" applyFont="1" applyFill="1" applyAlignment="1">
      <alignment horizontal="right" vertical="center"/>
    </xf>
    <xf numFmtId="0" fontId="0" fillId="0" borderId="0" xfId="0" applyAlignment="1">
      <alignment horizontal="left" textRotation="90"/>
    </xf>
    <xf numFmtId="0" fontId="0" fillId="6" borderId="0" xfId="0" applyFill="1"/>
    <xf numFmtId="0" fontId="0" fillId="5" borderId="0" xfId="0" applyFill="1" applyAlignment="1">
      <alignment horizontal="center"/>
    </xf>
    <xf numFmtId="0" fontId="0" fillId="13" borderId="0" xfId="0" applyFill="1" applyAlignment="1">
      <alignment horizontal="center"/>
    </xf>
    <xf numFmtId="0" fontId="0" fillId="13" borderId="50" xfId="0" applyFill="1" applyBorder="1" applyAlignment="1">
      <alignment horizontal="center"/>
    </xf>
    <xf numFmtId="0" fontId="19" fillId="10" borderId="51" xfId="1" applyFont="1" applyFill="1" applyBorder="1" applyAlignment="1">
      <alignment horizontal="center" vertical="center" wrapText="1"/>
    </xf>
    <xf numFmtId="0" fontId="19" fillId="10" borderId="52" xfId="1" applyFont="1" applyFill="1" applyBorder="1" applyAlignment="1">
      <alignment horizontal="center" vertical="center" wrapText="1"/>
    </xf>
    <xf numFmtId="0" fontId="19" fillId="10" borderId="53" xfId="1" applyFont="1" applyFill="1" applyBorder="1" applyAlignment="1">
      <alignment horizontal="center" vertical="center" wrapText="1"/>
    </xf>
    <xf numFmtId="0" fontId="18" fillId="2"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18" fillId="2" borderId="58"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38" fillId="12" borderId="51" xfId="1" applyFont="1" applyFill="1" applyBorder="1" applyAlignment="1">
      <alignment horizontal="center" vertical="center" wrapText="1"/>
    </xf>
    <xf numFmtId="0" fontId="38" fillId="12" borderId="52" xfId="1" applyFont="1" applyFill="1" applyBorder="1" applyAlignment="1">
      <alignment horizontal="center" vertical="center" wrapText="1"/>
    </xf>
    <xf numFmtId="0" fontId="38" fillId="12" borderId="53"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18" fillId="0" borderId="60" xfId="1" applyFont="1" applyBorder="1" applyAlignment="1">
      <alignment horizontal="center" vertical="center" wrapText="1"/>
    </xf>
    <xf numFmtId="0" fontId="18" fillId="0" borderId="61" xfId="1" applyFont="1" applyBorder="1" applyAlignment="1">
      <alignment horizontal="center" vertical="center" wrapText="1"/>
    </xf>
    <xf numFmtId="0" fontId="18" fillId="0" borderId="62" xfId="1" applyFont="1" applyBorder="1" applyAlignment="1">
      <alignment horizontal="center" vertical="center" wrapText="1"/>
    </xf>
    <xf numFmtId="0" fontId="18" fillId="0" borderId="57"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59" xfId="1" applyFont="1" applyBorder="1" applyAlignment="1">
      <alignment horizontal="center" vertical="center" wrapText="1"/>
    </xf>
    <xf numFmtId="0" fontId="18" fillId="0" borderId="54"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63" xfId="1" applyFont="1" applyBorder="1" applyAlignment="1">
      <alignment horizontal="center" vertical="center" wrapText="1"/>
    </xf>
    <xf numFmtId="0" fontId="18" fillId="0" borderId="64"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6" xfId="1" applyFont="1" applyBorder="1" applyAlignment="1">
      <alignment horizontal="center" vertical="center" wrapText="1"/>
    </xf>
    <xf numFmtId="0" fontId="18" fillId="0" borderId="67" xfId="1" applyFont="1" applyBorder="1" applyAlignment="1">
      <alignment horizontal="center" vertical="center" wrapText="1"/>
    </xf>
    <xf numFmtId="0" fontId="18" fillId="0" borderId="68" xfId="1" applyFont="1" applyBorder="1" applyAlignment="1">
      <alignment horizontal="center" vertical="center" wrapText="1"/>
    </xf>
    <xf numFmtId="0" fontId="18" fillId="0" borderId="69"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71" xfId="1" applyFont="1" applyBorder="1" applyAlignment="1">
      <alignment horizontal="center" vertical="center" wrapText="1"/>
    </xf>
    <xf numFmtId="0" fontId="47" fillId="0" borderId="0" xfId="0" applyFont="1"/>
    <xf numFmtId="0" fontId="48" fillId="0" borderId="0" xfId="0" applyFont="1" applyAlignment="1">
      <alignment horizontal="center" vertical="center"/>
    </xf>
    <xf numFmtId="0" fontId="48"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48" fillId="0" borderId="21" xfId="0" applyFont="1" applyBorder="1" applyAlignment="1">
      <alignment horizontal="center" vertical="center"/>
    </xf>
    <xf numFmtId="14" fontId="46" fillId="14" borderId="0" xfId="3" applyNumberFormat="1" applyAlignment="1">
      <alignment horizontal="center"/>
    </xf>
    <xf numFmtId="14" fontId="49" fillId="0" borderId="0" xfId="0" applyNumberFormat="1" applyFont="1"/>
    <xf numFmtId="0" fontId="44" fillId="0" borderId="0" xfId="0" applyFont="1"/>
    <xf numFmtId="0" fontId="51" fillId="12" borderId="14" xfId="1" applyFont="1" applyFill="1" applyBorder="1" applyAlignment="1">
      <alignment horizontal="right" vertical="center"/>
    </xf>
    <xf numFmtId="0" fontId="42" fillId="12" borderId="13" xfId="1" applyFont="1" applyFill="1" applyBorder="1" applyAlignment="1">
      <alignment horizontal="right" vertical="center"/>
    </xf>
    <xf numFmtId="0" fontId="16" fillId="12" borderId="13" xfId="1" applyFont="1" applyFill="1" applyBorder="1" applyAlignment="1">
      <alignment vertical="center"/>
    </xf>
    <xf numFmtId="0" fontId="42" fillId="12" borderId="13" xfId="1" applyFont="1" applyFill="1" applyBorder="1" applyAlignment="1">
      <alignment vertical="center"/>
    </xf>
    <xf numFmtId="0" fontId="37" fillId="12" borderId="13" xfId="1" applyFont="1" applyFill="1" applyBorder="1" applyAlignment="1">
      <alignment vertical="center"/>
    </xf>
    <xf numFmtId="0" fontId="18" fillId="2" borderId="39" xfId="1" applyFont="1" applyFill="1" applyBorder="1" applyAlignment="1" applyProtection="1">
      <alignment horizontal="center" vertical="center" wrapText="1"/>
      <protection locked="0"/>
    </xf>
    <xf numFmtId="0" fontId="18" fillId="2" borderId="42" xfId="1" applyFont="1" applyFill="1" applyBorder="1" applyAlignment="1" applyProtection="1">
      <alignment horizontal="center" vertical="center" wrapText="1"/>
      <protection locked="0"/>
    </xf>
    <xf numFmtId="0" fontId="50" fillId="0" borderId="0" xfId="0" applyFont="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vertical="center"/>
    </xf>
    <xf numFmtId="0" fontId="6" fillId="0" borderId="0" xfId="0" applyFont="1" applyAlignment="1">
      <alignment vertical="center"/>
    </xf>
    <xf numFmtId="0" fontId="50" fillId="0" borderId="0" xfId="0" applyFont="1" applyAlignment="1">
      <alignment horizontal="left"/>
    </xf>
    <xf numFmtId="14" fontId="0" fillId="0" borderId="0" xfId="0" applyNumberFormat="1" applyAlignment="1">
      <alignment horizontal="center"/>
    </xf>
    <xf numFmtId="0" fontId="53" fillId="0" borderId="0" xfId="0" quotePrefix="1" applyFont="1" applyAlignment="1">
      <alignment horizontal="center" vertical="center"/>
    </xf>
    <xf numFmtId="14" fontId="53" fillId="0" borderId="0" xfId="0" applyNumberFormat="1" applyFont="1" applyAlignment="1">
      <alignment horizontal="center" vertical="center"/>
    </xf>
    <xf numFmtId="0" fontId="53" fillId="0" borderId="0" xfId="0" applyFont="1" applyAlignment="1">
      <alignment horizontal="center" vertical="center"/>
    </xf>
    <xf numFmtId="0" fontId="54" fillId="0" borderId="0" xfId="0" applyFont="1" applyAlignment="1">
      <alignment horizontal="right"/>
    </xf>
    <xf numFmtId="14" fontId="54" fillId="0" borderId="0" xfId="0" applyNumberFormat="1" applyFont="1" applyAlignment="1">
      <alignment horizontal="left"/>
    </xf>
    <xf numFmtId="0" fontId="55" fillId="0" borderId="0" xfId="0" applyFont="1"/>
    <xf numFmtId="0" fontId="55" fillId="0" borderId="0" xfId="0" applyFont="1" applyAlignment="1">
      <alignment horizontal="center"/>
    </xf>
    <xf numFmtId="0" fontId="47" fillId="0" borderId="0" xfId="0" applyFont="1" applyAlignment="1">
      <alignment horizontal="center"/>
    </xf>
    <xf numFmtId="0" fontId="0" fillId="15" borderId="0" xfId="0" applyFill="1"/>
    <xf numFmtId="0" fontId="10" fillId="15" borderId="0" xfId="0" applyFont="1" applyFill="1" applyAlignment="1">
      <alignment horizont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9" borderId="6" xfId="0" applyFont="1" applyFill="1" applyBorder="1" applyAlignment="1">
      <alignment horizontal="center" vertical="center"/>
    </xf>
    <xf numFmtId="0" fontId="3" fillId="0" borderId="24" xfId="0" applyFont="1" applyBorder="1" applyAlignment="1">
      <alignment horizontal="center" vertical="center"/>
    </xf>
    <xf numFmtId="0" fontId="10" fillId="9" borderId="0" xfId="0" applyFont="1" applyFill="1" applyAlignment="1">
      <alignment horizontal="center" wrapText="1"/>
    </xf>
    <xf numFmtId="0" fontId="44" fillId="0" borderId="0" xfId="0" applyFont="1" applyAlignment="1">
      <alignment horizontal="left"/>
    </xf>
    <xf numFmtId="14" fontId="0" fillId="9" borderId="0" xfId="0" applyNumberFormat="1" applyFill="1" applyAlignment="1">
      <alignment horizontal="center"/>
    </xf>
    <xf numFmtId="0" fontId="0" fillId="9" borderId="0" xfId="0" applyFill="1" applyAlignment="1">
      <alignment horizontal="center"/>
    </xf>
    <xf numFmtId="0" fontId="56" fillId="6" borderId="0" xfId="0" applyFont="1" applyFill="1"/>
    <xf numFmtId="14" fontId="50" fillId="0" borderId="0" xfId="0" applyNumberFormat="1" applyFont="1" applyAlignment="1">
      <alignment horizontal="center"/>
    </xf>
    <xf numFmtId="14" fontId="9" fillId="0" borderId="0" xfId="0" applyNumberFormat="1" applyFont="1" applyAlignment="1">
      <alignment horizontal="center"/>
    </xf>
    <xf numFmtId="0" fontId="2" fillId="3" borderId="20" xfId="0" applyFont="1" applyFill="1" applyBorder="1"/>
    <xf numFmtId="0" fontId="2" fillId="3" borderId="22" xfId="0" applyFont="1" applyFill="1" applyBorder="1" applyAlignment="1">
      <alignment horizontal="right" vertical="center"/>
    </xf>
    <xf numFmtId="0" fontId="4" fillId="9" borderId="22" xfId="0" applyFont="1" applyFill="1" applyBorder="1" applyAlignment="1">
      <alignment horizontal="center" vertical="center"/>
    </xf>
    <xf numFmtId="0" fontId="50" fillId="16" borderId="0" xfId="0" applyFont="1" applyFill="1" applyAlignment="1">
      <alignment horizontal="center" vertical="center"/>
    </xf>
    <xf numFmtId="0" fontId="0" fillId="0" borderId="0" xfId="0" applyAlignment="1">
      <alignment horizontal="right"/>
    </xf>
    <xf numFmtId="0" fontId="47" fillId="9" borderId="0" xfId="0" applyFont="1" applyFill="1" applyAlignment="1">
      <alignment horizontal="center"/>
    </xf>
    <xf numFmtId="0" fontId="34" fillId="10" borderId="11" xfId="1" applyFont="1" applyFill="1" applyBorder="1" applyAlignment="1">
      <alignment horizontal="left" vertical="center" wrapText="1"/>
    </xf>
    <xf numFmtId="0" fontId="23" fillId="2" borderId="0" xfId="1" applyFont="1" applyFill="1" applyAlignment="1">
      <alignment horizontal="center" vertical="center" wrapText="1"/>
    </xf>
    <xf numFmtId="0" fontId="15" fillId="0" borderId="8" xfId="1" applyFont="1" applyBorder="1" applyAlignment="1" applyProtection="1">
      <alignment horizontal="center"/>
    </xf>
    <xf numFmtId="0" fontId="15" fillId="0" borderId="9" xfId="1" applyFont="1" applyBorder="1" applyAlignment="1" applyProtection="1">
      <alignment horizontal="center"/>
    </xf>
    <xf numFmtId="0" fontId="15" fillId="0" borderId="9" xfId="1" applyFont="1" applyBorder="1" applyProtection="1"/>
    <xf numFmtId="0" fontId="15" fillId="0" borderId="10"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4" fillId="10" borderId="11" xfId="1" applyFont="1" applyFill="1" applyBorder="1" applyAlignment="1" applyProtection="1">
      <alignment horizontal="left" vertical="center" wrapText="1"/>
    </xf>
    <xf numFmtId="0" fontId="34" fillId="10" borderId="0" xfId="1" applyFont="1" applyFill="1" applyAlignment="1" applyProtection="1">
      <alignment vertical="center" wrapText="1"/>
    </xf>
    <xf numFmtId="0" fontId="42" fillId="12" borderId="12" xfId="1" applyFont="1" applyFill="1" applyBorder="1" applyAlignment="1" applyProtection="1">
      <alignment vertical="center"/>
    </xf>
    <xf numFmtId="0" fontId="16" fillId="12" borderId="13" xfId="1" applyFont="1" applyFill="1" applyBorder="1" applyAlignment="1" applyProtection="1">
      <alignment vertical="center"/>
    </xf>
    <xf numFmtId="0" fontId="42" fillId="12" borderId="13" xfId="1" applyFont="1" applyFill="1" applyBorder="1" applyAlignment="1" applyProtection="1">
      <alignment vertical="center"/>
    </xf>
    <xf numFmtId="0" fontId="42" fillId="12" borderId="13" xfId="1" applyFont="1" applyFill="1" applyBorder="1" applyAlignment="1" applyProtection="1">
      <alignment horizontal="right" vertical="center"/>
    </xf>
    <xf numFmtId="0" fontId="37" fillId="12" borderId="13" xfId="1" applyFont="1" applyFill="1" applyBorder="1" applyAlignment="1" applyProtection="1">
      <alignment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8" fillId="2" borderId="0" xfId="1" applyFont="1" applyFill="1" applyAlignment="1" applyProtection="1">
      <alignment horizontal="right" vertical="center" indent="1"/>
    </xf>
    <xf numFmtId="0" fontId="43" fillId="2" borderId="0" xfId="1" applyFont="1" applyFill="1" applyAlignment="1" applyProtection="1">
      <alignment vertical="center"/>
    </xf>
    <xf numFmtId="0" fontId="17" fillId="2" borderId="0" xfId="1" applyFont="1" applyFill="1" applyAlignment="1" applyProtection="1">
      <alignment vertical="center"/>
    </xf>
    <xf numFmtId="0" fontId="45" fillId="2" borderId="0" xfId="1" applyFont="1" applyFill="1" applyAlignment="1" applyProtection="1">
      <alignment horizontal="righ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8" fillId="2" borderId="0" xfId="1" applyFont="1" applyFill="1" applyAlignment="1" applyProtection="1">
      <alignment horizontal="left" vertical="center" wrapText="1"/>
    </xf>
    <xf numFmtId="0" fontId="18" fillId="0" borderId="0" xfId="1" applyFont="1" applyAlignment="1" applyProtection="1">
      <alignment vertical="top" wrapText="1"/>
    </xf>
    <xf numFmtId="0" fontId="19" fillId="10" borderId="0" xfId="1" applyFont="1" applyFill="1" applyAlignment="1" applyProtection="1">
      <alignment horizontal="center" vertical="center"/>
    </xf>
    <xf numFmtId="0" fontId="19" fillId="10" borderId="0" xfId="1" applyFont="1" applyFill="1" applyAlignment="1" applyProtection="1">
      <alignment horizontal="left" vertical="center" indent="1"/>
    </xf>
    <xf numFmtId="0" fontId="19" fillId="10" borderId="0" xfId="1" applyFont="1" applyFill="1" applyAlignment="1" applyProtection="1">
      <alignment vertical="center"/>
    </xf>
    <xf numFmtId="0" fontId="19" fillId="10" borderId="19" xfId="1" applyFont="1" applyFill="1" applyBorder="1" applyAlignment="1" applyProtection="1">
      <alignment horizontal="left" vertical="center"/>
    </xf>
    <xf numFmtId="0" fontId="19" fillId="10" borderId="0" xfId="1" applyFont="1" applyFill="1" applyAlignment="1" applyProtection="1">
      <alignment horizontal="left" vertical="center"/>
    </xf>
    <xf numFmtId="0" fontId="19" fillId="10" borderId="15" xfId="1" applyFont="1" applyFill="1" applyBorder="1" applyAlignment="1" applyProtection="1">
      <alignment horizontal="left" vertical="center"/>
    </xf>
    <xf numFmtId="0" fontId="20" fillId="2" borderId="0" xfId="1" applyFont="1" applyFill="1" applyAlignment="1" applyProtection="1">
      <alignment vertical="center"/>
    </xf>
    <xf numFmtId="0" fontId="21" fillId="2" borderId="0" xfId="1" applyFont="1" applyFill="1" applyAlignment="1" applyProtection="1">
      <alignment vertical="center"/>
    </xf>
    <xf numFmtId="0" fontId="19" fillId="10" borderId="0" xfId="1" applyFont="1" applyFill="1" applyAlignment="1" applyProtection="1">
      <alignment horizontal="center" vertical="center" wrapText="1"/>
    </xf>
    <xf numFmtId="0" fontId="19" fillId="10" borderId="51" xfId="1" applyFont="1" applyFill="1" applyBorder="1" applyAlignment="1" applyProtection="1">
      <alignment horizontal="center" vertical="center" wrapText="1"/>
    </xf>
    <xf numFmtId="0" fontId="19" fillId="10" borderId="52" xfId="1" applyFont="1" applyFill="1" applyBorder="1" applyAlignment="1" applyProtection="1">
      <alignment horizontal="center" vertical="center" wrapText="1"/>
    </xf>
    <xf numFmtId="0" fontId="19" fillId="10" borderId="53" xfId="1" applyFont="1" applyFill="1" applyBorder="1" applyAlignment="1" applyProtection="1">
      <alignment horizontal="center" vertical="center" wrapText="1"/>
    </xf>
    <xf numFmtId="0" fontId="33" fillId="2" borderId="43" xfId="1" applyFont="1" applyFill="1" applyBorder="1" applyAlignment="1" applyProtection="1">
      <alignment horizontal="center" vertical="center" wrapText="1"/>
    </xf>
    <xf numFmtId="0" fontId="33" fillId="0" borderId="36" xfId="1" applyFont="1" applyBorder="1" applyAlignment="1" applyProtection="1">
      <alignment horizontal="center" vertical="center" wrapText="1"/>
    </xf>
    <xf numFmtId="0" fontId="18" fillId="2" borderId="17" xfId="1" applyFont="1" applyFill="1" applyBorder="1" applyAlignment="1" applyProtection="1">
      <alignment horizontal="center" vertical="center" wrapText="1"/>
    </xf>
    <xf numFmtId="0" fontId="18" fillId="2" borderId="17" xfId="1" applyFont="1" applyFill="1" applyBorder="1" applyAlignment="1" applyProtection="1">
      <alignment vertical="center" wrapText="1"/>
    </xf>
    <xf numFmtId="0" fontId="21" fillId="2" borderId="17" xfId="1" applyFont="1" applyFill="1" applyBorder="1" applyAlignment="1" applyProtection="1">
      <alignment horizontal="center" vertical="center" wrapText="1"/>
    </xf>
    <xf numFmtId="0" fontId="18" fillId="2" borderId="54" xfId="1" applyFont="1" applyFill="1" applyBorder="1" applyAlignment="1" applyProtection="1">
      <alignment horizontal="center" vertical="center" wrapText="1"/>
    </xf>
    <xf numFmtId="0" fontId="18" fillId="2" borderId="55" xfId="1" applyFont="1" applyFill="1" applyBorder="1" applyAlignment="1" applyProtection="1">
      <alignment horizontal="center" vertical="center" wrapText="1"/>
    </xf>
    <xf numFmtId="0" fontId="18" fillId="2" borderId="56" xfId="1" applyFont="1" applyFill="1" applyBorder="1" applyAlignment="1" applyProtection="1">
      <alignment horizontal="center" vertical="center" wrapText="1"/>
    </xf>
    <xf numFmtId="0" fontId="22" fillId="0" borderId="0" xfId="1" applyFont="1" applyAlignment="1" applyProtection="1">
      <alignment horizontal="center" vertical="center" wrapText="1"/>
    </xf>
    <xf numFmtId="0" fontId="20" fillId="2" borderId="0" xfId="1" applyFont="1" applyFill="1" applyAlignment="1" applyProtection="1">
      <alignment wrapText="1"/>
    </xf>
    <xf numFmtId="0" fontId="21" fillId="2" borderId="0" xfId="1" applyFont="1" applyFill="1" applyAlignment="1" applyProtection="1">
      <alignment wrapText="1"/>
    </xf>
    <xf numFmtId="0" fontId="33" fillId="2" borderId="44" xfId="1" applyFont="1" applyFill="1" applyBorder="1" applyAlignment="1" applyProtection="1">
      <alignment horizontal="center" vertical="center" wrapText="1"/>
    </xf>
    <xf numFmtId="0" fontId="33" fillId="2" borderId="41" xfId="1" applyFont="1" applyFill="1" applyBorder="1" applyAlignment="1" applyProtection="1">
      <alignment horizontal="center" vertical="center" wrapText="1"/>
    </xf>
    <xf numFmtId="0" fontId="18" fillId="2" borderId="41" xfId="1" applyFont="1" applyFill="1" applyBorder="1" applyAlignment="1" applyProtection="1">
      <alignment horizontal="center" vertical="center" wrapText="1"/>
    </xf>
    <xf numFmtId="0" fontId="18" fillId="2" borderId="41" xfId="1" applyFont="1" applyFill="1" applyBorder="1" applyAlignment="1" applyProtection="1">
      <alignment vertical="center" wrapText="1"/>
    </xf>
    <xf numFmtId="0" fontId="21" fillId="2" borderId="41" xfId="1" applyFont="1" applyFill="1" applyBorder="1" applyAlignment="1" applyProtection="1">
      <alignment horizontal="center" vertical="center" wrapText="1"/>
    </xf>
    <xf numFmtId="0" fontId="18" fillId="2" borderId="57" xfId="1" applyFont="1" applyFill="1" applyBorder="1" applyAlignment="1" applyProtection="1">
      <alignment horizontal="center" vertical="center" wrapText="1"/>
    </xf>
    <xf numFmtId="0" fontId="18" fillId="2" borderId="58" xfId="1" applyFont="1" applyFill="1" applyBorder="1" applyAlignment="1" applyProtection="1">
      <alignment horizontal="center" vertical="center" wrapText="1"/>
    </xf>
    <xf numFmtId="0" fontId="18" fillId="2" borderId="59" xfId="1" applyFont="1" applyFill="1" applyBorder="1" applyAlignment="1" applyProtection="1">
      <alignment horizontal="center" vertical="center" wrapText="1"/>
    </xf>
    <xf numFmtId="0" fontId="33" fillId="12" borderId="46" xfId="1" applyFont="1" applyFill="1" applyBorder="1" applyAlignment="1" applyProtection="1">
      <alignment horizontal="center" vertical="center" wrapText="1"/>
    </xf>
    <xf numFmtId="0" fontId="33" fillId="12" borderId="0" xfId="1" applyFont="1" applyFill="1" applyAlignment="1" applyProtection="1">
      <alignment horizontal="center" vertical="center" wrapText="1"/>
    </xf>
    <xf numFmtId="0" fontId="38" fillId="12" borderId="0" xfId="1" applyFont="1" applyFill="1" applyAlignment="1" applyProtection="1">
      <alignment horizontal="center" vertical="center" wrapText="1"/>
    </xf>
    <xf numFmtId="0" fontId="22" fillId="12" borderId="0" xfId="1" applyFont="1" applyFill="1" applyAlignment="1" applyProtection="1">
      <alignment horizontal="center" vertical="center" wrapText="1"/>
    </xf>
    <xf numFmtId="0" fontId="38" fillId="12" borderId="51" xfId="1" applyFont="1" applyFill="1" applyBorder="1" applyAlignment="1" applyProtection="1">
      <alignment horizontal="center" vertical="center" wrapText="1"/>
    </xf>
    <xf numFmtId="0" fontId="38" fillId="12" borderId="52" xfId="1" applyFont="1" applyFill="1" applyBorder="1" applyAlignment="1" applyProtection="1">
      <alignment horizontal="center" vertical="center" wrapText="1"/>
    </xf>
    <xf numFmtId="0" fontId="38" fillId="12" borderId="53" xfId="1" applyFont="1" applyFill="1" applyBorder="1" applyAlignment="1" applyProtection="1">
      <alignment horizontal="center" vertical="center" wrapText="1"/>
    </xf>
    <xf numFmtId="0" fontId="33" fillId="2" borderId="48" xfId="1" applyFont="1" applyFill="1" applyBorder="1" applyAlignment="1" applyProtection="1">
      <alignment horizontal="center" vertical="center" wrapText="1"/>
    </xf>
    <xf numFmtId="0" fontId="33" fillId="2" borderId="38" xfId="1" applyFont="1" applyFill="1" applyBorder="1" applyAlignment="1" applyProtection="1">
      <alignment horizontal="center" vertical="center" wrapText="1"/>
    </xf>
    <xf numFmtId="0" fontId="18" fillId="2" borderId="38" xfId="1" applyFont="1" applyFill="1" applyBorder="1" applyAlignment="1" applyProtection="1">
      <alignment horizontal="center" vertical="center" wrapText="1"/>
    </xf>
    <xf numFmtId="0" fontId="18" fillId="2" borderId="38" xfId="1" applyFont="1" applyFill="1" applyBorder="1" applyAlignment="1" applyProtection="1">
      <alignment vertical="center" wrapText="1"/>
    </xf>
    <xf numFmtId="0" fontId="21" fillId="2" borderId="38" xfId="1" applyFont="1" applyFill="1" applyBorder="1" applyAlignment="1" applyProtection="1">
      <alignment horizontal="center" vertical="center" wrapText="1"/>
    </xf>
    <xf numFmtId="0" fontId="18" fillId="2" borderId="60" xfId="1" applyFont="1" applyFill="1" applyBorder="1" applyAlignment="1" applyProtection="1">
      <alignment horizontal="center" vertical="center" wrapText="1"/>
    </xf>
    <xf numFmtId="0" fontId="18" fillId="2" borderId="61" xfId="1" applyFont="1" applyFill="1" applyBorder="1" applyAlignment="1" applyProtection="1">
      <alignment horizontal="center" vertical="center" wrapText="1"/>
    </xf>
    <xf numFmtId="0" fontId="18" fillId="2" borderId="62" xfId="1" applyFont="1" applyFill="1" applyBorder="1" applyAlignment="1" applyProtection="1">
      <alignment horizontal="center" vertical="center" wrapText="1"/>
    </xf>
    <xf numFmtId="0" fontId="23" fillId="2" borderId="0" xfId="1" applyFont="1" applyFill="1" applyAlignment="1" applyProtection="1">
      <alignment horizontal="center" vertical="center" wrapText="1"/>
    </xf>
    <xf numFmtId="0" fontId="27" fillId="2" borderId="0" xfId="1" applyFont="1" applyFill="1" applyProtection="1"/>
    <xf numFmtId="0" fontId="28" fillId="2" borderId="0" xfId="1" applyFont="1" applyFill="1" applyProtection="1"/>
    <xf numFmtId="0" fontId="29" fillId="2" borderId="0" xfId="1" applyFont="1" applyFill="1" applyAlignment="1" applyProtection="1">
      <alignment vertical="center"/>
    </xf>
    <xf numFmtId="0" fontId="11" fillId="2" borderId="0" xfId="1" applyFont="1" applyFill="1" applyAlignment="1" applyProtection="1">
      <alignment vertical="center"/>
    </xf>
    <xf numFmtId="0" fontId="31" fillId="2" borderId="0" xfId="1" applyFont="1" applyFill="1" applyAlignment="1" applyProtection="1">
      <alignment vertical="center"/>
    </xf>
    <xf numFmtId="0" fontId="31" fillId="2" borderId="0" xfId="1" applyFont="1" applyFill="1" applyAlignment="1" applyProtection="1">
      <alignment horizontal="right" vertical="center"/>
    </xf>
    <xf numFmtId="0" fontId="38" fillId="12" borderId="47"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1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auto="1"/>
        </left>
        <right/>
        <top/>
        <bottom/>
        <vertical/>
        <horizontal/>
      </border>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5"/>
        <name val="Arial"/>
        <family val="2"/>
        <scheme val="none"/>
      </font>
      <alignment horizontal="center" vertical="center" textRotation="0" wrapText="0" indent="0" justifyLastLine="0" shrinkToFit="0" readingOrder="0"/>
    </dxf>
    <dxf>
      <font>
        <strike val="0"/>
        <outline val="0"/>
        <shadow val="0"/>
        <u val="none"/>
        <vertAlign val="baseline"/>
        <sz val="10"/>
        <color auto="1"/>
        <name val="Arial"/>
        <family val="2"/>
        <scheme val="none"/>
      </font>
      <alignment horizontal="center" vertical="center" textRotation="0" wrapText="0" indent="0" justifyLastLine="0" shrinkToFit="0" readingOrder="0"/>
    </dxf>
    <dxf>
      <font>
        <strike val="0"/>
        <outline val="0"/>
        <shadow val="0"/>
        <u val="none"/>
        <vertAlign val="baseline"/>
        <sz val="10"/>
        <color auto="1"/>
        <name val="Arial"/>
        <family val="2"/>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textRotation="0" wrapText="0" indent="0" justifyLastLine="0" shrinkToFit="0" readingOrder="0"/>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47626</xdr:rowOff>
    </xdr:from>
    <xdr:ext cx="5629275" cy="38499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53726" y="552451"/>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Certificate in Project Management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238125</xdr:rowOff>
    </xdr:from>
    <xdr:to>
      <xdr:col>21</xdr:col>
      <xdr:colOff>390526</xdr:colOff>
      <xdr:row>3</xdr:row>
      <xdr:rowOff>47625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963651" y="2381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76201</xdr:rowOff>
    </xdr:from>
    <xdr:ext cx="5629275" cy="38499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91801" y="581026"/>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Diploma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266700</xdr:rowOff>
    </xdr:from>
    <xdr:to>
      <xdr:col>21</xdr:col>
      <xdr:colOff>361951</xdr:colOff>
      <xdr:row>3</xdr:row>
      <xdr:rowOff>76200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801726"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180976</xdr:colOff>
      <xdr:row>3</xdr:row>
      <xdr:rowOff>76200</xdr:rowOff>
    </xdr:from>
    <xdr:ext cx="5629275" cy="40221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811001" y="581025"/>
          <a:ext cx="5629275" cy="402212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Master of Science (Project Management) (OpenUnis)</a:t>
          </a:r>
        </a:p>
        <a:p>
          <a:pPr algn="ctr"/>
          <a:r>
            <a:rPr lang="en-AU" sz="1100" b="0" i="0" u="none" strike="noStrike">
              <a:solidFill>
                <a:schemeClr val="accent5"/>
              </a:solidFill>
              <a:effectLst/>
              <a:latin typeface="+mn-lt"/>
              <a:ea typeface="+mn-ea"/>
              <a:cs typeface="+mn-cs"/>
            </a:rPr>
            <a:t>(Research Stream &amp; Professional Stream)</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&amp;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647701</xdr:colOff>
      <xdr:row>2</xdr:row>
      <xdr:rowOff>266700</xdr:rowOff>
    </xdr:from>
    <xdr:to>
      <xdr:col>21</xdr:col>
      <xdr:colOff>323851</xdr:colOff>
      <xdr:row>3</xdr:row>
      <xdr:rowOff>76200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200-000007000000}"/>
            </a:ext>
          </a:extLst>
        </xdr:cNvPr>
        <xdr:cNvSpPr txBox="1"/>
      </xdr:nvSpPr>
      <xdr:spPr>
        <a:xfrm>
          <a:off x="15201901"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7" totalsRowShown="0" headerRowDxfId="113" dataDxfId="112">
  <autoFilter ref="A4:H7" xr:uid="{00000000-0009-0000-0100-000003000000}"/>
  <sortState xmlns:xlrd2="http://schemas.microsoft.com/office/spreadsheetml/2017/richdata2" ref="A5:E7">
    <sortCondition ref="A4:A7"/>
  </sortState>
  <tableColumns count="8">
    <tableColumn id="3" xr3:uid="{00000000-0010-0000-0000-000003000000}" name="Choose your Stream (drop-down list)" dataDxfId="111"/>
    <tableColumn id="1" xr3:uid="{00000000-0010-0000-0000-000001000000}" name="UDC" dataDxfId="110"/>
    <tableColumn id="2" xr3:uid="{00000000-0010-0000-0000-000002000000}" name="SM Version" dataDxfId="109"/>
    <tableColumn id="5" xr3:uid="{00000000-0010-0000-0000-000005000000}" name="SM Effective Date" dataDxfId="108"/>
    <tableColumn id="4" xr3:uid="{00000000-0010-0000-0000-000004000000}" name="Akari Iteration" dataDxfId="107"/>
    <tableColumn id="6" xr3:uid="{00000000-0010-0000-0000-000006000000}" name="Akari Effective Date" dataDxfId="106"/>
    <tableColumn id="7" xr3:uid="{00000000-0010-0000-0000-000007000000}" name="Credit Points" dataDxfId="105"/>
    <tableColumn id="8" xr3:uid="{00000000-0010-0000-0000-000008000000}" name="SM Availabilities" dataDxfId="10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OCPROJMCheck" displayName="TableOCPROJMCheck" ref="Q2:R6" totalsRowShown="0">
  <autoFilter ref="Q2:R6" xr:uid="{00000000-0009-0000-0100-00000A000000}"/>
  <tableColumns count="2">
    <tableColumn id="5" xr3:uid="{00000000-0010-0000-0900-000005000000}" name="SPK"/>
    <tableColumn id="6" xr3:uid="{00000000-0010-0000-0900-000006000000}" name="Ver"/>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OGPROJMCheck" displayName="TableOGPROJMCheck" ref="Q10:R20" totalsRowShown="0">
  <autoFilter ref="Q10:R20" xr:uid="{00000000-0009-0000-0100-00000B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OMPROJMCheck" displayName="TableOMPROJMCheck" ref="Q24:R27" totalsRowShown="0">
  <autoFilter ref="Q24:R27" xr:uid="{00000000-0009-0000-0100-00000C000000}"/>
  <tableColumns count="2">
    <tableColumn id="5" xr3:uid="{00000000-0010-0000-0B00-000005000000}" name="SPK"/>
    <tableColumn id="6" xr3:uid="{00000000-0010-0000-0B00-000006000000}" name="Ver"/>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OUSPPROFLCheck" displayName="TableOUSPPROFLCheck" ref="Q29:R40" totalsRowShown="0">
  <autoFilter ref="Q29:R40" xr:uid="{00000000-0009-0000-0100-00000E000000}"/>
  <tableColumns count="2">
    <tableColumn id="5" xr3:uid="{00000000-0010-0000-0C00-000005000000}" name="SPK"/>
    <tableColumn id="6" xr3:uid="{00000000-0010-0000-0C00-000006000000}"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OUSPRESCHCheck" displayName="TableOUSPRESCHCheck" ref="Q42:R53" totalsRowShown="0">
  <autoFilter ref="Q42:R53" xr:uid="{00000000-0009-0000-0100-00000F000000}"/>
  <tableColumns count="2">
    <tableColumn id="5" xr3:uid="{00000000-0010-0000-0D00-000005000000}" name="SPK"/>
    <tableColumn id="6" xr3:uid="{00000000-0010-0000-0D00-000006000000}" name="Ver"/>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15" totalsRowShown="0">
  <autoFilter ref="A3:E15" xr:uid="{00000000-0009-0000-0100-00000D000000}"/>
  <sortState xmlns:xlrd2="http://schemas.microsoft.com/office/spreadsheetml/2017/richdata2" ref="A4:E5">
    <sortCondition ref="A3:A5"/>
  </sortState>
  <tableColumns count="5">
    <tableColumn id="1" xr3:uid="{00000000-0010-0000-0E00-000001000000}" name="Row Labels"/>
    <tableColumn id="2" xr3:uid="{00000000-0010-0000-0E00-000002000000}" name="OpenUnis SP 1" dataDxfId="34"/>
    <tableColumn id="3" xr3:uid="{00000000-0010-0000-0E00-000003000000}" name="OpenUnis SP 2" dataDxfId="33"/>
    <tableColumn id="4" xr3:uid="{00000000-0010-0000-0E00-000004000000}" name="OpenUnis SP 3" dataDxfId="32"/>
    <tableColumn id="5" xr3:uid="{00000000-0010-0000-0E00-000005000000}" name="OpenUnis SP 4" dataDxfId="3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headerRowDxfId="103" dataDxfId="102">
  <autoFilter ref="A10:E14" xr:uid="{00000000-0009-0000-0100-000004000000}"/>
  <tableColumns count="5">
    <tableColumn id="1" xr3:uid="{00000000-0010-0000-0100-000001000000}" name="Choose your commencing study period (drop-down list)" dataDxfId="101"/>
    <tableColumn id="2" xr3:uid="{00000000-0010-0000-0100-000002000000}" name="Start" dataDxfId="100"/>
    <tableColumn id="3" xr3:uid="{00000000-0010-0000-0100-000003000000}" name="Next" dataDxfId="99"/>
    <tableColumn id="4" xr3:uid="{00000000-0010-0000-0100-000004000000}" name="Next2" dataDxfId="98"/>
    <tableColumn id="5" xr3:uid="{00000000-0010-0000-0100-000005000000}" name="Next3" dataDxfId="9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treams" displayName="TableStreams" ref="A17:G19" totalsRowShown="0" headerRowDxfId="96" dataDxfId="95">
  <autoFilter ref="A17:G19" xr:uid="{00000000-0009-0000-0100-000005000000}"/>
  <tableColumns count="7">
    <tableColumn id="1" xr3:uid="{00000000-0010-0000-0200-000001000000}" name="Choose your Stream (drop-down list)" dataDxfId="94"/>
    <tableColumn id="2" xr3:uid="{00000000-0010-0000-0200-000002000000}" name="UDC" dataDxfId="93"/>
    <tableColumn id="3" xr3:uid="{00000000-0010-0000-0200-000003000000}" name="SM Version" dataDxfId="92"/>
    <tableColumn id="4" xr3:uid="{00000000-0010-0000-0200-000004000000}" name="SM Effective Date" dataDxfId="91"/>
    <tableColumn id="5" xr3:uid="{00000000-0010-0000-0200-000005000000}" name="Akari Iteration" dataDxfId="90"/>
    <tableColumn id="6" xr3:uid="{00000000-0010-0000-0200-000006000000}" name="Akari Effective Date" dataDxfId="89"/>
    <tableColumn id="7" xr3:uid="{00000000-0010-0000-0200-000007000000}" name="Credit Points" dataDxfId="8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P19" totalsRowShown="0">
  <autoFilter ref="A2:P19" xr:uid="{00000000-0009-0000-0100-000002000000}"/>
  <sortState xmlns:xlrd2="http://schemas.microsoft.com/office/spreadsheetml/2017/richdata2" ref="A3:P19">
    <sortCondition ref="A2:A19"/>
  </sortState>
  <tableColumns count="16">
    <tableColumn id="1" xr3:uid="{00000000-0010-0000-0300-000001000000}" name="UDC"/>
    <tableColumn id="2" xr3:uid="{00000000-0010-0000-0300-000002000000}" name="Ver" dataDxfId="87"/>
    <tableColumn id="3" xr3:uid="{00000000-0010-0000-0300-000003000000}" name="OUA Cd"/>
    <tableColumn id="4" xr3:uid="{00000000-0010-0000-0300-000004000000}" name="Title"/>
    <tableColumn id="5" xr3:uid="{00000000-0010-0000-0300-000005000000}" name="Credits" dataDxfId="86"/>
    <tableColumn id="6" xr3:uid="{00000000-0010-0000-0300-000006000000}" name="Pre-reqs (21/11/2025)" dataDxfId="85"/>
    <tableColumn id="12" xr3:uid="{00000000-0010-0000-0300-00000C000000}" name="SP1" dataDxfId="84">
      <calculatedColumnFormula>IFERROR(IF(VLOOKUP(TableHandbook[[#This Row],[UDC]],TableAvailabilities[],2,FALSE)&gt;0,"Y",""),"")</calculatedColumnFormula>
    </tableColumn>
    <tableColumn id="13" xr3:uid="{00000000-0010-0000-0300-00000D000000}" name="SP2" dataDxfId="83">
      <calculatedColumnFormula>IFERROR(IF(VLOOKUP(TableHandbook[[#This Row],[UDC]],TableAvailabilities[],3,FALSE)&gt;0,"Y",""),"")</calculatedColumnFormula>
    </tableColumn>
    <tableColumn id="14" xr3:uid="{00000000-0010-0000-0300-00000E000000}" name="SP3" dataDxfId="82">
      <calculatedColumnFormula>IFERROR(IF(VLOOKUP(TableHandbook[[#This Row],[UDC]],TableAvailabilities[],4,FALSE)&gt;0,"Y",""),"")</calculatedColumnFormula>
    </tableColumn>
    <tableColumn id="15" xr3:uid="{00000000-0010-0000-0300-00000F000000}" name="SP4" dataDxfId="81">
      <calculatedColumnFormula>IFERROR(IF(VLOOKUP(TableHandbook[[#This Row],[UDC]],TableAvailabilities[],5,FALSE)&gt;0,"Y",""),"")</calculatedColumnFormula>
    </tableColumn>
    <tableColumn id="11" xr3:uid="{00000000-0010-0000-0300-00000B000000}" name="Notes" dataDxfId="80"/>
    <tableColumn id="8" xr3:uid="{00000000-0010-0000-0300-000008000000}" name="OC-PROJM" dataDxfId="79">
      <calculatedColumnFormula>IFERROR(VLOOKUP(TableHandbook[[#This Row],[UDC]],TableOCPROJM[],7,FALSE),"")</calculatedColumnFormula>
    </tableColumn>
    <tableColumn id="9" xr3:uid="{00000000-0010-0000-0300-000009000000}" name="OG-PROJM" dataDxfId="78">
      <calculatedColumnFormula>IFERROR(VLOOKUP(TableHandbook[[#This Row],[UDC]],TableOGPROJM[],7,FALSE),"")</calculatedColumnFormula>
    </tableColumn>
    <tableColumn id="7" xr3:uid="{00000000-0010-0000-0300-000007000000}" name="OM-PROJM" dataDxfId="77">
      <calculatedColumnFormula>IFERROR(VLOOKUP(TableHandbook[[#This Row],[UDC]],TableOMPROJM[],7,FALSE),"")</calculatedColumnFormula>
    </tableColumn>
    <tableColumn id="10" xr3:uid="{00000000-0010-0000-0300-00000A000000}" name="OUSP-PROFL" dataDxfId="76">
      <calculatedColumnFormula>IFERROR(VLOOKUP(TableHandbook[[#This Row],[UDC]],TableOUSPPROFL[],7,FALSE),"")</calculatedColumnFormula>
    </tableColumn>
    <tableColumn id="20" xr3:uid="{00000000-0010-0000-0300-000014000000}" name="OUSP-RESCH" dataDxfId="75">
      <calculatedColumnFormula>IFERROR(VLOOKUP(TableHandbook[[#This Row],[UDC]],TableOUSPRESCH[],7,FALSE),"")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CPROJM" displayName="TableOCPROJM" ref="A2:O6" totalsRowShown="0">
  <autoFilter ref="A2:O6" xr:uid="{00000000-0009-0000-0100-000001000000}"/>
  <sortState xmlns:xlrd2="http://schemas.microsoft.com/office/spreadsheetml/2017/richdata2" ref="Z3:AG6">
    <sortCondition ref="AD2:AD6"/>
  </sortState>
  <tableColumns count="15">
    <tableColumn id="9" xr3:uid="{00000000-0010-0000-0400-000009000000}" name="UDC" dataDxfId="74">
      <calculatedColumnFormula>TableOCPROJM[[#This Row],[Study Package Code]]</calculatedColumnFormula>
    </tableColumn>
    <tableColumn id="10" xr3:uid="{00000000-0010-0000-0400-00000A000000}" name="Version" dataDxfId="73">
      <calculatedColumnFormula>TableOCPROJM[[#This Row],[Ver]]</calculatedColumnFormula>
    </tableColumn>
    <tableColumn id="11" xr3:uid="{00000000-0010-0000-0400-00000B000000}" name="OUA Code" dataDxfId="72">
      <calculatedColumnFormula>IF(TableOCPROJM[[#This Row],[Ver]]&gt;0,_xlfn.TEXTBEFORE(TableOCPROJM[[#This Row],[Structure Line]]," "),"")</calculatedColumnFormula>
    </tableColumn>
    <tableColumn id="12" xr3:uid="{00000000-0010-0000-0400-00000C000000}" name="Unit Title" dataDxfId="71">
      <calculatedColumnFormula>IF(TableOCPROJM[[#This Row],[OUA Code]]&lt;&gt;"",_xlfn.TEXTAFTER(TableOCPROJM[[#This Row],[Structure Line]]," "),TableOCPROJM[[#This Row],[Structure Line]])</calculatedColumnFormula>
    </tableColumn>
    <tableColumn id="13" xr3:uid="{00000000-0010-0000-0400-00000D000000}" name="CPs" dataDxfId="70">
      <calculatedColumnFormula>TableOCPROJM[[#This Row],[Credit Points]]</calculatedColumnFormula>
    </tableColumn>
    <tableColumn id="1" xr3:uid="{00000000-0010-0000-0400-000001000000}" name="No."/>
    <tableColumn id="2" xr3:uid="{00000000-0010-0000-0400-000002000000}" name="Component Type"/>
    <tableColumn id="3" xr3:uid="{00000000-0010-0000-0400-000003000000}" name="Year Level"/>
    <tableColumn id="4" xr3:uid="{00000000-0010-0000-0400-000004000000}" name="Study Period" dataDxfId="69"/>
    <tableColumn id="5" xr3:uid="{00000000-0010-0000-0400-000005000000}" name="Study Package Code"/>
    <tableColumn id="6" xr3:uid="{00000000-0010-0000-0400-000006000000}" name="Ver"/>
    <tableColumn id="7" xr3:uid="{00000000-0010-0000-0400-000007000000}" name="Structure Line"/>
    <tableColumn id="8" xr3:uid="{00000000-0010-0000-0400-000008000000}" name="Credit Points"/>
    <tableColumn id="14" xr3:uid="{00000000-0010-0000-0400-00000E000000}" name="Effective" dataDxfId="68"/>
    <tableColumn id="15" xr3:uid="{00000000-0010-0000-0400-00000F000000}" name="Discont." dataDxfId="6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PROJM" displayName="TableOGPROJM" ref="A10:O20" totalsRowShown="0">
  <autoFilter ref="A10:O20" xr:uid="{00000000-0009-0000-0100-000006000000}"/>
  <sortState xmlns:xlrd2="http://schemas.microsoft.com/office/spreadsheetml/2017/richdata2" ref="Z11:AG18">
    <sortCondition ref="AC10:AC18"/>
  </sortState>
  <tableColumns count="15">
    <tableColumn id="9" xr3:uid="{00000000-0010-0000-0500-000009000000}" name="UDC" dataDxfId="66">
      <calculatedColumnFormula>TableOGPROJM[[#This Row],[Study Package Code]]</calculatedColumnFormula>
    </tableColumn>
    <tableColumn id="10" xr3:uid="{00000000-0010-0000-0500-00000A000000}" name="Version" dataDxfId="65">
      <calculatedColumnFormula>TableOGPROJM[[#This Row],[Ver]]</calculatedColumnFormula>
    </tableColumn>
    <tableColumn id="11" xr3:uid="{00000000-0010-0000-0500-00000B000000}" name="OUA Code" dataDxfId="64">
      <calculatedColumnFormula>IF(TableOGPROJM[[#This Row],[Ver]]&gt;0,_xlfn.TEXTBEFORE(TableOGPROJM[[#This Row],[Structure Line]]," "),"")</calculatedColumnFormula>
    </tableColumn>
    <tableColumn id="12" xr3:uid="{00000000-0010-0000-0500-00000C000000}" name="Unit Title" dataDxfId="63">
      <calculatedColumnFormula>IF(TableOGPROJM[[#This Row],[OUA Code]]&lt;&gt;"",_xlfn.TEXTAFTER(TableOGPROJM[[#This Row],[Structure Line]]," "),TableOGPROJM[[#This Row],[Structure Line]])</calculatedColumnFormula>
    </tableColumn>
    <tableColumn id="13" xr3:uid="{00000000-0010-0000-0500-00000D000000}" name="CPs" dataDxfId="62">
      <calculatedColumnFormula>TableOGPROJM[[#This Row],[Credit Points]]</calculatedColumnFormula>
    </tableColumn>
    <tableColumn id="1" xr3:uid="{00000000-0010-0000-0500-000001000000}" name="No."/>
    <tableColumn id="2" xr3:uid="{00000000-0010-0000-0500-000002000000}" name="Component Type"/>
    <tableColumn id="3" xr3:uid="{00000000-0010-0000-0500-000003000000}" name="Year Level"/>
    <tableColumn id="4" xr3:uid="{00000000-0010-0000-0500-000004000000}" name="Study Period" dataDxfId="61"/>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14" xr3:uid="{00000000-0010-0000-0500-00000E000000}" name="Effective" dataDxfId="60"/>
    <tableColumn id="15" xr3:uid="{00000000-0010-0000-0500-00000F000000}" name="Discont." dataDxfId="5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MPROJM" displayName="TableOMPROJM" ref="A24:O27" totalsRowShown="0">
  <autoFilter ref="A24:O27" xr:uid="{00000000-0009-0000-0100-000007000000}"/>
  <sortState xmlns:xlrd2="http://schemas.microsoft.com/office/spreadsheetml/2017/richdata2" ref="Z23:AG30">
    <sortCondition ref="AC10:AC18"/>
  </sortState>
  <tableColumns count="15">
    <tableColumn id="9" xr3:uid="{00000000-0010-0000-0600-000009000000}" name="UDC" dataDxfId="58">
      <calculatedColumnFormula>TableOMPROJM[[#This Row],[Study Package Code]]</calculatedColumnFormula>
    </tableColumn>
    <tableColumn id="10" xr3:uid="{00000000-0010-0000-0600-00000A000000}" name="Version" dataDxfId="57">
      <calculatedColumnFormula>TableOMPROJM[[#This Row],[Ver]]</calculatedColumnFormula>
    </tableColumn>
    <tableColumn id="11" xr3:uid="{00000000-0010-0000-0600-00000B000000}" name="OUA Code" dataDxfId="56">
      <calculatedColumnFormula>IF(TableOMPROJM[[#This Row],[Ver]]&gt;0,_xlfn.TEXTBEFORE(TableOMPROJM[[#This Row],[Structure Line]]," "),"")</calculatedColumnFormula>
    </tableColumn>
    <tableColumn id="12" xr3:uid="{00000000-0010-0000-0600-00000C000000}" name="Unit Title" dataDxfId="55">
      <calculatedColumnFormula>IF(TableOMPROJM[[#This Row],[OUA Code]]&lt;&gt;"",_xlfn.TEXTAFTER(TableOMPROJM[[#This Row],[Structure Line]]," "),TableOMPROJM[[#This Row],[Structure Line]])</calculatedColumnFormula>
    </tableColumn>
    <tableColumn id="13" xr3:uid="{00000000-0010-0000-0600-00000D000000}" name="CPs" dataDxfId="54">
      <calculatedColumnFormula>TableOMPROJM[[#This Row],[Credit Points]]</calculatedColumnFormula>
    </tableColumn>
    <tableColumn id="1" xr3:uid="{00000000-0010-0000-0600-000001000000}" name="No."/>
    <tableColumn id="2" xr3:uid="{00000000-0010-0000-0600-000002000000}" name="Component Type"/>
    <tableColumn id="3" xr3:uid="{00000000-0010-0000-0600-000003000000}" name="Year Level"/>
    <tableColumn id="4" xr3:uid="{00000000-0010-0000-0600-000004000000}" name="Study Period" dataDxfId="53"/>
    <tableColumn id="5" xr3:uid="{00000000-0010-0000-0600-000005000000}" name="Study Package Code"/>
    <tableColumn id="6" xr3:uid="{00000000-0010-0000-0600-000006000000}" name="Ver"/>
    <tableColumn id="7" xr3:uid="{00000000-0010-0000-0600-000007000000}" name="Structure Line"/>
    <tableColumn id="8" xr3:uid="{00000000-0010-0000-0600-000008000000}" name="Credit Points"/>
    <tableColumn id="14" xr3:uid="{00000000-0010-0000-0600-00000E000000}" name="Effective" dataDxfId="52"/>
    <tableColumn id="15" xr3:uid="{00000000-0010-0000-0600-00000F000000}" name="Discont." dataDxfId="5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USPPROFL" displayName="TableOUSPPROFL" ref="A29:O40" totalsRowShown="0">
  <autoFilter ref="A29:O40" xr:uid="{00000000-0009-0000-0100-000008000000}"/>
  <sortState xmlns:xlrd2="http://schemas.microsoft.com/office/spreadsheetml/2017/richdata2" ref="Z28:AG38">
    <sortCondition ref="AB27:AB38"/>
  </sortState>
  <tableColumns count="15">
    <tableColumn id="9" xr3:uid="{00000000-0010-0000-0700-000009000000}" name="UDC" dataDxfId="50">
      <calculatedColumnFormula>TableOUSPPROFL[[#This Row],[Study Package Code]]</calculatedColumnFormula>
    </tableColumn>
    <tableColumn id="10" xr3:uid="{00000000-0010-0000-0700-00000A000000}" name="Version" dataDxfId="49">
      <calculatedColumnFormula>TableOUSPPROFL[[#This Row],[Ver]]</calculatedColumnFormula>
    </tableColumn>
    <tableColumn id="11" xr3:uid="{00000000-0010-0000-0700-00000B000000}" name="OUA Code" dataDxfId="48">
      <calculatedColumnFormula>IF(TableOUSPPROFL[[#This Row],[Ver]]&gt;0,_xlfn.TEXTBEFORE(TableOUSPPROFL[[#This Row],[Structure Line]]," "),"")</calculatedColumnFormula>
    </tableColumn>
    <tableColumn id="12" xr3:uid="{00000000-0010-0000-0700-00000C000000}" name="Unit Title" dataDxfId="47">
      <calculatedColumnFormula>IF(TableOUSPPROFL[[#This Row],[OUA Code]]&lt;&gt;"",_xlfn.TEXTAFTER(TableOUSPPROFL[[#This Row],[Structure Line]]," "),TableOUSPPROFL[[#This Row],[Structure Line]])</calculatedColumnFormula>
    </tableColumn>
    <tableColumn id="13" xr3:uid="{00000000-0010-0000-0700-00000D000000}" name="CPs" dataDxfId="46">
      <calculatedColumnFormula>TableOUSPPROFL[[#This Row],[Credit Points]]</calculatedColumnFormula>
    </tableColumn>
    <tableColumn id="1" xr3:uid="{00000000-0010-0000-0700-000001000000}" name="No."/>
    <tableColumn id="2" xr3:uid="{00000000-0010-0000-0700-000002000000}" name="Component Type"/>
    <tableColumn id="3" xr3:uid="{00000000-0010-0000-0700-000003000000}" name="Year Level"/>
    <tableColumn id="4" xr3:uid="{00000000-0010-0000-0700-000004000000}" name="Study Period" dataDxfId="45"/>
    <tableColumn id="5" xr3:uid="{00000000-0010-0000-0700-000005000000}" name="Study Package Code"/>
    <tableColumn id="6" xr3:uid="{00000000-0010-0000-0700-000006000000}" name="Ver"/>
    <tableColumn id="7" xr3:uid="{00000000-0010-0000-0700-000007000000}" name="Structure Line"/>
    <tableColumn id="8" xr3:uid="{00000000-0010-0000-0700-000008000000}" name="Credit Points"/>
    <tableColumn id="14" xr3:uid="{00000000-0010-0000-0700-00000E000000}" name="Effective" dataDxfId="44"/>
    <tableColumn id="15" xr3:uid="{00000000-0010-0000-0700-00000F000000}" name="Discont." dataDxfId="4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USPRESCH" displayName="TableOUSPRESCH" ref="A42:O53" totalsRowShown="0">
  <autoFilter ref="A42:O53" xr:uid="{00000000-0009-0000-0100-000009000000}"/>
  <sortState xmlns:xlrd2="http://schemas.microsoft.com/office/spreadsheetml/2017/richdata2" ref="Z42:AG52">
    <sortCondition ref="AB41:AB52"/>
  </sortState>
  <tableColumns count="15">
    <tableColumn id="9" xr3:uid="{00000000-0010-0000-0800-000009000000}" name="UDC" dataDxfId="42">
      <calculatedColumnFormula>TableOUSPRESCH[[#This Row],[Study Package Code]]</calculatedColumnFormula>
    </tableColumn>
    <tableColumn id="10" xr3:uid="{00000000-0010-0000-0800-00000A000000}" name="Version" dataDxfId="41">
      <calculatedColumnFormula>TableOUSPRESCH[[#This Row],[Ver]]</calculatedColumnFormula>
    </tableColumn>
    <tableColumn id="11" xr3:uid="{00000000-0010-0000-0800-00000B000000}" name="OUA Code" dataDxfId="40">
      <calculatedColumnFormula>IF(TableOUSPRESCH[[#This Row],[Ver]]&gt;0,_xlfn.TEXTBEFORE(TableOUSPRESCH[[#This Row],[Structure Line]]," "),"")</calculatedColumnFormula>
    </tableColumn>
    <tableColumn id="12" xr3:uid="{00000000-0010-0000-0800-00000C000000}" name="Unit Title" dataDxfId="39">
      <calculatedColumnFormula>IF(TableOUSPRESCH[[#This Row],[OUA Code]]&lt;&gt;"",_xlfn.TEXTAFTER(TableOUSPRESCH[[#This Row],[Structure Line]]," "),TableOUSPRESCH[[#This Row],[Structure Line]])</calculatedColumnFormula>
    </tableColumn>
    <tableColumn id="13" xr3:uid="{00000000-0010-0000-0800-00000D000000}" name="CPs" dataDxfId="38">
      <calculatedColumnFormula>TableOUSPRESCH[[#This Row],[Credit Points]]</calculatedColumnFormula>
    </tableColumn>
    <tableColumn id="1" xr3:uid="{00000000-0010-0000-0800-000001000000}" name="No."/>
    <tableColumn id="2" xr3:uid="{00000000-0010-0000-0800-000002000000}" name="Component Type"/>
    <tableColumn id="3" xr3:uid="{00000000-0010-0000-0800-000003000000}" name="Year Level"/>
    <tableColumn id="4" xr3:uid="{00000000-0010-0000-0800-000004000000}" name="Study Period" dataDxfId="37"/>
    <tableColumn id="5" xr3:uid="{00000000-0010-0000-0800-000005000000}" name="Study Package Code"/>
    <tableColumn id="6" xr3:uid="{00000000-0010-0000-0800-000006000000}" name="Ver"/>
    <tableColumn id="7" xr3:uid="{00000000-0010-0000-0800-000007000000}" name="Structure Line"/>
    <tableColumn id="8" xr3:uid="{00000000-0010-0000-0800-000008000000}" name="Credit Points"/>
    <tableColumn id="14" xr3:uid="{00000000-0010-0000-0800-00000E000000}" name="Effective" dataDxfId="36"/>
    <tableColumn id="15" xr3:uid="{00000000-0010-0000-0800-00000F000000}" name="Discont." dataDxfId="3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
  <sheetViews>
    <sheetView showGridLines="0" tabSelected="1" topLeftCell="A3" zoomScaleNormal="100" workbookViewId="0">
      <selection activeCell="D6" sqref="D6"/>
    </sheetView>
  </sheetViews>
  <sheetFormatPr defaultRowHeight="15" x14ac:dyDescent="0.25"/>
  <cols>
    <col min="1" max="1" width="8.5" style="284" customWidth="1"/>
    <col min="2" max="2" width="3.25" style="284" customWidth="1"/>
    <col min="3" max="3" width="11.875" style="284" bestFit="1" customWidth="1"/>
    <col min="4" max="4" width="51.375" style="273" bestFit="1" customWidth="1"/>
    <col min="5" max="5" width="6.375" style="273" customWidth="1"/>
    <col min="6" max="6" width="16.75" style="273" bestFit="1" customWidth="1"/>
    <col min="7" max="7" width="5.625" style="273" customWidth="1"/>
    <col min="8" max="11" width="4.625" style="273" customWidth="1"/>
    <col min="12" max="12" width="15.625" style="273" customWidth="1"/>
    <col min="13" max="13" width="2.5" style="273" hidden="1" customWidth="1"/>
    <col min="14" max="16384" width="9" style="273"/>
  </cols>
  <sheetData>
    <row r="1" spans="1:16" hidden="1" x14ac:dyDescent="0.25">
      <c r="A1" s="269" t="s">
        <v>0</v>
      </c>
      <c r="B1" s="270" t="s">
        <v>1</v>
      </c>
      <c r="C1" s="270" t="s">
        <v>2</v>
      </c>
      <c r="D1" s="271" t="s">
        <v>3</v>
      </c>
      <c r="E1" s="270" t="s">
        <v>4</v>
      </c>
      <c r="F1" s="270" t="s">
        <v>5</v>
      </c>
      <c r="G1" s="271" t="s">
        <v>6</v>
      </c>
      <c r="H1" s="272" t="s">
        <v>7</v>
      </c>
      <c r="I1" s="271"/>
      <c r="J1" s="271"/>
      <c r="K1" s="271"/>
      <c r="L1" s="271" t="s">
        <v>8</v>
      </c>
    </row>
    <row r="2" spans="1:16" hidden="1" x14ac:dyDescent="0.25">
      <c r="A2" s="274"/>
      <c r="B2" s="275">
        <v>2</v>
      </c>
      <c r="C2" s="275">
        <v>3</v>
      </c>
      <c r="D2" s="275">
        <v>4</v>
      </c>
      <c r="E2" s="275"/>
      <c r="F2" s="275">
        <v>6</v>
      </c>
      <c r="G2" s="275">
        <v>5</v>
      </c>
      <c r="H2" s="275">
        <v>7</v>
      </c>
      <c r="I2" s="275">
        <v>8</v>
      </c>
      <c r="J2" s="275">
        <v>9</v>
      </c>
      <c r="K2" s="275">
        <v>10</v>
      </c>
      <c r="L2" s="276"/>
    </row>
    <row r="3" spans="1:16" ht="39.950000000000003" customHeight="1" x14ac:dyDescent="0.25">
      <c r="A3" s="277" t="s">
        <v>9</v>
      </c>
      <c r="B3" s="277"/>
      <c r="C3" s="277"/>
      <c r="D3" s="277"/>
      <c r="E3" s="278"/>
      <c r="F3" s="278"/>
      <c r="G3" s="278"/>
      <c r="H3" s="278"/>
      <c r="I3" s="278"/>
      <c r="J3" s="278"/>
      <c r="K3" s="278"/>
      <c r="L3" s="278"/>
    </row>
    <row r="4" spans="1:16" ht="26.25" x14ac:dyDescent="0.25">
      <c r="A4" s="279"/>
      <c r="B4" s="280"/>
      <c r="C4" s="280"/>
      <c r="D4" s="281"/>
      <c r="E4" s="282" t="s">
        <v>10</v>
      </c>
      <c r="F4" s="280"/>
      <c r="G4" s="283"/>
      <c r="H4" s="283"/>
      <c r="I4" s="283"/>
      <c r="J4" s="283"/>
      <c r="K4" s="283"/>
      <c r="L4" s="283"/>
    </row>
    <row r="5" spans="1:16" ht="20.100000000000001" customHeight="1" x14ac:dyDescent="0.25">
      <c r="B5" s="285"/>
      <c r="C5" s="286" t="s">
        <v>11</v>
      </c>
      <c r="D5" s="287" t="s">
        <v>12</v>
      </c>
      <c r="E5" s="288"/>
      <c r="F5" s="286" t="s">
        <v>13</v>
      </c>
      <c r="G5" s="288" t="str">
        <f>IFERROR(CONCATENATE(VLOOKUP(D5,TableCourses[],2,FALSE)," ",VLOOKUP(D5,TableCourses[],3,FALSE)),"")</f>
        <v>OC-PROJM v.1</v>
      </c>
      <c r="H5" s="288"/>
      <c r="I5" s="288"/>
      <c r="J5" s="288"/>
      <c r="K5" s="288"/>
      <c r="L5" s="289" t="e">
        <f>CONCATENATE(VLOOKUP(D5,TableCourses[],2,FALSE),VLOOKUP(D6,TableStudyPeriod[],2,FALSE))</f>
        <v>#N/A</v>
      </c>
    </row>
    <row r="6" spans="1:16" ht="20.100000000000001" customHeight="1" x14ac:dyDescent="0.25">
      <c r="A6" s="290"/>
      <c r="B6" s="291"/>
      <c r="C6" s="286" t="s">
        <v>14</v>
      </c>
      <c r="D6" s="157" t="s">
        <v>60</v>
      </c>
      <c r="E6" s="292"/>
      <c r="F6" s="286" t="s">
        <v>16</v>
      </c>
      <c r="G6" s="288" t="str">
        <f>IFERROR(VLOOKUP($D$5,TableCourses[],7,FALSE),"")</f>
        <v xml:space="preserve">100 credit points required </v>
      </c>
      <c r="H6" s="293"/>
      <c r="I6" s="293"/>
      <c r="J6" s="293"/>
      <c r="K6" s="293"/>
      <c r="L6" s="293"/>
    </row>
    <row r="7" spans="1:16" s="301" customFormat="1" ht="14.1" customHeight="1" x14ac:dyDescent="0.25">
      <c r="A7" s="294" t="s">
        <v>17</v>
      </c>
      <c r="B7" s="294"/>
      <c r="C7" s="294"/>
      <c r="D7" s="295"/>
      <c r="E7" s="296"/>
      <c r="F7" s="294"/>
      <c r="G7" s="294"/>
      <c r="H7" s="297" t="s">
        <v>18</v>
      </c>
      <c r="I7" s="298"/>
      <c r="J7" s="298"/>
      <c r="K7" s="299"/>
      <c r="L7" s="296"/>
      <c r="M7" s="300"/>
      <c r="N7" s="300"/>
      <c r="O7" s="300"/>
    </row>
    <row r="8" spans="1:16" s="301" customFormat="1" ht="21" x14ac:dyDescent="0.25">
      <c r="A8" s="294" t="s">
        <v>19</v>
      </c>
      <c r="B8" s="294"/>
      <c r="C8" s="302" t="s">
        <v>20</v>
      </c>
      <c r="D8" s="295" t="s">
        <v>3</v>
      </c>
      <c r="E8" s="302" t="s">
        <v>21</v>
      </c>
      <c r="F8" s="294" t="s">
        <v>22</v>
      </c>
      <c r="G8" s="302" t="s">
        <v>23</v>
      </c>
      <c r="H8" s="303" t="s">
        <v>24</v>
      </c>
      <c r="I8" s="304" t="s">
        <v>25</v>
      </c>
      <c r="J8" s="304" t="s">
        <v>26</v>
      </c>
      <c r="K8" s="305" t="s">
        <v>27</v>
      </c>
      <c r="L8" s="294" t="s">
        <v>28</v>
      </c>
      <c r="M8" s="300"/>
      <c r="N8" s="300"/>
      <c r="O8" s="300"/>
    </row>
    <row r="9" spans="1:16" s="316" customFormat="1" ht="20.100000000000001" customHeight="1" x14ac:dyDescent="0.15">
      <c r="A9" s="306" t="str">
        <f>IFERROR(IF(HLOOKUP($L$5,Unitsets!$C$3:$AH$15,M9,FALSE)=0,"",HLOOKUP($L$5,Unitsets!$C$3:$AH$15,M9,FALSE)),"")</f>
        <v/>
      </c>
      <c r="B9" s="307" t="str">
        <f>IFERROR(IF(VLOOKUP($A9,TableHandbook[],2,FALSE)=0,"",VLOOKUP($A9,TableHandbook[],2,FALSE)),"")</f>
        <v/>
      </c>
      <c r="C9" s="308" t="str">
        <f>IFERROR(IF(VLOOKUP($A9,TableHandbook[],3,FALSE)=0,"",VLOOKUP($A9,TableHandbook[],3,FALSE)),"")</f>
        <v/>
      </c>
      <c r="D9" s="309" t="str">
        <f>IFERROR(IF(VLOOKUP($A9,TableHandbook[],4,FALSE)=0,"",VLOOKUP($A9,TableHandbook[],4,FALSE)),"")</f>
        <v/>
      </c>
      <c r="E9" s="308" t="str">
        <f>IF(A9="","",VLOOKUP($D$6,TableStudyPeriod[],2,FALSE))</f>
        <v/>
      </c>
      <c r="F9" s="310" t="str">
        <f>IFERROR(IF(VLOOKUP($A9,TableHandbook[],6,FALSE)=0,"",VLOOKUP($A9,TableHandbook[],6,FALSE)),"")</f>
        <v/>
      </c>
      <c r="G9" s="308" t="str">
        <f>IFERROR(IF(VLOOKUP($A9,TableHandbook[],5,FALSE)=0,"",VLOOKUP($A9,TableHandbook[],5,FALSE)),"")</f>
        <v/>
      </c>
      <c r="H9" s="311" t="str">
        <f>IFERROR(VLOOKUP($A9,TableHandbook[],H$2,FALSE),"")</f>
        <v/>
      </c>
      <c r="I9" s="312" t="str">
        <f>IFERROR(VLOOKUP($A9,TableHandbook[],I$2,FALSE),"")</f>
        <v/>
      </c>
      <c r="J9" s="312" t="str">
        <f>IFERROR(VLOOKUP($A9,TableHandbook[],J$2,FALSE),"")</f>
        <v/>
      </c>
      <c r="K9" s="313" t="str">
        <f>IFERROR(VLOOKUP($A9,TableHandbook[],K$2,FALSE),"")</f>
        <v/>
      </c>
      <c r="L9" s="93"/>
      <c r="M9" s="314">
        <v>2</v>
      </c>
      <c r="N9" s="315"/>
      <c r="O9" s="315"/>
    </row>
    <row r="10" spans="1:16" s="316" customFormat="1" ht="20.100000000000001" customHeight="1" x14ac:dyDescent="0.15">
      <c r="A10" s="317" t="str">
        <f>IFERROR(IF(HLOOKUP($L$5,Unitsets!$C$3:$AH$15,M10,FALSE)=0,"",HLOOKUP($L$5,Unitsets!$C$3:$AH$15,M10,FALSE)),"")</f>
        <v/>
      </c>
      <c r="B10" s="318" t="str">
        <f>IFERROR(IF(VLOOKUP($A10,TableHandbook[],2,FALSE)=0,"",VLOOKUP($A10,TableHandbook[],2,FALSE)),"")</f>
        <v/>
      </c>
      <c r="C10" s="319" t="str">
        <f>IFERROR(IF(VLOOKUP($A10,TableHandbook[],3,FALSE)=0,"",VLOOKUP($A10,TableHandbook[],3,FALSE)),"")</f>
        <v/>
      </c>
      <c r="D10" s="320" t="str">
        <f>IFERROR(IF(VLOOKUP($A10,TableHandbook[],4,FALSE)=0,"",VLOOKUP($A10,TableHandbook[],4,FALSE)),"")</f>
        <v/>
      </c>
      <c r="E10" s="319" t="str">
        <f>IF(A10="","",E9)</f>
        <v/>
      </c>
      <c r="F10" s="321" t="str">
        <f>IFERROR(IF(VLOOKUP($A10,TableHandbook[],6,FALSE)=0,"",VLOOKUP($A10,TableHandbook[],6,FALSE)),"")</f>
        <v/>
      </c>
      <c r="G10" s="319" t="str">
        <f>IFERROR(IF(VLOOKUP($A10,TableHandbook[],5,FALSE)=0,"",VLOOKUP($A10,TableHandbook[],5,FALSE)),"")</f>
        <v/>
      </c>
      <c r="H10" s="322" t="str">
        <f>IFERROR(VLOOKUP($A10,TableHandbook[],H$2,FALSE),"")</f>
        <v/>
      </c>
      <c r="I10" s="323" t="str">
        <f>IFERROR(VLOOKUP($A10,TableHandbook[],I$2,FALSE),"")</f>
        <v/>
      </c>
      <c r="J10" s="323" t="str">
        <f>IFERROR(VLOOKUP($A10,TableHandbook[],J$2,FALSE),"")</f>
        <v/>
      </c>
      <c r="K10" s="324" t="str">
        <f>IFERROR(VLOOKUP($A10,TableHandbook[],K$2,FALSE),"")</f>
        <v/>
      </c>
      <c r="L10" s="94"/>
      <c r="M10" s="314">
        <v>3</v>
      </c>
      <c r="N10" s="315"/>
      <c r="O10" s="315"/>
    </row>
    <row r="11" spans="1:16" s="316" customFormat="1" ht="4.5" customHeight="1" x14ac:dyDescent="0.15">
      <c r="A11" s="325"/>
      <c r="B11" s="326"/>
      <c r="C11" s="327"/>
      <c r="D11" s="327"/>
      <c r="E11" s="327"/>
      <c r="F11" s="328"/>
      <c r="G11" s="327"/>
      <c r="H11" s="329"/>
      <c r="I11" s="330"/>
      <c r="J11" s="330"/>
      <c r="K11" s="331"/>
      <c r="L11" s="347"/>
      <c r="M11" s="314"/>
      <c r="N11" s="315"/>
      <c r="O11" s="315"/>
      <c r="P11" s="315"/>
    </row>
    <row r="12" spans="1:16" s="316" customFormat="1" ht="20.100000000000001" customHeight="1" x14ac:dyDescent="0.15">
      <c r="A12" s="332" t="str">
        <f>IFERROR(IF(HLOOKUP($L$5,Unitsets!$C$3:$AH$15,M12,FALSE)=0,"",HLOOKUP($L$5,Unitsets!$C$3:$AH$15,M12,FALSE)),"")</f>
        <v/>
      </c>
      <c r="B12" s="333" t="str">
        <f>IFERROR(IF(VLOOKUP($A12,TableHandbook[],2,FALSE)=0,"",VLOOKUP($A12,TableHandbook[],2,FALSE)),"")</f>
        <v/>
      </c>
      <c r="C12" s="334" t="str">
        <f>IFERROR(IF(VLOOKUP($A12,TableHandbook[],3,FALSE)=0,"",VLOOKUP($A12,TableHandbook[],3,FALSE)),"")</f>
        <v/>
      </c>
      <c r="D12" s="335" t="str">
        <f>IFERROR(IF(VLOOKUP($A12,TableHandbook[],4,FALSE)=0,"",VLOOKUP($A12,TableHandbook[],4,FALSE)),"")</f>
        <v/>
      </c>
      <c r="E12" s="334" t="str">
        <f>IF(A12="","",VLOOKUP($D$6,TableStudyPeriod[],3,FALSE))</f>
        <v/>
      </c>
      <c r="F12" s="336" t="str">
        <f>IFERROR(IF(VLOOKUP($A12,TableHandbook[],6,FALSE)=0,"",VLOOKUP($A12,TableHandbook[],6,FALSE)),"")</f>
        <v/>
      </c>
      <c r="G12" s="334" t="str">
        <f>IFERROR(IF(VLOOKUP($A12,TableHandbook[],5,FALSE)=0,"",VLOOKUP($A12,TableHandbook[],5,FALSE)),"")</f>
        <v/>
      </c>
      <c r="H12" s="337" t="str">
        <f>IFERROR(VLOOKUP($A12,TableHandbook[],H$2,FALSE),"")</f>
        <v/>
      </c>
      <c r="I12" s="338" t="str">
        <f>IFERROR(VLOOKUP($A12,TableHandbook[],I$2,FALSE),"")</f>
        <v/>
      </c>
      <c r="J12" s="338" t="str">
        <f>IFERROR(VLOOKUP($A12,TableHandbook[],J$2,FALSE),"")</f>
        <v/>
      </c>
      <c r="K12" s="339" t="str">
        <f>IFERROR(VLOOKUP($A12,TableHandbook[],K$2,FALSE),"")</f>
        <v/>
      </c>
      <c r="L12" s="95"/>
      <c r="M12" s="314">
        <v>4</v>
      </c>
      <c r="N12" s="315"/>
      <c r="O12" s="315"/>
    </row>
    <row r="13" spans="1:16" s="316" customFormat="1" ht="20.100000000000001" customHeight="1" x14ac:dyDescent="0.15">
      <c r="A13" s="317" t="str">
        <f>IFERROR(IF(HLOOKUP($L$5,Unitsets!$C$3:$AH$15,M13,FALSE)=0,"",HLOOKUP($L$5,Unitsets!$C$3:$AH$15,M13,FALSE)),"")</f>
        <v/>
      </c>
      <c r="B13" s="318" t="str">
        <f>IFERROR(IF(VLOOKUP($A13,TableHandbook[],2,FALSE)=0,"",VLOOKUP($A13,TableHandbook[],2,FALSE)),"")</f>
        <v/>
      </c>
      <c r="C13" s="319" t="str">
        <f>IFERROR(IF(VLOOKUP($A13,TableHandbook[],3,FALSE)=0,"",VLOOKUP($A13,TableHandbook[],3,FALSE)),"")</f>
        <v/>
      </c>
      <c r="D13" s="320" t="str">
        <f>IFERROR(IF(VLOOKUP($A13,TableHandbook[],4,FALSE)=0,"",VLOOKUP($A13,TableHandbook[],4,FALSE)),"")</f>
        <v/>
      </c>
      <c r="E13" s="319" t="str">
        <f>IF(A13="","",E12)</f>
        <v/>
      </c>
      <c r="F13" s="321" t="str">
        <f>IFERROR(IF(VLOOKUP($A13,TableHandbook[],6,FALSE)=0,"",VLOOKUP($A13,TableHandbook[],6,FALSE)),"")</f>
        <v/>
      </c>
      <c r="G13" s="319" t="str">
        <f>IFERROR(IF(VLOOKUP($A13,TableHandbook[],5,FALSE)=0,"",VLOOKUP($A13,TableHandbook[],5,FALSE)),"")</f>
        <v/>
      </c>
      <c r="H13" s="322" t="str">
        <f>IFERROR(VLOOKUP($A13,TableHandbook[],H$2,FALSE),"")</f>
        <v/>
      </c>
      <c r="I13" s="323" t="str">
        <f>IFERROR(VLOOKUP($A13,TableHandbook[],I$2,FALSE),"")</f>
        <v/>
      </c>
      <c r="J13" s="323" t="str">
        <f>IFERROR(VLOOKUP($A13,TableHandbook[],J$2,FALSE),"")</f>
        <v/>
      </c>
      <c r="K13" s="324" t="str">
        <f>IFERROR(VLOOKUP($A13,TableHandbook[],K$2,FALSE),"")</f>
        <v/>
      </c>
      <c r="L13" s="94"/>
      <c r="M13" s="314">
        <v>5</v>
      </c>
      <c r="N13" s="315"/>
      <c r="O13" s="315"/>
    </row>
    <row r="15" spans="1:16" ht="32.25" customHeight="1" x14ac:dyDescent="0.25">
      <c r="A15" s="340" t="s">
        <v>29</v>
      </c>
      <c r="B15" s="340"/>
      <c r="C15" s="340"/>
      <c r="D15" s="340"/>
      <c r="E15" s="340"/>
      <c r="F15" s="340"/>
      <c r="G15" s="340"/>
      <c r="H15" s="340"/>
      <c r="I15" s="340"/>
      <c r="J15" s="340"/>
      <c r="K15" s="340"/>
      <c r="L15" s="340"/>
    </row>
    <row r="16" spans="1:16" s="342" customFormat="1" ht="24.75" customHeight="1" x14ac:dyDescent="0.3">
      <c r="A16" s="91" t="s">
        <v>30</v>
      </c>
      <c r="B16" s="91"/>
      <c r="C16" s="91"/>
      <c r="D16" s="92"/>
      <c r="E16" s="92"/>
      <c r="F16" s="92"/>
      <c r="G16" s="92"/>
      <c r="H16" s="92"/>
      <c r="I16" s="92"/>
      <c r="J16" s="92"/>
      <c r="K16" s="92"/>
      <c r="L16" s="92"/>
      <c r="M16" s="341"/>
      <c r="N16" s="341"/>
      <c r="O16" s="341"/>
    </row>
    <row r="17" spans="1:12" ht="15" customHeight="1" x14ac:dyDescent="0.25">
      <c r="A17" s="343" t="s">
        <v>31</v>
      </c>
      <c r="B17" s="343"/>
      <c r="C17" s="343"/>
      <c r="D17" s="343"/>
      <c r="E17" s="344"/>
      <c r="F17" s="345"/>
      <c r="G17" s="346"/>
      <c r="H17" s="346"/>
      <c r="I17" s="346"/>
      <c r="J17" s="346"/>
      <c r="K17" s="346"/>
      <c r="L17" s="346" t="s">
        <v>32</v>
      </c>
    </row>
  </sheetData>
  <sheetProtection algorithmName="SHA-512" hashValue="RsqVSc+OuXfa+lR2H9R2dfnANpjeOKt0MKeUilWVvyCZ0E1eQicFB8ATqcMCIq/zavgxwATWdRHmRiozCvP9Eg==" saltValue="Om/atw7YqWzMK/vrPVYSmg==" spinCount="100000" sheet="1" objects="1" scenarios="1" formatCells="0"/>
  <mergeCells count="2">
    <mergeCell ref="A3:D3"/>
    <mergeCell ref="A15:L15"/>
  </mergeCells>
  <conditionalFormatting sqref="A9:L13">
    <cfRule type="expression" dxfId="30" priority="2">
      <formula>$A9=""</formula>
    </cfRule>
  </conditionalFormatting>
  <conditionalFormatting sqref="D5:D6">
    <cfRule type="containsText" dxfId="29" priority="4" operator="containsText" text="Choose">
      <formula>NOT(ISERROR(SEARCH("Choose",D5)))</formula>
    </cfRule>
  </conditionalFormatting>
  <conditionalFormatting sqref="H9:K13">
    <cfRule type="expression" dxfId="28" priority="1">
      <formula>$E9=H$8</formula>
    </cfRule>
  </conditionalFormatting>
  <dataValidations count="1">
    <dataValidation type="list" allowBlank="1" showInputMessage="1" showErrorMessage="1" sqref="L11" xr:uid="{00000000-0002-0000-0000-000000000000}"/>
  </dataValidations>
  <hyperlinks>
    <hyperlink ref="A16:L16"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9"/>
  <sheetViews>
    <sheetView showGridLines="0" topLeftCell="A3" zoomScaleNormal="100" workbookViewId="0">
      <selection activeCell="D5" sqref="D5"/>
    </sheetView>
  </sheetViews>
  <sheetFormatPr defaultRowHeight="15" x14ac:dyDescent="0.25"/>
  <cols>
    <col min="1" max="1" width="8.5" style="21" customWidth="1"/>
    <col min="2" max="2" width="3.25" style="21" customWidth="1"/>
    <col min="3" max="3" width="11.875" style="21" bestFit="1" customWidth="1"/>
    <col min="4" max="4" width="49.625" style="20" bestFit="1" customWidth="1"/>
    <col min="5" max="5" width="6.375" style="20" customWidth="1"/>
    <col min="6" max="6" width="16.75" style="20" bestFit="1" customWidth="1"/>
    <col min="7" max="7" width="5.625" style="20" customWidth="1"/>
    <col min="8" max="11" width="4.625" style="20" customWidth="1"/>
    <col min="12" max="12" width="15.625" style="20" customWidth="1"/>
    <col min="13" max="13" width="2.5" style="20" hidden="1" customWidth="1"/>
    <col min="14" max="16384" width="9" style="20"/>
  </cols>
  <sheetData>
    <row r="1" spans="1:23" hidden="1" x14ac:dyDescent="0.25">
      <c r="A1" s="16" t="s">
        <v>0</v>
      </c>
      <c r="B1" s="17" t="s">
        <v>1</v>
      </c>
      <c r="C1" s="17" t="s">
        <v>2</v>
      </c>
      <c r="D1" s="18" t="s">
        <v>3</v>
      </c>
      <c r="E1" s="17" t="s">
        <v>4</v>
      </c>
      <c r="F1" s="17" t="s">
        <v>5</v>
      </c>
      <c r="G1" s="18" t="s">
        <v>6</v>
      </c>
      <c r="H1" s="19" t="s">
        <v>7</v>
      </c>
      <c r="I1" s="18"/>
      <c r="J1" s="18"/>
      <c r="K1" s="18"/>
      <c r="L1" s="18" t="s">
        <v>8</v>
      </c>
    </row>
    <row r="2" spans="1:23" hidden="1" x14ac:dyDescent="0.25">
      <c r="A2" s="159"/>
      <c r="B2" s="161">
        <v>2</v>
      </c>
      <c r="C2" s="161">
        <v>3</v>
      </c>
      <c r="D2" s="161">
        <v>4</v>
      </c>
      <c r="E2" s="161"/>
      <c r="F2" s="161">
        <v>6</v>
      </c>
      <c r="G2" s="161">
        <v>5</v>
      </c>
      <c r="H2" s="161">
        <v>7</v>
      </c>
      <c r="I2" s="161">
        <v>8</v>
      </c>
      <c r="J2" s="161">
        <v>9</v>
      </c>
      <c r="K2" s="161">
        <v>10</v>
      </c>
      <c r="L2" s="160"/>
    </row>
    <row r="3" spans="1:23" ht="39.950000000000003" customHeight="1" x14ac:dyDescent="0.25">
      <c r="A3" s="267" t="s">
        <v>9</v>
      </c>
      <c r="B3" s="267"/>
      <c r="C3" s="267"/>
      <c r="D3" s="267"/>
      <c r="E3" s="102"/>
      <c r="F3" s="102"/>
      <c r="G3" s="102"/>
      <c r="H3" s="102"/>
      <c r="I3" s="102"/>
      <c r="J3" s="102"/>
      <c r="K3" s="102"/>
      <c r="L3" s="102"/>
    </row>
    <row r="4" spans="1:23" ht="26.25" x14ac:dyDescent="0.25">
      <c r="A4" s="229"/>
      <c r="B4" s="228"/>
      <c r="C4" s="228"/>
      <c r="D4" s="227"/>
      <c r="E4" s="227" t="s">
        <v>10</v>
      </c>
      <c r="F4" s="228"/>
      <c r="G4" s="230"/>
      <c r="H4" s="230"/>
      <c r="I4" s="230"/>
      <c r="J4" s="230"/>
      <c r="K4" s="230"/>
      <c r="L4" s="230"/>
    </row>
    <row r="5" spans="1:23" ht="20.100000000000001" customHeight="1" x14ac:dyDescent="0.25">
      <c r="B5" s="103"/>
      <c r="C5" s="104" t="s">
        <v>11</v>
      </c>
      <c r="D5" s="158" t="s">
        <v>33</v>
      </c>
      <c r="E5" s="105"/>
      <c r="F5" s="104" t="s">
        <v>13</v>
      </c>
      <c r="G5" s="105" t="str">
        <f>IFERROR(CONCATENATE(VLOOKUP(D5,TableCourses[],2,FALSE)," ",VLOOKUP(D5,TableCourses[],3,FALSE)),"")</f>
        <v>OG-PROJM v.2</v>
      </c>
      <c r="H5" s="105"/>
      <c r="I5" s="105"/>
      <c r="J5" s="105"/>
      <c r="K5" s="105"/>
      <c r="L5" s="177" t="str">
        <f>CONCATENATE(VLOOKUP(D5,TableCourses[],2,FALSE),VLOOKUP(D6,TableStudyPeriod[],2,FALSE))</f>
        <v>OG-PROJMSP1</v>
      </c>
    </row>
    <row r="6" spans="1:23" ht="20.100000000000001" customHeight="1" x14ac:dyDescent="0.25">
      <c r="A6" s="107"/>
      <c r="B6" s="108"/>
      <c r="C6" s="104" t="s">
        <v>14</v>
      </c>
      <c r="D6" s="157" t="s">
        <v>15</v>
      </c>
      <c r="E6" s="109"/>
      <c r="F6" s="104" t="s">
        <v>16</v>
      </c>
      <c r="G6" s="105" t="str">
        <f>IFERROR(VLOOKUP($D$5,TableCourses[],7,FALSE),"")</f>
        <v xml:space="preserve">200 credit points required </v>
      </c>
      <c r="H6" s="110"/>
      <c r="I6" s="110"/>
      <c r="J6" s="110"/>
      <c r="K6" s="110"/>
      <c r="L6" s="110"/>
      <c r="W6" s="22"/>
    </row>
    <row r="7" spans="1:23" s="24" customFormat="1" ht="14.1" customHeight="1" x14ac:dyDescent="0.25">
      <c r="A7" s="111" t="s">
        <v>17</v>
      </c>
      <c r="B7" s="111"/>
      <c r="C7" s="111"/>
      <c r="D7" s="112"/>
      <c r="E7" s="113"/>
      <c r="F7" s="111"/>
      <c r="G7" s="111"/>
      <c r="H7" s="114" t="s">
        <v>18</v>
      </c>
      <c r="I7" s="115"/>
      <c r="J7" s="115"/>
      <c r="K7" s="116"/>
      <c r="L7" s="113"/>
      <c r="M7" s="117"/>
      <c r="N7" s="117"/>
      <c r="O7" s="117"/>
      <c r="W7" s="23"/>
    </row>
    <row r="8" spans="1:23" s="24" customFormat="1" ht="21" x14ac:dyDescent="0.25">
      <c r="A8" s="111" t="s">
        <v>19</v>
      </c>
      <c r="B8" s="111"/>
      <c r="C8" s="118" t="s">
        <v>20</v>
      </c>
      <c r="D8" s="112" t="s">
        <v>3</v>
      </c>
      <c r="E8" s="118" t="s">
        <v>21</v>
      </c>
      <c r="F8" s="111" t="s">
        <v>22</v>
      </c>
      <c r="G8" s="118" t="s">
        <v>23</v>
      </c>
      <c r="H8" s="183" t="s">
        <v>24</v>
      </c>
      <c r="I8" s="184" t="s">
        <v>25</v>
      </c>
      <c r="J8" s="184" t="s">
        <v>26</v>
      </c>
      <c r="K8" s="185" t="s">
        <v>27</v>
      </c>
      <c r="L8" s="111" t="s">
        <v>28</v>
      </c>
      <c r="M8" s="117"/>
      <c r="N8" s="117"/>
      <c r="O8" s="117"/>
      <c r="W8" s="23"/>
    </row>
    <row r="9" spans="1:23" s="26" customFormat="1" ht="20.100000000000001" customHeight="1" x14ac:dyDescent="0.15">
      <c r="A9" s="119" t="str">
        <f>IFERROR(IF(HLOOKUP($L$5,Unitsets!$C$3:$AH$15,M9,FALSE)=0,"",HLOOKUP($L$5,Unitsets!$C$3:$AH$15,M9,FALSE)),"")</f>
        <v>PRJM6013</v>
      </c>
      <c r="B9" s="120">
        <f>IFERROR(IF(VLOOKUP($A9,TableHandbook[],2,FALSE)=0,"",VLOOKUP($A9,TableHandbook[],2,FALSE)),"")</f>
        <v>2</v>
      </c>
      <c r="C9" s="121" t="str">
        <f>IFERROR(IF(VLOOKUP($A9,TableHandbook[],3,FALSE)=0,"",VLOOKUP($A9,TableHandbook[],3,FALSE)),"")</f>
        <v>PRM500</v>
      </c>
      <c r="D9" s="122" t="str">
        <f>IFERROR(IF(VLOOKUP($A9,TableHandbook[],4,FALSE)=0,"",VLOOKUP($A9,TableHandbook[],4,FALSE)),"")</f>
        <v>Project Management Overview</v>
      </c>
      <c r="E9" s="121" t="str">
        <f>IF(A9="","",VLOOKUP($D$6,TableStudyPeriod[],2,FALSE))</f>
        <v>SP1</v>
      </c>
      <c r="F9" s="123" t="str">
        <f>IFERROR(IF(VLOOKUP($A9,TableHandbook[],6,FALSE)=0,"",VLOOKUP($A9,TableHandbook[],6,FALSE)),"")</f>
        <v>Nil</v>
      </c>
      <c r="G9" s="121">
        <f>IFERROR(IF(VLOOKUP($A9,TableHandbook[],5,FALSE)=0,"",VLOOKUP($A9,TableHandbook[],5,FALSE)),"")</f>
        <v>25</v>
      </c>
      <c r="H9" s="186" t="str">
        <f>IFERROR(VLOOKUP($A9,TableHandbook[],H$2,FALSE),"")</f>
        <v>Y</v>
      </c>
      <c r="I9" s="187" t="str">
        <f>IFERROR(VLOOKUP($A9,TableHandbook[],I$2,FALSE),"")</f>
        <v/>
      </c>
      <c r="J9" s="187" t="str">
        <f>IFERROR(VLOOKUP($A9,TableHandbook[],J$2,FALSE),"")</f>
        <v>Y</v>
      </c>
      <c r="K9" s="188" t="str">
        <f>IFERROR(VLOOKUP($A9,TableHandbook[],K$2,FALSE),"")</f>
        <v/>
      </c>
      <c r="L9" s="93"/>
      <c r="M9" s="168">
        <v>2</v>
      </c>
      <c r="N9" s="124"/>
      <c r="O9" s="124"/>
      <c r="W9" s="25"/>
    </row>
    <row r="10" spans="1:23" s="26" customFormat="1" ht="20.100000000000001" customHeight="1" x14ac:dyDescent="0.15">
      <c r="A10" s="125" t="str">
        <f>IFERROR(IF(HLOOKUP($L$5,Unitsets!$C$3:$AH$15,M10,FALSE)=0,"",HLOOKUP($L$5,Unitsets!$C$3:$AH$15,M10,FALSE)),"")</f>
        <v>PRJM6016</v>
      </c>
      <c r="B10" s="126">
        <f>IFERROR(IF(VLOOKUP($A10,TableHandbook[],2,FALSE)=0,"",VLOOKUP($A10,TableHandbook[],2,FALSE)),"")</f>
        <v>1</v>
      </c>
      <c r="C10" s="126" t="str">
        <f>IFERROR(IF(VLOOKUP($A10,TableHandbook[],3,FALSE)=0,"",VLOOKUP($A10,TableHandbook[],3,FALSE)),"")</f>
        <v>PRM520</v>
      </c>
      <c r="D10" s="127" t="str">
        <f>IFERROR(IF(VLOOKUP($A10,TableHandbook[],4,FALSE)=0,"",VLOOKUP($A10,TableHandbook[],4,FALSE)),"")</f>
        <v>Project Cost Management</v>
      </c>
      <c r="E10" s="126" t="str">
        <f>IF(A10="","",E9)</f>
        <v>SP1</v>
      </c>
      <c r="F10" s="128" t="str">
        <f>IFERROR(IF(VLOOKUP($A10,TableHandbook[],6,FALSE)=0,"",VLOOKUP($A10,TableHandbook[],6,FALSE)),"")</f>
        <v>Nil</v>
      </c>
      <c r="G10" s="126">
        <f>IFERROR(IF(VLOOKUP($A10,TableHandbook[],5,FALSE)=0,"",VLOOKUP($A10,TableHandbook[],5,FALSE)),"")</f>
        <v>25</v>
      </c>
      <c r="H10" s="189" t="str">
        <f>IFERROR(VLOOKUP($A10,TableHandbook[],H$2,FALSE),"")</f>
        <v>Y</v>
      </c>
      <c r="I10" s="190" t="str">
        <f>IFERROR(VLOOKUP($A10,TableHandbook[],I$2,FALSE),"")</f>
        <v/>
      </c>
      <c r="J10" s="190" t="str">
        <f>IFERROR(VLOOKUP($A10,TableHandbook[],J$2,FALSE),"")</f>
        <v>Y</v>
      </c>
      <c r="K10" s="191" t="str">
        <f>IFERROR(VLOOKUP($A10,TableHandbook[],K$2,FALSE),"")</f>
        <v/>
      </c>
      <c r="L10" s="94"/>
      <c r="M10" s="168">
        <v>3</v>
      </c>
      <c r="N10" s="124"/>
      <c r="O10" s="124"/>
      <c r="W10" s="25"/>
    </row>
    <row r="11" spans="1:23" s="26" customFormat="1" ht="4.5" customHeight="1" x14ac:dyDescent="0.15">
      <c r="A11" s="162"/>
      <c r="B11" s="163"/>
      <c r="C11" s="163"/>
      <c r="D11" s="163"/>
      <c r="E11" s="163"/>
      <c r="F11" s="164"/>
      <c r="G11" s="163"/>
      <c r="H11" s="192"/>
      <c r="I11" s="193"/>
      <c r="J11" s="193"/>
      <c r="K11" s="194"/>
      <c r="L11" s="166"/>
      <c r="M11" s="168"/>
      <c r="N11" s="124"/>
      <c r="O11" s="124"/>
      <c r="P11" s="124"/>
      <c r="W11" s="25"/>
    </row>
    <row r="12" spans="1:23" s="26" customFormat="1" ht="20.100000000000001" customHeight="1" x14ac:dyDescent="0.15">
      <c r="A12" s="129" t="str">
        <f>IFERROR(IF(HLOOKUP($L$5,Unitsets!$C$3:$AH$15,M12,FALSE)=0,"",HLOOKUP($L$5,Unitsets!$C$3:$AH$15,M12,FALSE)),"")</f>
        <v>PRJM6015</v>
      </c>
      <c r="B12" s="130">
        <f>IFERROR(IF(VLOOKUP($A12,TableHandbook[],2,FALSE)=0,"",VLOOKUP($A12,TableHandbook[],2,FALSE)),"")</f>
        <v>1</v>
      </c>
      <c r="C12" s="130" t="str">
        <f>IFERROR(IF(VLOOKUP($A12,TableHandbook[],3,FALSE)=0,"",VLOOKUP($A12,TableHandbook[],3,FALSE)),"")</f>
        <v>PRM510</v>
      </c>
      <c r="D12" s="131" t="str">
        <f>IFERROR(IF(VLOOKUP($A12,TableHandbook[],4,FALSE)=0,"",VLOOKUP($A12,TableHandbook[],4,FALSE)),"")</f>
        <v>Project and People</v>
      </c>
      <c r="E12" s="130" t="str">
        <f>IF(A12="","",VLOOKUP($D$6,TableStudyPeriod[],3,FALSE))</f>
        <v>SP2</v>
      </c>
      <c r="F12" s="132" t="str">
        <f>IFERROR(IF(VLOOKUP($A12,TableHandbook[],6,FALSE)=0,"",VLOOKUP($A12,TableHandbook[],6,FALSE)),"")</f>
        <v>Nil</v>
      </c>
      <c r="G12" s="130">
        <f>IFERROR(IF(VLOOKUP($A12,TableHandbook[],5,FALSE)=0,"",VLOOKUP($A12,TableHandbook[],5,FALSE)),"")</f>
        <v>25</v>
      </c>
      <c r="H12" s="195" t="str">
        <f>IFERROR(VLOOKUP($A12,TableHandbook[],H$2,FALSE),"")</f>
        <v/>
      </c>
      <c r="I12" s="196" t="str">
        <f>IFERROR(VLOOKUP($A12,TableHandbook[],I$2,FALSE),"")</f>
        <v>Y</v>
      </c>
      <c r="J12" s="196" t="str">
        <f>IFERROR(VLOOKUP($A12,TableHandbook[],J$2,FALSE),"")</f>
        <v/>
      </c>
      <c r="K12" s="197" t="str">
        <f>IFERROR(VLOOKUP($A12,TableHandbook[],K$2,FALSE),"")</f>
        <v>Y</v>
      </c>
      <c r="L12" s="95"/>
      <c r="M12" s="168">
        <v>4</v>
      </c>
      <c r="N12" s="124"/>
      <c r="O12" s="124"/>
      <c r="W12" s="25"/>
    </row>
    <row r="13" spans="1:23" s="26" customFormat="1" ht="20.100000000000001" customHeight="1" x14ac:dyDescent="0.15">
      <c r="A13" s="125" t="str">
        <f>IFERROR(IF(HLOOKUP($L$5,Unitsets!$C$3:$AH$15,M13,FALSE)=0,"",HLOOKUP($L$5,Unitsets!$C$3:$AH$15,M13,FALSE)),"")</f>
        <v>PRJM6020</v>
      </c>
      <c r="B13" s="126">
        <f>IFERROR(IF(VLOOKUP($A13,TableHandbook[],2,FALSE)=0,"",VLOOKUP($A13,TableHandbook[],2,FALSE)),"")</f>
        <v>1</v>
      </c>
      <c r="C13" s="126" t="str">
        <f>IFERROR(IF(VLOOKUP($A13,TableHandbook[],3,FALSE)=0,"",VLOOKUP($A13,TableHandbook[],3,FALSE)),"")</f>
        <v>PRM550</v>
      </c>
      <c r="D13" s="127" t="str">
        <f>IFERROR(IF(VLOOKUP($A13,TableHandbook[],4,FALSE)=0,"",VLOOKUP($A13,TableHandbook[],4,FALSE)),"")</f>
        <v>Project Risk Management</v>
      </c>
      <c r="E13" s="126" t="str">
        <f>IF(A13="","",E12)</f>
        <v>SP2</v>
      </c>
      <c r="F13" s="128" t="str">
        <f>IFERROR(IF(VLOOKUP($A13,TableHandbook[],6,FALSE)=0,"",VLOOKUP($A13,TableHandbook[],6,FALSE)),"")</f>
        <v>50CP</v>
      </c>
      <c r="G13" s="126">
        <f>IFERROR(IF(VLOOKUP($A13,TableHandbook[],5,FALSE)=0,"",VLOOKUP($A13,TableHandbook[],5,FALSE)),"")</f>
        <v>25</v>
      </c>
      <c r="H13" s="189" t="str">
        <f>IFERROR(VLOOKUP($A13,TableHandbook[],H$2,FALSE),"")</f>
        <v/>
      </c>
      <c r="I13" s="190" t="str">
        <f>IFERROR(VLOOKUP($A13,TableHandbook[],I$2,FALSE),"")</f>
        <v>Y</v>
      </c>
      <c r="J13" s="190" t="str">
        <f>IFERROR(VLOOKUP($A13,TableHandbook[],J$2,FALSE),"")</f>
        <v/>
      </c>
      <c r="K13" s="191" t="str">
        <f>IFERROR(VLOOKUP($A13,TableHandbook[],K$2,FALSE),"")</f>
        <v/>
      </c>
      <c r="L13" s="94"/>
      <c r="M13" s="168">
        <v>5</v>
      </c>
      <c r="N13" s="124"/>
      <c r="O13" s="124"/>
      <c r="W13" s="25"/>
    </row>
    <row r="14" spans="1:23" s="26" customFormat="1" ht="4.5" customHeight="1" x14ac:dyDescent="0.15">
      <c r="A14" s="162"/>
      <c r="B14" s="163"/>
      <c r="C14" s="163"/>
      <c r="D14" s="163"/>
      <c r="E14" s="163"/>
      <c r="F14" s="164"/>
      <c r="G14" s="163"/>
      <c r="H14" s="192"/>
      <c r="I14" s="193"/>
      <c r="J14" s="193"/>
      <c r="K14" s="194"/>
      <c r="L14" s="166"/>
      <c r="M14" s="168"/>
      <c r="N14" s="124"/>
      <c r="O14" s="124"/>
      <c r="P14" s="124"/>
      <c r="W14" s="25"/>
    </row>
    <row r="15" spans="1:23" s="26" customFormat="1" ht="20.100000000000001" customHeight="1" x14ac:dyDescent="0.15">
      <c r="A15" s="129" t="str">
        <f>IFERROR(IF(HLOOKUP($L$5,Unitsets!$C$3:$AH$15,M15,FALSE)=0,"",HLOOKUP($L$5,Unitsets!$C$3:$AH$15,M15,FALSE)),"")</f>
        <v>PRJM6018</v>
      </c>
      <c r="B15" s="133">
        <f>IFERROR(IF(VLOOKUP($A15,TableHandbook[],2,FALSE)=0,"",VLOOKUP($A15,TableHandbook[],2,FALSE)),"")</f>
        <v>1</v>
      </c>
      <c r="C15" s="133" t="str">
        <f>IFERROR(IF(VLOOKUP($A15,TableHandbook[],3,FALSE)=0,"",VLOOKUP($A15,TableHandbook[],3,FALSE)),"")</f>
        <v>PRM540</v>
      </c>
      <c r="D15" s="131" t="str">
        <f>IFERROR(IF(VLOOKUP($A15,TableHandbook[],4,FALSE)=0,"",VLOOKUP($A15,TableHandbook[],4,FALSE)),"")</f>
        <v>Project Procurement Management</v>
      </c>
      <c r="E15" s="130" t="str">
        <f>IF(A15="","",VLOOKUP($D$6,TableStudyPeriod[],4,FALSE))</f>
        <v>SP3</v>
      </c>
      <c r="F15" s="132" t="str">
        <f>IFERROR(IF(VLOOKUP($A15,TableHandbook[],6,FALSE)=0,"",VLOOKUP($A15,TableHandbook[],6,FALSE)),"")</f>
        <v>Nil</v>
      </c>
      <c r="G15" s="133">
        <f>IFERROR(IF(VLOOKUP($A15,TableHandbook[],5,FALSE)=0,"",VLOOKUP($A15,TableHandbook[],5,FALSE)),"")</f>
        <v>25</v>
      </c>
      <c r="H15" s="198" t="str">
        <f>IFERROR(VLOOKUP($A15,TableHandbook[],H$2,FALSE),"")</f>
        <v/>
      </c>
      <c r="I15" s="199" t="str">
        <f>IFERROR(VLOOKUP($A15,TableHandbook[],I$2,FALSE),"")</f>
        <v/>
      </c>
      <c r="J15" s="199" t="str">
        <f>IFERROR(VLOOKUP($A15,TableHandbook[],J$2,FALSE),"")</f>
        <v>Y</v>
      </c>
      <c r="K15" s="200" t="str">
        <f>IFERROR(VLOOKUP($A15,TableHandbook[],K$2,FALSE),"")</f>
        <v/>
      </c>
      <c r="L15" s="95"/>
      <c r="M15" s="168">
        <v>6</v>
      </c>
      <c r="N15" s="124"/>
      <c r="O15" s="124"/>
      <c r="W15" s="25"/>
    </row>
    <row r="16" spans="1:23" s="28" customFormat="1" ht="20.100000000000001" customHeight="1" x14ac:dyDescent="0.15">
      <c r="A16" s="125" t="str">
        <f>IFERROR(IF(HLOOKUP($L$5,Unitsets!$C$3:$AH$15,M16,FALSE)=0,"",HLOOKUP($L$5,Unitsets!$C$3:$AH$15,M16,FALSE)),"")</f>
        <v>AC-PROJM</v>
      </c>
      <c r="B16" s="134" t="str">
        <f>IFERROR(IF(VLOOKUP($A16,TableHandbook[],2,FALSE)=0,"",VLOOKUP($A16,TableHandbook[],2,FALSE)),"")</f>
        <v/>
      </c>
      <c r="C16" s="134" t="str">
        <f>IFERROR(IF(VLOOKUP($A16,TableHandbook[],3,FALSE)=0,"",VLOOKUP($A16,TableHandbook[],3,FALSE)),"")</f>
        <v/>
      </c>
      <c r="D16" s="127" t="str">
        <f>IFERROR(IF(VLOOKUP($A16,TableHandbook[],4,FALSE)=0,"",VLOOKUP($A16,TableHandbook[],4,FALSE)),"")</f>
        <v>Study either PRM630 or DBE600 (see below)</v>
      </c>
      <c r="E16" s="126" t="str">
        <f>IF(A16="","",E15)</f>
        <v>SP3</v>
      </c>
      <c r="F16" s="128" t="str">
        <f>IFERROR(IF(VLOOKUP($A16,TableHandbook[],6,FALSE)=0,"",VLOOKUP($A16,TableHandbook[],6,FALSE)),"")</f>
        <v>See below</v>
      </c>
      <c r="G16" s="134">
        <f>IFERROR(IF(VLOOKUP($A16,TableHandbook[],5,FALSE)=0,"",VLOOKUP($A16,TableHandbook[],5,FALSE)),"")</f>
        <v>25</v>
      </c>
      <c r="H16" s="201" t="str">
        <f>IFERROR(VLOOKUP($A16,TableHandbook[],H$2,FALSE),"")</f>
        <v>Y</v>
      </c>
      <c r="I16" s="202" t="str">
        <f>IFERROR(VLOOKUP($A16,TableHandbook[],I$2,FALSE),"")</f>
        <v/>
      </c>
      <c r="J16" s="202" t="str">
        <f>IFERROR(VLOOKUP($A16,TableHandbook[],J$2,FALSE),"")</f>
        <v>Y</v>
      </c>
      <c r="K16" s="203" t="str">
        <f>IFERROR(VLOOKUP($A16,TableHandbook[],K$2,FALSE),"")</f>
        <v/>
      </c>
      <c r="L16" s="96"/>
      <c r="M16" s="168">
        <v>7</v>
      </c>
      <c r="N16" s="135"/>
      <c r="O16" s="135"/>
      <c r="W16" s="27"/>
    </row>
    <row r="17" spans="1:23" s="26" customFormat="1" ht="4.5" customHeight="1" x14ac:dyDescent="0.15">
      <c r="A17" s="162"/>
      <c r="B17" s="163"/>
      <c r="C17" s="163"/>
      <c r="D17" s="163"/>
      <c r="E17" s="163"/>
      <c r="F17" s="164"/>
      <c r="G17" s="163"/>
      <c r="H17" s="192"/>
      <c r="I17" s="193"/>
      <c r="J17" s="193"/>
      <c r="K17" s="194"/>
      <c r="L17" s="166"/>
      <c r="M17" s="168"/>
      <c r="N17" s="124"/>
      <c r="O17" s="124"/>
      <c r="P17" s="124"/>
      <c r="W17" s="25"/>
    </row>
    <row r="18" spans="1:23" s="28" customFormat="1" ht="20.100000000000001" customHeight="1" x14ac:dyDescent="0.15">
      <c r="A18" s="129" t="str">
        <f>IFERROR(IF(HLOOKUP($L$5,Unitsets!$C$3:$AH$15,M18,FALSE)=0,"",HLOOKUP($L$5,Unitsets!$C$3:$AH$15,M18,FALSE)),"")</f>
        <v>PRJM6014</v>
      </c>
      <c r="B18" s="133">
        <f>IFERROR(IF(VLOOKUP($A18,TableHandbook[],2,FALSE)=0,"",VLOOKUP($A18,TableHandbook[],2,FALSE)),"")</f>
        <v>1</v>
      </c>
      <c r="C18" s="133" t="str">
        <f>IFERROR(IF(VLOOKUP($A18,TableHandbook[],3,FALSE)=0,"",VLOOKUP($A18,TableHandbook[],3,FALSE)),"")</f>
        <v>PRM560</v>
      </c>
      <c r="D18" s="131" t="str">
        <f>IFERROR(IF(VLOOKUP($A18,TableHandbook[],4,FALSE)=0,"",VLOOKUP($A18,TableHandbook[],4,FALSE)),"")</f>
        <v>Program and Portfolio Management</v>
      </c>
      <c r="E18" s="130" t="str">
        <f>IF(A18="","",VLOOKUP($D$6,TableStudyPeriod[],5,FALSE))</f>
        <v>SP4</v>
      </c>
      <c r="F18" s="132" t="str">
        <f>IFERROR(IF(VLOOKUP($A18,TableHandbook[],6,FALSE)=0,"",VLOOKUP($A18,TableHandbook[],6,FALSE)),"")</f>
        <v>50CP</v>
      </c>
      <c r="G18" s="133">
        <f>IFERROR(IF(VLOOKUP($A18,TableHandbook[],5,FALSE)=0,"",VLOOKUP($A18,TableHandbook[],5,FALSE)),"")</f>
        <v>25</v>
      </c>
      <c r="H18" s="198" t="str">
        <f>IFERROR(VLOOKUP($A18,TableHandbook[],H$2,FALSE),"")</f>
        <v/>
      </c>
      <c r="I18" s="199" t="str">
        <f>IFERROR(VLOOKUP($A18,TableHandbook[],I$2,FALSE),"")</f>
        <v/>
      </c>
      <c r="J18" s="199" t="str">
        <f>IFERROR(VLOOKUP($A18,TableHandbook[],J$2,FALSE),"")</f>
        <v/>
      </c>
      <c r="K18" s="200" t="str">
        <f>IFERROR(VLOOKUP($A18,TableHandbook[],K$2,FALSE),"")</f>
        <v>Y</v>
      </c>
      <c r="L18" s="95"/>
      <c r="M18" s="168">
        <v>8</v>
      </c>
      <c r="N18" s="135"/>
      <c r="O18" s="135"/>
      <c r="W18" s="27"/>
    </row>
    <row r="19" spans="1:23" s="28" customFormat="1" ht="20.100000000000001" customHeight="1" x14ac:dyDescent="0.15">
      <c r="A19" s="119" t="str">
        <f>IFERROR(IF(HLOOKUP($L$5,Unitsets!$C$3:$AH$15,M19,FALSE)=0,"",HLOOKUP($L$5,Unitsets!$C$3:$AH$15,M19,FALSE)),"")</f>
        <v>PRJM6021</v>
      </c>
      <c r="B19" s="136">
        <f>IFERROR(IF(VLOOKUP($A19,TableHandbook[],2,FALSE)=0,"",VLOOKUP($A19,TableHandbook[],2,FALSE)),"")</f>
        <v>2</v>
      </c>
      <c r="C19" s="136" t="str">
        <f>IFERROR(IF(VLOOKUP($A19,TableHandbook[],3,FALSE)=0,"",VLOOKUP($A19,TableHandbook[],3,FALSE)),"")</f>
        <v>PRM530</v>
      </c>
      <c r="D19" s="137" t="str">
        <f>IFERROR(IF(VLOOKUP($A19,TableHandbook[],4,FALSE)=0,"",VLOOKUP($A19,TableHandbook[],4,FALSE)),"")</f>
        <v>Project Planning and Schedule Management</v>
      </c>
      <c r="E19" s="136" t="str">
        <f>IF(A19="","",E18)</f>
        <v>SP4</v>
      </c>
      <c r="F19" s="123" t="str">
        <f>IFERROR(IF(VLOOKUP($A19,TableHandbook[],6,FALSE)=0,"",VLOOKUP($A19,TableHandbook[],6,FALSE)),"")</f>
        <v>Nil</v>
      </c>
      <c r="G19" s="136">
        <f>IFERROR(IF(VLOOKUP($A19,TableHandbook[],5,FALSE)=0,"",VLOOKUP($A19,TableHandbook[],5,FALSE)),"")</f>
        <v>25</v>
      </c>
      <c r="H19" s="201" t="str">
        <f>IFERROR(VLOOKUP($A19,TableHandbook[],H$2,FALSE),"")</f>
        <v/>
      </c>
      <c r="I19" s="202" t="str">
        <f>IFERROR(VLOOKUP($A19,TableHandbook[],I$2,FALSE),"")</f>
        <v>Y</v>
      </c>
      <c r="J19" s="202" t="str">
        <f>IFERROR(VLOOKUP($A19,TableHandbook[],J$2,FALSE),"")</f>
        <v/>
      </c>
      <c r="K19" s="203" t="str">
        <f>IFERROR(VLOOKUP($A19,TableHandbook[],K$2,FALSE),"")</f>
        <v>Y</v>
      </c>
      <c r="L19" s="97"/>
      <c r="M19" s="168">
        <v>9</v>
      </c>
      <c r="N19" s="135"/>
      <c r="O19" s="135"/>
      <c r="W19" s="27"/>
    </row>
    <row r="20" spans="1:23" s="32" customFormat="1" ht="13.9" customHeight="1" x14ac:dyDescent="0.2">
      <c r="A20" s="143"/>
      <c r="B20" s="143"/>
      <c r="C20" s="143"/>
      <c r="D20" s="144"/>
      <c r="E20" s="144"/>
      <c r="F20" s="145"/>
      <c r="G20" s="145"/>
      <c r="H20" s="145"/>
      <c r="I20" s="145"/>
      <c r="J20" s="145"/>
      <c r="K20" s="145"/>
      <c r="L20" s="145"/>
      <c r="M20" s="170"/>
      <c r="N20" s="146"/>
      <c r="O20" s="146"/>
      <c r="W20" s="31"/>
    </row>
    <row r="21" spans="1:23" ht="16.5" x14ac:dyDescent="0.25">
      <c r="A21" s="147" t="s">
        <v>34</v>
      </c>
      <c r="B21" s="111"/>
      <c r="C21" s="111"/>
      <c r="D21" s="112"/>
      <c r="E21" s="113"/>
      <c r="F21" s="111"/>
      <c r="G21" s="111"/>
      <c r="H21" s="114" t="str">
        <f>H7</f>
        <v>2026 Availabilities</v>
      </c>
      <c r="I21" s="115"/>
      <c r="J21" s="115"/>
      <c r="K21" s="116"/>
      <c r="L21" s="113"/>
      <c r="M21" s="171"/>
      <c r="W21" s="22"/>
    </row>
    <row r="22" spans="1:23" s="34" customFormat="1" x14ac:dyDescent="0.25">
      <c r="A22" s="111"/>
      <c r="B22" s="111"/>
      <c r="C22" s="118" t="s">
        <v>20</v>
      </c>
      <c r="D22" s="112" t="s">
        <v>3</v>
      </c>
      <c r="E22" s="118"/>
      <c r="F22" s="111" t="s">
        <v>22</v>
      </c>
      <c r="G22" s="111" t="s">
        <v>35</v>
      </c>
      <c r="H22" s="183" t="str">
        <f>H8</f>
        <v>SP1</v>
      </c>
      <c r="I22" s="184" t="str">
        <f t="shared" ref="I22:K22" si="0">I8</f>
        <v>SP2</v>
      </c>
      <c r="J22" s="184" t="str">
        <f t="shared" si="0"/>
        <v>SP3</v>
      </c>
      <c r="K22" s="185" t="str">
        <f t="shared" si="0"/>
        <v>SP4</v>
      </c>
      <c r="L22" s="111" t="str">
        <f>L8</f>
        <v>Notes / Progress</v>
      </c>
      <c r="M22" s="171"/>
      <c r="W22" s="33"/>
    </row>
    <row r="23" spans="1:23" ht="18" customHeight="1" x14ac:dyDescent="0.25">
      <c r="A23" s="148" t="str">
        <f>IFERROR(IF(HLOOKUP($L$5,RangeAltCores,M23,FALSE)=0,"",HLOOKUP($L$5,RangeAltCores,M23,FALSE)),"")</f>
        <v>AC-PROJM</v>
      </c>
      <c r="B23" s="149" t="str">
        <f>IFERROR(IF(VLOOKUP($A23,TableHandbook[],2,FALSE)=0,"",VLOOKUP($A23,TableHandbook[],2,FALSE)),"")</f>
        <v/>
      </c>
      <c r="C23" s="149" t="str">
        <f>IFERROR(IF(VLOOKUP($A23,TableHandbook[],3,FALSE)=0,"",VLOOKUP($A23,TableHandbook[],3,FALSE)),"")</f>
        <v/>
      </c>
      <c r="D23" s="150" t="str">
        <f>IFERROR(IF(VLOOKUP($A23,TableHandbook[],4,FALSE)=0,"",VLOOKUP($A23,TableHandbook[],4,FALSE)),"")</f>
        <v>Study either PRM630 or DBE600 (see below)</v>
      </c>
      <c r="E23" s="151"/>
      <c r="F23" s="152" t="str">
        <f>IFERROR(IF(VLOOKUP($A23,TableHandbook[],6,FALSE)=0,"",VLOOKUP($A23,TableHandbook[],6,FALSE)),"")</f>
        <v>See below</v>
      </c>
      <c r="G23" s="152">
        <f>IFERROR(IF(VLOOKUP($A23,TableHandbook[],5,FALSE)=0,"",VLOOKUP($A23,TableHandbook[],5,FALSE)),"")</f>
        <v>25</v>
      </c>
      <c r="H23" s="207" t="str">
        <f>IFERROR(VLOOKUP($A23,TableHandbook[],H$2,FALSE),"")</f>
        <v>Y</v>
      </c>
      <c r="I23" s="208" t="str">
        <f>IFERROR(VLOOKUP($A23,TableHandbook[],I$2,FALSE),"")</f>
        <v/>
      </c>
      <c r="J23" s="208" t="str">
        <f>IFERROR(VLOOKUP($A23,TableHandbook[],J$2,FALSE),"")</f>
        <v>Y</v>
      </c>
      <c r="K23" s="209" t="str">
        <f>IFERROR(VLOOKUP($A23,TableHandbook[],K$2,FALSE),"")</f>
        <v/>
      </c>
      <c r="L23" s="97"/>
      <c r="M23" s="168">
        <v>2</v>
      </c>
      <c r="W23" s="22"/>
    </row>
    <row r="24" spans="1:23" ht="18" customHeight="1" x14ac:dyDescent="0.25">
      <c r="A24" s="148" t="str">
        <f>IFERROR(IF(HLOOKUP($L$5,RangeAltCores,M24,FALSE)=0,"",HLOOKUP($L$5,RangeAltCores,M24,FALSE)),"")</f>
        <v>PRJM6026</v>
      </c>
      <c r="B24" s="149">
        <f>IFERROR(IF(VLOOKUP($A24,TableHandbook[],2,FALSE)=0,"",VLOOKUP($A24,TableHandbook[],2,FALSE)),"")</f>
        <v>1</v>
      </c>
      <c r="C24" s="149" t="str">
        <f>IFERROR(IF(VLOOKUP($A24,TableHandbook[],3,FALSE)=0,"",VLOOKUP($A24,TableHandbook[],3,FALSE)),"")</f>
        <v>PRM630</v>
      </c>
      <c r="D24" s="150" t="str">
        <f>IFERROR(IF(VLOOKUP($A24,TableHandbook[],4,FALSE)=0,"",VLOOKUP($A24,TableHandbook[],4,FALSE)),"")</f>
        <v>Agile Management</v>
      </c>
      <c r="E24" s="151"/>
      <c r="F24" s="152" t="str">
        <f>IFERROR(IF(VLOOKUP($A24,TableHandbook[],6,FALSE)=0,"",VLOOKUP($A24,TableHandbook[],6,FALSE)),"")</f>
        <v>Nil</v>
      </c>
      <c r="G24" s="152">
        <f>IFERROR(IF(VLOOKUP($A24,TableHandbook[],5,FALSE)=0,"",VLOOKUP($A24,TableHandbook[],5,FALSE)),"")</f>
        <v>25</v>
      </c>
      <c r="H24" s="210" t="str">
        <f>IFERROR(VLOOKUP($A24,TableHandbook[],H$2,FALSE),"")</f>
        <v>Y</v>
      </c>
      <c r="I24" s="211" t="str">
        <f>IFERROR(VLOOKUP($A24,TableHandbook[],I$2,FALSE),"")</f>
        <v/>
      </c>
      <c r="J24" s="211" t="str">
        <f>IFERROR(VLOOKUP($A24,TableHandbook[],J$2,FALSE),"")</f>
        <v/>
      </c>
      <c r="K24" s="212" t="str">
        <f>IFERROR(VLOOKUP($A24,TableHandbook[],K$2,FALSE),"")</f>
        <v/>
      </c>
      <c r="L24" s="97"/>
      <c r="M24" s="168">
        <v>3</v>
      </c>
      <c r="W24" s="22"/>
    </row>
    <row r="25" spans="1:23" ht="18" customHeight="1" x14ac:dyDescent="0.25">
      <c r="A25" s="148" t="str">
        <f>IFERROR(IF(HLOOKUP($L$5,RangeAltCores,M25,FALSE)=0,"",HLOOKUP($L$5,RangeAltCores,M25,FALSE)),"")</f>
        <v>URDE6007</v>
      </c>
      <c r="B25" s="149">
        <f>IFERROR(IF(VLOOKUP($A25,TableHandbook[],2,FALSE)=0,"",VLOOKUP($A25,TableHandbook[],2,FALSE)),"")</f>
        <v>1</v>
      </c>
      <c r="C25" s="149" t="str">
        <f>IFERROR(IF(VLOOKUP($A25,TableHandbook[],3,FALSE)=0,"",VLOOKUP($A25,TableHandbook[],3,FALSE)),"")</f>
        <v>DBE600</v>
      </c>
      <c r="D25" s="150" t="str">
        <f>IFERROR(IF(VLOOKUP($A25,TableHandbook[],4,FALSE)=0,"",VLOOKUP($A25,TableHandbook[],4,FALSE)),"")</f>
        <v>Design and Built Environment Research Methods</v>
      </c>
      <c r="E25" s="151"/>
      <c r="F25" s="152" t="str">
        <f>IFERROR(IF(VLOOKUP($A25,TableHandbook[],6,FALSE)=0,"",VLOOKUP($A25,TableHandbook[],6,FALSE)),"")</f>
        <v>Nil</v>
      </c>
      <c r="G25" s="152">
        <f>IFERROR(IF(VLOOKUP($A25,TableHandbook[],5,FALSE)=0,"",VLOOKUP($A25,TableHandbook[],5,FALSE)),"")</f>
        <v>25</v>
      </c>
      <c r="H25" s="213" t="str">
        <f>IFERROR(VLOOKUP($A25,TableHandbook[],H$2,FALSE),"")</f>
        <v>Y</v>
      </c>
      <c r="I25" s="214" t="str">
        <f>IFERROR(VLOOKUP($A25,TableHandbook[],I$2,FALSE),"")</f>
        <v/>
      </c>
      <c r="J25" s="214" t="str">
        <f>IFERROR(VLOOKUP($A25,TableHandbook[],J$2,FALSE),"")</f>
        <v>Y</v>
      </c>
      <c r="K25" s="215" t="str">
        <f>IFERROR(VLOOKUP($A25,TableHandbook[],K$2,FALSE),"")</f>
        <v/>
      </c>
      <c r="L25" s="97"/>
      <c r="M25" s="168">
        <v>4</v>
      </c>
      <c r="W25" s="22"/>
    </row>
    <row r="27" spans="1:23" s="22" customFormat="1" ht="32.25" customHeight="1" x14ac:dyDescent="0.25">
      <c r="A27" s="268" t="s">
        <v>29</v>
      </c>
      <c r="B27" s="268"/>
      <c r="C27" s="268"/>
      <c r="D27" s="268"/>
      <c r="E27" s="268"/>
      <c r="F27" s="268"/>
      <c r="G27" s="268"/>
      <c r="H27" s="268"/>
      <c r="I27" s="268"/>
      <c r="J27" s="268"/>
      <c r="K27" s="268"/>
      <c r="L27" s="268"/>
      <c r="M27" s="20"/>
      <c r="N27" s="20"/>
      <c r="O27" s="20"/>
      <c r="P27" s="20"/>
      <c r="Q27" s="20"/>
      <c r="R27" s="20"/>
      <c r="S27" s="20"/>
      <c r="T27" s="20"/>
      <c r="U27" s="20"/>
      <c r="V27" s="20"/>
    </row>
    <row r="28" spans="1:23" s="30" customFormat="1" ht="24.75" customHeight="1" x14ac:dyDescent="0.3">
      <c r="A28" s="91" t="s">
        <v>30</v>
      </c>
      <c r="B28" s="91"/>
      <c r="C28" s="91"/>
      <c r="D28" s="92"/>
      <c r="E28" s="92"/>
      <c r="F28" s="92"/>
      <c r="G28" s="92"/>
      <c r="H28" s="92"/>
      <c r="I28" s="92"/>
      <c r="J28" s="92"/>
      <c r="K28" s="92"/>
      <c r="L28" s="92"/>
      <c r="M28" s="153"/>
      <c r="N28" s="153"/>
      <c r="O28" s="153"/>
      <c r="W28" s="29"/>
    </row>
    <row r="29" spans="1:23" s="22" customFormat="1" ht="15" customHeight="1" x14ac:dyDescent="0.25">
      <c r="A29" s="154" t="s">
        <v>31</v>
      </c>
      <c r="B29" s="154"/>
      <c r="C29" s="154"/>
      <c r="D29" s="154"/>
      <c r="E29" s="155"/>
      <c r="F29" s="145"/>
      <c r="G29" s="156"/>
      <c r="H29" s="156"/>
      <c r="I29" s="156"/>
      <c r="J29" s="156"/>
      <c r="K29" s="156"/>
      <c r="L29" s="156" t="s">
        <v>32</v>
      </c>
      <c r="M29" s="20"/>
      <c r="N29" s="20"/>
      <c r="O29" s="20"/>
      <c r="P29" s="20"/>
      <c r="Q29" s="20"/>
      <c r="R29" s="20"/>
      <c r="S29" s="20"/>
      <c r="T29" s="20"/>
      <c r="U29" s="20"/>
      <c r="V29" s="20"/>
    </row>
  </sheetData>
  <sheetProtection formatCells="0"/>
  <mergeCells count="2">
    <mergeCell ref="A3:D3"/>
    <mergeCell ref="A27:L27"/>
  </mergeCells>
  <conditionalFormatting sqref="A9:L19 A23:L25">
    <cfRule type="expression" dxfId="27" priority="2">
      <formula>$A9=""</formula>
    </cfRule>
  </conditionalFormatting>
  <conditionalFormatting sqref="A23:L25">
    <cfRule type="expression" dxfId="26" priority="3">
      <formula>LEFT($D23,5)="Study"</formula>
    </cfRule>
  </conditionalFormatting>
  <conditionalFormatting sqref="D5:D6">
    <cfRule type="containsText" dxfId="25" priority="4" operator="containsText" text="Choose">
      <formula>NOT(ISERROR(SEARCH("Choose",D5)))</formula>
    </cfRule>
  </conditionalFormatting>
  <conditionalFormatting sqref="H9:K19">
    <cfRule type="expression" dxfId="24" priority="1">
      <formula>$E9=H$8</formula>
    </cfRule>
  </conditionalFormatting>
  <dataValidations count="1">
    <dataValidation type="list" allowBlank="1" showInputMessage="1" showErrorMessage="1" sqref="L14 L11 L17" xr:uid="{00000000-0002-0000-0100-000000000000}"/>
  </dataValidations>
  <hyperlinks>
    <hyperlink ref="A28:L28"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5" orientation="landscape" r:id="rId2"/>
  <rowBreaks count="1" manualBreakCount="1">
    <brk id="19"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D5" sqref="D5"/>
    </sheetView>
  </sheetViews>
  <sheetFormatPr defaultRowHeight="15" x14ac:dyDescent="0.25"/>
  <cols>
    <col min="1" max="1" width="8.5" style="21" customWidth="1"/>
    <col min="2" max="2" width="3.25" style="21" customWidth="1"/>
    <col min="3" max="3" width="11.875" style="21" bestFit="1" customWidth="1"/>
    <col min="4" max="4" width="51.5" style="20" bestFit="1" customWidth="1"/>
    <col min="5" max="5" width="6.375" style="20" customWidth="1"/>
    <col min="6" max="6" width="16.75" style="20" bestFit="1" customWidth="1"/>
    <col min="7" max="7" width="5.625" style="20" customWidth="1"/>
    <col min="8" max="11" width="4.625" style="20" customWidth="1"/>
    <col min="12" max="12" width="15.625" style="20" customWidth="1"/>
    <col min="13" max="13" width="2.5" style="20" hidden="1" customWidth="1"/>
    <col min="14" max="16384" width="9" style="20"/>
  </cols>
  <sheetData>
    <row r="1" spans="1:23" hidden="1" x14ac:dyDescent="0.25">
      <c r="A1" s="16" t="s">
        <v>0</v>
      </c>
      <c r="B1" s="17" t="s">
        <v>1</v>
      </c>
      <c r="C1" s="17" t="s">
        <v>2</v>
      </c>
      <c r="D1" s="18" t="s">
        <v>3</v>
      </c>
      <c r="E1" s="17" t="s">
        <v>4</v>
      </c>
      <c r="F1" s="17" t="s">
        <v>5</v>
      </c>
      <c r="G1" s="18" t="s">
        <v>6</v>
      </c>
      <c r="H1" s="19" t="s">
        <v>7</v>
      </c>
      <c r="I1" s="18"/>
      <c r="J1" s="18"/>
      <c r="K1" s="18"/>
      <c r="L1" s="18" t="s">
        <v>8</v>
      </c>
    </row>
    <row r="2" spans="1:23" hidden="1" x14ac:dyDescent="0.25">
      <c r="A2" s="159"/>
      <c r="B2" s="161">
        <v>2</v>
      </c>
      <c r="C2" s="161">
        <v>3</v>
      </c>
      <c r="D2" s="161">
        <v>4</v>
      </c>
      <c r="E2" s="161"/>
      <c r="F2" s="161">
        <v>6</v>
      </c>
      <c r="G2" s="161">
        <v>5</v>
      </c>
      <c r="H2" s="161">
        <v>7</v>
      </c>
      <c r="I2" s="161">
        <v>8</v>
      </c>
      <c r="J2" s="161">
        <v>9</v>
      </c>
      <c r="K2" s="161">
        <v>10</v>
      </c>
      <c r="L2" s="160"/>
    </row>
    <row r="3" spans="1:23" ht="39.950000000000003" customHeight="1" x14ac:dyDescent="0.25">
      <c r="A3" s="267" t="s">
        <v>9</v>
      </c>
      <c r="B3" s="267"/>
      <c r="C3" s="267"/>
      <c r="D3" s="267"/>
      <c r="E3" s="102"/>
      <c r="F3" s="102"/>
      <c r="G3" s="102"/>
      <c r="H3" s="102"/>
      <c r="I3" s="102"/>
      <c r="J3" s="102"/>
      <c r="K3" s="102"/>
      <c r="L3" s="102"/>
    </row>
    <row r="4" spans="1:23" ht="26.25" x14ac:dyDescent="0.25">
      <c r="A4" s="229"/>
      <c r="B4" s="228"/>
      <c r="C4" s="228"/>
      <c r="D4" s="227"/>
      <c r="E4" s="227" t="s">
        <v>10</v>
      </c>
      <c r="F4" s="228"/>
      <c r="G4" s="230"/>
      <c r="H4" s="230"/>
      <c r="I4" s="230"/>
      <c r="J4" s="230"/>
      <c r="K4" s="230"/>
      <c r="L4" s="226" t="str">
        <f>CONCATENATE(VLOOKUP(D6,TableStreams[],2,FALSE),VLOOKUP(D7,TableStudyPeriod[],2,FALSE))</f>
        <v>OUSP-RESCHSP4</v>
      </c>
    </row>
    <row r="5" spans="1:23" ht="20.100000000000001" customHeight="1" x14ac:dyDescent="0.25">
      <c r="B5" s="103"/>
      <c r="C5" s="104" t="s">
        <v>11</v>
      </c>
      <c r="D5" s="158" t="s">
        <v>36</v>
      </c>
      <c r="E5" s="105"/>
      <c r="F5" s="104" t="s">
        <v>13</v>
      </c>
      <c r="G5" s="105" t="str">
        <f>IFERROR(CONCATENATE(VLOOKUP(D5,TableCourses[],2,FALSE)," ",VLOOKUP(D5,TableCourses[],3,FALSE)),"")</f>
        <v>OM-PROJM v.1</v>
      </c>
      <c r="H5" s="105"/>
      <c r="I5" s="105"/>
      <c r="J5" s="105"/>
      <c r="K5" s="105"/>
      <c r="L5" s="106"/>
    </row>
    <row r="6" spans="1:23" ht="20.100000000000001" customHeight="1" x14ac:dyDescent="0.25">
      <c r="B6" s="103"/>
      <c r="C6" s="104" t="s">
        <v>37</v>
      </c>
      <c r="D6" s="158" t="s">
        <v>69</v>
      </c>
      <c r="E6" s="105"/>
      <c r="F6" s="104" t="s">
        <v>39</v>
      </c>
      <c r="G6" s="105" t="str">
        <f>IFERROR(CONCATENATE(VLOOKUP(D6,TableStreams[],2,FALSE)," ",VLOOKUP(D6,TableStreams[],3,FALSE)),"")</f>
        <v>OUSP-RESCH v.2</v>
      </c>
      <c r="H6" s="105"/>
      <c r="I6" s="105"/>
      <c r="J6" s="105"/>
      <c r="K6" s="105"/>
      <c r="L6" s="106"/>
    </row>
    <row r="7" spans="1:23" ht="20.100000000000001" customHeight="1" x14ac:dyDescent="0.25">
      <c r="A7" s="107"/>
      <c r="B7" s="108"/>
      <c r="C7" s="104" t="s">
        <v>14</v>
      </c>
      <c r="D7" s="157" t="s">
        <v>40</v>
      </c>
      <c r="E7" s="109"/>
      <c r="F7" s="104" t="s">
        <v>16</v>
      </c>
      <c r="G7" s="105" t="str">
        <f>IFERROR(VLOOKUP($D$5,TableCourses[],7,FALSE),"")</f>
        <v>300 credit points required</v>
      </c>
      <c r="H7" s="110"/>
      <c r="I7" s="110"/>
      <c r="J7" s="110"/>
      <c r="K7" s="110"/>
      <c r="L7" s="110"/>
      <c r="W7" s="22"/>
    </row>
    <row r="8" spans="1:23" s="24" customFormat="1" ht="14.1" customHeight="1" x14ac:dyDescent="0.25">
      <c r="A8" s="111" t="s">
        <v>17</v>
      </c>
      <c r="B8" s="111"/>
      <c r="C8" s="111"/>
      <c r="D8" s="112"/>
      <c r="E8" s="113"/>
      <c r="F8" s="111"/>
      <c r="G8" s="111"/>
      <c r="H8" s="114" t="s">
        <v>18</v>
      </c>
      <c r="I8" s="115"/>
      <c r="J8" s="115"/>
      <c r="K8" s="116"/>
      <c r="L8" s="113"/>
      <c r="M8" s="117"/>
      <c r="N8" s="117"/>
      <c r="O8" s="117"/>
      <c r="W8" s="23"/>
    </row>
    <row r="9" spans="1:23" s="24" customFormat="1" ht="21" x14ac:dyDescent="0.25">
      <c r="A9" s="111" t="s">
        <v>19</v>
      </c>
      <c r="B9" s="111"/>
      <c r="C9" s="118" t="s">
        <v>20</v>
      </c>
      <c r="D9" s="112" t="s">
        <v>3</v>
      </c>
      <c r="E9" s="118" t="s">
        <v>21</v>
      </c>
      <c r="F9" s="111" t="s">
        <v>22</v>
      </c>
      <c r="G9" s="118" t="s">
        <v>23</v>
      </c>
      <c r="H9" s="183" t="s">
        <v>24</v>
      </c>
      <c r="I9" s="184" t="s">
        <v>25</v>
      </c>
      <c r="J9" s="184" t="s">
        <v>26</v>
      </c>
      <c r="K9" s="185" t="s">
        <v>27</v>
      </c>
      <c r="L9" s="111" t="s">
        <v>28</v>
      </c>
      <c r="M9" s="117"/>
      <c r="N9" s="117"/>
      <c r="O9" s="117"/>
      <c r="W9" s="23"/>
    </row>
    <row r="10" spans="1:23" s="26" customFormat="1" ht="20.100000000000001" customHeight="1" x14ac:dyDescent="0.15">
      <c r="A10" s="119" t="str">
        <f>IFERROR(IF(HLOOKUP($L$4,Unitsets!$C$3:$AH$15,M10,FALSE)=0,"",HLOOKUP($L$4,Unitsets!$C$3:$AH$15,M10,FALSE)),"")</f>
        <v>PRJM6015</v>
      </c>
      <c r="B10" s="120">
        <f>IFERROR(IF(VLOOKUP($A10,TableHandbook[],2,FALSE)=0,"",VLOOKUP($A10,TableHandbook[],2,FALSE)),"")</f>
        <v>1</v>
      </c>
      <c r="C10" s="121" t="str">
        <f>IFERROR(IF(VLOOKUP($A10,TableHandbook[],3,FALSE)=0,"",VLOOKUP($A10,TableHandbook[],3,FALSE)),"")</f>
        <v>PRM510</v>
      </c>
      <c r="D10" s="122" t="str">
        <f>IFERROR(IF(VLOOKUP($A10,TableHandbook[],4,FALSE)=0,"",VLOOKUP($A10,TableHandbook[],4,FALSE)),"")</f>
        <v>Project and People</v>
      </c>
      <c r="E10" s="121" t="str">
        <f>IF(A10="","",VLOOKUP($D$7,TableStudyPeriod[],2,FALSE))</f>
        <v>SP4</v>
      </c>
      <c r="F10" s="123" t="str">
        <f>IFERROR(IF(VLOOKUP($A10,TableHandbook[],6,FALSE)=0,"",VLOOKUP($A10,TableHandbook[],6,FALSE)),"")</f>
        <v>Nil</v>
      </c>
      <c r="G10" s="121">
        <f>IFERROR(IF(VLOOKUP($A10,TableHandbook[],5,FALSE)=0,"",VLOOKUP($A10,TableHandbook[],5,FALSE)),"")</f>
        <v>25</v>
      </c>
      <c r="H10" s="186" t="str">
        <f>IFERROR(VLOOKUP($A10,TableHandbook[],H$2,FALSE),"")</f>
        <v/>
      </c>
      <c r="I10" s="187" t="str">
        <f>IFERROR(VLOOKUP($A10,TableHandbook[],I$2,FALSE),"")</f>
        <v>Y</v>
      </c>
      <c r="J10" s="187" t="str">
        <f>IFERROR(VLOOKUP($A10,TableHandbook[],J$2,FALSE),"")</f>
        <v/>
      </c>
      <c r="K10" s="188" t="str">
        <f>IFERROR(VLOOKUP($A10,TableHandbook[],K$2,FALSE),"")</f>
        <v>Y</v>
      </c>
      <c r="L10" s="93"/>
      <c r="M10" s="168">
        <v>2</v>
      </c>
      <c r="N10" s="124"/>
      <c r="O10" s="124"/>
      <c r="W10" s="25"/>
    </row>
    <row r="11" spans="1:23" s="26" customFormat="1" ht="20.100000000000001" customHeight="1" x14ac:dyDescent="0.15">
      <c r="A11" s="125" t="str">
        <f>IFERROR(IF(HLOOKUP($L$4,Unitsets!$C$3:$AH$15,M11,FALSE)=0,"",HLOOKUP($L$4,Unitsets!$C$3:$AH$15,M11,FALSE)),"")</f>
        <v>PRJM6021</v>
      </c>
      <c r="B11" s="126">
        <f>IFERROR(IF(VLOOKUP($A11,TableHandbook[],2,FALSE)=0,"",VLOOKUP($A11,TableHandbook[],2,FALSE)),"")</f>
        <v>2</v>
      </c>
      <c r="C11" s="126" t="str">
        <f>IFERROR(IF(VLOOKUP($A11,TableHandbook[],3,FALSE)=0,"",VLOOKUP($A11,TableHandbook[],3,FALSE)),"")</f>
        <v>PRM530</v>
      </c>
      <c r="D11" s="127" t="str">
        <f>IFERROR(IF(VLOOKUP($A11,TableHandbook[],4,FALSE)=0,"",VLOOKUP($A11,TableHandbook[],4,FALSE)),"")</f>
        <v>Project Planning and Schedule Management</v>
      </c>
      <c r="E11" s="126" t="str">
        <f>IF(OR(A11="",A11="-"),"",E10)</f>
        <v>SP4</v>
      </c>
      <c r="F11" s="128" t="str">
        <f>IFERROR(IF(VLOOKUP($A11,TableHandbook[],6,FALSE)=0,"",VLOOKUP($A11,TableHandbook[],6,FALSE)),"")</f>
        <v>Nil</v>
      </c>
      <c r="G11" s="126">
        <f>IFERROR(IF(VLOOKUP($A11,TableHandbook[],5,FALSE)=0,"",VLOOKUP($A11,TableHandbook[],5,FALSE)),"")</f>
        <v>25</v>
      </c>
      <c r="H11" s="189" t="str">
        <f>IFERROR(VLOOKUP($A11,TableHandbook[],H$2,FALSE),"")</f>
        <v/>
      </c>
      <c r="I11" s="190" t="str">
        <f>IFERROR(VLOOKUP($A11,TableHandbook[],I$2,FALSE),"")</f>
        <v>Y</v>
      </c>
      <c r="J11" s="190" t="str">
        <f>IFERROR(VLOOKUP($A11,TableHandbook[],J$2,FALSE),"")</f>
        <v/>
      </c>
      <c r="K11" s="191" t="str">
        <f>IFERROR(VLOOKUP($A11,TableHandbook[],K$2,FALSE),"")</f>
        <v>Y</v>
      </c>
      <c r="L11" s="94"/>
      <c r="M11" s="168">
        <v>3</v>
      </c>
      <c r="N11" s="124"/>
      <c r="O11" s="124"/>
      <c r="W11" s="25"/>
    </row>
    <row r="12" spans="1:23" s="26" customFormat="1" ht="4.5" customHeight="1" x14ac:dyDescent="0.15">
      <c r="A12" s="162"/>
      <c r="B12" s="163"/>
      <c r="C12" s="163"/>
      <c r="D12" s="163"/>
      <c r="E12" s="163"/>
      <c r="F12" s="164"/>
      <c r="G12" s="163"/>
      <c r="H12" s="192"/>
      <c r="I12" s="193"/>
      <c r="J12" s="193"/>
      <c r="K12" s="194"/>
      <c r="L12" s="166"/>
      <c r="M12" s="168"/>
      <c r="N12" s="124"/>
      <c r="O12" s="124"/>
      <c r="P12" s="124"/>
      <c r="W12" s="25"/>
    </row>
    <row r="13" spans="1:23" s="26" customFormat="1" ht="20.100000000000001" customHeight="1" x14ac:dyDescent="0.15">
      <c r="A13" s="129" t="str">
        <f>IFERROR(IF(HLOOKUP($L$4,Unitsets!$C$3:$AH$15,M13,FALSE)=0,"",HLOOKUP($L$4,Unitsets!$C$3:$AH$15,M13,FALSE)),"")</f>
        <v>PRJM6013</v>
      </c>
      <c r="B13" s="130">
        <f>IFERROR(IF(VLOOKUP($A13,TableHandbook[],2,FALSE)=0,"",VLOOKUP($A13,TableHandbook[],2,FALSE)),"")</f>
        <v>2</v>
      </c>
      <c r="C13" s="130" t="str">
        <f>IFERROR(IF(VLOOKUP($A13,TableHandbook[],3,FALSE)=0,"",VLOOKUP($A13,TableHandbook[],3,FALSE)),"")</f>
        <v>PRM500</v>
      </c>
      <c r="D13" s="131" t="str">
        <f>IFERROR(IF(VLOOKUP($A13,TableHandbook[],4,FALSE)=0,"",VLOOKUP($A13,TableHandbook[],4,FALSE)),"")</f>
        <v>Project Management Overview</v>
      </c>
      <c r="E13" s="130" t="str">
        <f>IF(A13="","",VLOOKUP($D$7,TableStudyPeriod[],3,FALSE))</f>
        <v>SP1</v>
      </c>
      <c r="F13" s="132" t="str">
        <f>IFERROR(IF(VLOOKUP($A13,TableHandbook[],6,FALSE)=0,"",VLOOKUP($A13,TableHandbook[],6,FALSE)),"")</f>
        <v>Nil</v>
      </c>
      <c r="G13" s="130">
        <f>IFERROR(IF(VLOOKUP($A13,TableHandbook[],5,FALSE)=0,"",VLOOKUP($A13,TableHandbook[],5,FALSE)),"")</f>
        <v>25</v>
      </c>
      <c r="H13" s="195" t="str">
        <f>IFERROR(VLOOKUP($A13,TableHandbook[],H$2,FALSE),"")</f>
        <v>Y</v>
      </c>
      <c r="I13" s="196" t="str">
        <f>IFERROR(VLOOKUP($A13,TableHandbook[],I$2,FALSE),"")</f>
        <v/>
      </c>
      <c r="J13" s="196" t="str">
        <f>IFERROR(VLOOKUP($A13,TableHandbook[],J$2,FALSE),"")</f>
        <v>Y</v>
      </c>
      <c r="K13" s="197" t="str">
        <f>IFERROR(VLOOKUP($A13,TableHandbook[],K$2,FALSE),"")</f>
        <v/>
      </c>
      <c r="L13" s="95"/>
      <c r="M13" s="168">
        <v>4</v>
      </c>
      <c r="N13" s="124"/>
      <c r="O13" s="124"/>
      <c r="W13" s="25"/>
    </row>
    <row r="14" spans="1:23" s="26" customFormat="1" ht="20.100000000000001" customHeight="1" x14ac:dyDescent="0.15">
      <c r="A14" s="125" t="str">
        <f>IFERROR(IF(HLOOKUP($L$4,Unitsets!$C$3:$AH$15,M14,FALSE)=0,"",HLOOKUP($L$4,Unitsets!$C$3:$AH$15,M14,FALSE)),"")</f>
        <v>PRJM6016</v>
      </c>
      <c r="B14" s="126">
        <f>IFERROR(IF(VLOOKUP($A14,TableHandbook[],2,FALSE)=0,"",VLOOKUP($A14,TableHandbook[],2,FALSE)),"")</f>
        <v>1</v>
      </c>
      <c r="C14" s="126" t="str">
        <f>IFERROR(IF(VLOOKUP($A14,TableHandbook[],3,FALSE)=0,"",VLOOKUP($A14,TableHandbook[],3,FALSE)),"")</f>
        <v>PRM520</v>
      </c>
      <c r="D14" s="127" t="str">
        <f>IFERROR(IF(VLOOKUP($A14,TableHandbook[],4,FALSE)=0,"",VLOOKUP($A14,TableHandbook[],4,FALSE)),"")</f>
        <v>Project Cost Management</v>
      </c>
      <c r="E14" s="126" t="str">
        <f>IF(OR(A14="",A14="-"),"",E13)</f>
        <v>SP1</v>
      </c>
      <c r="F14" s="128" t="str">
        <f>IFERROR(IF(VLOOKUP($A14,TableHandbook[],6,FALSE)=0,"",VLOOKUP($A14,TableHandbook[],6,FALSE)),"")</f>
        <v>Nil</v>
      </c>
      <c r="G14" s="126">
        <f>IFERROR(IF(VLOOKUP($A14,TableHandbook[],5,FALSE)=0,"",VLOOKUP($A14,TableHandbook[],5,FALSE)),"")</f>
        <v>25</v>
      </c>
      <c r="H14" s="189" t="str">
        <f>IFERROR(VLOOKUP($A14,TableHandbook[],H$2,FALSE),"")</f>
        <v>Y</v>
      </c>
      <c r="I14" s="190" t="str">
        <f>IFERROR(VLOOKUP($A14,TableHandbook[],I$2,FALSE),"")</f>
        <v/>
      </c>
      <c r="J14" s="190" t="str">
        <f>IFERROR(VLOOKUP($A14,TableHandbook[],J$2,FALSE),"")</f>
        <v>Y</v>
      </c>
      <c r="K14" s="191" t="str">
        <f>IFERROR(VLOOKUP($A14,TableHandbook[],K$2,FALSE),"")</f>
        <v/>
      </c>
      <c r="L14" s="94"/>
      <c r="M14" s="168">
        <v>5</v>
      </c>
      <c r="N14" s="124"/>
      <c r="O14" s="124"/>
      <c r="W14" s="25"/>
    </row>
    <row r="15" spans="1:23" s="26" customFormat="1" ht="4.5" customHeight="1" x14ac:dyDescent="0.15">
      <c r="A15" s="162"/>
      <c r="B15" s="163"/>
      <c r="C15" s="163"/>
      <c r="D15" s="163"/>
      <c r="E15" s="163"/>
      <c r="F15" s="164"/>
      <c r="G15" s="163"/>
      <c r="H15" s="192"/>
      <c r="I15" s="193"/>
      <c r="J15" s="193"/>
      <c r="K15" s="194"/>
      <c r="L15" s="166"/>
      <c r="M15" s="168"/>
      <c r="N15" s="124"/>
      <c r="O15" s="124"/>
      <c r="P15" s="124"/>
      <c r="W15" s="25"/>
    </row>
    <row r="16" spans="1:23" s="26" customFormat="1" ht="20.100000000000001" customHeight="1" x14ac:dyDescent="0.15">
      <c r="A16" s="129" t="str">
        <f>IFERROR(IF(HLOOKUP($L$4,Unitsets!$C$3:$AH$15,M16,FALSE)=0,"",HLOOKUP($L$4,Unitsets!$C$3:$AH$15,M16,FALSE)),"")</f>
        <v>PRJM6020</v>
      </c>
      <c r="B16" s="133">
        <f>IFERROR(IF(VLOOKUP($A16,TableHandbook[],2,FALSE)=0,"",VLOOKUP($A16,TableHandbook[],2,FALSE)),"")</f>
        <v>1</v>
      </c>
      <c r="C16" s="133" t="str">
        <f>IFERROR(IF(VLOOKUP($A16,TableHandbook[],3,FALSE)=0,"",VLOOKUP($A16,TableHandbook[],3,FALSE)),"")</f>
        <v>PRM550</v>
      </c>
      <c r="D16" s="131" t="str">
        <f>IFERROR(IF(VLOOKUP($A16,TableHandbook[],4,FALSE)=0,"",VLOOKUP($A16,TableHandbook[],4,FALSE)),"")</f>
        <v>Project Risk Management</v>
      </c>
      <c r="E16" s="130" t="str">
        <f>IF(A16="","",VLOOKUP($D$7,TableStudyPeriod[],4,FALSE))</f>
        <v>SP2</v>
      </c>
      <c r="F16" s="132" t="str">
        <f>IFERROR(IF(VLOOKUP($A16,TableHandbook[],6,FALSE)=0,"",VLOOKUP($A16,TableHandbook[],6,FALSE)),"")</f>
        <v>50CP</v>
      </c>
      <c r="G16" s="133">
        <f>IFERROR(IF(VLOOKUP($A16,TableHandbook[],5,FALSE)=0,"",VLOOKUP($A16,TableHandbook[],5,FALSE)),"")</f>
        <v>25</v>
      </c>
      <c r="H16" s="198" t="str">
        <f>IFERROR(VLOOKUP($A16,TableHandbook[],H$2,FALSE),"")</f>
        <v/>
      </c>
      <c r="I16" s="199" t="str">
        <f>IFERROR(VLOOKUP($A16,TableHandbook[],I$2,FALSE),"")</f>
        <v>Y</v>
      </c>
      <c r="J16" s="199" t="str">
        <f>IFERROR(VLOOKUP($A16,TableHandbook[],J$2,FALSE),"")</f>
        <v/>
      </c>
      <c r="K16" s="200" t="str">
        <f>IFERROR(VLOOKUP($A16,TableHandbook[],K$2,FALSE),"")</f>
        <v/>
      </c>
      <c r="L16" s="95"/>
      <c r="M16" s="168">
        <v>6</v>
      </c>
      <c r="N16" s="124"/>
      <c r="O16" s="124"/>
      <c r="W16" s="25"/>
    </row>
    <row r="17" spans="1:23" s="28" customFormat="1" ht="20.100000000000001" customHeight="1" x14ac:dyDescent="0.15">
      <c r="A17" s="125" t="str">
        <f>IFERROR(IF(HLOOKUP($L$4,Unitsets!$C$3:$AH$15,M17,FALSE)=0,"",HLOOKUP($L$4,Unitsets!$C$3:$AH$15,M17,FALSE)),"")</f>
        <v>PRJM6014</v>
      </c>
      <c r="B17" s="134">
        <f>IFERROR(IF(VLOOKUP($A17,TableHandbook[],2,FALSE)=0,"",VLOOKUP($A17,TableHandbook[],2,FALSE)),"")</f>
        <v>1</v>
      </c>
      <c r="C17" s="134" t="str">
        <f>IFERROR(IF(VLOOKUP($A17,TableHandbook[],3,FALSE)=0,"",VLOOKUP($A17,TableHandbook[],3,FALSE)),"")</f>
        <v>PRM560</v>
      </c>
      <c r="D17" s="127" t="str">
        <f>IFERROR(IF(VLOOKUP($A17,TableHandbook[],4,FALSE)=0,"",VLOOKUP($A17,TableHandbook[],4,FALSE)),"")</f>
        <v>Program and Portfolio Management</v>
      </c>
      <c r="E17" s="126" t="str">
        <f>IF(OR(A17="",A17="-"),"",E16)</f>
        <v>SP2</v>
      </c>
      <c r="F17" s="128" t="str">
        <f>IFERROR(IF(VLOOKUP($A17,TableHandbook[],6,FALSE)=0,"",VLOOKUP($A17,TableHandbook[],6,FALSE)),"")</f>
        <v>50CP</v>
      </c>
      <c r="G17" s="134">
        <f>IFERROR(IF(VLOOKUP($A17,TableHandbook[],5,FALSE)=0,"",VLOOKUP($A17,TableHandbook[],5,FALSE)),"")</f>
        <v>25</v>
      </c>
      <c r="H17" s="201" t="str">
        <f>IFERROR(VLOOKUP($A17,TableHandbook[],H$2,FALSE),"")</f>
        <v/>
      </c>
      <c r="I17" s="202" t="str">
        <f>IFERROR(VLOOKUP($A17,TableHandbook[],I$2,FALSE),"")</f>
        <v/>
      </c>
      <c r="J17" s="202" t="str">
        <f>IFERROR(VLOOKUP($A17,TableHandbook[],J$2,FALSE),"")</f>
        <v/>
      </c>
      <c r="K17" s="203" t="str">
        <f>IFERROR(VLOOKUP($A17,TableHandbook[],K$2,FALSE),"")</f>
        <v>Y</v>
      </c>
      <c r="L17" s="96"/>
      <c r="M17" s="168">
        <v>7</v>
      </c>
      <c r="N17" s="135"/>
      <c r="O17" s="135"/>
      <c r="W17" s="27"/>
    </row>
    <row r="18" spans="1:23" s="26" customFormat="1" ht="4.5" customHeight="1" x14ac:dyDescent="0.15">
      <c r="A18" s="162"/>
      <c r="B18" s="163"/>
      <c r="C18" s="163"/>
      <c r="D18" s="163"/>
      <c r="E18" s="163"/>
      <c r="F18" s="164"/>
      <c r="G18" s="163"/>
      <c r="H18" s="192"/>
      <c r="I18" s="193"/>
      <c r="J18" s="193"/>
      <c r="K18" s="194"/>
      <c r="L18" s="166"/>
      <c r="M18" s="168"/>
      <c r="N18" s="124"/>
      <c r="O18" s="124"/>
      <c r="P18" s="124"/>
      <c r="W18" s="25"/>
    </row>
    <row r="19" spans="1:23" s="28" customFormat="1" ht="20.100000000000001" customHeight="1" x14ac:dyDescent="0.15">
      <c r="A19" s="129" t="str">
        <f>IFERROR(IF(HLOOKUP($L$4,Unitsets!$C$3:$AH$15,M19,FALSE)=0,"",HLOOKUP($L$4,Unitsets!$C$3:$AH$15,M19,FALSE)),"")</f>
        <v>PRJM6018</v>
      </c>
      <c r="B19" s="133">
        <f>IFERROR(IF(VLOOKUP($A19,TableHandbook[],2,FALSE)=0,"",VLOOKUP($A19,TableHandbook[],2,FALSE)),"")</f>
        <v>1</v>
      </c>
      <c r="C19" s="133" t="str">
        <f>IFERROR(IF(VLOOKUP($A19,TableHandbook[],3,FALSE)=0,"",VLOOKUP($A19,TableHandbook[],3,FALSE)),"")</f>
        <v>PRM540</v>
      </c>
      <c r="D19" s="131" t="str">
        <f>IFERROR(IF(VLOOKUP($A19,TableHandbook[],4,FALSE)=0,"",VLOOKUP($A19,TableHandbook[],4,FALSE)),"")</f>
        <v>Project Procurement Management</v>
      </c>
      <c r="E19" s="130" t="str">
        <f>IF(A19="","",VLOOKUP($D$7,TableStudyPeriod[],5,FALSE))</f>
        <v>SP3</v>
      </c>
      <c r="F19" s="132" t="str">
        <f>IFERROR(IF(VLOOKUP($A19,TableHandbook[],6,FALSE)=0,"",VLOOKUP($A19,TableHandbook[],6,FALSE)),"")</f>
        <v>Nil</v>
      </c>
      <c r="G19" s="133">
        <f>IFERROR(IF(VLOOKUP($A19,TableHandbook[],5,FALSE)=0,"",VLOOKUP($A19,TableHandbook[],5,FALSE)),"")</f>
        <v>25</v>
      </c>
      <c r="H19" s="198" t="str">
        <f>IFERROR(VLOOKUP($A19,TableHandbook[],H$2,FALSE),"")</f>
        <v/>
      </c>
      <c r="I19" s="199" t="str">
        <f>IFERROR(VLOOKUP($A19,TableHandbook[],I$2,FALSE),"")</f>
        <v/>
      </c>
      <c r="J19" s="199" t="str">
        <f>IFERROR(VLOOKUP($A19,TableHandbook[],J$2,FALSE),"")</f>
        <v>Y</v>
      </c>
      <c r="K19" s="200" t="str">
        <f>IFERROR(VLOOKUP($A19,TableHandbook[],K$2,FALSE),"")</f>
        <v/>
      </c>
      <c r="L19" s="95"/>
      <c r="M19" s="168">
        <v>8</v>
      </c>
      <c r="N19" s="135"/>
      <c r="O19" s="135"/>
      <c r="W19" s="27"/>
    </row>
    <row r="20" spans="1:23" s="28" customFormat="1" ht="20.100000000000001" customHeight="1" x14ac:dyDescent="0.15">
      <c r="A20" s="119" t="str">
        <f>IFERROR(IF(HLOOKUP($L$4,Unitsets!$C$3:$AH$15,M20,FALSE)=0,"",HLOOKUP($L$4,Unitsets!$C$3:$AH$15,M20,FALSE)),"")</f>
        <v>URDE6007</v>
      </c>
      <c r="B20" s="136">
        <f>IFERROR(IF(VLOOKUP($A20,TableHandbook[],2,FALSE)=0,"",VLOOKUP($A20,TableHandbook[],2,FALSE)),"")</f>
        <v>1</v>
      </c>
      <c r="C20" s="136" t="str">
        <f>IFERROR(IF(VLOOKUP($A20,TableHandbook[],3,FALSE)=0,"",VLOOKUP($A20,TableHandbook[],3,FALSE)),"")</f>
        <v>DBE600</v>
      </c>
      <c r="D20" s="137" t="str">
        <f>IFERROR(IF(VLOOKUP($A20,TableHandbook[],4,FALSE)=0,"",VLOOKUP($A20,TableHandbook[],4,FALSE)),"")</f>
        <v>Design and Built Environment Research Methods</v>
      </c>
      <c r="E20" s="136" t="str">
        <f>IF(OR(A20="",A20="-"),"",E19)</f>
        <v>SP3</v>
      </c>
      <c r="F20" s="123" t="str">
        <f>IFERROR(IF(VLOOKUP($A20,TableHandbook[],6,FALSE)=0,"",VLOOKUP($A20,TableHandbook[],6,FALSE)),"")</f>
        <v>Nil</v>
      </c>
      <c r="G20" s="136">
        <f>IFERROR(IF(VLOOKUP($A20,TableHandbook[],5,FALSE)=0,"",VLOOKUP($A20,TableHandbook[],5,FALSE)),"")</f>
        <v>25</v>
      </c>
      <c r="H20" s="204" t="str">
        <f>IFERROR(VLOOKUP($A20,TableHandbook[],H$2,FALSE),"")</f>
        <v>Y</v>
      </c>
      <c r="I20" s="205" t="str">
        <f>IFERROR(VLOOKUP($A20,TableHandbook[],I$2,FALSE),"")</f>
        <v/>
      </c>
      <c r="J20" s="205" t="str">
        <f>IFERROR(VLOOKUP($A20,TableHandbook[],J$2,FALSE),"")</f>
        <v>Y</v>
      </c>
      <c r="K20" s="206" t="str">
        <f>IFERROR(VLOOKUP($A20,TableHandbook[],K$2,FALSE),"")</f>
        <v/>
      </c>
      <c r="L20" s="97"/>
      <c r="M20" s="168">
        <v>9</v>
      </c>
      <c r="N20" s="135"/>
      <c r="O20" s="135"/>
      <c r="W20" s="27"/>
    </row>
    <row r="21" spans="1:23" s="24" customFormat="1" ht="21" x14ac:dyDescent="0.25">
      <c r="A21" s="111" t="s">
        <v>41</v>
      </c>
      <c r="B21" s="111"/>
      <c r="C21" s="118" t="s">
        <v>20</v>
      </c>
      <c r="D21" s="112" t="s">
        <v>3</v>
      </c>
      <c r="E21" s="118" t="s">
        <v>21</v>
      </c>
      <c r="F21" s="111" t="s">
        <v>22</v>
      </c>
      <c r="G21" s="111" t="s">
        <v>35</v>
      </c>
      <c r="H21" s="183" t="str">
        <f>H9</f>
        <v>SP1</v>
      </c>
      <c r="I21" s="184" t="str">
        <f t="shared" ref="I21:K21" si="0">I9</f>
        <v>SP2</v>
      </c>
      <c r="J21" s="184" t="str">
        <f t="shared" si="0"/>
        <v>SP3</v>
      </c>
      <c r="K21" s="185" t="str">
        <f t="shared" si="0"/>
        <v>SP4</v>
      </c>
      <c r="L21" s="111" t="str">
        <f>L9</f>
        <v>Notes / Progress</v>
      </c>
      <c r="M21" s="169"/>
      <c r="N21" s="117"/>
      <c r="O21" s="117"/>
      <c r="W21" s="23"/>
    </row>
    <row r="22" spans="1:23" s="26" customFormat="1" ht="20.100000000000001" customHeight="1" x14ac:dyDescent="0.15">
      <c r="A22" s="138" t="str">
        <f>IFERROR(IF(HLOOKUP($L$4,Unitsets!$C$3:$AH$15,M22,FALSE)=0,"",HLOOKUP($L$4,Unitsets!$C$3:$AH$15,M22,FALSE)),"")</f>
        <v>PRJM6017</v>
      </c>
      <c r="B22" s="133">
        <f>IFERROR(IF(VLOOKUP($A22,TableHandbook[],2,FALSE)=0,"",VLOOKUP($A22,TableHandbook[],2,FALSE)),"")</f>
        <v>1</v>
      </c>
      <c r="C22" s="133" t="str">
        <f>IFERROR(IF(VLOOKUP($A22,TableHandbook[],3,FALSE)=0,"",VLOOKUP($A22,TableHandbook[],3,FALSE)),"")</f>
        <v>PRM600</v>
      </c>
      <c r="D22" s="139" t="str">
        <f>IFERROR(IF(VLOOKUP($A22,TableHandbook[],4,FALSE)=0,"",VLOOKUP($A22,TableHandbook[],4,FALSE)),"")</f>
        <v>Project Management Integrated Project</v>
      </c>
      <c r="E22" s="133" t="str">
        <f>IF(A22="","",VLOOKUP($D$7,TableStudyPeriod[],2,FALSE))</f>
        <v>SP4</v>
      </c>
      <c r="F22" s="132" t="str">
        <f>IFERROR(IF(VLOOKUP($A22,TableHandbook[],6,FALSE)=0,"",VLOOKUP($A22,TableHandbook[],6,FALSE)),"")</f>
        <v>150CP</v>
      </c>
      <c r="G22" s="130">
        <f>IFERROR(IF(VLOOKUP($A22,TableHandbook[],5,FALSE)=0,"",VLOOKUP($A22,TableHandbook[],5,FALSE)),"")</f>
        <v>50</v>
      </c>
      <c r="H22" s="195" t="str">
        <f>IFERROR(VLOOKUP($A22,TableHandbook[],H$2,FALSE),"")</f>
        <v/>
      </c>
      <c r="I22" s="196" t="str">
        <f>IFERROR(VLOOKUP($A22,TableHandbook[],I$2,FALSE),"")</f>
        <v>Y</v>
      </c>
      <c r="J22" s="196" t="str">
        <f>IFERROR(VLOOKUP($A22,TableHandbook[],J$2,FALSE),"")</f>
        <v/>
      </c>
      <c r="K22" s="197" t="str">
        <f>IFERROR(VLOOKUP($A22,TableHandbook[],K$2,FALSE),"")</f>
        <v>Y</v>
      </c>
      <c r="L22" s="231"/>
      <c r="M22" s="168">
        <v>10</v>
      </c>
      <c r="N22" s="124"/>
      <c r="O22" s="124"/>
      <c r="W22" s="25"/>
    </row>
    <row r="23" spans="1:23" s="26" customFormat="1" ht="20.100000000000001" customHeight="1" x14ac:dyDescent="0.15">
      <c r="A23" s="140" t="str">
        <f>IFERROR(IF(HLOOKUP($L$4,Unitsets!$C$3:$AH$15,M23,FALSE)=0,"",HLOOKUP($L$4,Unitsets!$C$3:$AH$15,M23,FALSE)),"")</f>
        <v>-</v>
      </c>
      <c r="B23" s="134" t="str">
        <f>IFERROR(IF(VLOOKUP($A23,TableHandbook[],2,FALSE)=0,"",VLOOKUP($A23,TableHandbook[],2,FALSE)),"")</f>
        <v/>
      </c>
      <c r="C23" s="134" t="str">
        <f>IFERROR(IF(VLOOKUP($A23,TableHandbook[],3,FALSE)=0,"",VLOOKUP($A23,TableHandbook[],3,FALSE)),"")</f>
        <v/>
      </c>
      <c r="D23" s="141" t="str">
        <f>IFERROR(IF(VLOOKUP($A23,TableHandbook[],4,FALSE)=0,"",VLOOKUP($A23,TableHandbook[],4,FALSE)),"")</f>
        <v>Please note this is a double (50CP) subject</v>
      </c>
      <c r="E23" s="126" t="str">
        <f>IF(OR(A23="",A23="-"),"",E22)</f>
        <v/>
      </c>
      <c r="F23" s="128" t="str">
        <f>IFERROR(IF(VLOOKUP($A23,TableHandbook[],6,FALSE)=0,"",VLOOKUP($A23,TableHandbook[],6,FALSE)),"")</f>
        <v/>
      </c>
      <c r="G23" s="126" t="str">
        <f>IFERROR(IF(VLOOKUP($A23,TableHandbook[],5,FALSE)=0,"",VLOOKUP($A23,TableHandbook[],5,FALSE)),"")</f>
        <v/>
      </c>
      <c r="H23" s="189" t="str">
        <f>IFERROR(VLOOKUP($A23,TableHandbook[],H$2,FALSE),"")</f>
        <v/>
      </c>
      <c r="I23" s="190" t="str">
        <f>IFERROR(VLOOKUP($A23,TableHandbook[],I$2,FALSE),"")</f>
        <v/>
      </c>
      <c r="J23" s="190" t="str">
        <f>IFERROR(VLOOKUP($A23,TableHandbook[],J$2,FALSE),"")</f>
        <v/>
      </c>
      <c r="K23" s="191" t="str">
        <f>IFERROR(VLOOKUP($A23,TableHandbook[],K$2,FALSE),"")</f>
        <v/>
      </c>
      <c r="L23" s="232"/>
      <c r="M23" s="168">
        <v>11</v>
      </c>
      <c r="N23" s="124"/>
      <c r="O23" s="124"/>
      <c r="W23" s="25"/>
    </row>
    <row r="24" spans="1:23" s="26" customFormat="1" ht="4.5" customHeight="1" x14ac:dyDescent="0.15">
      <c r="A24" s="167"/>
      <c r="B24" s="163"/>
      <c r="C24" s="163"/>
      <c r="D24" s="163"/>
      <c r="E24" s="163"/>
      <c r="F24" s="164"/>
      <c r="G24" s="163"/>
      <c r="H24" s="192"/>
      <c r="I24" s="193"/>
      <c r="J24" s="193"/>
      <c r="K24" s="194"/>
      <c r="L24" s="165"/>
      <c r="M24" s="168"/>
      <c r="N24" s="124"/>
      <c r="O24" s="124"/>
      <c r="P24" s="124"/>
      <c r="W24" s="25"/>
    </row>
    <row r="25" spans="1:23" s="26" customFormat="1" ht="20.100000000000001" customHeight="1" x14ac:dyDescent="0.15">
      <c r="A25" s="138" t="str">
        <f>IFERROR(IF(HLOOKUP($L$4,Unitsets!$C$3:$AH$15,M25,FALSE)=0,"",HLOOKUP($L$4,Unitsets!$C$3:$AH$15,M25,FALSE)),"")</f>
        <v>PRJM6026</v>
      </c>
      <c r="B25" s="133">
        <f>IFERROR(IF(VLOOKUP($A25,TableHandbook[],2,FALSE)=0,"",VLOOKUP($A25,TableHandbook[],2,FALSE)),"")</f>
        <v>1</v>
      </c>
      <c r="C25" s="133" t="str">
        <f>IFERROR(IF(VLOOKUP($A25,TableHandbook[],3,FALSE)=0,"",VLOOKUP($A25,TableHandbook[],3,FALSE)),"")</f>
        <v>PRM630</v>
      </c>
      <c r="D25" s="142" t="str">
        <f>IFERROR(IF(VLOOKUP($A25,TableHandbook[],4,FALSE)=0,"",VLOOKUP($A25,TableHandbook[],4,FALSE)),"")</f>
        <v>Agile Management</v>
      </c>
      <c r="E25" s="133" t="str">
        <f>IF(A25="","",VLOOKUP($D$7,TableStudyPeriod[],3,FALSE))</f>
        <v>SP1</v>
      </c>
      <c r="F25" s="132" t="str">
        <f>IFERROR(IF(VLOOKUP($A25,TableHandbook[],6,FALSE)=0,"",VLOOKUP($A25,TableHandbook[],6,FALSE)),"")</f>
        <v>Nil</v>
      </c>
      <c r="G25" s="130">
        <f>IFERROR(IF(VLOOKUP($A25,TableHandbook[],5,FALSE)=0,"",VLOOKUP($A25,TableHandbook[],5,FALSE)),"")</f>
        <v>25</v>
      </c>
      <c r="H25" s="195" t="str">
        <f>IFERROR(VLOOKUP($A25,TableHandbook[],H$2,FALSE),"")</f>
        <v>Y</v>
      </c>
      <c r="I25" s="196" t="str">
        <f>IFERROR(VLOOKUP($A25,TableHandbook[],I$2,FALSE),"")</f>
        <v/>
      </c>
      <c r="J25" s="196" t="str">
        <f>IFERROR(VLOOKUP($A25,TableHandbook[],J$2,FALSE),"")</f>
        <v/>
      </c>
      <c r="K25" s="197" t="str">
        <f>IFERROR(VLOOKUP($A25,TableHandbook[],K$2,FALSE),"")</f>
        <v/>
      </c>
      <c r="L25" s="231"/>
      <c r="M25" s="168">
        <v>12</v>
      </c>
      <c r="N25" s="124"/>
      <c r="O25" s="124"/>
      <c r="W25" s="25"/>
    </row>
    <row r="26" spans="1:23" s="26" customFormat="1" ht="20.25" customHeight="1" x14ac:dyDescent="0.15">
      <c r="A26" s="140" t="str">
        <f>IFERROR(IF(HLOOKUP($L$4,Unitsets!$C$3:$AH$15,M26,FALSE)=0,"",HLOOKUP($L$4,Unitsets!$C$3:$AH$15,M26,FALSE)),"")</f>
        <v>PRJM6023</v>
      </c>
      <c r="B26" s="134">
        <f>IFERROR(IF(VLOOKUP($A26,TableHandbook[],2,FALSE)=0,"",VLOOKUP($A26,TableHandbook[],2,FALSE)),"")</f>
        <v>2</v>
      </c>
      <c r="C26" s="134" t="str">
        <f>IFERROR(IF(VLOOKUP($A26,TableHandbook[],3,FALSE)=0,"",VLOOKUP($A26,TableHandbook[],3,FALSE)),"")</f>
        <v>PRM620</v>
      </c>
      <c r="D26" s="141" t="str">
        <f>IFERROR(IF(VLOOKUP($A26,TableHandbook[],4,FALSE)=0,"",VLOOKUP($A26,TableHandbook[],4,FALSE)),"")</f>
        <v>Project Management Dissertation</v>
      </c>
      <c r="E26" s="126" t="str">
        <f>IF(OR(A26="",A26="-"),"",E25)</f>
        <v>SP1</v>
      </c>
      <c r="F26" s="128" t="str">
        <f>IFERROR(IF(VLOOKUP($A26,TableHandbook[],6,FALSE)=0,"",VLOOKUP($A26,TableHandbook[],6,FALSE)),"")</f>
        <v>DBE600 or PRM610</v>
      </c>
      <c r="G26" s="126">
        <f>IFERROR(IF(VLOOKUP($A26,TableHandbook[],5,FALSE)=0,"",VLOOKUP($A26,TableHandbook[],5,FALSE)),"")</f>
        <v>25</v>
      </c>
      <c r="H26" s="189" t="str">
        <f>IFERROR(VLOOKUP($A26,TableHandbook[],H$2,FALSE),"")</f>
        <v>Y</v>
      </c>
      <c r="I26" s="190" t="str">
        <f>IFERROR(VLOOKUP($A26,TableHandbook[],I$2,FALSE),"")</f>
        <v/>
      </c>
      <c r="J26" s="190" t="str">
        <f>IFERROR(VLOOKUP($A26,TableHandbook[],J$2,FALSE),"")</f>
        <v>Y</v>
      </c>
      <c r="K26" s="191" t="str">
        <f>IFERROR(VLOOKUP($A26,TableHandbook[],K$2,FALSE),"")</f>
        <v/>
      </c>
      <c r="L26" s="232"/>
      <c r="M26" s="168">
        <v>13</v>
      </c>
      <c r="N26" s="124"/>
      <c r="O26" s="124"/>
      <c r="W26" s="25"/>
    </row>
    <row r="28" spans="1:23" s="22" customFormat="1" ht="32.25" customHeight="1" x14ac:dyDescent="0.25">
      <c r="A28" s="268" t="s">
        <v>29</v>
      </c>
      <c r="B28" s="268"/>
      <c r="C28" s="268"/>
      <c r="D28" s="268"/>
      <c r="E28" s="268"/>
      <c r="F28" s="268"/>
      <c r="G28" s="268"/>
      <c r="H28" s="268"/>
      <c r="I28" s="268"/>
      <c r="J28" s="268"/>
      <c r="K28" s="268"/>
      <c r="L28" s="268"/>
      <c r="M28" s="20"/>
      <c r="N28" s="20"/>
      <c r="O28" s="20"/>
      <c r="P28" s="20"/>
      <c r="Q28" s="20"/>
      <c r="R28" s="20"/>
      <c r="S28" s="20"/>
      <c r="T28" s="20"/>
      <c r="U28" s="20"/>
      <c r="V28" s="20"/>
    </row>
    <row r="29" spans="1:23" s="30" customFormat="1" ht="24.75" customHeight="1" x14ac:dyDescent="0.3">
      <c r="A29" s="91" t="s">
        <v>30</v>
      </c>
      <c r="B29" s="91"/>
      <c r="C29" s="91"/>
      <c r="D29" s="92"/>
      <c r="E29" s="92"/>
      <c r="F29" s="92"/>
      <c r="G29" s="92"/>
      <c r="H29" s="92"/>
      <c r="I29" s="92"/>
      <c r="J29" s="92"/>
      <c r="K29" s="92"/>
      <c r="L29" s="92"/>
      <c r="M29" s="153"/>
      <c r="N29" s="153"/>
      <c r="O29" s="153"/>
      <c r="W29" s="29"/>
    </row>
    <row r="30" spans="1:23" s="22" customFormat="1" ht="15" customHeight="1" x14ac:dyDescent="0.25">
      <c r="A30" s="154" t="s">
        <v>31</v>
      </c>
      <c r="B30" s="154"/>
      <c r="C30" s="154"/>
      <c r="D30" s="154"/>
      <c r="E30" s="155"/>
      <c r="F30" s="145"/>
      <c r="G30" s="156"/>
      <c r="H30" s="156"/>
      <c r="I30" s="156"/>
      <c r="J30" s="156"/>
      <c r="K30" s="156"/>
      <c r="L30" s="156" t="s">
        <v>32</v>
      </c>
      <c r="M30" s="20"/>
      <c r="N30" s="20"/>
      <c r="O30" s="20"/>
      <c r="P30" s="20"/>
      <c r="Q30" s="20"/>
      <c r="R30" s="20"/>
      <c r="S30" s="20"/>
      <c r="T30" s="20"/>
      <c r="U30" s="20"/>
      <c r="V30" s="20"/>
    </row>
  </sheetData>
  <sheetProtection formatCells="0"/>
  <mergeCells count="2">
    <mergeCell ref="A3:D3"/>
    <mergeCell ref="A28:L28"/>
  </mergeCells>
  <conditionalFormatting sqref="A10:L26">
    <cfRule type="expression" dxfId="23" priority="2">
      <formula>$A10=""</formula>
    </cfRule>
  </conditionalFormatting>
  <conditionalFormatting sqref="D5:D7">
    <cfRule type="containsText" dxfId="22" priority="5" operator="containsText" text="Choose">
      <formula>NOT(ISERROR(SEARCH("Choose",D5)))</formula>
    </cfRule>
  </conditionalFormatting>
  <conditionalFormatting sqref="H10:K26">
    <cfRule type="expression" dxfId="21" priority="1">
      <formula>$E10=H$9</formula>
    </cfRule>
  </conditionalFormatting>
  <dataValidations count="1">
    <dataValidation type="list" allowBlank="1" showInputMessage="1" showErrorMessage="1" sqref="L15 L12 L18 L24"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CourseDetails!$A$10:$A$14</xm:f>
          </x14:formula1>
          <xm:sqref>D7</xm:sqref>
        </x14:dataValidation>
        <x14:dataValidation type="list" showInputMessage="1" showErrorMessage="1" xr:uid="{5B88F528-4B67-4FED-A635-BEDFAAD86BA0}">
          <x14:formula1>
            <xm:f>CourseDetails!$A$17:$A$19</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9A33-2B4B-400F-830D-60F5B8F498D9}">
  <dimension ref="A1:H32"/>
  <sheetViews>
    <sheetView zoomScale="85" zoomScaleNormal="85" workbookViewId="0">
      <selection activeCell="C31" sqref="C31"/>
    </sheetView>
  </sheetViews>
  <sheetFormatPr defaultRowHeight="15.75" x14ac:dyDescent="0.25"/>
  <cols>
    <col min="1" max="1" width="74.125" style="9" bestFit="1" customWidth="1"/>
    <col min="2" max="2" width="12.75" style="7" customWidth="1"/>
    <col min="3" max="3" width="13.25" style="7" customWidth="1"/>
    <col min="4" max="4" width="16.875" style="7" bestFit="1" customWidth="1"/>
    <col min="5" max="5" width="14.125" style="7" bestFit="1" customWidth="1"/>
    <col min="6" max="6" width="18.5" style="7" bestFit="1" customWidth="1"/>
    <col min="7" max="7" width="19.875" style="7" bestFit="1" customWidth="1"/>
    <col min="8" max="8" width="16.5" style="7" bestFit="1" customWidth="1"/>
  </cols>
  <sheetData>
    <row r="1" spans="1:8" x14ac:dyDescent="0.25">
      <c r="A1" s="10" t="s">
        <v>42</v>
      </c>
      <c r="B1" s="11"/>
      <c r="C1" s="11"/>
      <c r="D1" s="11"/>
    </row>
    <row r="3" spans="1:8" x14ac:dyDescent="0.25">
      <c r="A3" s="73" t="s">
        <v>43</v>
      </c>
    </row>
    <row r="4" spans="1:8" x14ac:dyDescent="0.25">
      <c r="A4" s="40" t="s">
        <v>44</v>
      </c>
      <c r="B4" s="234" t="s">
        <v>0</v>
      </c>
      <c r="C4" s="40" t="s">
        <v>45</v>
      </c>
      <c r="D4" s="40" t="s">
        <v>46</v>
      </c>
      <c r="E4" s="40" t="s">
        <v>47</v>
      </c>
      <c r="F4" s="40" t="s">
        <v>48</v>
      </c>
      <c r="G4" s="40" t="s">
        <v>23</v>
      </c>
      <c r="H4" s="40" t="s">
        <v>49</v>
      </c>
    </row>
    <row r="5" spans="1:8" x14ac:dyDescent="0.25">
      <c r="A5" s="40" t="s">
        <v>36</v>
      </c>
      <c r="B5" s="242" t="s">
        <v>50</v>
      </c>
      <c r="C5" s="242" t="s">
        <v>51</v>
      </c>
      <c r="D5" s="241">
        <v>42917</v>
      </c>
      <c r="E5" s="240">
        <v>3</v>
      </c>
      <c r="F5" s="241">
        <v>44562</v>
      </c>
      <c r="G5" s="233" t="s">
        <v>52</v>
      </c>
      <c r="H5" s="264" t="s">
        <v>205</v>
      </c>
    </row>
    <row r="6" spans="1:8" x14ac:dyDescent="0.25">
      <c r="A6" s="40" t="s">
        <v>33</v>
      </c>
      <c r="B6" s="242" t="s">
        <v>54</v>
      </c>
      <c r="C6" s="242" t="s">
        <v>55</v>
      </c>
      <c r="D6" s="241">
        <v>44562</v>
      </c>
      <c r="E6" s="242">
        <v>4</v>
      </c>
      <c r="F6" s="241">
        <v>44562</v>
      </c>
      <c r="G6" s="233" t="s">
        <v>56</v>
      </c>
      <c r="H6" s="264" t="s">
        <v>205</v>
      </c>
    </row>
    <row r="7" spans="1:8" x14ac:dyDescent="0.25">
      <c r="A7" s="40" t="s">
        <v>12</v>
      </c>
      <c r="B7" s="242" t="s">
        <v>57</v>
      </c>
      <c r="C7" s="242" t="s">
        <v>51</v>
      </c>
      <c r="D7" s="241">
        <v>42917</v>
      </c>
      <c r="E7" s="242">
        <v>3</v>
      </c>
      <c r="F7" s="241">
        <v>43922</v>
      </c>
      <c r="G7" s="233" t="s">
        <v>58</v>
      </c>
      <c r="H7" s="242" t="s">
        <v>53</v>
      </c>
    </row>
    <row r="9" spans="1:8" x14ac:dyDescent="0.25">
      <c r="A9" s="73" t="s">
        <v>59</v>
      </c>
    </row>
    <row r="10" spans="1:8" x14ac:dyDescent="0.25">
      <c r="A10" s="235" t="s">
        <v>60</v>
      </c>
      <c r="B10" s="236" t="s">
        <v>61</v>
      </c>
      <c r="C10" s="40" t="s">
        <v>62</v>
      </c>
      <c r="D10" s="40" t="s">
        <v>63</v>
      </c>
      <c r="E10" s="40" t="s">
        <v>64</v>
      </c>
    </row>
    <row r="11" spans="1:8" x14ac:dyDescent="0.25">
      <c r="A11" s="40" t="s">
        <v>15</v>
      </c>
      <c r="B11" s="40" t="s">
        <v>24</v>
      </c>
      <c r="C11" s="40" t="s">
        <v>25</v>
      </c>
      <c r="D11" s="40" t="s">
        <v>26</v>
      </c>
      <c r="E11" s="40" t="s">
        <v>27</v>
      </c>
    </row>
    <row r="12" spans="1:8" x14ac:dyDescent="0.25">
      <c r="A12" s="40" t="s">
        <v>65</v>
      </c>
      <c r="B12" s="40" t="s">
        <v>25</v>
      </c>
      <c r="C12" s="40" t="s">
        <v>26</v>
      </c>
      <c r="D12" s="40" t="s">
        <v>27</v>
      </c>
      <c r="E12" s="40" t="s">
        <v>24</v>
      </c>
    </row>
    <row r="13" spans="1:8" x14ac:dyDescent="0.25">
      <c r="A13" s="40" t="s">
        <v>66</v>
      </c>
      <c r="B13" s="40" t="s">
        <v>26</v>
      </c>
      <c r="C13" s="40" t="s">
        <v>27</v>
      </c>
      <c r="D13" s="40" t="s">
        <v>24</v>
      </c>
      <c r="E13" s="40" t="s">
        <v>25</v>
      </c>
    </row>
    <row r="14" spans="1:8" x14ac:dyDescent="0.25">
      <c r="A14" s="40" t="s">
        <v>40</v>
      </c>
      <c r="B14" s="40" t="s">
        <v>27</v>
      </c>
      <c r="C14" s="40" t="s">
        <v>24</v>
      </c>
      <c r="D14" s="40" t="s">
        <v>25</v>
      </c>
      <c r="E14" s="40" t="s">
        <v>26</v>
      </c>
    </row>
    <row r="15" spans="1:8" x14ac:dyDescent="0.25">
      <c r="A15"/>
      <c r="B15"/>
      <c r="C15"/>
    </row>
    <row r="16" spans="1:8" x14ac:dyDescent="0.25">
      <c r="A16" s="73" t="s">
        <v>67</v>
      </c>
      <c r="C16"/>
    </row>
    <row r="17" spans="1:7" x14ac:dyDescent="0.25">
      <c r="A17" s="235" t="s">
        <v>44</v>
      </c>
      <c r="B17" s="234" t="s">
        <v>0</v>
      </c>
      <c r="C17" s="40" t="s">
        <v>45</v>
      </c>
      <c r="D17" s="40" t="s">
        <v>46</v>
      </c>
      <c r="E17" s="40" t="s">
        <v>47</v>
      </c>
      <c r="F17" s="40" t="s">
        <v>48</v>
      </c>
      <c r="G17" s="40" t="s">
        <v>23</v>
      </c>
    </row>
    <row r="18" spans="1:7" x14ac:dyDescent="0.25">
      <c r="A18" s="237" t="s">
        <v>38</v>
      </c>
      <c r="B18" s="242" t="s">
        <v>68</v>
      </c>
      <c r="C18" s="242" t="s">
        <v>55</v>
      </c>
      <c r="D18" s="241">
        <v>44562</v>
      </c>
      <c r="E18" s="242">
        <v>2</v>
      </c>
      <c r="F18" s="241">
        <v>44562</v>
      </c>
      <c r="G18" s="233" t="s">
        <v>52</v>
      </c>
    </row>
    <row r="19" spans="1:7" x14ac:dyDescent="0.25">
      <c r="A19" s="237" t="s">
        <v>69</v>
      </c>
      <c r="B19" s="242" t="s">
        <v>70</v>
      </c>
      <c r="C19" s="242" t="s">
        <v>55</v>
      </c>
      <c r="D19" s="241">
        <v>44562</v>
      </c>
      <c r="E19" s="242">
        <v>2</v>
      </c>
      <c r="F19" s="241">
        <v>44562</v>
      </c>
      <c r="G19" s="233" t="s">
        <v>52</v>
      </c>
    </row>
    <row r="20" spans="1:7" x14ac:dyDescent="0.25">
      <c r="A20" s="6"/>
      <c r="B20" s="6"/>
    </row>
    <row r="21" spans="1:7" x14ac:dyDescent="0.25">
      <c r="B21" s="239"/>
      <c r="C21" s="239" t="s">
        <v>201</v>
      </c>
      <c r="D21" s="239" t="s">
        <v>202</v>
      </c>
      <c r="E21" s="239" t="s">
        <v>203</v>
      </c>
    </row>
    <row r="22" spans="1:7" x14ac:dyDescent="0.25">
      <c r="A22" t="s">
        <v>189</v>
      </c>
      <c r="B22" s="239">
        <v>45895</v>
      </c>
      <c r="C22" s="239">
        <v>45895</v>
      </c>
      <c r="D22" s="239" t="s">
        <v>206</v>
      </c>
      <c r="E22" s="239" t="s">
        <v>206</v>
      </c>
    </row>
    <row r="23" spans="1:7" x14ac:dyDescent="0.25">
      <c r="A23" t="s">
        <v>71</v>
      </c>
      <c r="B23" s="239">
        <v>45895</v>
      </c>
      <c r="C23" s="239">
        <v>45895</v>
      </c>
      <c r="D23" s="239" t="s">
        <v>206</v>
      </c>
      <c r="E23" s="239" t="s">
        <v>206</v>
      </c>
    </row>
    <row r="24" spans="1:7" x14ac:dyDescent="0.25">
      <c r="A24" t="s">
        <v>72</v>
      </c>
      <c r="B24" s="239">
        <v>45895</v>
      </c>
      <c r="C24" s="239">
        <v>45895</v>
      </c>
      <c r="D24" s="239" t="s">
        <v>206</v>
      </c>
      <c r="E24" s="239" t="s">
        <v>206</v>
      </c>
    </row>
    <row r="25" spans="1:7" x14ac:dyDescent="0.25">
      <c r="A25" t="s">
        <v>73</v>
      </c>
      <c r="B25" s="239">
        <v>45895</v>
      </c>
      <c r="C25" s="239">
        <v>45895</v>
      </c>
      <c r="D25" s="239" t="s">
        <v>206</v>
      </c>
      <c r="E25" s="239" t="s">
        <v>206</v>
      </c>
    </row>
    <row r="26" spans="1:7" x14ac:dyDescent="0.25">
      <c r="A26" t="s">
        <v>74</v>
      </c>
      <c r="B26" s="239">
        <v>46031</v>
      </c>
      <c r="C26" s="239">
        <v>46031</v>
      </c>
      <c r="D26" s="239" t="s">
        <v>206</v>
      </c>
      <c r="E26" s="239" t="s">
        <v>206</v>
      </c>
    </row>
    <row r="27" spans="1:7" x14ac:dyDescent="0.25">
      <c r="A27" t="s">
        <v>75</v>
      </c>
      <c r="B27" s="239">
        <v>45982</v>
      </c>
      <c r="C27" s="239">
        <v>45982</v>
      </c>
      <c r="D27" s="239" t="s">
        <v>206</v>
      </c>
      <c r="E27" s="239" t="s">
        <v>206</v>
      </c>
    </row>
    <row r="28" spans="1:7" x14ac:dyDescent="0.25">
      <c r="A28" t="s">
        <v>76</v>
      </c>
      <c r="B28" s="239"/>
      <c r="C28" s="239">
        <v>45982</v>
      </c>
      <c r="D28" s="239" t="s">
        <v>206</v>
      </c>
      <c r="E28" s="239" t="s">
        <v>206</v>
      </c>
    </row>
    <row r="29" spans="1:7" x14ac:dyDescent="0.25">
      <c r="A29" t="s">
        <v>77</v>
      </c>
      <c r="B29" s="239"/>
      <c r="C29" s="239">
        <v>45982</v>
      </c>
      <c r="D29" s="239" t="s">
        <v>206</v>
      </c>
      <c r="E29" s="239" t="s">
        <v>206</v>
      </c>
    </row>
    <row r="30" spans="1:7" x14ac:dyDescent="0.25">
      <c r="A30" t="s">
        <v>78</v>
      </c>
      <c r="B30" s="239"/>
      <c r="C30" s="239">
        <v>45982</v>
      </c>
      <c r="D30" s="239" t="s">
        <v>206</v>
      </c>
      <c r="E30" s="239" t="s">
        <v>206</v>
      </c>
    </row>
    <row r="31" spans="1:7" x14ac:dyDescent="0.25">
      <c r="A31" s="265" t="s">
        <v>207</v>
      </c>
      <c r="B31" s="239"/>
      <c r="C31" s="239">
        <v>46031</v>
      </c>
      <c r="D31" s="239"/>
      <c r="E31" s="239"/>
    </row>
    <row r="32" spans="1:7" x14ac:dyDescent="0.25">
      <c r="A32" s="238"/>
      <c r="B32" s="259"/>
      <c r="C32" s="260"/>
      <c r="D32" s="260"/>
      <c r="E32" s="260"/>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3"/>
  <sheetViews>
    <sheetView zoomScale="85" zoomScaleNormal="85" workbookViewId="0">
      <selection activeCell="C31" sqref="C31"/>
    </sheetView>
  </sheetViews>
  <sheetFormatPr defaultRowHeight="15.75" x14ac:dyDescent="0.25"/>
  <cols>
    <col min="1" max="1" width="12.625" style="7" bestFit="1" customWidth="1"/>
    <col min="2" max="2" width="3.625" customWidth="1"/>
    <col min="3" max="3" width="5" bestFit="1" customWidth="1"/>
    <col min="4" max="4" width="12.875" bestFit="1" customWidth="1"/>
    <col min="5" max="5" width="5" customWidth="1"/>
    <col min="6" max="6" width="13.25" bestFit="1" customWidth="1"/>
    <col min="7" max="7" width="5" customWidth="1"/>
    <col min="8" max="8" width="13.25" bestFit="1" customWidth="1"/>
    <col min="9" max="9" width="5" customWidth="1"/>
    <col min="10" max="10" width="13.25" bestFit="1" customWidth="1"/>
    <col min="11" max="11" width="5" customWidth="1"/>
    <col min="12" max="12" width="12.875" bestFit="1" customWidth="1"/>
    <col min="13" max="13" width="5" customWidth="1"/>
    <col min="14" max="14" width="13.25" bestFit="1" customWidth="1"/>
    <col min="15" max="15" width="5" customWidth="1"/>
    <col min="16" max="16" width="13.25" bestFit="1" customWidth="1"/>
    <col min="17" max="17" width="5" customWidth="1"/>
    <col min="18" max="18" width="13.25" bestFit="1" customWidth="1"/>
    <col min="19" max="19" width="5.25" bestFit="1" customWidth="1"/>
    <col min="20" max="20" width="14.625" bestFit="1" customWidth="1"/>
    <col min="21" max="21" width="5.25" bestFit="1" customWidth="1"/>
    <col min="22" max="22" width="15" bestFit="1" customWidth="1"/>
    <col min="23" max="23" width="5.25" bestFit="1" customWidth="1"/>
    <col min="24" max="24" width="15" bestFit="1" customWidth="1"/>
    <col min="25" max="25" width="5.25" bestFit="1" customWidth="1"/>
    <col min="26" max="26" width="15" bestFit="1" customWidth="1"/>
    <col min="27" max="27" width="5.25" bestFit="1" customWidth="1"/>
    <col min="28" max="28" width="14.875" bestFit="1" customWidth="1"/>
    <col min="29" max="29" width="5.25" bestFit="1" customWidth="1"/>
    <col min="30" max="30" width="15.125" bestFit="1" customWidth="1"/>
    <col min="31" max="31" width="5.25" bestFit="1" customWidth="1"/>
    <col min="32" max="32" width="15.125" bestFit="1" customWidth="1"/>
    <col min="33" max="33" width="5.25" bestFit="1" customWidth="1"/>
    <col min="34" max="34" width="15.125" bestFit="1" customWidth="1"/>
    <col min="35" max="35" width="6.625" customWidth="1"/>
  </cols>
  <sheetData>
    <row r="1" spans="1:35" x14ac:dyDescent="0.25">
      <c r="N1" s="266" t="s">
        <v>208</v>
      </c>
      <c r="V1" s="266" t="s">
        <v>208</v>
      </c>
      <c r="AD1" s="266" t="s">
        <v>208</v>
      </c>
    </row>
    <row r="2" spans="1:35" x14ac:dyDescent="0.25">
      <c r="C2" s="74" t="s">
        <v>12</v>
      </c>
      <c r="D2" s="75"/>
      <c r="E2" s="76"/>
      <c r="F2" s="75"/>
      <c r="G2" s="75"/>
      <c r="H2" s="75"/>
      <c r="I2" s="75"/>
      <c r="J2" s="77"/>
      <c r="K2" s="74" t="s">
        <v>33</v>
      </c>
      <c r="L2" s="75"/>
      <c r="M2" s="76"/>
      <c r="N2" s="75"/>
      <c r="O2" s="75"/>
      <c r="P2" s="75"/>
      <c r="Q2" s="75"/>
      <c r="R2" s="77"/>
      <c r="S2" s="74" t="s">
        <v>38</v>
      </c>
      <c r="T2" s="75"/>
      <c r="U2" s="76"/>
      <c r="V2" s="75"/>
      <c r="W2" s="75"/>
      <c r="X2" s="75"/>
      <c r="Y2" s="75"/>
      <c r="Z2" s="77"/>
      <c r="AA2" s="74" t="s">
        <v>69</v>
      </c>
      <c r="AB2" s="75"/>
      <c r="AC2" s="76"/>
      <c r="AD2" s="75"/>
      <c r="AE2" s="75"/>
      <c r="AF2" s="75"/>
      <c r="AG2" s="75"/>
      <c r="AH2" s="77"/>
      <c r="AI2" s="8"/>
    </row>
    <row r="3" spans="1:35" x14ac:dyDescent="0.25">
      <c r="A3" s="62" t="s">
        <v>79</v>
      </c>
      <c r="B3" s="2">
        <v>1</v>
      </c>
      <c r="C3" s="42"/>
      <c r="D3" s="58" t="s">
        <v>80</v>
      </c>
      <c r="E3" s="41"/>
      <c r="F3" s="58" t="s">
        <v>81</v>
      </c>
      <c r="G3" s="42"/>
      <c r="H3" s="58" t="s">
        <v>82</v>
      </c>
      <c r="I3" s="41"/>
      <c r="J3" s="58" t="s">
        <v>83</v>
      </c>
      <c r="K3" s="42"/>
      <c r="L3" s="49" t="s">
        <v>84</v>
      </c>
      <c r="M3" s="42"/>
      <c r="N3" s="49" t="s">
        <v>85</v>
      </c>
      <c r="O3" s="42"/>
      <c r="P3" s="58" t="s">
        <v>86</v>
      </c>
      <c r="Q3" s="261"/>
      <c r="R3" s="262" t="s">
        <v>87</v>
      </c>
      <c r="S3" s="59"/>
      <c r="T3" s="78" t="s">
        <v>88</v>
      </c>
      <c r="U3" s="79"/>
      <c r="V3" s="80" t="s">
        <v>89</v>
      </c>
      <c r="W3" s="81"/>
      <c r="X3" s="82" t="s">
        <v>90</v>
      </c>
      <c r="Y3" s="83"/>
      <c r="Z3" s="84" t="s">
        <v>91</v>
      </c>
      <c r="AA3" s="85"/>
      <c r="AB3" s="78" t="s">
        <v>92</v>
      </c>
      <c r="AC3" s="79"/>
      <c r="AD3" s="80" t="s">
        <v>93</v>
      </c>
      <c r="AE3" s="81"/>
      <c r="AF3" s="82" t="s">
        <v>94</v>
      </c>
      <c r="AG3" s="83"/>
      <c r="AH3" s="84" t="s">
        <v>95</v>
      </c>
      <c r="AI3" s="36"/>
    </row>
    <row r="4" spans="1:35" x14ac:dyDescent="0.25">
      <c r="B4" s="12">
        <v>2</v>
      </c>
      <c r="C4" s="43" t="s">
        <v>96</v>
      </c>
      <c r="D4" s="98" t="s">
        <v>97</v>
      </c>
      <c r="E4" s="43" t="s">
        <v>98</v>
      </c>
      <c r="F4" s="98" t="s">
        <v>99</v>
      </c>
      <c r="G4" s="43" t="s">
        <v>100</v>
      </c>
      <c r="H4" s="222" t="str">
        <f>D4</f>
        <v>PRJM6013</v>
      </c>
      <c r="I4" s="43" t="s">
        <v>101</v>
      </c>
      <c r="J4" s="222" t="str">
        <f>F4</f>
        <v>PRJM6015</v>
      </c>
      <c r="K4" s="43" t="s">
        <v>96</v>
      </c>
      <c r="L4" s="44" t="s">
        <v>97</v>
      </c>
      <c r="M4" s="43" t="s">
        <v>98</v>
      </c>
      <c r="N4" s="44" t="s">
        <v>99</v>
      </c>
      <c r="O4" s="43" t="s">
        <v>100</v>
      </c>
      <c r="P4" s="44" t="s">
        <v>97</v>
      </c>
      <c r="Q4" s="43" t="s">
        <v>101</v>
      </c>
      <c r="R4" s="263" t="s">
        <v>105</v>
      </c>
      <c r="S4" s="44" t="s">
        <v>96</v>
      </c>
      <c r="T4" s="98" t="s">
        <v>97</v>
      </c>
      <c r="U4" s="63" t="s">
        <v>98</v>
      </c>
      <c r="V4" s="98" t="s">
        <v>99</v>
      </c>
      <c r="W4" s="63" t="s">
        <v>100</v>
      </c>
      <c r="X4" s="98" t="s">
        <v>97</v>
      </c>
      <c r="Y4" s="250" t="s">
        <v>101</v>
      </c>
      <c r="Z4" s="251" t="s">
        <v>99</v>
      </c>
      <c r="AA4" s="98" t="s">
        <v>96</v>
      </c>
      <c r="AB4" s="98" t="s">
        <v>97</v>
      </c>
      <c r="AC4" s="63" t="s">
        <v>98</v>
      </c>
      <c r="AD4" s="98" t="s">
        <v>99</v>
      </c>
      <c r="AE4" s="63" t="s">
        <v>100</v>
      </c>
      <c r="AF4" s="98" t="s">
        <v>97</v>
      </c>
      <c r="AG4" s="250" t="s">
        <v>101</v>
      </c>
      <c r="AH4" s="251" t="s">
        <v>99</v>
      </c>
      <c r="AI4" s="2"/>
    </row>
    <row r="5" spans="1:35" x14ac:dyDescent="0.25">
      <c r="B5" s="12">
        <v>3</v>
      </c>
      <c r="C5" s="45" t="s">
        <v>96</v>
      </c>
      <c r="D5" s="2" t="s">
        <v>102</v>
      </c>
      <c r="E5" s="45" t="s">
        <v>98</v>
      </c>
      <c r="F5" s="2" t="s">
        <v>103</v>
      </c>
      <c r="G5" s="45" t="s">
        <v>100</v>
      </c>
      <c r="H5" s="217" t="str">
        <f t="shared" ref="H5:J7" si="0">D5</f>
        <v>PRJM6016</v>
      </c>
      <c r="I5" s="45" t="s">
        <v>101</v>
      </c>
      <c r="J5" s="217" t="str">
        <f t="shared" si="0"/>
        <v>PRJM6021</v>
      </c>
      <c r="K5" s="45" t="s">
        <v>96</v>
      </c>
      <c r="L5" s="2" t="s">
        <v>102</v>
      </c>
      <c r="M5" s="45" t="s">
        <v>98</v>
      </c>
      <c r="N5" s="99" t="s">
        <v>106</v>
      </c>
      <c r="O5" s="45" t="s">
        <v>100</v>
      </c>
      <c r="P5" s="2" t="s">
        <v>104</v>
      </c>
      <c r="Q5" s="45" t="s">
        <v>101</v>
      </c>
      <c r="R5" s="253" t="s">
        <v>103</v>
      </c>
      <c r="S5" s="3" t="s">
        <v>96</v>
      </c>
      <c r="T5" s="2" t="s">
        <v>102</v>
      </c>
      <c r="U5" s="65" t="s">
        <v>98</v>
      </c>
      <c r="V5" s="2" t="s">
        <v>103</v>
      </c>
      <c r="W5" s="65" t="s">
        <v>100</v>
      </c>
      <c r="X5" s="2" t="s">
        <v>102</v>
      </c>
      <c r="Y5" s="65" t="s">
        <v>101</v>
      </c>
      <c r="Z5" s="66" t="s">
        <v>103</v>
      </c>
      <c r="AA5" s="2" t="s">
        <v>96</v>
      </c>
      <c r="AB5" s="2" t="s">
        <v>102</v>
      </c>
      <c r="AC5" s="65" t="s">
        <v>98</v>
      </c>
      <c r="AD5" s="2" t="s">
        <v>103</v>
      </c>
      <c r="AE5" s="65" t="s">
        <v>100</v>
      </c>
      <c r="AF5" s="2" t="s">
        <v>102</v>
      </c>
      <c r="AG5" s="65" t="s">
        <v>101</v>
      </c>
      <c r="AH5" s="66" t="s">
        <v>103</v>
      </c>
      <c r="AI5" s="2"/>
    </row>
    <row r="6" spans="1:35" x14ac:dyDescent="0.25">
      <c r="B6" s="12">
        <v>4</v>
      </c>
      <c r="C6" s="45" t="s">
        <v>98</v>
      </c>
      <c r="D6" s="2" t="s">
        <v>99</v>
      </c>
      <c r="E6" s="45" t="s">
        <v>100</v>
      </c>
      <c r="F6" s="2" t="s">
        <v>97</v>
      </c>
      <c r="G6" s="45" t="s">
        <v>101</v>
      </c>
      <c r="H6" s="217" t="str">
        <f t="shared" si="0"/>
        <v>PRJM6015</v>
      </c>
      <c r="I6" s="45" t="s">
        <v>96</v>
      </c>
      <c r="J6" s="217" t="str">
        <f t="shared" si="0"/>
        <v>PRJM6013</v>
      </c>
      <c r="K6" s="45" t="s">
        <v>98</v>
      </c>
      <c r="L6" s="2" t="s">
        <v>99</v>
      </c>
      <c r="M6" s="45" t="s">
        <v>100</v>
      </c>
      <c r="N6" s="2" t="s">
        <v>97</v>
      </c>
      <c r="O6" s="45" t="s">
        <v>101</v>
      </c>
      <c r="P6" s="2" t="s">
        <v>105</v>
      </c>
      <c r="Q6" s="45" t="s">
        <v>96</v>
      </c>
      <c r="R6" s="253" t="s">
        <v>97</v>
      </c>
      <c r="S6" s="3" t="s">
        <v>98</v>
      </c>
      <c r="T6" s="2" t="s">
        <v>99</v>
      </c>
      <c r="U6" s="65" t="s">
        <v>100</v>
      </c>
      <c r="V6" s="2" t="s">
        <v>97</v>
      </c>
      <c r="W6" s="65" t="s">
        <v>101</v>
      </c>
      <c r="X6" s="2" t="s">
        <v>99</v>
      </c>
      <c r="Y6" s="65" t="s">
        <v>96</v>
      </c>
      <c r="Z6" s="66" t="s">
        <v>97</v>
      </c>
      <c r="AA6" s="2" t="s">
        <v>98</v>
      </c>
      <c r="AB6" s="2" t="s">
        <v>99</v>
      </c>
      <c r="AC6" s="65" t="s">
        <v>100</v>
      </c>
      <c r="AD6" s="2" t="s">
        <v>97</v>
      </c>
      <c r="AE6" s="65" t="s">
        <v>101</v>
      </c>
      <c r="AF6" s="2" t="s">
        <v>99</v>
      </c>
      <c r="AG6" s="65" t="s">
        <v>96</v>
      </c>
      <c r="AH6" s="66" t="s">
        <v>97</v>
      </c>
      <c r="AI6" s="2"/>
    </row>
    <row r="7" spans="1:35" x14ac:dyDescent="0.25">
      <c r="B7" s="12">
        <v>5</v>
      </c>
      <c r="C7" s="45" t="s">
        <v>98</v>
      </c>
      <c r="D7" s="2" t="s">
        <v>103</v>
      </c>
      <c r="E7" s="46" t="s">
        <v>100</v>
      </c>
      <c r="F7" s="47" t="s">
        <v>102</v>
      </c>
      <c r="G7" s="46" t="s">
        <v>101</v>
      </c>
      <c r="H7" s="218" t="str">
        <f t="shared" si="0"/>
        <v>PRJM6021</v>
      </c>
      <c r="I7" s="46" t="s">
        <v>96</v>
      </c>
      <c r="J7" s="218" t="str">
        <f t="shared" si="0"/>
        <v>PRJM6016</v>
      </c>
      <c r="K7" s="45" t="s">
        <v>98</v>
      </c>
      <c r="L7" s="2" t="s">
        <v>106</v>
      </c>
      <c r="M7" s="45" t="s">
        <v>100</v>
      </c>
      <c r="N7" s="2" t="s">
        <v>104</v>
      </c>
      <c r="O7" s="45" t="s">
        <v>101</v>
      </c>
      <c r="P7" s="2" t="s">
        <v>103</v>
      </c>
      <c r="Q7" s="45" t="s">
        <v>96</v>
      </c>
      <c r="R7" s="253" t="s">
        <v>102</v>
      </c>
      <c r="S7" s="3" t="s">
        <v>98</v>
      </c>
      <c r="T7" s="2" t="s">
        <v>103</v>
      </c>
      <c r="U7" s="65" t="s">
        <v>100</v>
      </c>
      <c r="V7" s="2" t="s">
        <v>102</v>
      </c>
      <c r="W7" s="65" t="s">
        <v>101</v>
      </c>
      <c r="X7" s="2" t="s">
        <v>103</v>
      </c>
      <c r="Y7" s="65" t="s">
        <v>96</v>
      </c>
      <c r="Z7" s="66" t="s">
        <v>102</v>
      </c>
      <c r="AA7" s="2" t="s">
        <v>98</v>
      </c>
      <c r="AB7" s="2" t="s">
        <v>103</v>
      </c>
      <c r="AC7" s="65" t="s">
        <v>100</v>
      </c>
      <c r="AD7" s="2" t="s">
        <v>102</v>
      </c>
      <c r="AE7" s="65" t="s">
        <v>101</v>
      </c>
      <c r="AF7" s="2" t="s">
        <v>103</v>
      </c>
      <c r="AG7" s="65" t="s">
        <v>96</v>
      </c>
      <c r="AH7" s="66" t="s">
        <v>102</v>
      </c>
      <c r="AI7" s="2"/>
    </row>
    <row r="8" spans="1:35" x14ac:dyDescent="0.25">
      <c r="B8" s="12">
        <v>6</v>
      </c>
      <c r="C8" s="54"/>
      <c r="D8" s="219"/>
      <c r="E8" s="2"/>
      <c r="F8" s="220"/>
      <c r="G8" s="2"/>
      <c r="H8" s="2"/>
      <c r="I8" s="2"/>
      <c r="J8" s="2"/>
      <c r="K8" s="45" t="s">
        <v>100</v>
      </c>
      <c r="L8" s="2" t="s">
        <v>104</v>
      </c>
      <c r="M8" s="45" t="s">
        <v>101</v>
      </c>
      <c r="N8" s="2" t="s">
        <v>105</v>
      </c>
      <c r="O8" s="45" t="s">
        <v>96</v>
      </c>
      <c r="P8" s="2" t="s">
        <v>102</v>
      </c>
      <c r="Q8" s="45" t="s">
        <v>98</v>
      </c>
      <c r="R8" s="253" t="s">
        <v>99</v>
      </c>
      <c r="S8" s="3" t="s">
        <v>100</v>
      </c>
      <c r="T8" s="2" t="s">
        <v>104</v>
      </c>
      <c r="U8" s="65" t="s">
        <v>101</v>
      </c>
      <c r="V8" s="2" t="s">
        <v>106</v>
      </c>
      <c r="W8" s="65" t="s">
        <v>96</v>
      </c>
      <c r="X8" s="2" t="s">
        <v>104</v>
      </c>
      <c r="Y8" s="65" t="s">
        <v>98</v>
      </c>
      <c r="Z8" s="66" t="s">
        <v>106</v>
      </c>
      <c r="AA8" s="2" t="s">
        <v>100</v>
      </c>
      <c r="AB8" s="2" t="s">
        <v>104</v>
      </c>
      <c r="AC8" s="65" t="s">
        <v>101</v>
      </c>
      <c r="AD8" s="2" t="s">
        <v>106</v>
      </c>
      <c r="AE8" s="65" t="s">
        <v>96</v>
      </c>
      <c r="AF8" s="2" t="s">
        <v>104</v>
      </c>
      <c r="AG8" s="65" t="s">
        <v>98</v>
      </c>
      <c r="AH8" s="66" t="s">
        <v>106</v>
      </c>
      <c r="AI8" s="2"/>
    </row>
    <row r="9" spans="1:35" x14ac:dyDescent="0.25">
      <c r="B9" s="12">
        <v>7</v>
      </c>
      <c r="C9" s="45"/>
      <c r="D9" s="220"/>
      <c r="E9" s="2"/>
      <c r="F9" s="220"/>
      <c r="G9" s="2"/>
      <c r="H9" s="2"/>
      <c r="I9" s="2"/>
      <c r="J9" s="2"/>
      <c r="K9" s="45" t="s">
        <v>100</v>
      </c>
      <c r="L9" s="2" t="s">
        <v>121</v>
      </c>
      <c r="M9" s="45" t="s">
        <v>101</v>
      </c>
      <c r="N9" s="2" t="s">
        <v>103</v>
      </c>
      <c r="O9" s="45" t="s">
        <v>96</v>
      </c>
      <c r="P9" s="2" t="s">
        <v>121</v>
      </c>
      <c r="Q9" s="45" t="s">
        <v>98</v>
      </c>
      <c r="R9" s="253" t="s">
        <v>106</v>
      </c>
      <c r="S9" s="3" t="s">
        <v>100</v>
      </c>
      <c r="T9" s="2" t="s">
        <v>109</v>
      </c>
      <c r="U9" s="65" t="s">
        <v>101</v>
      </c>
      <c r="V9" s="2" t="s">
        <v>105</v>
      </c>
      <c r="W9" s="65" t="s">
        <v>96</v>
      </c>
      <c r="X9" s="2" t="s">
        <v>109</v>
      </c>
      <c r="Y9" s="65" t="s">
        <v>98</v>
      </c>
      <c r="Z9" s="66" t="s">
        <v>105</v>
      </c>
      <c r="AA9" s="2" t="s">
        <v>100</v>
      </c>
      <c r="AB9" s="99" t="s">
        <v>111</v>
      </c>
      <c r="AC9" s="65" t="s">
        <v>101</v>
      </c>
      <c r="AD9" s="2" t="s">
        <v>105</v>
      </c>
      <c r="AE9" s="65" t="s">
        <v>96</v>
      </c>
      <c r="AF9" s="99" t="s">
        <v>111</v>
      </c>
      <c r="AG9" s="65" t="s">
        <v>98</v>
      </c>
      <c r="AH9" s="66" t="s">
        <v>105</v>
      </c>
      <c r="AI9" s="2"/>
    </row>
    <row r="10" spans="1:35" x14ac:dyDescent="0.25">
      <c r="B10" s="12">
        <v>8</v>
      </c>
      <c r="C10" s="45"/>
      <c r="D10" s="220"/>
      <c r="E10" s="2"/>
      <c r="F10" s="220"/>
      <c r="G10" s="55"/>
      <c r="H10" s="55"/>
      <c r="I10" s="55"/>
      <c r="J10" s="55"/>
      <c r="K10" s="45" t="s">
        <v>101</v>
      </c>
      <c r="L10" s="2" t="s">
        <v>105</v>
      </c>
      <c r="M10" s="45" t="s">
        <v>96</v>
      </c>
      <c r="N10" s="2" t="s">
        <v>102</v>
      </c>
      <c r="O10" s="45" t="s">
        <v>98</v>
      </c>
      <c r="P10" s="2" t="s">
        <v>99</v>
      </c>
      <c r="Q10" s="45" t="s">
        <v>100</v>
      </c>
      <c r="R10" s="253" t="s">
        <v>104</v>
      </c>
      <c r="S10" s="3" t="s">
        <v>101</v>
      </c>
      <c r="T10" s="2" t="s">
        <v>106</v>
      </c>
      <c r="U10" s="65" t="s">
        <v>96</v>
      </c>
      <c r="V10" s="2" t="s">
        <v>104</v>
      </c>
      <c r="W10" s="65" t="s">
        <v>98</v>
      </c>
      <c r="X10" s="2" t="s">
        <v>106</v>
      </c>
      <c r="Y10" s="65" t="s">
        <v>100</v>
      </c>
      <c r="Z10" s="66" t="s">
        <v>104</v>
      </c>
      <c r="AA10" s="2" t="s">
        <v>101</v>
      </c>
      <c r="AB10" s="2" t="s">
        <v>106</v>
      </c>
      <c r="AC10" s="65" t="s">
        <v>96</v>
      </c>
      <c r="AD10" s="2" t="s">
        <v>104</v>
      </c>
      <c r="AE10" s="65" t="s">
        <v>98</v>
      </c>
      <c r="AF10" s="2" t="s">
        <v>106</v>
      </c>
      <c r="AG10" s="65" t="s">
        <v>100</v>
      </c>
      <c r="AH10" s="66" t="s">
        <v>104</v>
      </c>
      <c r="AI10" s="2"/>
    </row>
    <row r="11" spans="1:35" x14ac:dyDescent="0.25">
      <c r="B11" s="12">
        <v>9</v>
      </c>
      <c r="C11" s="45"/>
      <c r="D11" s="220"/>
      <c r="E11" s="2"/>
      <c r="F11" s="220"/>
      <c r="G11" s="15"/>
      <c r="H11" s="15"/>
      <c r="I11" s="15"/>
      <c r="J11" s="15"/>
      <c r="K11" s="46" t="s">
        <v>101</v>
      </c>
      <c r="L11" s="47" t="s">
        <v>103</v>
      </c>
      <c r="M11" s="46" t="s">
        <v>96</v>
      </c>
      <c r="N11" s="47" t="s">
        <v>121</v>
      </c>
      <c r="O11" s="46" t="s">
        <v>98</v>
      </c>
      <c r="P11" s="47" t="s">
        <v>106</v>
      </c>
      <c r="Q11" s="46" t="s">
        <v>100</v>
      </c>
      <c r="R11" s="48" t="s">
        <v>121</v>
      </c>
      <c r="S11" s="3" t="s">
        <v>101</v>
      </c>
      <c r="T11" s="2" t="s">
        <v>105</v>
      </c>
      <c r="U11" s="65" t="s">
        <v>96</v>
      </c>
      <c r="V11" s="2" t="s">
        <v>109</v>
      </c>
      <c r="W11" s="67" t="s">
        <v>98</v>
      </c>
      <c r="X11" s="2" t="s">
        <v>105</v>
      </c>
      <c r="Y11" s="67" t="s">
        <v>100</v>
      </c>
      <c r="Z11" s="68" t="s">
        <v>109</v>
      </c>
      <c r="AA11" s="2" t="s">
        <v>101</v>
      </c>
      <c r="AB11" s="2" t="s">
        <v>105</v>
      </c>
      <c r="AC11" s="65" t="s">
        <v>96</v>
      </c>
      <c r="AD11" s="99" t="s">
        <v>111</v>
      </c>
      <c r="AE11" s="67" t="s">
        <v>98</v>
      </c>
      <c r="AF11" s="2" t="s">
        <v>105</v>
      </c>
      <c r="AG11" s="67" t="s">
        <v>100</v>
      </c>
      <c r="AH11" s="252" t="s">
        <v>111</v>
      </c>
      <c r="AI11" s="2"/>
    </row>
    <row r="12" spans="1:35" x14ac:dyDescent="0.25">
      <c r="B12" s="12">
        <v>10</v>
      </c>
      <c r="C12" s="51"/>
      <c r="D12" s="220"/>
      <c r="E12" s="3"/>
      <c r="F12" s="220"/>
      <c r="G12" s="3"/>
      <c r="H12" s="3"/>
      <c r="I12" s="3"/>
      <c r="J12" s="3"/>
      <c r="K12" s="3"/>
      <c r="L12" s="2"/>
      <c r="M12" s="3"/>
      <c r="N12" s="2"/>
      <c r="O12" s="2"/>
      <c r="P12" s="2"/>
      <c r="Q12" s="2"/>
      <c r="R12" s="2"/>
      <c r="S12" s="50" t="s">
        <v>112</v>
      </c>
      <c r="T12" s="1" t="s">
        <v>111</v>
      </c>
      <c r="U12" s="43" t="s">
        <v>113</v>
      </c>
      <c r="V12" s="175" t="s">
        <v>107</v>
      </c>
      <c r="W12" s="1" t="s">
        <v>114</v>
      </c>
      <c r="X12" s="1" t="s">
        <v>111</v>
      </c>
      <c r="Y12" s="45" t="s">
        <v>115</v>
      </c>
      <c r="Z12" s="176" t="s">
        <v>107</v>
      </c>
      <c r="AA12" s="1" t="s">
        <v>112</v>
      </c>
      <c r="AB12" s="101" t="s">
        <v>109</v>
      </c>
      <c r="AC12" s="43" t="s">
        <v>113</v>
      </c>
      <c r="AD12" s="175" t="s">
        <v>107</v>
      </c>
      <c r="AE12" s="1" t="s">
        <v>114</v>
      </c>
      <c r="AF12" s="101" t="s">
        <v>109</v>
      </c>
      <c r="AG12" s="45" t="s">
        <v>115</v>
      </c>
      <c r="AH12" s="176" t="s">
        <v>107</v>
      </c>
      <c r="AI12" s="3"/>
    </row>
    <row r="13" spans="1:35" x14ac:dyDescent="0.25">
      <c r="B13" s="12">
        <v>11</v>
      </c>
      <c r="C13" s="51"/>
      <c r="D13" s="220"/>
      <c r="E13" s="3"/>
      <c r="F13" s="220"/>
      <c r="G13" s="15"/>
      <c r="H13" s="15"/>
      <c r="I13" s="15"/>
      <c r="J13" s="15"/>
      <c r="M13" s="3"/>
      <c r="N13" s="172" t="s">
        <v>204</v>
      </c>
      <c r="S13" s="13" t="s">
        <v>112</v>
      </c>
      <c r="T13" s="2" t="s">
        <v>116</v>
      </c>
      <c r="U13" s="45" t="s">
        <v>113</v>
      </c>
      <c r="V13" s="176" t="s">
        <v>110</v>
      </c>
      <c r="W13" s="2" t="s">
        <v>114</v>
      </c>
      <c r="X13" s="2" t="s">
        <v>116</v>
      </c>
      <c r="Y13" s="45" t="s">
        <v>115</v>
      </c>
      <c r="Z13" s="176" t="s">
        <v>110</v>
      </c>
      <c r="AA13" s="2" t="s">
        <v>112</v>
      </c>
      <c r="AB13" s="2" t="s">
        <v>117</v>
      </c>
      <c r="AC13" s="45" t="s">
        <v>113</v>
      </c>
      <c r="AD13" s="176" t="s">
        <v>110</v>
      </c>
      <c r="AE13" s="2" t="s">
        <v>114</v>
      </c>
      <c r="AF13" s="2" t="s">
        <v>117</v>
      </c>
      <c r="AG13" s="45" t="s">
        <v>115</v>
      </c>
      <c r="AH13" s="176" t="s">
        <v>110</v>
      </c>
      <c r="AI13" s="3"/>
    </row>
    <row r="14" spans="1:35" x14ac:dyDescent="0.25">
      <c r="B14" s="12">
        <v>12</v>
      </c>
      <c r="C14" s="51"/>
      <c r="D14" s="220"/>
      <c r="E14" s="3"/>
      <c r="F14" s="220"/>
      <c r="G14" s="3"/>
      <c r="H14" s="3"/>
      <c r="I14" s="3"/>
      <c r="J14" s="3"/>
      <c r="M14" s="3"/>
      <c r="N14" s="2"/>
      <c r="O14" s="2"/>
      <c r="P14" s="2"/>
      <c r="Q14" s="2"/>
      <c r="R14" s="2"/>
      <c r="S14" s="13" t="s">
        <v>113</v>
      </c>
      <c r="T14" s="173" t="s">
        <v>107</v>
      </c>
      <c r="U14" s="45" t="s">
        <v>114</v>
      </c>
      <c r="V14" s="253" t="s">
        <v>111</v>
      </c>
      <c r="W14" s="2" t="s">
        <v>115</v>
      </c>
      <c r="X14" s="173" t="s">
        <v>107</v>
      </c>
      <c r="Y14" s="45" t="s">
        <v>112</v>
      </c>
      <c r="Z14" s="253" t="s">
        <v>111</v>
      </c>
      <c r="AA14" s="2" t="s">
        <v>113</v>
      </c>
      <c r="AB14" s="173" t="s">
        <v>107</v>
      </c>
      <c r="AC14" s="45" t="s">
        <v>114</v>
      </c>
      <c r="AD14" s="100" t="s">
        <v>109</v>
      </c>
      <c r="AE14" s="2" t="s">
        <v>115</v>
      </c>
      <c r="AF14" s="173" t="s">
        <v>107</v>
      </c>
      <c r="AG14" s="45" t="s">
        <v>112</v>
      </c>
      <c r="AH14" s="100" t="s">
        <v>109</v>
      </c>
      <c r="AI14" s="3"/>
    </row>
    <row r="15" spans="1:35" x14ac:dyDescent="0.25">
      <c r="B15" s="12">
        <v>13</v>
      </c>
      <c r="C15" s="52"/>
      <c r="D15" s="221"/>
      <c r="E15" s="56"/>
      <c r="F15" s="221"/>
      <c r="G15" s="47"/>
      <c r="H15" s="47"/>
      <c r="I15" s="47"/>
      <c r="J15" s="47"/>
      <c r="K15" s="39"/>
      <c r="L15" s="39"/>
      <c r="M15" s="56"/>
      <c r="N15" s="47"/>
      <c r="O15" s="47"/>
      <c r="P15" s="47"/>
      <c r="Q15" s="47"/>
      <c r="R15" s="47"/>
      <c r="S15" s="57" t="s">
        <v>113</v>
      </c>
      <c r="T15" s="174" t="s">
        <v>110</v>
      </c>
      <c r="U15" s="46" t="s">
        <v>114</v>
      </c>
      <c r="V15" s="48" t="s">
        <v>116</v>
      </c>
      <c r="W15" s="47" t="s">
        <v>115</v>
      </c>
      <c r="X15" s="174" t="s">
        <v>110</v>
      </c>
      <c r="Y15" s="46" t="s">
        <v>112</v>
      </c>
      <c r="Z15" s="48" t="s">
        <v>116</v>
      </c>
      <c r="AA15" s="47" t="s">
        <v>113</v>
      </c>
      <c r="AB15" s="174" t="s">
        <v>110</v>
      </c>
      <c r="AC15" s="46" t="s">
        <v>114</v>
      </c>
      <c r="AD15" s="48" t="s">
        <v>117</v>
      </c>
      <c r="AE15" s="47" t="s">
        <v>115</v>
      </c>
      <c r="AF15" s="174" t="s">
        <v>110</v>
      </c>
      <c r="AG15" s="46" t="s">
        <v>112</v>
      </c>
      <c r="AH15" s="48" t="s">
        <v>117</v>
      </c>
      <c r="AI15" s="3"/>
    </row>
    <row r="16" spans="1:35" x14ac:dyDescent="0.25">
      <c r="D16" s="12"/>
      <c r="E16" s="3"/>
      <c r="F16" s="2"/>
      <c r="G16" s="2"/>
      <c r="H16" s="2"/>
      <c r="I16" s="2"/>
      <c r="J16" s="2"/>
      <c r="M16" s="3"/>
      <c r="N16" s="2"/>
      <c r="O16" s="2"/>
      <c r="P16" s="2"/>
      <c r="Q16" s="2"/>
      <c r="R16" s="2"/>
      <c r="S16" s="3"/>
      <c r="T16" s="60" t="s">
        <v>118</v>
      </c>
      <c r="U16" s="3"/>
      <c r="V16" s="60" t="s">
        <v>118</v>
      </c>
      <c r="X16" s="60" t="s">
        <v>118</v>
      </c>
      <c r="Z16" s="60" t="s">
        <v>118</v>
      </c>
      <c r="AA16" s="3"/>
      <c r="AB16" s="60" t="s">
        <v>118</v>
      </c>
      <c r="AC16" s="3"/>
      <c r="AD16" s="60" t="s">
        <v>118</v>
      </c>
      <c r="AE16" s="3"/>
      <c r="AF16" s="60" t="s">
        <v>118</v>
      </c>
      <c r="AG16" s="3"/>
      <c r="AH16" s="60" t="s">
        <v>118</v>
      </c>
      <c r="AI16" s="3"/>
    </row>
    <row r="17" spans="1:36" ht="34.5" x14ac:dyDescent="0.25">
      <c r="D17" s="12"/>
      <c r="E17" s="3"/>
      <c r="F17" s="2"/>
      <c r="G17" s="2"/>
      <c r="H17" s="2"/>
      <c r="I17" s="2"/>
      <c r="J17" s="2"/>
      <c r="M17" s="3"/>
      <c r="N17" s="2"/>
      <c r="O17" s="2"/>
      <c r="P17" s="2"/>
      <c r="Q17" s="2"/>
      <c r="R17" s="2"/>
      <c r="S17" s="3"/>
      <c r="X17" s="249" t="s">
        <v>195</v>
      </c>
      <c r="Z17" s="249" t="s">
        <v>195</v>
      </c>
      <c r="AB17" s="254" t="s">
        <v>197</v>
      </c>
      <c r="AF17" s="249" t="s">
        <v>195</v>
      </c>
      <c r="AH17" s="249" t="s">
        <v>195</v>
      </c>
      <c r="AI17" s="3"/>
      <c r="AJ17" s="248" t="s">
        <v>196</v>
      </c>
    </row>
    <row r="18" spans="1:36" x14ac:dyDescent="0.25">
      <c r="D18" s="12"/>
      <c r="E18" s="3"/>
      <c r="F18" s="2"/>
      <c r="G18" s="2"/>
      <c r="H18" s="2"/>
      <c r="I18" s="2"/>
      <c r="J18" s="2"/>
      <c r="M18" s="3"/>
      <c r="N18" s="2"/>
      <c r="O18" s="2"/>
      <c r="P18" s="2"/>
      <c r="Q18" s="2"/>
      <c r="R18" s="2"/>
      <c r="S18" s="3"/>
      <c r="U18" s="3"/>
      <c r="Y18" s="3"/>
      <c r="Z18" s="2"/>
      <c r="AA18" s="3"/>
      <c r="AB18" s="2"/>
      <c r="AC18" s="3"/>
      <c r="AD18" s="2"/>
      <c r="AE18" s="3"/>
      <c r="AF18" s="2"/>
      <c r="AG18" s="3"/>
      <c r="AH18" s="3"/>
      <c r="AI18" s="3"/>
    </row>
    <row r="19" spans="1:36" x14ac:dyDescent="0.25">
      <c r="A19" s="62" t="s">
        <v>119</v>
      </c>
      <c r="B19" s="2">
        <v>1</v>
      </c>
      <c r="C19" s="42"/>
      <c r="D19" s="49" t="s">
        <v>80</v>
      </c>
      <c r="E19" s="41"/>
      <c r="F19" s="49" t="s">
        <v>81</v>
      </c>
      <c r="G19" s="42"/>
      <c r="H19" s="49" t="s">
        <v>82</v>
      </c>
      <c r="I19" s="41"/>
      <c r="J19" s="58" t="s">
        <v>83</v>
      </c>
      <c r="K19" s="42"/>
      <c r="L19" s="49" t="s">
        <v>84</v>
      </c>
      <c r="M19" s="42"/>
      <c r="N19" s="49" t="s">
        <v>85</v>
      </c>
      <c r="O19" s="42"/>
      <c r="P19" s="49" t="s">
        <v>86</v>
      </c>
      <c r="Q19" s="42"/>
      <c r="R19" s="58" t="s">
        <v>87</v>
      </c>
      <c r="S19" s="42"/>
      <c r="T19" s="86" t="s">
        <v>88</v>
      </c>
      <c r="U19" s="87"/>
      <c r="V19" s="88" t="s">
        <v>89</v>
      </c>
      <c r="W19" s="89"/>
      <c r="X19" s="88" t="s">
        <v>90</v>
      </c>
      <c r="Y19" s="89"/>
      <c r="Z19" s="90" t="s">
        <v>91</v>
      </c>
      <c r="AA19" s="87"/>
      <c r="AB19" s="86" t="s">
        <v>92</v>
      </c>
      <c r="AC19" s="87"/>
      <c r="AD19" s="88" t="s">
        <v>93</v>
      </c>
      <c r="AE19" s="89"/>
      <c r="AF19" s="88" t="s">
        <v>94</v>
      </c>
      <c r="AG19" s="89"/>
      <c r="AH19" s="88" t="s">
        <v>95</v>
      </c>
      <c r="AI19" s="3"/>
    </row>
    <row r="20" spans="1:36" x14ac:dyDescent="0.25">
      <c r="B20" s="12">
        <v>2</v>
      </c>
      <c r="C20" s="63"/>
      <c r="D20" s="71" t="s">
        <v>120</v>
      </c>
      <c r="E20" s="63"/>
      <c r="F20" s="71" t="s">
        <v>120</v>
      </c>
      <c r="G20" s="63"/>
      <c r="H20" s="71" t="s">
        <v>120</v>
      </c>
      <c r="I20" s="63"/>
      <c r="J20" s="71" t="s">
        <v>120</v>
      </c>
      <c r="K20" s="63" t="s">
        <v>192</v>
      </c>
      <c r="L20" s="64" t="s">
        <v>121</v>
      </c>
      <c r="M20" s="63" t="s">
        <v>192</v>
      </c>
      <c r="N20" s="64" t="s">
        <v>121</v>
      </c>
      <c r="O20" s="63" t="s">
        <v>192</v>
      </c>
      <c r="P20" s="64" t="s">
        <v>121</v>
      </c>
      <c r="Q20" s="63" t="s">
        <v>192</v>
      </c>
      <c r="R20" s="64" t="s">
        <v>121</v>
      </c>
      <c r="S20" s="53"/>
      <c r="T20" s="71" t="s">
        <v>120</v>
      </c>
      <c r="U20" s="53"/>
      <c r="V20" s="71" t="s">
        <v>120</v>
      </c>
      <c r="W20" s="53"/>
      <c r="X20" s="71" t="s">
        <v>120</v>
      </c>
      <c r="Y20" s="53"/>
      <c r="Z20" s="71" t="s">
        <v>120</v>
      </c>
      <c r="AA20" s="53"/>
      <c r="AB20" s="71" t="s">
        <v>120</v>
      </c>
      <c r="AC20" s="53"/>
      <c r="AD20" s="71" t="s">
        <v>120</v>
      </c>
      <c r="AE20" s="53"/>
      <c r="AF20" s="71" t="s">
        <v>120</v>
      </c>
      <c r="AG20" s="53"/>
      <c r="AH20" s="71" t="s">
        <v>120</v>
      </c>
      <c r="AI20" s="3"/>
    </row>
    <row r="21" spans="1:36" x14ac:dyDescent="0.25">
      <c r="B21" s="12">
        <v>3</v>
      </c>
      <c r="C21" s="65"/>
      <c r="D21" s="69"/>
      <c r="E21" s="65"/>
      <c r="F21" s="69"/>
      <c r="G21" s="65"/>
      <c r="H21" s="69"/>
      <c r="I21" s="65"/>
      <c r="J21" s="69"/>
      <c r="K21" s="65" t="s">
        <v>193</v>
      </c>
      <c r="L21" s="66" t="s">
        <v>109</v>
      </c>
      <c r="M21" s="65" t="s">
        <v>193</v>
      </c>
      <c r="N21" s="66" t="s">
        <v>109</v>
      </c>
      <c r="O21" s="65" t="s">
        <v>193</v>
      </c>
      <c r="P21" s="66" t="s">
        <v>109</v>
      </c>
      <c r="Q21" s="65" t="s">
        <v>193</v>
      </c>
      <c r="R21" s="66" t="s">
        <v>109</v>
      </c>
      <c r="S21" s="13"/>
      <c r="T21" s="69"/>
      <c r="U21" s="13"/>
      <c r="V21" s="69"/>
      <c r="W21" s="13"/>
      <c r="X21" s="69"/>
      <c r="Y21" s="13"/>
      <c r="Z21" s="69"/>
      <c r="AA21" s="13"/>
      <c r="AB21" s="69"/>
      <c r="AC21" s="13"/>
      <c r="AD21" s="69"/>
      <c r="AE21" s="13"/>
      <c r="AF21" s="69"/>
      <c r="AG21" s="13"/>
      <c r="AH21" s="69"/>
      <c r="AI21" s="3"/>
    </row>
    <row r="22" spans="1:36" x14ac:dyDescent="0.25">
      <c r="B22" s="12">
        <v>4</v>
      </c>
      <c r="C22" s="65"/>
      <c r="D22" s="69"/>
      <c r="E22" s="65"/>
      <c r="F22" s="69"/>
      <c r="G22" s="65"/>
      <c r="H22" s="69"/>
      <c r="I22" s="65"/>
      <c r="J22" s="69"/>
      <c r="K22" s="65" t="s">
        <v>194</v>
      </c>
      <c r="L22" s="66" t="s">
        <v>111</v>
      </c>
      <c r="M22" s="65" t="s">
        <v>194</v>
      </c>
      <c r="N22" s="66" t="s">
        <v>111</v>
      </c>
      <c r="O22" s="65" t="s">
        <v>194</v>
      </c>
      <c r="P22" s="66" t="s">
        <v>111</v>
      </c>
      <c r="Q22" s="65" t="s">
        <v>194</v>
      </c>
      <c r="R22" s="66" t="s">
        <v>111</v>
      </c>
      <c r="S22" s="13"/>
      <c r="T22" s="69"/>
      <c r="U22" s="13"/>
      <c r="V22" s="69"/>
      <c r="W22" s="13"/>
      <c r="X22" s="69"/>
      <c r="Y22" s="13"/>
      <c r="Z22" s="69"/>
      <c r="AA22" s="13"/>
      <c r="AB22" s="69"/>
      <c r="AC22" s="13"/>
      <c r="AD22" s="69"/>
      <c r="AE22" s="13"/>
      <c r="AF22" s="69"/>
      <c r="AG22" s="13"/>
      <c r="AH22" s="69"/>
      <c r="AI22" s="3"/>
    </row>
    <row r="23" spans="1:36" x14ac:dyDescent="0.25">
      <c r="B23" s="12">
        <v>5</v>
      </c>
      <c r="C23" s="67"/>
      <c r="D23" s="70"/>
      <c r="E23" s="67"/>
      <c r="F23" s="70"/>
      <c r="G23" s="67"/>
      <c r="H23" s="70"/>
      <c r="I23" s="67"/>
      <c r="J23" s="70"/>
      <c r="K23" s="67"/>
      <c r="L23" s="68"/>
      <c r="M23" s="67"/>
      <c r="N23" s="68"/>
      <c r="O23" s="67"/>
      <c r="P23" s="68"/>
      <c r="Q23" s="67"/>
      <c r="R23" s="68"/>
      <c r="S23" s="14"/>
      <c r="T23" s="70"/>
      <c r="U23" s="14"/>
      <c r="V23" s="70"/>
      <c r="W23" s="14"/>
      <c r="X23" s="70"/>
      <c r="Y23" s="14"/>
      <c r="Z23" s="70"/>
      <c r="AA23" s="14"/>
      <c r="AB23" s="70"/>
      <c r="AC23" s="14"/>
      <c r="AD23" s="70"/>
      <c r="AE23" s="14"/>
      <c r="AF23" s="70"/>
      <c r="AG23" s="14"/>
      <c r="AH23" s="70"/>
      <c r="AI23" s="7"/>
    </row>
    <row r="24" spans="1:36" x14ac:dyDescent="0.25">
      <c r="X24" s="7"/>
      <c r="Y24" s="7"/>
      <c r="AI24" s="7"/>
    </row>
    <row r="25" spans="1:36" x14ac:dyDescent="0.25">
      <c r="AI25" s="7"/>
    </row>
    <row r="28" spans="1:36" x14ac:dyDescent="0.25">
      <c r="AI28" s="7"/>
    </row>
    <row r="30" spans="1:36" ht="15.75" customHeight="1" x14ac:dyDescent="0.25"/>
    <row r="32" spans="1:36" ht="15.75" customHeight="1" x14ac:dyDescent="0.25"/>
    <row r="33" ht="15.75" customHeight="1" x14ac:dyDescent="0.25"/>
  </sheetData>
  <sortState xmlns:xlrd2="http://schemas.microsoft.com/office/spreadsheetml/2017/richdata2" ref="AB21:AE31">
    <sortCondition ref="AD21:AD3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5"/>
  <sheetViews>
    <sheetView zoomScale="85" zoomScaleNormal="85" workbookViewId="0">
      <selection activeCell="C31" sqref="C31"/>
    </sheetView>
  </sheetViews>
  <sheetFormatPr defaultRowHeight="15.75" x14ac:dyDescent="0.25"/>
  <cols>
    <col min="1" max="1" width="11.625" bestFit="1" customWidth="1"/>
    <col min="2" max="2" width="6.25" style="4" customWidth="1"/>
    <col min="3" max="3" width="9.875" bestFit="1" customWidth="1"/>
    <col min="4" max="4" width="43.5" bestFit="1" customWidth="1"/>
    <col min="5" max="5" width="9.375" style="4" bestFit="1" customWidth="1"/>
    <col min="6" max="6" width="22.5" bestFit="1" customWidth="1"/>
    <col min="7" max="10" width="6.25" bestFit="1" customWidth="1"/>
    <col min="11" max="11" width="36.75" style="4" bestFit="1" customWidth="1"/>
    <col min="12" max="12" width="6.25" style="4" bestFit="1" customWidth="1"/>
    <col min="13" max="14" width="7.125" style="4" bestFit="1" customWidth="1"/>
    <col min="15" max="15" width="7.5" style="4" bestFit="1" customWidth="1"/>
    <col min="16" max="16" width="6.25" bestFit="1" customWidth="1"/>
    <col min="17" max="17" width="8.5" bestFit="1" customWidth="1"/>
    <col min="18" max="18" width="7.875" bestFit="1" customWidth="1"/>
    <col min="19" max="20" width="7.625" bestFit="1" customWidth="1"/>
  </cols>
  <sheetData>
    <row r="1" spans="1:17" x14ac:dyDescent="0.25">
      <c r="A1" s="35">
        <f>COLUMN()</f>
        <v>1</v>
      </c>
      <c r="B1" s="35">
        <f>COLUMN()</f>
        <v>2</v>
      </c>
      <c r="C1" s="35">
        <f>COLUMN()</f>
        <v>3</v>
      </c>
      <c r="D1" s="35">
        <f>COLUMN()</f>
        <v>4</v>
      </c>
      <c r="E1" s="35">
        <f>COLUMN()</f>
        <v>5</v>
      </c>
      <c r="F1" s="35">
        <f>COLUMN()</f>
        <v>6</v>
      </c>
      <c r="G1" s="35">
        <f>COLUMN()</f>
        <v>7</v>
      </c>
      <c r="H1" s="35">
        <f>COLUMN()</f>
        <v>8</v>
      </c>
      <c r="I1" s="35">
        <f>COLUMN()</f>
        <v>9</v>
      </c>
      <c r="J1" s="35">
        <f>COLUMN()</f>
        <v>10</v>
      </c>
      <c r="K1" s="35">
        <f>COLUMN()</f>
        <v>11</v>
      </c>
      <c r="L1" s="35">
        <f>COLUMN()</f>
        <v>12</v>
      </c>
      <c r="M1" s="35">
        <f>COLUMN()</f>
        <v>13</v>
      </c>
      <c r="N1" s="35">
        <f>COLUMN()</f>
        <v>14</v>
      </c>
      <c r="O1" s="35">
        <f>COLUMN()</f>
        <v>15</v>
      </c>
      <c r="P1" s="35">
        <f>COLUMN()</f>
        <v>16</v>
      </c>
    </row>
    <row r="2" spans="1:17" ht="68.25" x14ac:dyDescent="0.25">
      <c r="A2" t="s">
        <v>0</v>
      </c>
      <c r="B2" t="s">
        <v>1</v>
      </c>
      <c r="C2" t="s">
        <v>2</v>
      </c>
      <c r="D2" t="s">
        <v>122</v>
      </c>
      <c r="E2" t="s">
        <v>6</v>
      </c>
      <c r="F2" t="s">
        <v>199</v>
      </c>
      <c r="G2" s="178" t="s">
        <v>24</v>
      </c>
      <c r="H2" s="178" t="s">
        <v>25</v>
      </c>
      <c r="I2" s="178" t="s">
        <v>26</v>
      </c>
      <c r="J2" s="178" t="s">
        <v>27</v>
      </c>
      <c r="K2" t="s">
        <v>123</v>
      </c>
      <c r="L2" s="178" t="s">
        <v>57</v>
      </c>
      <c r="M2" s="178" t="s">
        <v>54</v>
      </c>
      <c r="N2" s="178" t="s">
        <v>50</v>
      </c>
      <c r="O2" s="178" t="s">
        <v>68</v>
      </c>
      <c r="P2" s="178" t="s">
        <v>70</v>
      </c>
      <c r="Q2" s="5"/>
    </row>
    <row r="3" spans="1:17" x14ac:dyDescent="0.25">
      <c r="A3" t="s">
        <v>110</v>
      </c>
      <c r="D3" t="s">
        <v>124</v>
      </c>
      <c r="F3" s="179"/>
      <c r="G3" s="180" t="str">
        <f>IFERROR(IF(VLOOKUP(TableHandbook[[#This Row],[UDC]],TableAvailabilities[],2,FALSE)&gt;0,"Y",""),"")</f>
        <v/>
      </c>
      <c r="H3" s="180" t="str">
        <f>IFERROR(IF(VLOOKUP(TableHandbook[[#This Row],[UDC]],TableAvailabilities[],3,FALSE)&gt;0,"Y",""),"")</f>
        <v/>
      </c>
      <c r="I3" s="180" t="str">
        <f>IFERROR(IF(VLOOKUP(TableHandbook[[#This Row],[UDC]],TableAvailabilities[],4,FALSE)&gt;0,"Y",""),"")</f>
        <v/>
      </c>
      <c r="J3" s="180" t="str">
        <f>IFERROR(IF(VLOOKUP(TableHandbook[[#This Row],[UDC]],TableAvailabilities[],5,FALSE)&gt;0,"Y",""),"")</f>
        <v/>
      </c>
      <c r="K3" s="255"/>
      <c r="L3" s="181" t="str">
        <f>IFERROR(VLOOKUP(TableHandbook[[#This Row],[UDC]],TableOCPROJM[],7,FALSE),"")</f>
        <v/>
      </c>
      <c r="M3" s="181" t="str">
        <f>IFERROR(VLOOKUP(TableHandbook[[#This Row],[UDC]],TableOGPROJM[],7,FALSE),"")</f>
        <v/>
      </c>
      <c r="N3" s="182" t="str">
        <f>IFERROR(VLOOKUP(TableHandbook[[#This Row],[UDC]],TableOMPROJM[],7,FALSE),"")</f>
        <v/>
      </c>
      <c r="O3" s="181" t="str">
        <f>IFERROR(VLOOKUP(TableHandbook[[#This Row],[UDC]],TableOUSPPROFL[],7,FALSE),"")</f>
        <v/>
      </c>
      <c r="P3" s="181" t="str">
        <f>IFERROR(VLOOKUP(TableHandbook[[#This Row],[UDC]],TableOUSPRESCH[],7,FALSE),"")</f>
        <v/>
      </c>
      <c r="Q3" s="5"/>
    </row>
    <row r="4" spans="1:17" x14ac:dyDescent="0.25">
      <c r="A4" t="s">
        <v>120</v>
      </c>
      <c r="D4" t="s">
        <v>125</v>
      </c>
      <c r="F4" s="179"/>
      <c r="G4" s="180" t="str">
        <f>IFERROR(IF(VLOOKUP(TableHandbook[[#This Row],[UDC]],TableAvailabilities[],2,FALSE)&gt;0,"Y",""),"")</f>
        <v/>
      </c>
      <c r="H4" s="180" t="str">
        <f>IFERROR(IF(VLOOKUP(TableHandbook[[#This Row],[UDC]],TableAvailabilities[],3,FALSE)&gt;0,"Y",""),"")</f>
        <v/>
      </c>
      <c r="I4" s="180" t="str">
        <f>IFERROR(IF(VLOOKUP(TableHandbook[[#This Row],[UDC]],TableAvailabilities[],4,FALSE)&gt;0,"Y",""),"")</f>
        <v/>
      </c>
      <c r="J4" s="180" t="str">
        <f>IFERROR(IF(VLOOKUP(TableHandbook[[#This Row],[UDC]],TableAvailabilities[],5,FALSE)&gt;0,"Y",""),"")</f>
        <v/>
      </c>
      <c r="K4" s="255"/>
      <c r="L4" s="181" t="str">
        <f>IFERROR(VLOOKUP(TableHandbook[[#This Row],[UDC]],TableOCPROJM[],7,FALSE),"")</f>
        <v/>
      </c>
      <c r="M4" s="181" t="str">
        <f>IFERROR(VLOOKUP(TableHandbook[[#This Row],[UDC]],TableOGPROJM[],7,FALSE),"")</f>
        <v/>
      </c>
      <c r="N4" s="182" t="str">
        <f>IFERROR(VLOOKUP(TableHandbook[[#This Row],[UDC]],TableOMPROJM[],7,FALSE),"")</f>
        <v/>
      </c>
      <c r="O4" s="181" t="str">
        <f>IFERROR(VLOOKUP(TableHandbook[[#This Row],[UDC]],TableOUSPPROFL[],7,FALSE),"")</f>
        <v/>
      </c>
      <c r="P4" s="181" t="str">
        <f>IFERROR(VLOOKUP(TableHandbook[[#This Row],[UDC]],TableOUSPRESCH[],7,FALSE),"")</f>
        <v/>
      </c>
    </row>
    <row r="5" spans="1:17" x14ac:dyDescent="0.25">
      <c r="A5" t="s">
        <v>121</v>
      </c>
      <c r="D5" t="s">
        <v>127</v>
      </c>
      <c r="E5" s="4">
        <v>25</v>
      </c>
      <c r="F5" s="179" t="s">
        <v>126</v>
      </c>
      <c r="G5" s="180" t="str">
        <f>IFERROR(IF(VLOOKUP(TableHandbook[[#This Row],[UDC]],TableAvailabilities[],2,FALSE)&gt;0,"Y",""),"")</f>
        <v>Y</v>
      </c>
      <c r="H5" s="180" t="str">
        <f>IFERROR(IF(VLOOKUP(TableHandbook[[#This Row],[UDC]],TableAvailabilities[],3,FALSE)&gt;0,"Y",""),"")</f>
        <v/>
      </c>
      <c r="I5" s="180" t="str">
        <f>IFERROR(IF(VLOOKUP(TableHandbook[[#This Row],[UDC]],TableAvailabilities[],4,FALSE)&gt;0,"Y",""),"")</f>
        <v>Y</v>
      </c>
      <c r="J5" s="180" t="str">
        <f>IFERROR(IF(VLOOKUP(TableHandbook[[#This Row],[UDC]],TableAvailabilities[],5,FALSE)&gt;0,"Y",""),"")</f>
        <v/>
      </c>
      <c r="K5" s="255"/>
      <c r="L5" s="181" t="str">
        <f>IFERROR(VLOOKUP(TableHandbook[[#This Row],[UDC]],TableOCPROJM[],7,FALSE),"")</f>
        <v/>
      </c>
      <c r="M5" s="181" t="str">
        <f>IFERROR(VLOOKUP(TableHandbook[[#This Row],[UDC]],TableOGPROJM[],7,FALSE),"")</f>
        <v>AltCore</v>
      </c>
      <c r="N5" s="182" t="str">
        <f>IFERROR(VLOOKUP(TableHandbook[[#This Row],[UDC]],TableOMPROJM[],7,FALSE),"")</f>
        <v/>
      </c>
      <c r="O5" s="181" t="str">
        <f>IFERROR(VLOOKUP(TableHandbook[[#This Row],[UDC]],TableOUSPPROFL[],7,FALSE),"")</f>
        <v/>
      </c>
      <c r="P5" s="181" t="str">
        <f>IFERROR(VLOOKUP(TableHandbook[[#This Row],[UDC]],TableOUSPRESCH[],7,FALSE),"")</f>
        <v/>
      </c>
    </row>
    <row r="6" spans="1:17" x14ac:dyDescent="0.25">
      <c r="A6" t="s">
        <v>116</v>
      </c>
      <c r="D6" t="s">
        <v>128</v>
      </c>
      <c r="E6" s="4">
        <v>25</v>
      </c>
      <c r="F6" s="179" t="s">
        <v>129</v>
      </c>
      <c r="G6" s="180" t="str">
        <f>IFERROR(IF(VLOOKUP(TableHandbook[[#This Row],[UDC]],TableAvailabilities[],2,FALSE)&gt;0,"Y",""),"")</f>
        <v/>
      </c>
      <c r="H6" s="180" t="str">
        <f>IFERROR(IF(VLOOKUP(TableHandbook[[#This Row],[UDC]],TableAvailabilities[],3,FALSE)&gt;0,"Y",""),"")</f>
        <v/>
      </c>
      <c r="I6" s="180" t="str">
        <f>IFERROR(IF(VLOOKUP(TableHandbook[[#This Row],[UDC]],TableAvailabilities[],4,FALSE)&gt;0,"Y",""),"")</f>
        <v/>
      </c>
      <c r="J6" s="180" t="str">
        <f>IFERROR(IF(VLOOKUP(TableHandbook[[#This Row],[UDC]],TableAvailabilities[],5,FALSE)&gt;0,"Y",""),"")</f>
        <v/>
      </c>
      <c r="K6" s="255"/>
      <c r="L6" s="181" t="str">
        <f>IFERROR(VLOOKUP(TableHandbook[[#This Row],[UDC]],TableOCPROJM[],7,FALSE),"")</f>
        <v/>
      </c>
      <c r="M6" s="181" t="str">
        <f>IFERROR(VLOOKUP(TableHandbook[[#This Row],[UDC]],TableOGPROJM[],7,FALSE),"")</f>
        <v/>
      </c>
      <c r="N6" s="182" t="str">
        <f>IFERROR(VLOOKUP(TableHandbook[[#This Row],[UDC]],TableOMPROJM[],7,FALSE),"")</f>
        <v/>
      </c>
      <c r="O6" s="181" t="str">
        <f>IFERROR(VLOOKUP(TableHandbook[[#This Row],[UDC]],TableOUSPPROFL[],7,FALSE),"")</f>
        <v>Elective</v>
      </c>
      <c r="P6" s="181" t="str">
        <f>IFERROR(VLOOKUP(TableHandbook[[#This Row],[UDC]],TableOUSPRESCH[],7,FALSE),"")</f>
        <v/>
      </c>
    </row>
    <row r="7" spans="1:17" x14ac:dyDescent="0.25">
      <c r="A7" t="s">
        <v>68</v>
      </c>
      <c r="B7" s="4">
        <v>2</v>
      </c>
      <c r="D7" t="s">
        <v>38</v>
      </c>
      <c r="E7" s="4">
        <v>300</v>
      </c>
      <c r="F7" s="179"/>
      <c r="G7" s="180" t="str">
        <f>IFERROR(IF(VLOOKUP(TableHandbook[[#This Row],[UDC]],TableAvailabilities[],2,FALSE)&gt;0,"Y",""),"")</f>
        <v/>
      </c>
      <c r="H7" s="180" t="str">
        <f>IFERROR(IF(VLOOKUP(TableHandbook[[#This Row],[UDC]],TableAvailabilities[],3,FALSE)&gt;0,"Y",""),"")</f>
        <v/>
      </c>
      <c r="I7" s="180" t="str">
        <f>IFERROR(IF(VLOOKUP(TableHandbook[[#This Row],[UDC]],TableAvailabilities[],4,FALSE)&gt;0,"Y",""),"")</f>
        <v/>
      </c>
      <c r="J7" s="180" t="str">
        <f>IFERROR(IF(VLOOKUP(TableHandbook[[#This Row],[UDC]],TableAvailabilities[],5,FALSE)&gt;0,"Y",""),"")</f>
        <v/>
      </c>
      <c r="K7" s="255"/>
      <c r="L7" s="181" t="str">
        <f>IFERROR(VLOOKUP(TableHandbook[[#This Row],[UDC]],TableOCPROJM[],7,FALSE),"")</f>
        <v/>
      </c>
      <c r="M7" s="181" t="str">
        <f>IFERROR(VLOOKUP(TableHandbook[[#This Row],[UDC]],TableOGPROJM[],7,FALSE),"")</f>
        <v/>
      </c>
      <c r="N7" s="182" t="str">
        <f>IFERROR(VLOOKUP(TableHandbook[[#This Row],[UDC]],TableOMPROJM[],7,FALSE),"")</f>
        <v>AltCore</v>
      </c>
      <c r="O7" s="181" t="str">
        <f>IFERROR(VLOOKUP(TableHandbook[[#This Row],[UDC]],TableOUSPPROFL[],7,FALSE),"")</f>
        <v/>
      </c>
      <c r="P7" s="181" t="str">
        <f>IFERROR(VLOOKUP(TableHandbook[[#This Row],[UDC]],TableOUSPRESCH[],7,FALSE),"")</f>
        <v/>
      </c>
    </row>
    <row r="8" spans="1:17" x14ac:dyDescent="0.25">
      <c r="A8" t="s">
        <v>70</v>
      </c>
      <c r="B8" s="4">
        <v>2</v>
      </c>
      <c r="D8" t="s">
        <v>69</v>
      </c>
      <c r="E8" s="4">
        <v>300</v>
      </c>
      <c r="F8" s="179"/>
      <c r="G8" s="180" t="str">
        <f>IFERROR(IF(VLOOKUP(TableHandbook[[#This Row],[UDC]],TableAvailabilities[],2,FALSE)&gt;0,"Y",""),"")</f>
        <v/>
      </c>
      <c r="H8" s="180" t="str">
        <f>IFERROR(IF(VLOOKUP(TableHandbook[[#This Row],[UDC]],TableAvailabilities[],3,FALSE)&gt;0,"Y",""),"")</f>
        <v/>
      </c>
      <c r="I8" s="180" t="str">
        <f>IFERROR(IF(VLOOKUP(TableHandbook[[#This Row],[UDC]],TableAvailabilities[],4,FALSE)&gt;0,"Y",""),"")</f>
        <v/>
      </c>
      <c r="J8" s="180" t="str">
        <f>IFERROR(IF(VLOOKUP(TableHandbook[[#This Row],[UDC]],TableAvailabilities[],5,FALSE)&gt;0,"Y",""),"")</f>
        <v/>
      </c>
      <c r="K8" s="255"/>
      <c r="L8" s="181" t="str">
        <f>IFERROR(VLOOKUP(TableHandbook[[#This Row],[UDC]],TableOCPROJM[],7,FALSE),"")</f>
        <v/>
      </c>
      <c r="M8" s="181" t="str">
        <f>IFERROR(VLOOKUP(TableHandbook[[#This Row],[UDC]],TableOGPROJM[],7,FALSE),"")</f>
        <v/>
      </c>
      <c r="N8" s="182" t="str">
        <f>IFERROR(VLOOKUP(TableHandbook[[#This Row],[UDC]],TableOMPROJM[],7,FALSE),"")</f>
        <v>AltCore</v>
      </c>
      <c r="O8" s="181" t="str">
        <f>IFERROR(VLOOKUP(TableHandbook[[#This Row],[UDC]],TableOUSPPROFL[],7,FALSE),"")</f>
        <v/>
      </c>
      <c r="P8" s="181" t="str">
        <f>IFERROR(VLOOKUP(TableHandbook[[#This Row],[UDC]],TableOUSPRESCH[],7,FALSE),"")</f>
        <v/>
      </c>
    </row>
    <row r="9" spans="1:17" x14ac:dyDescent="0.25">
      <c r="A9" t="s">
        <v>97</v>
      </c>
      <c r="B9" s="4">
        <v>2</v>
      </c>
      <c r="C9" t="s">
        <v>141</v>
      </c>
      <c r="D9" t="s">
        <v>130</v>
      </c>
      <c r="E9" s="4">
        <v>25</v>
      </c>
      <c r="F9" s="179" t="s">
        <v>200</v>
      </c>
      <c r="G9" s="180" t="str">
        <f>IFERROR(IF(VLOOKUP(TableHandbook[[#This Row],[UDC]],TableAvailabilities[],2,FALSE)&gt;0,"Y",""),"")</f>
        <v>Y</v>
      </c>
      <c r="H9" s="180" t="str">
        <f>IFERROR(IF(VLOOKUP(TableHandbook[[#This Row],[UDC]],TableAvailabilities[],3,FALSE)&gt;0,"Y",""),"")</f>
        <v/>
      </c>
      <c r="I9" s="180" t="str">
        <f>IFERROR(IF(VLOOKUP(TableHandbook[[#This Row],[UDC]],TableAvailabilities[],4,FALSE)&gt;0,"Y",""),"")</f>
        <v>Y</v>
      </c>
      <c r="J9" s="180" t="str">
        <f>IFERROR(IF(VLOOKUP(TableHandbook[[#This Row],[UDC]],TableAvailabilities[],5,FALSE)&gt;0,"Y",""),"")</f>
        <v/>
      </c>
      <c r="K9" s="255"/>
      <c r="L9" s="181" t="str">
        <f>IFERROR(VLOOKUP(TableHandbook[[#This Row],[UDC]],TableOCPROJM[],7,FALSE),"")</f>
        <v>Core</v>
      </c>
      <c r="M9" s="181" t="str">
        <f>IFERROR(VLOOKUP(TableHandbook[[#This Row],[UDC]],TableOGPROJM[],7,FALSE),"")</f>
        <v>Core</v>
      </c>
      <c r="N9" s="182" t="str">
        <f>IFERROR(VLOOKUP(TableHandbook[[#This Row],[UDC]],TableOMPROJM[],7,FALSE),"")</f>
        <v/>
      </c>
      <c r="O9" s="181" t="str">
        <f>IFERROR(VLOOKUP(TableHandbook[[#This Row],[UDC]],TableOUSPPROFL[],7,FALSE),"")</f>
        <v>Core</v>
      </c>
      <c r="P9" s="181" t="str">
        <f>IFERROR(VLOOKUP(TableHandbook[[#This Row],[UDC]],TableOUSPRESCH[],7,FALSE),"")</f>
        <v>Core</v>
      </c>
    </row>
    <row r="10" spans="1:17" x14ac:dyDescent="0.25">
      <c r="A10" t="s">
        <v>105</v>
      </c>
      <c r="B10" s="4">
        <v>1</v>
      </c>
      <c r="C10" t="s">
        <v>142</v>
      </c>
      <c r="D10" t="s">
        <v>136</v>
      </c>
      <c r="E10" s="4">
        <v>25</v>
      </c>
      <c r="F10" s="258" t="s">
        <v>134</v>
      </c>
      <c r="G10" s="180" t="str">
        <f>IFERROR(IF(VLOOKUP(TableHandbook[[#This Row],[UDC]],TableAvailabilities[],2,FALSE)&gt;0,"Y",""),"")</f>
        <v/>
      </c>
      <c r="H10" s="180" t="str">
        <f>IFERROR(IF(VLOOKUP(TableHandbook[[#This Row],[UDC]],TableAvailabilities[],3,FALSE)&gt;0,"Y",""),"")</f>
        <v/>
      </c>
      <c r="I10" s="180" t="str">
        <f>IFERROR(IF(VLOOKUP(TableHandbook[[#This Row],[UDC]],TableAvailabilities[],4,FALSE)&gt;0,"Y",""),"")</f>
        <v/>
      </c>
      <c r="J10" s="180" t="str">
        <f>IFERROR(IF(VLOOKUP(TableHandbook[[#This Row],[UDC]],TableAvailabilities[],5,FALSE)&gt;0,"Y",""),"")</f>
        <v>Y</v>
      </c>
      <c r="K10" s="255"/>
      <c r="L10" s="181" t="str">
        <f>IFERROR(VLOOKUP(TableHandbook[[#This Row],[UDC]],TableOCPROJM[],7,FALSE),"")</f>
        <v/>
      </c>
      <c r="M10" s="181" t="str">
        <f>IFERROR(VLOOKUP(TableHandbook[[#This Row],[UDC]],TableOGPROJM[],7,FALSE),"")</f>
        <v>Core</v>
      </c>
      <c r="N10" s="182" t="str">
        <f>IFERROR(VLOOKUP(TableHandbook[[#This Row],[UDC]],TableOMPROJM[],7,FALSE),"")</f>
        <v/>
      </c>
      <c r="O10" s="181" t="str">
        <f>IFERROR(VLOOKUP(TableHandbook[[#This Row],[UDC]],TableOUSPPROFL[],7,FALSE),"")</f>
        <v>Core</v>
      </c>
      <c r="P10" s="181" t="str">
        <f>IFERROR(VLOOKUP(TableHandbook[[#This Row],[UDC]],TableOUSPRESCH[],7,FALSE),"")</f>
        <v>Core</v>
      </c>
    </row>
    <row r="11" spans="1:17" x14ac:dyDescent="0.25">
      <c r="A11" t="s">
        <v>99</v>
      </c>
      <c r="B11" s="4">
        <v>1</v>
      </c>
      <c r="C11" t="s">
        <v>143</v>
      </c>
      <c r="D11" t="s">
        <v>139</v>
      </c>
      <c r="E11" s="4">
        <v>25</v>
      </c>
      <c r="F11" s="179" t="s">
        <v>200</v>
      </c>
      <c r="G11" s="180" t="str">
        <f>IFERROR(IF(VLOOKUP(TableHandbook[[#This Row],[UDC]],TableAvailabilities[],2,FALSE)&gt;0,"Y",""),"")</f>
        <v/>
      </c>
      <c r="H11" s="180" t="str">
        <f>IFERROR(IF(VLOOKUP(TableHandbook[[#This Row],[UDC]],TableAvailabilities[],3,FALSE)&gt;0,"Y",""),"")</f>
        <v>Y</v>
      </c>
      <c r="I11" s="180" t="str">
        <f>IFERROR(IF(VLOOKUP(TableHandbook[[#This Row],[UDC]],TableAvailabilities[],4,FALSE)&gt;0,"Y",""),"")</f>
        <v/>
      </c>
      <c r="J11" s="180" t="str">
        <f>IFERROR(IF(VLOOKUP(TableHandbook[[#This Row],[UDC]],TableAvailabilities[],5,FALSE)&gt;0,"Y",""),"")</f>
        <v>Y</v>
      </c>
      <c r="K11" s="255"/>
      <c r="L11" s="181" t="str">
        <f>IFERROR(VLOOKUP(TableHandbook[[#This Row],[UDC]],TableOCPROJM[],7,FALSE),"")</f>
        <v>Core</v>
      </c>
      <c r="M11" s="181" t="str">
        <f>IFERROR(VLOOKUP(TableHandbook[[#This Row],[UDC]],TableOGPROJM[],7,FALSE),"")</f>
        <v>Core</v>
      </c>
      <c r="N11" s="182" t="str">
        <f>IFERROR(VLOOKUP(TableHandbook[[#This Row],[UDC]],TableOMPROJM[],7,FALSE),"")</f>
        <v/>
      </c>
      <c r="O11" s="181" t="str">
        <f>IFERROR(VLOOKUP(TableHandbook[[#This Row],[UDC]],TableOUSPPROFL[],7,FALSE),"")</f>
        <v>Core</v>
      </c>
      <c r="P11" s="181" t="str">
        <f>IFERROR(VLOOKUP(TableHandbook[[#This Row],[UDC]],TableOUSPRESCH[],7,FALSE),"")</f>
        <v>Core</v>
      </c>
    </row>
    <row r="12" spans="1:17" x14ac:dyDescent="0.25">
      <c r="A12" t="s">
        <v>102</v>
      </c>
      <c r="B12" s="4">
        <v>1</v>
      </c>
      <c r="C12" t="s">
        <v>144</v>
      </c>
      <c r="D12" t="s">
        <v>131</v>
      </c>
      <c r="E12" s="4">
        <v>25</v>
      </c>
      <c r="F12" s="179" t="s">
        <v>200</v>
      </c>
      <c r="G12" s="180" t="str">
        <f>IFERROR(IF(VLOOKUP(TableHandbook[[#This Row],[UDC]],TableAvailabilities[],2,FALSE)&gt;0,"Y",""),"")</f>
        <v>Y</v>
      </c>
      <c r="H12" s="180" t="str">
        <f>IFERROR(IF(VLOOKUP(TableHandbook[[#This Row],[UDC]],TableAvailabilities[],3,FALSE)&gt;0,"Y",""),"")</f>
        <v/>
      </c>
      <c r="I12" s="180" t="str">
        <f>IFERROR(IF(VLOOKUP(TableHandbook[[#This Row],[UDC]],TableAvailabilities[],4,FALSE)&gt;0,"Y",""),"")</f>
        <v>Y</v>
      </c>
      <c r="J12" s="180" t="str">
        <f>IFERROR(IF(VLOOKUP(TableHandbook[[#This Row],[UDC]],TableAvailabilities[],5,FALSE)&gt;0,"Y",""),"")</f>
        <v/>
      </c>
      <c r="K12" s="255"/>
      <c r="L12" s="181" t="str">
        <f>IFERROR(VLOOKUP(TableHandbook[[#This Row],[UDC]],TableOCPROJM[],7,FALSE),"")</f>
        <v>Core</v>
      </c>
      <c r="M12" s="181" t="str">
        <f>IFERROR(VLOOKUP(TableHandbook[[#This Row],[UDC]],TableOGPROJM[],7,FALSE),"")</f>
        <v>Core</v>
      </c>
      <c r="N12" s="182" t="str">
        <f>IFERROR(VLOOKUP(TableHandbook[[#This Row],[UDC]],TableOMPROJM[],7,FALSE),"")</f>
        <v/>
      </c>
      <c r="O12" s="181" t="str">
        <f>IFERROR(VLOOKUP(TableHandbook[[#This Row],[UDC]],TableOUSPPROFL[],7,FALSE),"")</f>
        <v>Core</v>
      </c>
      <c r="P12" s="181" t="str">
        <f>IFERROR(VLOOKUP(TableHandbook[[#This Row],[UDC]],TableOUSPRESCH[],7,FALSE),"")</f>
        <v>Core</v>
      </c>
    </row>
    <row r="13" spans="1:17" x14ac:dyDescent="0.25">
      <c r="A13" t="s">
        <v>107</v>
      </c>
      <c r="B13" s="4">
        <v>1</v>
      </c>
      <c r="C13" t="s">
        <v>145</v>
      </c>
      <c r="D13" t="s">
        <v>137</v>
      </c>
      <c r="E13" s="4">
        <v>50</v>
      </c>
      <c r="F13" s="258" t="s">
        <v>138</v>
      </c>
      <c r="G13" s="180" t="str">
        <f>IFERROR(IF(VLOOKUP(TableHandbook[[#This Row],[UDC]],TableAvailabilities[],2,FALSE)&gt;0,"Y",""),"")</f>
        <v/>
      </c>
      <c r="H13" s="180" t="str">
        <f>IFERROR(IF(VLOOKUP(TableHandbook[[#This Row],[UDC]],TableAvailabilities[],3,FALSE)&gt;0,"Y",""),"")</f>
        <v>Y</v>
      </c>
      <c r="I13" s="180" t="str">
        <f>IFERROR(IF(VLOOKUP(TableHandbook[[#This Row],[UDC]],TableAvailabilities[],4,FALSE)&gt;0,"Y",""),"")</f>
        <v/>
      </c>
      <c r="J13" s="180" t="str">
        <f>IFERROR(IF(VLOOKUP(TableHandbook[[#This Row],[UDC]],TableAvailabilities[],5,FALSE)&gt;0,"Y",""),"")</f>
        <v>Y</v>
      </c>
      <c r="K13" s="255"/>
      <c r="L13" s="181" t="str">
        <f>IFERROR(VLOOKUP(TableHandbook[[#This Row],[UDC]],TableOCPROJM[],7,FALSE),"")</f>
        <v/>
      </c>
      <c r="M13" s="181" t="str">
        <f>IFERROR(VLOOKUP(TableHandbook[[#This Row],[UDC]],TableOGPROJM[],7,FALSE),"")</f>
        <v/>
      </c>
      <c r="N13" s="182" t="str">
        <f>IFERROR(VLOOKUP(TableHandbook[[#This Row],[UDC]],TableOMPROJM[],7,FALSE),"")</f>
        <v/>
      </c>
      <c r="O13" s="181" t="str">
        <f>IFERROR(VLOOKUP(TableHandbook[[#This Row],[UDC]],TableOUSPPROFL[],7,FALSE),"")</f>
        <v>Core</v>
      </c>
      <c r="P13" s="181" t="str">
        <f>IFERROR(VLOOKUP(TableHandbook[[#This Row],[UDC]],TableOUSPRESCH[],7,FALSE),"")</f>
        <v>Core</v>
      </c>
    </row>
    <row r="14" spans="1:17" x14ac:dyDescent="0.25">
      <c r="A14" t="s">
        <v>104</v>
      </c>
      <c r="B14" s="4">
        <v>1</v>
      </c>
      <c r="C14" t="s">
        <v>146</v>
      </c>
      <c r="D14" t="s">
        <v>135</v>
      </c>
      <c r="E14" s="4">
        <v>25</v>
      </c>
      <c r="F14" s="179" t="s">
        <v>200</v>
      </c>
      <c r="G14" s="180" t="str">
        <f>IFERROR(IF(VLOOKUP(TableHandbook[[#This Row],[UDC]],TableAvailabilities[],2,FALSE)&gt;0,"Y",""),"")</f>
        <v/>
      </c>
      <c r="H14" s="180" t="str">
        <f>IFERROR(IF(VLOOKUP(TableHandbook[[#This Row],[UDC]],TableAvailabilities[],3,FALSE)&gt;0,"Y",""),"")</f>
        <v/>
      </c>
      <c r="I14" s="180" t="str">
        <f>IFERROR(IF(VLOOKUP(TableHandbook[[#This Row],[UDC]],TableAvailabilities[],4,FALSE)&gt;0,"Y",""),"")</f>
        <v>Y</v>
      </c>
      <c r="J14" s="180" t="str">
        <f>IFERROR(IF(VLOOKUP(TableHandbook[[#This Row],[UDC]],TableAvailabilities[],5,FALSE)&gt;0,"Y",""),"")</f>
        <v/>
      </c>
      <c r="K14" s="255"/>
      <c r="L14" s="181" t="str">
        <f>IFERROR(VLOOKUP(TableHandbook[[#This Row],[UDC]],TableOCPROJM[],7,FALSE),"")</f>
        <v/>
      </c>
      <c r="M14" s="181" t="str">
        <f>IFERROR(VLOOKUP(TableHandbook[[#This Row],[UDC]],TableOGPROJM[],7,FALSE),"")</f>
        <v>Core</v>
      </c>
      <c r="N14" s="182" t="str">
        <f>IFERROR(VLOOKUP(TableHandbook[[#This Row],[UDC]],TableOMPROJM[],7,FALSE),"")</f>
        <v/>
      </c>
      <c r="O14" s="181" t="str">
        <f>IFERROR(VLOOKUP(TableHandbook[[#This Row],[UDC]],TableOUSPPROFL[],7,FALSE),"")</f>
        <v>Core</v>
      </c>
      <c r="P14" s="181" t="str">
        <f>IFERROR(VLOOKUP(TableHandbook[[#This Row],[UDC]],TableOUSPRESCH[],7,FALSE),"")</f>
        <v>Core</v>
      </c>
    </row>
    <row r="15" spans="1:17" x14ac:dyDescent="0.25">
      <c r="A15" t="s">
        <v>106</v>
      </c>
      <c r="B15" s="4">
        <v>1</v>
      </c>
      <c r="C15" t="s">
        <v>147</v>
      </c>
      <c r="D15" t="s">
        <v>133</v>
      </c>
      <c r="E15" s="4">
        <v>25</v>
      </c>
      <c r="F15" s="258" t="s">
        <v>134</v>
      </c>
      <c r="G15" s="180" t="str">
        <f>IFERROR(IF(VLOOKUP(TableHandbook[[#This Row],[UDC]],TableAvailabilities[],2,FALSE)&gt;0,"Y",""),"")</f>
        <v/>
      </c>
      <c r="H15" s="180" t="str">
        <f>IFERROR(IF(VLOOKUP(TableHandbook[[#This Row],[UDC]],TableAvailabilities[],3,FALSE)&gt;0,"Y",""),"")</f>
        <v>Y</v>
      </c>
      <c r="I15" s="180" t="str">
        <f>IFERROR(IF(VLOOKUP(TableHandbook[[#This Row],[UDC]],TableAvailabilities[],4,FALSE)&gt;0,"Y",""),"")</f>
        <v/>
      </c>
      <c r="J15" s="180" t="str">
        <f>IFERROR(IF(VLOOKUP(TableHandbook[[#This Row],[UDC]],TableAvailabilities[],5,FALSE)&gt;0,"Y",""),"")</f>
        <v/>
      </c>
      <c r="K15" s="255"/>
      <c r="L15" s="181" t="str">
        <f>IFERROR(VLOOKUP(TableHandbook[[#This Row],[UDC]],TableOCPROJM[],7,FALSE),"")</f>
        <v/>
      </c>
      <c r="M15" s="181" t="str">
        <f>IFERROR(VLOOKUP(TableHandbook[[#This Row],[UDC]],TableOGPROJM[],7,FALSE),"")</f>
        <v>Core</v>
      </c>
      <c r="N15" s="182" t="str">
        <f>IFERROR(VLOOKUP(TableHandbook[[#This Row],[UDC]],TableOMPROJM[],7,FALSE),"")</f>
        <v/>
      </c>
      <c r="O15" s="181" t="str">
        <f>IFERROR(VLOOKUP(TableHandbook[[#This Row],[UDC]],TableOUSPPROFL[],7,FALSE),"")</f>
        <v>Core</v>
      </c>
      <c r="P15" s="181" t="str">
        <f>IFERROR(VLOOKUP(TableHandbook[[#This Row],[UDC]],TableOUSPRESCH[],7,FALSE),"")</f>
        <v>Core</v>
      </c>
    </row>
    <row r="16" spans="1:17" x14ac:dyDescent="0.25">
      <c r="A16" t="s">
        <v>103</v>
      </c>
      <c r="B16" s="4">
        <v>2</v>
      </c>
      <c r="C16" t="s">
        <v>148</v>
      </c>
      <c r="D16" t="s">
        <v>132</v>
      </c>
      <c r="E16" s="4">
        <v>25</v>
      </c>
      <c r="F16" s="179" t="s">
        <v>200</v>
      </c>
      <c r="G16" s="180" t="str">
        <f>IFERROR(IF(VLOOKUP(TableHandbook[[#This Row],[UDC]],TableAvailabilities[],2,FALSE)&gt;0,"Y",""),"")</f>
        <v/>
      </c>
      <c r="H16" s="180" t="str">
        <f>IFERROR(IF(VLOOKUP(TableHandbook[[#This Row],[UDC]],TableAvailabilities[],3,FALSE)&gt;0,"Y",""),"")</f>
        <v>Y</v>
      </c>
      <c r="I16" s="180" t="str">
        <f>IFERROR(IF(VLOOKUP(TableHandbook[[#This Row],[UDC]],TableAvailabilities[],4,FALSE)&gt;0,"Y",""),"")</f>
        <v/>
      </c>
      <c r="J16" s="180" t="str">
        <f>IFERROR(IF(VLOOKUP(TableHandbook[[#This Row],[UDC]],TableAvailabilities[],5,FALSE)&gt;0,"Y",""),"")</f>
        <v>Y</v>
      </c>
      <c r="K16" s="255"/>
      <c r="L16" s="181" t="str">
        <f>IFERROR(VLOOKUP(TableHandbook[[#This Row],[UDC]],TableOCPROJM[],7,FALSE),"")</f>
        <v>Core</v>
      </c>
      <c r="M16" s="181" t="str">
        <f>IFERROR(VLOOKUP(TableHandbook[[#This Row],[UDC]],TableOGPROJM[],7,FALSE),"")</f>
        <v>Core</v>
      </c>
      <c r="N16" s="182" t="str">
        <f>IFERROR(VLOOKUP(TableHandbook[[#This Row],[UDC]],TableOMPROJM[],7,FALSE),"")</f>
        <v/>
      </c>
      <c r="O16" s="181" t="str">
        <f>IFERROR(VLOOKUP(TableHandbook[[#This Row],[UDC]],TableOUSPPROFL[],7,FALSE),"")</f>
        <v>Core</v>
      </c>
      <c r="P16" s="181" t="str">
        <f>IFERROR(VLOOKUP(TableHandbook[[#This Row],[UDC]],TableOUSPRESCH[],7,FALSE),"")</f>
        <v>Core</v>
      </c>
    </row>
    <row r="17" spans="1:16" x14ac:dyDescent="0.25">
      <c r="A17" t="s">
        <v>117</v>
      </c>
      <c r="B17" s="4">
        <v>2</v>
      </c>
      <c r="C17" t="s">
        <v>149</v>
      </c>
      <c r="D17" t="s">
        <v>140</v>
      </c>
      <c r="E17" s="4">
        <v>25</v>
      </c>
      <c r="F17" s="258" t="s">
        <v>150</v>
      </c>
      <c r="G17" s="180" t="str">
        <f>IFERROR(IF(VLOOKUP(TableHandbook[[#This Row],[UDC]],TableAvailabilities[],2,FALSE)&gt;0,"Y",""),"")</f>
        <v>Y</v>
      </c>
      <c r="H17" s="180" t="str">
        <f>IFERROR(IF(VLOOKUP(TableHandbook[[#This Row],[UDC]],TableAvailabilities[],3,FALSE)&gt;0,"Y",""),"")</f>
        <v/>
      </c>
      <c r="I17" s="180" t="str">
        <f>IFERROR(IF(VLOOKUP(TableHandbook[[#This Row],[UDC]],TableAvailabilities[],4,FALSE)&gt;0,"Y",""),"")</f>
        <v>Y</v>
      </c>
      <c r="J17" s="180" t="str">
        <f>IFERROR(IF(VLOOKUP(TableHandbook[[#This Row],[UDC]],TableAvailabilities[],5,FALSE)&gt;0,"Y",""),"")</f>
        <v/>
      </c>
      <c r="K17" s="255"/>
      <c r="L17" s="181" t="str">
        <f>IFERROR(VLOOKUP(TableHandbook[[#This Row],[UDC]],TableOCPROJM[],7,FALSE),"")</f>
        <v/>
      </c>
      <c r="M17" s="181" t="str">
        <f>IFERROR(VLOOKUP(TableHandbook[[#This Row],[UDC]],TableOGPROJM[],7,FALSE),"")</f>
        <v/>
      </c>
      <c r="N17" s="182" t="str">
        <f>IFERROR(VLOOKUP(TableHandbook[[#This Row],[UDC]],TableOMPROJM[],7,FALSE),"")</f>
        <v/>
      </c>
      <c r="O17" s="181" t="str">
        <f>IFERROR(VLOOKUP(TableHandbook[[#This Row],[UDC]],TableOUSPPROFL[],7,FALSE),"")</f>
        <v/>
      </c>
      <c r="P17" s="181" t="str">
        <f>IFERROR(VLOOKUP(TableHandbook[[#This Row],[UDC]],TableOUSPRESCH[],7,FALSE),"")</f>
        <v>Core</v>
      </c>
    </row>
    <row r="18" spans="1:16" x14ac:dyDescent="0.25">
      <c r="A18" t="s">
        <v>109</v>
      </c>
      <c r="B18" s="4">
        <v>1</v>
      </c>
      <c r="C18" t="s">
        <v>152</v>
      </c>
      <c r="D18" t="s">
        <v>151</v>
      </c>
      <c r="E18" s="4">
        <v>25</v>
      </c>
      <c r="F18" s="179" t="s">
        <v>200</v>
      </c>
      <c r="G18" s="180" t="str">
        <f>IFERROR(IF(VLOOKUP(TableHandbook[[#This Row],[UDC]],TableAvailabilities[],2,FALSE)&gt;0,"Y",""),"")</f>
        <v>Y</v>
      </c>
      <c r="H18" s="180" t="str">
        <f>IFERROR(IF(VLOOKUP(TableHandbook[[#This Row],[UDC]],TableAvailabilities[],3,FALSE)&gt;0,"Y",""),"")</f>
        <v/>
      </c>
      <c r="I18" s="180" t="str">
        <f>IFERROR(IF(VLOOKUP(TableHandbook[[#This Row],[UDC]],TableAvailabilities[],4,FALSE)&gt;0,"Y",""),"")</f>
        <v/>
      </c>
      <c r="J18" s="180" t="str">
        <f>IFERROR(IF(VLOOKUP(TableHandbook[[#This Row],[UDC]],TableAvailabilities[],5,FALSE)&gt;0,"Y",""),"")</f>
        <v/>
      </c>
      <c r="K18" s="255"/>
      <c r="L18" s="181" t="str">
        <f>IFERROR(VLOOKUP(TableHandbook[[#This Row],[UDC]],TableOCPROJM[],7,FALSE),"")</f>
        <v/>
      </c>
      <c r="M18" s="181" t="str">
        <f>IFERROR(VLOOKUP(TableHandbook[[#This Row],[UDC]],TableOGPROJM[],7,FALSE),"")</f>
        <v>AltCore</v>
      </c>
      <c r="N18" s="182" t="str">
        <f>IFERROR(VLOOKUP(TableHandbook[[#This Row],[UDC]],TableOMPROJM[],7,FALSE),"")</f>
        <v/>
      </c>
      <c r="O18" s="181" t="str">
        <f>IFERROR(VLOOKUP(TableHandbook[[#This Row],[UDC]],TableOUSPPROFL[],7,FALSE),"")</f>
        <v>Core</v>
      </c>
      <c r="P18" s="181" t="str">
        <f>IFERROR(VLOOKUP(TableHandbook[[#This Row],[UDC]],TableOUSPRESCH[],7,FALSE),"")</f>
        <v>Core</v>
      </c>
    </row>
    <row r="19" spans="1:16" x14ac:dyDescent="0.25">
      <c r="A19" t="s">
        <v>111</v>
      </c>
      <c r="B19" s="4">
        <v>1</v>
      </c>
      <c r="C19" t="s">
        <v>154</v>
      </c>
      <c r="D19" t="s">
        <v>153</v>
      </c>
      <c r="E19" s="4">
        <v>25</v>
      </c>
      <c r="F19" s="179" t="s">
        <v>200</v>
      </c>
      <c r="G19" s="180" t="str">
        <f>IFERROR(IF(VLOOKUP(TableHandbook[[#This Row],[UDC]],TableAvailabilities[],2,FALSE)&gt;0,"Y",""),"")</f>
        <v>Y</v>
      </c>
      <c r="H19" s="180" t="str">
        <f>IFERROR(IF(VLOOKUP(TableHandbook[[#This Row],[UDC]],TableAvailabilities[],3,FALSE)&gt;0,"Y",""),"")</f>
        <v/>
      </c>
      <c r="I19" s="180" t="str">
        <f>IFERROR(IF(VLOOKUP(TableHandbook[[#This Row],[UDC]],TableAvailabilities[],4,FALSE)&gt;0,"Y",""),"")</f>
        <v>Y</v>
      </c>
      <c r="J19" s="180" t="str">
        <f>IFERROR(IF(VLOOKUP(TableHandbook[[#This Row],[UDC]],TableAvailabilities[],5,FALSE)&gt;0,"Y",""),"")</f>
        <v/>
      </c>
      <c r="K19" s="255"/>
      <c r="L19" s="181" t="str">
        <f>IFERROR(VLOOKUP(TableHandbook[[#This Row],[UDC]],TableOCPROJM[],7,FALSE),"")</f>
        <v/>
      </c>
      <c r="M19" s="181" t="str">
        <f>IFERROR(VLOOKUP(TableHandbook[[#This Row],[UDC]],TableOGPROJM[],7,FALSE),"")</f>
        <v>AltCore</v>
      </c>
      <c r="N19" s="182" t="str">
        <f>IFERROR(VLOOKUP(TableHandbook[[#This Row],[UDC]],TableOMPROJM[],7,FALSE),"")</f>
        <v/>
      </c>
      <c r="O19" s="181" t="str">
        <f>IFERROR(VLOOKUP(TableHandbook[[#This Row],[UDC]],TableOUSPPROFL[],7,FALSE),"")</f>
        <v>Core</v>
      </c>
      <c r="P19" s="181" t="str">
        <f>IFERROR(VLOOKUP(TableHandbook[[#This Row],[UDC]],TableOUSPRESCH[],7,FALSE),"")</f>
        <v>Core</v>
      </c>
    </row>
    <row r="20" spans="1:16" x14ac:dyDescent="0.25">
      <c r="B20"/>
    </row>
    <row r="21" spans="1:16" x14ac:dyDescent="0.25">
      <c r="B21"/>
    </row>
    <row r="22" spans="1:16" x14ac:dyDescent="0.25">
      <c r="B22"/>
    </row>
    <row r="23" spans="1:16" x14ac:dyDescent="0.25">
      <c r="B23"/>
    </row>
    <row r="24" spans="1:16" x14ac:dyDescent="0.25">
      <c r="B24"/>
    </row>
    <row r="25" spans="1:16" x14ac:dyDescent="0.25">
      <c r="B25"/>
    </row>
    <row r="26" spans="1:16" x14ac:dyDescent="0.25">
      <c r="B26"/>
    </row>
    <row r="27" spans="1:16" x14ac:dyDescent="0.25">
      <c r="B27"/>
    </row>
    <row r="28" spans="1:16" x14ac:dyDescent="0.25">
      <c r="B28"/>
    </row>
    <row r="29" spans="1:16" x14ac:dyDescent="0.25">
      <c r="B29"/>
    </row>
    <row r="30" spans="1:16" x14ac:dyDescent="0.25">
      <c r="B30"/>
    </row>
    <row r="31" spans="1:16" x14ac:dyDescent="0.25">
      <c r="B31"/>
    </row>
    <row r="32" spans="1:16"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sheetData>
  <sortState xmlns:xlrd2="http://schemas.microsoft.com/office/spreadsheetml/2017/richdata2" ref="A13:D19">
    <sortCondition ref="A13"/>
  </sortState>
  <conditionalFormatting sqref="A3:A19">
    <cfRule type="duplicateValues" dxfId="20" priority="53"/>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zoomScale="70" zoomScaleNormal="70" workbookViewId="0">
      <selection activeCell="C31" sqref="C31"/>
    </sheetView>
  </sheetViews>
  <sheetFormatPr defaultRowHeight="15.75" x14ac:dyDescent="0.25"/>
  <cols>
    <col min="1" max="1" width="11.375" bestFit="1" customWidth="1"/>
    <col min="2" max="2" width="13.375" style="4" bestFit="1" customWidth="1"/>
    <col min="3" max="3" width="12.5" bestFit="1" customWidth="1"/>
    <col min="4" max="4" width="47.625" customWidth="1"/>
    <col min="5" max="5" width="9.75" style="4"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5.875" customWidth="1"/>
    <col min="13" max="13" width="14.75" bestFit="1" customWidth="1"/>
    <col min="14" max="14" width="12.5" bestFit="1" customWidth="1"/>
    <col min="15" max="15" width="11.25" bestFit="1" customWidth="1"/>
    <col min="16" max="16" width="10.125" bestFit="1" customWidth="1"/>
    <col min="17" max="17" width="11.375" bestFit="1" customWidth="1"/>
  </cols>
  <sheetData>
    <row r="1" spans="1:18" x14ac:dyDescent="0.25">
      <c r="B1"/>
      <c r="E1"/>
      <c r="F1" s="72"/>
      <c r="G1" s="243" t="s">
        <v>155</v>
      </c>
      <c r="H1" s="244">
        <v>45895</v>
      </c>
      <c r="I1" s="245"/>
      <c r="J1" s="245" t="s">
        <v>57</v>
      </c>
      <c r="K1" s="246" t="s">
        <v>51</v>
      </c>
      <c r="L1" s="245" t="s">
        <v>12</v>
      </c>
      <c r="M1" s="245"/>
      <c r="N1" s="224">
        <v>42917</v>
      </c>
      <c r="O1" s="244"/>
      <c r="P1" s="223">
        <v>45658</v>
      </c>
    </row>
    <row r="2" spans="1:18" x14ac:dyDescent="0.25">
      <c r="A2" t="s">
        <v>0</v>
      </c>
      <c r="B2" s="4" t="s">
        <v>156</v>
      </c>
      <c r="C2" t="s">
        <v>20</v>
      </c>
      <c r="D2" t="s">
        <v>3</v>
      </c>
      <c r="E2" s="61" t="s">
        <v>157</v>
      </c>
      <c r="F2" t="s">
        <v>158</v>
      </c>
      <c r="G2" t="s">
        <v>159</v>
      </c>
      <c r="H2" t="s">
        <v>160</v>
      </c>
      <c r="I2" t="s">
        <v>21</v>
      </c>
      <c r="J2" t="s">
        <v>161</v>
      </c>
      <c r="K2" t="s">
        <v>1</v>
      </c>
      <c r="L2" t="s">
        <v>162</v>
      </c>
      <c r="M2" t="s">
        <v>23</v>
      </c>
      <c r="N2" t="s">
        <v>163</v>
      </c>
      <c r="O2" t="s">
        <v>164</v>
      </c>
      <c r="Q2" t="s">
        <v>165</v>
      </c>
      <c r="R2" t="s">
        <v>1</v>
      </c>
    </row>
    <row r="3" spans="1:18" x14ac:dyDescent="0.25">
      <c r="A3" t="str">
        <f>TableOCPROJM[[#This Row],[Study Package Code]]</f>
        <v>PRJM6013</v>
      </c>
      <c r="B3" s="4">
        <f>TableOCPROJM[[#This Row],[Ver]]</f>
        <v>2</v>
      </c>
      <c r="C3" t="str">
        <f>IF(TableOCPROJM[[#This Row],[Ver]]&gt;0,_xlfn.TEXTBEFORE(TableOCPROJM[[#This Row],[Structure Line]]," "),"")</f>
        <v>PRM500</v>
      </c>
      <c r="D3" t="str">
        <f>IF(TableOCPROJM[[#This Row],[OUA Code]]&lt;&gt;"",_xlfn.TEXTAFTER(TableOCPROJM[[#This Row],[Structure Line]]," "),TableOCPROJM[[#This Row],[Structure Line]])</f>
        <v>Project Management Overview</v>
      </c>
      <c r="E3" s="61">
        <f>TableOCPROJM[[#This Row],[Credit Points]]</f>
        <v>25</v>
      </c>
      <c r="F3">
        <v>1</v>
      </c>
      <c r="G3" t="s">
        <v>166</v>
      </c>
      <c r="H3">
        <v>1</v>
      </c>
      <c r="I3" s="216" t="s">
        <v>167</v>
      </c>
      <c r="J3" t="s">
        <v>97</v>
      </c>
      <c r="K3">
        <v>2</v>
      </c>
      <c r="L3" t="s">
        <v>168</v>
      </c>
      <c r="M3">
        <v>25</v>
      </c>
      <c r="N3" s="37">
        <v>42917</v>
      </c>
      <c r="O3" s="37"/>
      <c r="Q3" t="s">
        <v>97</v>
      </c>
      <c r="R3">
        <v>2</v>
      </c>
    </row>
    <row r="4" spans="1:18" x14ac:dyDescent="0.25">
      <c r="A4" t="str">
        <f>TableOCPROJM[[#This Row],[Study Package Code]]</f>
        <v>PRJM6015</v>
      </c>
      <c r="B4" s="4">
        <f>TableOCPROJM[[#This Row],[Ver]]</f>
        <v>1</v>
      </c>
      <c r="C4" t="str">
        <f>IF(TableOCPROJM[[#This Row],[Ver]]&gt;0,_xlfn.TEXTBEFORE(TableOCPROJM[[#This Row],[Structure Line]]," "),"")</f>
        <v>PRM510</v>
      </c>
      <c r="D4" t="str">
        <f>IF(TableOCPROJM[[#This Row],[OUA Code]]&lt;&gt;"",_xlfn.TEXTAFTER(TableOCPROJM[[#This Row],[Structure Line]]," "),TableOCPROJM[[#This Row],[Structure Line]])</f>
        <v>Project and People</v>
      </c>
      <c r="E4" s="61">
        <f>TableOCPROJM[[#This Row],[Credit Points]]</f>
        <v>25</v>
      </c>
      <c r="F4">
        <v>2</v>
      </c>
      <c r="G4" t="s">
        <v>166</v>
      </c>
      <c r="H4">
        <v>1</v>
      </c>
      <c r="I4" s="216" t="s">
        <v>169</v>
      </c>
      <c r="J4" t="s">
        <v>99</v>
      </c>
      <c r="K4">
        <v>1</v>
      </c>
      <c r="L4" t="s">
        <v>170</v>
      </c>
      <c r="M4">
        <v>25</v>
      </c>
      <c r="N4" s="37">
        <v>42917</v>
      </c>
      <c r="O4" s="37"/>
      <c r="Q4" t="s">
        <v>99</v>
      </c>
      <c r="R4">
        <v>1</v>
      </c>
    </row>
    <row r="5" spans="1:18" x14ac:dyDescent="0.25">
      <c r="A5" t="str">
        <f>TableOCPROJM[[#This Row],[Study Package Code]]</f>
        <v>PRJM6016</v>
      </c>
      <c r="B5" s="4">
        <f>TableOCPROJM[[#This Row],[Ver]]</f>
        <v>1</v>
      </c>
      <c r="C5" t="str">
        <f>IF(TableOCPROJM[[#This Row],[Ver]]&gt;0,_xlfn.TEXTBEFORE(TableOCPROJM[[#This Row],[Structure Line]]," "),"")</f>
        <v>PRM520</v>
      </c>
      <c r="D5" t="str">
        <f>IF(TableOCPROJM[[#This Row],[OUA Code]]&lt;&gt;"",_xlfn.TEXTAFTER(TableOCPROJM[[#This Row],[Structure Line]]," "),TableOCPROJM[[#This Row],[Structure Line]])</f>
        <v>Project Cost Management</v>
      </c>
      <c r="E5" s="61">
        <f>TableOCPROJM[[#This Row],[Credit Points]]</f>
        <v>25</v>
      </c>
      <c r="F5">
        <v>3</v>
      </c>
      <c r="G5" t="s">
        <v>166</v>
      </c>
      <c r="H5">
        <v>1</v>
      </c>
      <c r="I5" s="216" t="s">
        <v>169</v>
      </c>
      <c r="J5" t="s">
        <v>102</v>
      </c>
      <c r="K5">
        <v>1</v>
      </c>
      <c r="L5" t="s">
        <v>171</v>
      </c>
      <c r="M5">
        <v>25</v>
      </c>
      <c r="N5" s="37">
        <v>42917</v>
      </c>
      <c r="O5" s="37"/>
      <c r="Q5" t="s">
        <v>102</v>
      </c>
      <c r="R5">
        <v>1</v>
      </c>
    </row>
    <row r="6" spans="1:18" x14ac:dyDescent="0.25">
      <c r="A6" t="str">
        <f>TableOCPROJM[[#This Row],[Study Package Code]]</f>
        <v>PRJM6021</v>
      </c>
      <c r="B6" s="4">
        <f>TableOCPROJM[[#This Row],[Ver]]</f>
        <v>2</v>
      </c>
      <c r="C6" t="str">
        <f>IF(TableOCPROJM[[#This Row],[Ver]]&gt;0,_xlfn.TEXTBEFORE(TableOCPROJM[[#This Row],[Structure Line]]," "),"")</f>
        <v>PRM530</v>
      </c>
      <c r="D6" t="str">
        <f>IF(TableOCPROJM[[#This Row],[OUA Code]]&lt;&gt;"",_xlfn.TEXTAFTER(TableOCPROJM[[#This Row],[Structure Line]]," "),TableOCPROJM[[#This Row],[Structure Line]])</f>
        <v>Project Planning and Schedule Management</v>
      </c>
      <c r="E6" s="61">
        <f>TableOCPROJM[[#This Row],[Credit Points]]</f>
        <v>25</v>
      </c>
      <c r="F6">
        <v>4</v>
      </c>
      <c r="G6" t="s">
        <v>166</v>
      </c>
      <c r="H6">
        <v>1</v>
      </c>
      <c r="I6" s="216" t="s">
        <v>169</v>
      </c>
      <c r="J6" t="s">
        <v>103</v>
      </c>
      <c r="K6">
        <v>2</v>
      </c>
      <c r="L6" t="s">
        <v>172</v>
      </c>
      <c r="M6">
        <v>25</v>
      </c>
      <c r="N6" s="37">
        <v>45383</v>
      </c>
      <c r="O6" s="37"/>
      <c r="Q6" t="s">
        <v>103</v>
      </c>
      <c r="R6">
        <v>2</v>
      </c>
    </row>
    <row r="9" spans="1:18" x14ac:dyDescent="0.25">
      <c r="B9"/>
      <c r="E9"/>
      <c r="F9" s="72"/>
      <c r="G9" s="243" t="s">
        <v>155</v>
      </c>
      <c r="H9" s="244">
        <v>45895</v>
      </c>
      <c r="I9" s="245"/>
      <c r="J9" s="245" t="s">
        <v>54</v>
      </c>
      <c r="K9" s="246" t="s">
        <v>55</v>
      </c>
      <c r="L9" s="245" t="s">
        <v>33</v>
      </c>
      <c r="M9" s="245"/>
      <c r="N9" s="224">
        <v>44562</v>
      </c>
      <c r="O9" s="244"/>
    </row>
    <row r="10" spans="1:18" x14ac:dyDescent="0.25">
      <c r="A10" t="s">
        <v>0</v>
      </c>
      <c r="B10" s="4" t="s">
        <v>156</v>
      </c>
      <c r="C10" t="s">
        <v>20</v>
      </c>
      <c r="D10" t="s">
        <v>3</v>
      </c>
      <c r="E10" s="61" t="s">
        <v>157</v>
      </c>
      <c r="F10" t="s">
        <v>158</v>
      </c>
      <c r="G10" t="s">
        <v>159</v>
      </c>
      <c r="H10" t="s">
        <v>160</v>
      </c>
      <c r="I10" t="s">
        <v>21</v>
      </c>
      <c r="J10" t="s">
        <v>161</v>
      </c>
      <c r="K10" t="s">
        <v>1</v>
      </c>
      <c r="L10" t="s">
        <v>162</v>
      </c>
      <c r="M10" t="s">
        <v>23</v>
      </c>
      <c r="N10" t="s">
        <v>163</v>
      </c>
      <c r="O10" t="s">
        <v>164</v>
      </c>
      <c r="Q10" t="s">
        <v>165</v>
      </c>
      <c r="R10" t="s">
        <v>1</v>
      </c>
    </row>
    <row r="11" spans="1:18" x14ac:dyDescent="0.25">
      <c r="A11" t="str">
        <f>TableOGPROJM[[#This Row],[Study Package Code]]</f>
        <v>PRJM6013</v>
      </c>
      <c r="B11" s="4">
        <f>TableOGPROJM[[#This Row],[Ver]]</f>
        <v>2</v>
      </c>
      <c r="C11" t="str">
        <f>IF(TableOGPROJM[[#This Row],[Ver]]&gt;0,_xlfn.TEXTBEFORE(TableOGPROJM[[#This Row],[Structure Line]]," "),"")</f>
        <v>PRM500</v>
      </c>
      <c r="D11" t="str">
        <f>IF(TableOGPROJM[[#This Row],[OUA Code]]&lt;&gt;"",_xlfn.TEXTAFTER(TableOGPROJM[[#This Row],[Structure Line]]," "),TableOGPROJM[[#This Row],[Structure Line]])</f>
        <v>Project Management Overview</v>
      </c>
      <c r="E11" s="61">
        <f>TableOGPROJM[[#This Row],[Credit Points]]</f>
        <v>25</v>
      </c>
      <c r="F11">
        <v>1</v>
      </c>
      <c r="G11" t="s">
        <v>166</v>
      </c>
      <c r="H11">
        <v>1</v>
      </c>
      <c r="I11" s="216" t="s">
        <v>167</v>
      </c>
      <c r="J11" t="s">
        <v>97</v>
      </c>
      <c r="K11">
        <v>2</v>
      </c>
      <c r="L11" t="s">
        <v>168</v>
      </c>
      <c r="M11">
        <v>25</v>
      </c>
      <c r="N11" s="37">
        <v>42917</v>
      </c>
      <c r="O11" s="37"/>
      <c r="Q11" t="s">
        <v>97</v>
      </c>
      <c r="R11">
        <v>2</v>
      </c>
    </row>
    <row r="12" spans="1:18" x14ac:dyDescent="0.25">
      <c r="A12" t="str">
        <f>TableOGPROJM[[#This Row],[Study Package Code]]</f>
        <v>PRJM6015</v>
      </c>
      <c r="B12" s="4">
        <f>TableOGPROJM[[#This Row],[Ver]]</f>
        <v>1</v>
      </c>
      <c r="C12" t="str">
        <f>IF(TableOGPROJM[[#This Row],[Ver]]&gt;0,_xlfn.TEXTBEFORE(TableOGPROJM[[#This Row],[Structure Line]]," "),"")</f>
        <v>PRM510</v>
      </c>
      <c r="D12" t="str">
        <f>IF(TableOGPROJM[[#This Row],[OUA Code]]&lt;&gt;"",_xlfn.TEXTAFTER(TableOGPROJM[[#This Row],[Structure Line]]," "),TableOGPROJM[[#This Row],[Structure Line]])</f>
        <v>Project and People</v>
      </c>
      <c r="E12" s="61">
        <f>TableOGPROJM[[#This Row],[Credit Points]]</f>
        <v>25</v>
      </c>
      <c r="F12">
        <v>2</v>
      </c>
      <c r="G12" t="s">
        <v>166</v>
      </c>
      <c r="H12">
        <v>1</v>
      </c>
      <c r="I12" s="216" t="s">
        <v>167</v>
      </c>
      <c r="J12" t="s">
        <v>99</v>
      </c>
      <c r="K12">
        <v>1</v>
      </c>
      <c r="L12" t="s">
        <v>170</v>
      </c>
      <c r="M12">
        <v>25</v>
      </c>
      <c r="N12" s="37">
        <v>42917</v>
      </c>
      <c r="O12" s="37"/>
      <c r="Q12" t="s">
        <v>99</v>
      </c>
      <c r="R12">
        <v>1</v>
      </c>
    </row>
    <row r="13" spans="1:18" x14ac:dyDescent="0.25">
      <c r="A13" t="str">
        <f>TableOGPROJM[[#This Row],[Study Package Code]]</f>
        <v>PRJM6016</v>
      </c>
      <c r="B13" s="4">
        <f>TableOGPROJM[[#This Row],[Ver]]</f>
        <v>1</v>
      </c>
      <c r="C13" t="str">
        <f>IF(TableOGPROJM[[#This Row],[Ver]]&gt;0,_xlfn.TEXTBEFORE(TableOGPROJM[[#This Row],[Structure Line]]," "),"")</f>
        <v>PRM520</v>
      </c>
      <c r="D13" t="str">
        <f>IF(TableOGPROJM[[#This Row],[OUA Code]]&lt;&gt;"",_xlfn.TEXTAFTER(TableOGPROJM[[#This Row],[Structure Line]]," "),TableOGPROJM[[#This Row],[Structure Line]])</f>
        <v>Project Cost Management</v>
      </c>
      <c r="E13" s="61">
        <f>TableOGPROJM[[#This Row],[Credit Points]]</f>
        <v>25</v>
      </c>
      <c r="F13">
        <v>3</v>
      </c>
      <c r="G13" t="s">
        <v>166</v>
      </c>
      <c r="H13">
        <v>1</v>
      </c>
      <c r="I13" s="216" t="s">
        <v>167</v>
      </c>
      <c r="J13" t="s">
        <v>102</v>
      </c>
      <c r="K13">
        <v>1</v>
      </c>
      <c r="L13" t="s">
        <v>171</v>
      </c>
      <c r="M13">
        <v>25</v>
      </c>
      <c r="N13" s="37">
        <v>42917</v>
      </c>
      <c r="O13" s="37"/>
      <c r="Q13" t="s">
        <v>102</v>
      </c>
      <c r="R13">
        <v>1</v>
      </c>
    </row>
    <row r="14" spans="1:18" x14ac:dyDescent="0.25">
      <c r="A14" t="str">
        <f>TableOGPROJM[[#This Row],[Study Package Code]]</f>
        <v>PRJM6021</v>
      </c>
      <c r="B14" s="4">
        <f>TableOGPROJM[[#This Row],[Ver]]</f>
        <v>2</v>
      </c>
      <c r="C14" t="str">
        <f>IF(TableOGPROJM[[#This Row],[Ver]]&gt;0,_xlfn.TEXTBEFORE(TableOGPROJM[[#This Row],[Structure Line]]," "),"")</f>
        <v>PRM530</v>
      </c>
      <c r="D14" t="str">
        <f>IF(TableOGPROJM[[#This Row],[OUA Code]]&lt;&gt;"",_xlfn.TEXTAFTER(TableOGPROJM[[#This Row],[Structure Line]]," "),TableOGPROJM[[#This Row],[Structure Line]])</f>
        <v>Project Planning and Schedule Management</v>
      </c>
      <c r="E14" s="61">
        <f>TableOGPROJM[[#This Row],[Credit Points]]</f>
        <v>25</v>
      </c>
      <c r="F14">
        <v>4</v>
      </c>
      <c r="G14" t="s">
        <v>166</v>
      </c>
      <c r="H14">
        <v>1</v>
      </c>
      <c r="I14" s="216" t="s">
        <v>167</v>
      </c>
      <c r="J14" t="s">
        <v>103</v>
      </c>
      <c r="K14">
        <v>2</v>
      </c>
      <c r="L14" t="s">
        <v>172</v>
      </c>
      <c r="M14">
        <v>25</v>
      </c>
      <c r="N14" s="37">
        <v>45383</v>
      </c>
      <c r="O14" s="37"/>
      <c r="Q14" t="s">
        <v>103</v>
      </c>
      <c r="R14">
        <v>2</v>
      </c>
    </row>
    <row r="15" spans="1:18" x14ac:dyDescent="0.25">
      <c r="A15" t="str">
        <f>TableOGPROJM[[#This Row],[Study Package Code]]</f>
        <v>PRJM6018</v>
      </c>
      <c r="B15" s="4">
        <f>TableOGPROJM[[#This Row],[Ver]]</f>
        <v>1</v>
      </c>
      <c r="C15" t="str">
        <f>IF(TableOGPROJM[[#This Row],[Ver]]&gt;0,_xlfn.TEXTBEFORE(TableOGPROJM[[#This Row],[Structure Line]]," "),"")</f>
        <v>PRM540</v>
      </c>
      <c r="D15" t="str">
        <f>IF(TableOGPROJM[[#This Row],[OUA Code]]&lt;&gt;"",_xlfn.TEXTAFTER(TableOGPROJM[[#This Row],[Structure Line]]," "),TableOGPROJM[[#This Row],[Structure Line]])</f>
        <v>Project Procurement Management</v>
      </c>
      <c r="E15" s="61">
        <f>TableOGPROJM[[#This Row],[Credit Points]]</f>
        <v>25</v>
      </c>
      <c r="F15">
        <v>5</v>
      </c>
      <c r="G15" t="s">
        <v>166</v>
      </c>
      <c r="H15">
        <v>1</v>
      </c>
      <c r="I15" s="216" t="s">
        <v>173</v>
      </c>
      <c r="J15" t="s">
        <v>104</v>
      </c>
      <c r="K15">
        <v>1</v>
      </c>
      <c r="L15" t="s">
        <v>174</v>
      </c>
      <c r="M15">
        <v>25</v>
      </c>
      <c r="N15" s="37">
        <v>42917</v>
      </c>
      <c r="O15" s="37"/>
      <c r="Q15" t="s">
        <v>104</v>
      </c>
      <c r="R15">
        <v>1</v>
      </c>
    </row>
    <row r="16" spans="1:18" x14ac:dyDescent="0.25">
      <c r="A16" t="str">
        <f>TableOGPROJM[[#This Row],[Study Package Code]]</f>
        <v>PRJM6020</v>
      </c>
      <c r="B16" s="4">
        <f>TableOGPROJM[[#This Row],[Ver]]</f>
        <v>1</v>
      </c>
      <c r="C16" t="str">
        <f>IF(TableOGPROJM[[#This Row],[Ver]]&gt;0,_xlfn.TEXTBEFORE(TableOGPROJM[[#This Row],[Structure Line]]," "),"")</f>
        <v>PRM550</v>
      </c>
      <c r="D16" t="str">
        <f>IF(TableOGPROJM[[#This Row],[OUA Code]]&lt;&gt;"",_xlfn.TEXTAFTER(TableOGPROJM[[#This Row],[Structure Line]]," "),TableOGPROJM[[#This Row],[Structure Line]])</f>
        <v>Project Risk Management</v>
      </c>
      <c r="E16" s="61">
        <f>TableOGPROJM[[#This Row],[Credit Points]]</f>
        <v>25</v>
      </c>
      <c r="F16">
        <v>6</v>
      </c>
      <c r="G16" t="s">
        <v>166</v>
      </c>
      <c r="H16">
        <v>1</v>
      </c>
      <c r="I16" s="216" t="s">
        <v>173</v>
      </c>
      <c r="J16" t="s">
        <v>106</v>
      </c>
      <c r="K16">
        <v>1</v>
      </c>
      <c r="L16" t="s">
        <v>175</v>
      </c>
      <c r="M16">
        <v>25</v>
      </c>
      <c r="N16" s="37">
        <v>42917</v>
      </c>
      <c r="O16" s="37"/>
      <c r="Q16" t="s">
        <v>106</v>
      </c>
      <c r="R16">
        <v>1</v>
      </c>
    </row>
    <row r="17" spans="1:18" x14ac:dyDescent="0.25">
      <c r="A17" t="str">
        <f>TableOGPROJM[[#This Row],[Study Package Code]]</f>
        <v>PRJM6014</v>
      </c>
      <c r="B17" s="4">
        <f>TableOGPROJM[[#This Row],[Ver]]</f>
        <v>1</v>
      </c>
      <c r="C17" t="str">
        <f>IF(TableOGPROJM[[#This Row],[Ver]]&gt;0,_xlfn.TEXTBEFORE(TableOGPROJM[[#This Row],[Structure Line]]," "),"")</f>
        <v>PRM560</v>
      </c>
      <c r="D17" t="str">
        <f>IF(TableOGPROJM[[#This Row],[OUA Code]]&lt;&gt;"",_xlfn.TEXTAFTER(TableOGPROJM[[#This Row],[Structure Line]]," "),TableOGPROJM[[#This Row],[Structure Line]])</f>
        <v>Program and Portfolio Management</v>
      </c>
      <c r="E17" s="61">
        <f>TableOGPROJM[[#This Row],[Credit Points]]</f>
        <v>25</v>
      </c>
      <c r="F17">
        <v>7</v>
      </c>
      <c r="G17" t="s">
        <v>166</v>
      </c>
      <c r="H17">
        <v>1</v>
      </c>
      <c r="I17" s="216" t="s">
        <v>173</v>
      </c>
      <c r="J17" t="s">
        <v>105</v>
      </c>
      <c r="K17">
        <v>1</v>
      </c>
      <c r="L17" t="s">
        <v>176</v>
      </c>
      <c r="M17">
        <v>25</v>
      </c>
      <c r="N17" s="37">
        <v>42917</v>
      </c>
      <c r="O17" s="37"/>
      <c r="Q17" t="s">
        <v>105</v>
      </c>
      <c r="R17">
        <v>1</v>
      </c>
    </row>
    <row r="18" spans="1:18" x14ac:dyDescent="0.25">
      <c r="A18" t="str">
        <f>TableOGPROJM[[#This Row],[Study Package Code]]</f>
        <v>AC-PROJM</v>
      </c>
      <c r="B18" s="4">
        <f>TableOGPROJM[[#This Row],[Ver]]</f>
        <v>0</v>
      </c>
      <c r="C18" t="str">
        <f>IF(TableOGPROJM[[#This Row],[Ver]]&gt;0,_xlfn.TEXTBEFORE(TableOGPROJM[[#This Row],[Structure Line]]," "),"")</f>
        <v/>
      </c>
      <c r="D18" t="str">
        <f>IF(TableOGPROJM[[#This Row],[OUA Code]]&lt;&gt;"",_xlfn.TEXTAFTER(TableOGPROJM[[#This Row],[Structure Line]]," "),TableOGPROJM[[#This Row],[Structure Line]])</f>
        <v>Choose URDE6007 or PRJM6026</v>
      </c>
      <c r="E18" s="61">
        <f>TableOGPROJM[[#This Row],[Credit Points]]</f>
        <v>25</v>
      </c>
      <c r="F18">
        <v>8</v>
      </c>
      <c r="G18" t="s">
        <v>108</v>
      </c>
      <c r="H18">
        <v>1</v>
      </c>
      <c r="I18" s="216" t="s">
        <v>173</v>
      </c>
      <c r="J18" t="s">
        <v>121</v>
      </c>
      <c r="K18">
        <v>0</v>
      </c>
      <c r="L18" t="s">
        <v>177</v>
      </c>
      <c r="M18">
        <v>25</v>
      </c>
      <c r="N18" s="37"/>
      <c r="O18" s="37"/>
      <c r="Q18" t="s">
        <v>108</v>
      </c>
      <c r="R18">
        <v>0</v>
      </c>
    </row>
    <row r="19" spans="1:18" x14ac:dyDescent="0.25">
      <c r="A19" t="str">
        <f>TableOGPROJM[[#This Row],[Study Package Code]]</f>
        <v>PRJM6026</v>
      </c>
      <c r="B19" s="4">
        <f>TableOGPROJM[[#This Row],[Ver]]</f>
        <v>1</v>
      </c>
      <c r="C19" t="str">
        <f>IF(TableOGPROJM[[#This Row],[Ver]]&gt;0,_xlfn.TEXTBEFORE(TableOGPROJM[[#This Row],[Structure Line]]," "),"")</f>
        <v>PRM630</v>
      </c>
      <c r="D19" t="str">
        <f>IF(TableOGPROJM[[#This Row],[OUA Code]]&lt;&gt;"",_xlfn.TEXTAFTER(TableOGPROJM[[#This Row],[Structure Line]]," "),TableOGPROJM[[#This Row],[Structure Line]])</f>
        <v>Agile Management</v>
      </c>
      <c r="E19" s="61">
        <f>TableOGPROJM[[#This Row],[Credit Points]]</f>
        <v>25</v>
      </c>
      <c r="F19">
        <v>8</v>
      </c>
      <c r="G19" t="s">
        <v>108</v>
      </c>
      <c r="H19">
        <v>1</v>
      </c>
      <c r="I19" s="216" t="s">
        <v>173</v>
      </c>
      <c r="J19" t="s">
        <v>109</v>
      </c>
      <c r="K19">
        <v>1</v>
      </c>
      <c r="L19" t="s">
        <v>178</v>
      </c>
      <c r="M19">
        <v>25</v>
      </c>
      <c r="N19" s="37">
        <v>44562</v>
      </c>
      <c r="O19" s="37"/>
      <c r="Q19" t="s">
        <v>109</v>
      </c>
      <c r="R19">
        <v>1</v>
      </c>
    </row>
    <row r="20" spans="1:18" x14ac:dyDescent="0.25">
      <c r="A20" t="str">
        <f>TableOGPROJM[[#This Row],[Study Package Code]]</f>
        <v>URDE6007</v>
      </c>
      <c r="B20" s="4">
        <f>TableOGPROJM[[#This Row],[Ver]]</f>
        <v>1</v>
      </c>
      <c r="C20" t="str">
        <f>IF(TableOGPROJM[[#This Row],[Ver]]&gt;0,_xlfn.TEXTBEFORE(TableOGPROJM[[#This Row],[Structure Line]]," "),"")</f>
        <v>DBE600</v>
      </c>
      <c r="D20" t="str">
        <f>IF(TableOGPROJM[[#This Row],[OUA Code]]&lt;&gt;"",_xlfn.TEXTAFTER(TableOGPROJM[[#This Row],[Structure Line]]," "),TableOGPROJM[[#This Row],[Structure Line]])</f>
        <v>Design and Built Environment Research Methods</v>
      </c>
      <c r="E20" s="61">
        <f>TableOGPROJM[[#This Row],[Credit Points]]</f>
        <v>25</v>
      </c>
      <c r="F20">
        <v>8</v>
      </c>
      <c r="G20" t="s">
        <v>108</v>
      </c>
      <c r="H20">
        <v>1</v>
      </c>
      <c r="I20" s="216" t="s">
        <v>173</v>
      </c>
      <c r="J20" t="s">
        <v>111</v>
      </c>
      <c r="K20">
        <v>1</v>
      </c>
      <c r="L20" t="s">
        <v>179</v>
      </c>
      <c r="M20">
        <v>25</v>
      </c>
      <c r="N20" s="37">
        <v>44562</v>
      </c>
      <c r="O20" s="37"/>
      <c r="Q20" t="s">
        <v>111</v>
      </c>
      <c r="R20">
        <v>1</v>
      </c>
    </row>
    <row r="23" spans="1:18" x14ac:dyDescent="0.25">
      <c r="B23"/>
      <c r="E23"/>
      <c r="F23" s="72"/>
      <c r="G23" s="243" t="s">
        <v>155</v>
      </c>
      <c r="H23" s="244">
        <v>45895</v>
      </c>
      <c r="I23" s="245"/>
      <c r="J23" s="245" t="s">
        <v>50</v>
      </c>
      <c r="K23" s="246" t="s">
        <v>51</v>
      </c>
      <c r="L23" s="245" t="s">
        <v>36</v>
      </c>
      <c r="M23" s="245"/>
      <c r="N23" s="224">
        <v>42917</v>
      </c>
      <c r="O23" s="244"/>
    </row>
    <row r="24" spans="1:18" x14ac:dyDescent="0.25">
      <c r="A24" t="s">
        <v>0</v>
      </c>
      <c r="B24" s="4" t="s">
        <v>156</v>
      </c>
      <c r="C24" t="s">
        <v>20</v>
      </c>
      <c r="D24" t="s">
        <v>3</v>
      </c>
      <c r="E24" s="61" t="s">
        <v>157</v>
      </c>
      <c r="F24" t="s">
        <v>158</v>
      </c>
      <c r="G24" t="s">
        <v>159</v>
      </c>
      <c r="H24" t="s">
        <v>160</v>
      </c>
      <c r="I24" t="s">
        <v>21</v>
      </c>
      <c r="J24" t="s">
        <v>161</v>
      </c>
      <c r="K24" t="s">
        <v>1</v>
      </c>
      <c r="L24" t="s">
        <v>162</v>
      </c>
      <c r="M24" t="s">
        <v>23</v>
      </c>
      <c r="N24" t="s">
        <v>163</v>
      </c>
      <c r="O24" t="s">
        <v>164</v>
      </c>
      <c r="Q24" t="s">
        <v>165</v>
      </c>
      <c r="R24" t="s">
        <v>1</v>
      </c>
    </row>
    <row r="25" spans="1:18" x14ac:dyDescent="0.25">
      <c r="A25" t="str">
        <f>TableOMPROJM[[#This Row],[Study Package Code]]</f>
        <v>Stream</v>
      </c>
      <c r="B25" s="4">
        <f>TableOMPROJM[[#This Row],[Ver]]</f>
        <v>0</v>
      </c>
      <c r="C25" t="str">
        <f>IF(TableOMPROJM[[#This Row],[Ver]]&gt;0,_xlfn.TEXTBEFORE(TableOMPROJM[[#This Row],[Structure Line]]," "),"")</f>
        <v/>
      </c>
      <c r="D25" t="str">
        <f>IF(TableOMPROJM[[#This Row],[OUA Code]]&lt;&gt;"",_xlfn.TEXTAFTER(TableOMPROJM[[#This Row],[Structure Line]]," "),TableOMPROJM[[#This Row],[Structure Line]])</f>
        <v>Choose a Stream</v>
      </c>
      <c r="E25" s="61">
        <f>TableOMPROJM[[#This Row],[Credit Points]]</f>
        <v>300</v>
      </c>
      <c r="F25">
        <v>1</v>
      </c>
      <c r="G25" t="s">
        <v>108</v>
      </c>
      <c r="H25">
        <v>1</v>
      </c>
      <c r="I25" s="225" t="s">
        <v>180</v>
      </c>
      <c r="J25" t="s">
        <v>181</v>
      </c>
      <c r="K25">
        <v>0</v>
      </c>
      <c r="L25" t="s">
        <v>190</v>
      </c>
      <c r="M25">
        <v>300</v>
      </c>
      <c r="N25" s="37"/>
      <c r="O25" s="37"/>
      <c r="Q25" t="s">
        <v>181</v>
      </c>
      <c r="R25">
        <v>0</v>
      </c>
    </row>
    <row r="26" spans="1:18" x14ac:dyDescent="0.25">
      <c r="A26" t="str">
        <f>TableOMPROJM[[#This Row],[Study Package Code]]</f>
        <v>OUSP-PROFL</v>
      </c>
      <c r="B26" s="4">
        <f>TableOMPROJM[[#This Row],[Ver]]</f>
        <v>2</v>
      </c>
      <c r="D26" t="str">
        <f>IF(TableOMPROJM[[#This Row],[OUA Code]]&lt;&gt;"",_xlfn.TEXTAFTER(TableOMPROJM[[#This Row],[Structure Line]]," "),TableOMPROJM[[#This Row],[Structure Line]])</f>
        <v>Professional Stream (OUA MSc Proj Mngmt)</v>
      </c>
      <c r="E26" s="61">
        <f>TableOMPROJM[[#This Row],[Credit Points]]</f>
        <v>300</v>
      </c>
      <c r="F26">
        <v>1</v>
      </c>
      <c r="G26" t="s">
        <v>108</v>
      </c>
      <c r="H26">
        <v>1</v>
      </c>
      <c r="I26" s="225" t="s">
        <v>180</v>
      </c>
      <c r="J26" t="s">
        <v>68</v>
      </c>
      <c r="K26">
        <v>2</v>
      </c>
      <c r="L26" t="s">
        <v>38</v>
      </c>
      <c r="M26">
        <v>300</v>
      </c>
      <c r="N26" s="37">
        <v>44562</v>
      </c>
      <c r="O26" s="37"/>
      <c r="Q26" t="s">
        <v>68</v>
      </c>
      <c r="R26">
        <v>2</v>
      </c>
    </row>
    <row r="27" spans="1:18" x14ac:dyDescent="0.25">
      <c r="A27" t="str">
        <f>TableOMPROJM[[#This Row],[Study Package Code]]</f>
        <v>OUSP-RESCH</v>
      </c>
      <c r="B27" s="4">
        <f>TableOMPROJM[[#This Row],[Ver]]</f>
        <v>2</v>
      </c>
      <c r="D27" t="str">
        <f>IF(TableOMPROJM[[#This Row],[OUA Code]]&lt;&gt;"",_xlfn.TEXTAFTER(TableOMPROJM[[#This Row],[Structure Line]]," "),TableOMPROJM[[#This Row],[Structure Line]])</f>
        <v>Research Stream (OUA MSc Proj Mngmt)</v>
      </c>
      <c r="E27" s="61">
        <f>TableOMPROJM[[#This Row],[Credit Points]]</f>
        <v>300</v>
      </c>
      <c r="F27">
        <v>1</v>
      </c>
      <c r="G27" t="s">
        <v>108</v>
      </c>
      <c r="H27">
        <v>1</v>
      </c>
      <c r="I27" s="225" t="s">
        <v>180</v>
      </c>
      <c r="J27" t="s">
        <v>70</v>
      </c>
      <c r="K27">
        <v>2</v>
      </c>
      <c r="L27" t="s">
        <v>69</v>
      </c>
      <c r="M27">
        <v>300</v>
      </c>
      <c r="N27" s="37">
        <v>44562</v>
      </c>
      <c r="O27" s="37"/>
      <c r="Q27" t="s">
        <v>70</v>
      </c>
      <c r="R27">
        <v>2</v>
      </c>
    </row>
    <row r="28" spans="1:18" x14ac:dyDescent="0.25">
      <c r="B28"/>
      <c r="E28"/>
      <c r="F28" s="72"/>
      <c r="G28" s="243" t="s">
        <v>155</v>
      </c>
      <c r="H28" s="244">
        <v>45895</v>
      </c>
      <c r="I28" s="245"/>
      <c r="J28" s="245" t="s">
        <v>68</v>
      </c>
      <c r="K28" s="246" t="s">
        <v>55</v>
      </c>
      <c r="L28" s="245" t="s">
        <v>38</v>
      </c>
      <c r="M28" s="245"/>
      <c r="N28" s="224">
        <v>44562</v>
      </c>
      <c r="O28" s="244"/>
    </row>
    <row r="29" spans="1:18" x14ac:dyDescent="0.25">
      <c r="A29" t="s">
        <v>0</v>
      </c>
      <c r="B29" s="4" t="s">
        <v>156</v>
      </c>
      <c r="C29" t="s">
        <v>20</v>
      </c>
      <c r="D29" t="s">
        <v>3</v>
      </c>
      <c r="E29" s="61" t="s">
        <v>157</v>
      </c>
      <c r="F29" t="s">
        <v>158</v>
      </c>
      <c r="G29" t="s">
        <v>159</v>
      </c>
      <c r="H29" t="s">
        <v>160</v>
      </c>
      <c r="I29" t="s">
        <v>21</v>
      </c>
      <c r="J29" t="s">
        <v>161</v>
      </c>
      <c r="K29" t="s">
        <v>1</v>
      </c>
      <c r="L29" t="s">
        <v>162</v>
      </c>
      <c r="M29" t="s">
        <v>23</v>
      </c>
      <c r="N29" t="s">
        <v>163</v>
      </c>
      <c r="O29" t="s">
        <v>164</v>
      </c>
      <c r="Q29" t="s">
        <v>165</v>
      </c>
      <c r="R29" t="s">
        <v>1</v>
      </c>
    </row>
    <row r="30" spans="1:18" x14ac:dyDescent="0.25">
      <c r="A30" t="str">
        <f>TableOUSPPROFL[[#This Row],[Study Package Code]]</f>
        <v>PRJM6013</v>
      </c>
      <c r="B30" s="4">
        <f>TableOUSPPROFL[[#This Row],[Ver]]</f>
        <v>2</v>
      </c>
      <c r="C30" t="str">
        <f>IF(TableOUSPPROFL[[#This Row],[Ver]]&gt;0,_xlfn.TEXTBEFORE(TableOUSPPROFL[[#This Row],[Structure Line]]," "),"")</f>
        <v>PRM500</v>
      </c>
      <c r="D30" t="str">
        <f>IF(TableOUSPPROFL[[#This Row],[OUA Code]]&lt;&gt;"",_xlfn.TEXTAFTER(TableOUSPPROFL[[#This Row],[Structure Line]]," "),TableOUSPPROFL[[#This Row],[Structure Line]])</f>
        <v>Project Management Overview</v>
      </c>
      <c r="E30" s="61">
        <f>TableOUSPPROFL[[#This Row],[Credit Points]]</f>
        <v>25</v>
      </c>
      <c r="F30">
        <v>1</v>
      </c>
      <c r="G30" t="s">
        <v>166</v>
      </c>
      <c r="H30">
        <v>1</v>
      </c>
      <c r="I30" s="225" t="s">
        <v>180</v>
      </c>
      <c r="J30" t="s">
        <v>97</v>
      </c>
      <c r="K30">
        <v>2</v>
      </c>
      <c r="L30" t="s">
        <v>168</v>
      </c>
      <c r="M30">
        <v>25</v>
      </c>
      <c r="N30" s="37">
        <v>42917</v>
      </c>
      <c r="O30" s="37"/>
      <c r="Q30" t="s">
        <v>97</v>
      </c>
      <c r="R30">
        <v>2</v>
      </c>
    </row>
    <row r="31" spans="1:18" x14ac:dyDescent="0.25">
      <c r="A31" t="str">
        <f>TableOUSPPROFL[[#This Row],[Study Package Code]]</f>
        <v>PRJM6015</v>
      </c>
      <c r="B31" s="4">
        <f>TableOUSPPROFL[[#This Row],[Ver]]</f>
        <v>1</v>
      </c>
      <c r="C31" t="str">
        <f>IF(TableOUSPPROFL[[#This Row],[Ver]]&gt;0,_xlfn.TEXTBEFORE(TableOUSPPROFL[[#This Row],[Structure Line]]," "),"")</f>
        <v>PRM510</v>
      </c>
      <c r="D31" t="str">
        <f>IF(TableOUSPPROFL[[#This Row],[OUA Code]]&lt;&gt;"",_xlfn.TEXTAFTER(TableOUSPPROFL[[#This Row],[Structure Line]]," "),TableOUSPPROFL[[#This Row],[Structure Line]])</f>
        <v>Project and People</v>
      </c>
      <c r="E31" s="61">
        <f>TableOUSPPROFL[[#This Row],[Credit Points]]</f>
        <v>25</v>
      </c>
      <c r="F31">
        <v>2</v>
      </c>
      <c r="G31" t="s">
        <v>166</v>
      </c>
      <c r="H31">
        <v>1</v>
      </c>
      <c r="I31" s="225" t="s">
        <v>180</v>
      </c>
      <c r="J31" t="s">
        <v>99</v>
      </c>
      <c r="K31">
        <v>1</v>
      </c>
      <c r="L31" t="s">
        <v>170</v>
      </c>
      <c r="M31">
        <v>25</v>
      </c>
      <c r="N31" s="37">
        <v>42917</v>
      </c>
      <c r="O31" s="37"/>
      <c r="Q31" t="s">
        <v>99</v>
      </c>
      <c r="R31">
        <v>1</v>
      </c>
    </row>
    <row r="32" spans="1:18" x14ac:dyDescent="0.25">
      <c r="A32" t="str">
        <f>TableOUSPPROFL[[#This Row],[Study Package Code]]</f>
        <v>PRJM6016</v>
      </c>
      <c r="B32" s="4">
        <f>TableOUSPPROFL[[#This Row],[Ver]]</f>
        <v>1</v>
      </c>
      <c r="C32" t="str">
        <f>IF(TableOUSPPROFL[[#This Row],[Ver]]&gt;0,_xlfn.TEXTBEFORE(TableOUSPPROFL[[#This Row],[Structure Line]]," "),"")</f>
        <v>PRM520</v>
      </c>
      <c r="D32" t="str">
        <f>IF(TableOUSPPROFL[[#This Row],[OUA Code]]&lt;&gt;"",_xlfn.TEXTAFTER(TableOUSPPROFL[[#This Row],[Structure Line]]," "),TableOUSPPROFL[[#This Row],[Structure Line]])</f>
        <v>Project Cost Management</v>
      </c>
      <c r="E32" s="61">
        <f>TableOUSPPROFL[[#This Row],[Credit Points]]</f>
        <v>25</v>
      </c>
      <c r="F32">
        <v>3</v>
      </c>
      <c r="G32" t="s">
        <v>166</v>
      </c>
      <c r="H32">
        <v>1</v>
      </c>
      <c r="I32" s="225" t="s">
        <v>180</v>
      </c>
      <c r="J32" t="s">
        <v>102</v>
      </c>
      <c r="K32">
        <v>1</v>
      </c>
      <c r="L32" t="s">
        <v>171</v>
      </c>
      <c r="M32">
        <v>25</v>
      </c>
      <c r="N32" s="37">
        <v>42917</v>
      </c>
      <c r="O32" s="37"/>
      <c r="Q32" t="s">
        <v>102</v>
      </c>
      <c r="R32">
        <v>1</v>
      </c>
    </row>
    <row r="33" spans="1:18" x14ac:dyDescent="0.25">
      <c r="A33" t="str">
        <f>TableOUSPPROFL[[#This Row],[Study Package Code]]</f>
        <v>PRJM6021</v>
      </c>
      <c r="B33" s="4">
        <f>TableOUSPPROFL[[#This Row],[Ver]]</f>
        <v>2</v>
      </c>
      <c r="C33" t="str">
        <f>IF(TableOUSPPROFL[[#This Row],[Ver]]&gt;0,_xlfn.TEXTBEFORE(TableOUSPPROFL[[#This Row],[Structure Line]]," "),"")</f>
        <v>PRM530</v>
      </c>
      <c r="D33" t="str">
        <f>IF(TableOUSPPROFL[[#This Row],[OUA Code]]&lt;&gt;"",_xlfn.TEXTAFTER(TableOUSPPROFL[[#This Row],[Structure Line]]," "),TableOUSPPROFL[[#This Row],[Structure Line]])</f>
        <v>Project Planning and Schedule Management</v>
      </c>
      <c r="E33" s="61">
        <f>TableOUSPPROFL[[#This Row],[Credit Points]]</f>
        <v>25</v>
      </c>
      <c r="F33">
        <v>4</v>
      </c>
      <c r="G33" t="s">
        <v>166</v>
      </c>
      <c r="H33">
        <v>1</v>
      </c>
      <c r="I33" s="225" t="s">
        <v>180</v>
      </c>
      <c r="J33" t="s">
        <v>103</v>
      </c>
      <c r="K33">
        <v>2</v>
      </c>
      <c r="L33" t="s">
        <v>172</v>
      </c>
      <c r="M33">
        <v>25</v>
      </c>
      <c r="N33" s="37">
        <v>45383</v>
      </c>
      <c r="O33" s="37"/>
      <c r="Q33" t="s">
        <v>103</v>
      </c>
      <c r="R33">
        <v>2</v>
      </c>
    </row>
    <row r="34" spans="1:18" x14ac:dyDescent="0.25">
      <c r="A34" t="str">
        <f>TableOUSPPROFL[[#This Row],[Study Package Code]]</f>
        <v>PRJM6018</v>
      </c>
      <c r="B34" s="4">
        <f>TableOUSPPROFL[[#This Row],[Ver]]</f>
        <v>1</v>
      </c>
      <c r="C34" t="str">
        <f>IF(TableOUSPPROFL[[#This Row],[Ver]]&gt;0,_xlfn.TEXTBEFORE(TableOUSPPROFL[[#This Row],[Structure Line]]," "),"")</f>
        <v>PRM540</v>
      </c>
      <c r="D34" t="str">
        <f>IF(TableOUSPPROFL[[#This Row],[OUA Code]]&lt;&gt;"",_xlfn.TEXTAFTER(TableOUSPPROFL[[#This Row],[Structure Line]]," "),TableOUSPPROFL[[#This Row],[Structure Line]])</f>
        <v>Project Procurement Management</v>
      </c>
      <c r="E34" s="61">
        <f>TableOUSPPROFL[[#This Row],[Credit Points]]</f>
        <v>25</v>
      </c>
      <c r="F34">
        <v>5</v>
      </c>
      <c r="G34" t="s">
        <v>166</v>
      </c>
      <c r="H34">
        <v>1</v>
      </c>
      <c r="I34" s="225" t="s">
        <v>180</v>
      </c>
      <c r="J34" t="s">
        <v>104</v>
      </c>
      <c r="K34">
        <v>1</v>
      </c>
      <c r="L34" t="s">
        <v>174</v>
      </c>
      <c r="M34">
        <v>25</v>
      </c>
      <c r="N34" s="37">
        <v>42917</v>
      </c>
      <c r="O34" s="37"/>
      <c r="Q34" t="s">
        <v>104</v>
      </c>
      <c r="R34">
        <v>1</v>
      </c>
    </row>
    <row r="35" spans="1:18" x14ac:dyDescent="0.25">
      <c r="A35" t="str">
        <f>TableOUSPPROFL[[#This Row],[Study Package Code]]</f>
        <v>PRJM6020</v>
      </c>
      <c r="B35" s="4">
        <f>TableOUSPPROFL[[#This Row],[Ver]]</f>
        <v>1</v>
      </c>
      <c r="C35" t="str">
        <f>IF(TableOUSPPROFL[[#This Row],[Ver]]&gt;0,_xlfn.TEXTBEFORE(TableOUSPPROFL[[#This Row],[Structure Line]]," "),"")</f>
        <v>PRM550</v>
      </c>
      <c r="D35" t="str">
        <f>IF(TableOUSPPROFL[[#This Row],[OUA Code]]&lt;&gt;"",_xlfn.TEXTAFTER(TableOUSPPROFL[[#This Row],[Structure Line]]," "),TableOUSPPROFL[[#This Row],[Structure Line]])</f>
        <v>Project Risk Management</v>
      </c>
      <c r="E35" s="61">
        <f>TableOUSPPROFL[[#This Row],[Credit Points]]</f>
        <v>25</v>
      </c>
      <c r="F35">
        <v>6</v>
      </c>
      <c r="G35" t="s">
        <v>166</v>
      </c>
      <c r="H35">
        <v>1</v>
      </c>
      <c r="I35" s="225" t="s">
        <v>180</v>
      </c>
      <c r="J35" t="s">
        <v>106</v>
      </c>
      <c r="K35">
        <v>1</v>
      </c>
      <c r="L35" t="s">
        <v>175</v>
      </c>
      <c r="M35">
        <v>25</v>
      </c>
      <c r="N35" s="37">
        <v>42917</v>
      </c>
      <c r="O35" s="37"/>
      <c r="Q35" t="s">
        <v>106</v>
      </c>
      <c r="R35">
        <v>1</v>
      </c>
    </row>
    <row r="36" spans="1:18" x14ac:dyDescent="0.25">
      <c r="A36" t="str">
        <f>TableOUSPPROFL[[#This Row],[Study Package Code]]</f>
        <v>PRJM6014</v>
      </c>
      <c r="B36" s="4">
        <f>TableOUSPPROFL[[#This Row],[Ver]]</f>
        <v>1</v>
      </c>
      <c r="C36" t="str">
        <f>IF(TableOUSPPROFL[[#This Row],[Ver]]&gt;0,_xlfn.TEXTBEFORE(TableOUSPPROFL[[#This Row],[Structure Line]]," "),"")</f>
        <v>PRM560</v>
      </c>
      <c r="D36" t="str">
        <f>IF(TableOUSPPROFL[[#This Row],[OUA Code]]&lt;&gt;"",_xlfn.TEXTAFTER(TableOUSPPROFL[[#This Row],[Structure Line]]," "),TableOUSPPROFL[[#This Row],[Structure Line]])</f>
        <v>Program and Portfolio Management</v>
      </c>
      <c r="E36" s="61">
        <f>TableOUSPPROFL[[#This Row],[Credit Points]]</f>
        <v>25</v>
      </c>
      <c r="F36">
        <v>7</v>
      </c>
      <c r="G36" t="s">
        <v>166</v>
      </c>
      <c r="H36">
        <v>1</v>
      </c>
      <c r="I36" s="225" t="s">
        <v>180</v>
      </c>
      <c r="J36" t="s">
        <v>105</v>
      </c>
      <c r="K36">
        <v>1</v>
      </c>
      <c r="L36" t="s">
        <v>176</v>
      </c>
      <c r="M36">
        <v>25</v>
      </c>
      <c r="N36" s="37">
        <v>42917</v>
      </c>
      <c r="O36" s="37"/>
      <c r="Q36" t="s">
        <v>105</v>
      </c>
      <c r="R36">
        <v>1</v>
      </c>
    </row>
    <row r="37" spans="1:18" x14ac:dyDescent="0.25">
      <c r="A37" t="str">
        <f>TableOUSPPROFL[[#This Row],[Study Package Code]]</f>
        <v>PRJM6026</v>
      </c>
      <c r="B37" s="4">
        <f>TableOUSPPROFL[[#This Row],[Ver]]</f>
        <v>1</v>
      </c>
      <c r="C37" t="str">
        <f>IF(TableOUSPPROFL[[#This Row],[Ver]]&gt;0,_xlfn.TEXTBEFORE(TableOUSPPROFL[[#This Row],[Structure Line]]," "),"")</f>
        <v>PRM630</v>
      </c>
      <c r="D37" t="str">
        <f>IF(TableOUSPPROFL[[#This Row],[OUA Code]]&lt;&gt;"",_xlfn.TEXTAFTER(TableOUSPPROFL[[#This Row],[Structure Line]]," "),TableOUSPPROFL[[#This Row],[Structure Line]])</f>
        <v>Agile Management</v>
      </c>
      <c r="E37" s="61">
        <f>TableOUSPPROFL[[#This Row],[Credit Points]]</f>
        <v>25</v>
      </c>
      <c r="F37">
        <v>8</v>
      </c>
      <c r="G37" t="s">
        <v>166</v>
      </c>
      <c r="H37">
        <v>1</v>
      </c>
      <c r="I37" s="225" t="s">
        <v>180</v>
      </c>
      <c r="J37" t="s">
        <v>109</v>
      </c>
      <c r="K37">
        <v>1</v>
      </c>
      <c r="L37" t="s">
        <v>178</v>
      </c>
      <c r="M37">
        <v>25</v>
      </c>
      <c r="N37" s="37">
        <v>44562</v>
      </c>
      <c r="O37" s="37"/>
      <c r="Q37" t="s">
        <v>109</v>
      </c>
      <c r="R37">
        <v>1</v>
      </c>
    </row>
    <row r="38" spans="1:18" ht="47.25" x14ac:dyDescent="0.25">
      <c r="A38" t="str">
        <f>TableOUSPPROFL[[#This Row],[Study Package Code]]</f>
        <v>Elective</v>
      </c>
      <c r="B38" s="4">
        <f>TableOUSPPROFL[[#This Row],[Ver]]</f>
        <v>0</v>
      </c>
      <c r="C38" t="str">
        <f>IF(TableOUSPPROFL[[#This Row],[Ver]]&gt;0,_xlfn.TEXTBEFORE(TableOUSPPROFL[[#This Row],[Structure Line]]," "),"")</f>
        <v/>
      </c>
      <c r="D38" t="str">
        <f>IF(TableOUSPPROFL[[#This Row],[OUA Code]]&lt;&gt;"",_xlfn.TEXTAFTER(TableOUSPPROFL[[#This Row],[Structure Line]]," "),TableOUSPPROFL[[#This Row],[Structure Line]])</f>
        <v>Professional Stream students study their optional unit in Year 2, semester 1 while Research Stream Students study PRJM6012 Project Management Research 2</v>
      </c>
      <c r="E38" s="61">
        <f>TableOUSPPROFL[[#This Row],[Credit Points]]</f>
        <v>25</v>
      </c>
      <c r="F38">
        <v>9</v>
      </c>
      <c r="G38" t="s">
        <v>116</v>
      </c>
      <c r="H38">
        <v>2</v>
      </c>
      <c r="I38" s="225" t="s">
        <v>180</v>
      </c>
      <c r="J38" t="s">
        <v>116</v>
      </c>
      <c r="K38">
        <v>0</v>
      </c>
      <c r="L38" s="38" t="s">
        <v>191</v>
      </c>
      <c r="M38">
        <v>25</v>
      </c>
      <c r="N38" s="37"/>
      <c r="O38" s="37"/>
      <c r="Q38" t="s">
        <v>116</v>
      </c>
      <c r="R38">
        <v>0</v>
      </c>
    </row>
    <row r="39" spans="1:18" x14ac:dyDescent="0.25">
      <c r="A39" t="str">
        <f>TableOUSPPROFL[[#This Row],[Study Package Code]]</f>
        <v>URDE6007</v>
      </c>
      <c r="B39" s="4">
        <f>TableOUSPPROFL[[#This Row],[Ver]]</f>
        <v>1</v>
      </c>
      <c r="C39" t="str">
        <f>IF(TableOUSPPROFL[[#This Row],[Ver]]&gt;0,_xlfn.TEXTBEFORE(TableOUSPPROFL[[#This Row],[Structure Line]]," "),"")</f>
        <v>DBE600</v>
      </c>
      <c r="D39" t="str">
        <f>IF(TableOUSPPROFL[[#This Row],[OUA Code]]&lt;&gt;"",_xlfn.TEXTAFTER(TableOUSPPROFL[[#This Row],[Structure Line]]," "),TableOUSPPROFL[[#This Row],[Structure Line]])</f>
        <v>Design and Built Environment Research Methods</v>
      </c>
      <c r="E39" s="61">
        <f>TableOUSPPROFL[[#This Row],[Credit Points]]</f>
        <v>25</v>
      </c>
      <c r="F39">
        <v>10</v>
      </c>
      <c r="G39" t="s">
        <v>166</v>
      </c>
      <c r="H39">
        <v>2</v>
      </c>
      <c r="I39" s="225" t="s">
        <v>180</v>
      </c>
      <c r="J39" t="s">
        <v>111</v>
      </c>
      <c r="K39">
        <v>1</v>
      </c>
      <c r="L39" t="s">
        <v>179</v>
      </c>
      <c r="M39">
        <v>25</v>
      </c>
      <c r="N39" s="37">
        <v>44562</v>
      </c>
      <c r="O39" s="37"/>
      <c r="Q39" t="s">
        <v>111</v>
      </c>
      <c r="R39">
        <v>1</v>
      </c>
    </row>
    <row r="40" spans="1:18" x14ac:dyDescent="0.25">
      <c r="A40" t="str">
        <f>TableOUSPPROFL[[#This Row],[Study Package Code]]</f>
        <v>PRJM6017</v>
      </c>
      <c r="B40" s="4">
        <f>TableOUSPPROFL[[#This Row],[Ver]]</f>
        <v>1</v>
      </c>
      <c r="C40" t="str">
        <f>IF(TableOUSPPROFL[[#This Row],[Ver]]&gt;0,_xlfn.TEXTBEFORE(TableOUSPPROFL[[#This Row],[Structure Line]]," "),"")</f>
        <v>PRM600</v>
      </c>
      <c r="D40" t="str">
        <f>IF(TableOUSPPROFL[[#This Row],[OUA Code]]&lt;&gt;"",_xlfn.TEXTAFTER(TableOUSPPROFL[[#This Row],[Structure Line]]," "),TableOUSPPROFL[[#This Row],[Structure Line]])</f>
        <v>Project Management Integrated Project</v>
      </c>
      <c r="E40" s="61">
        <f>TableOUSPPROFL[[#This Row],[Credit Points]]</f>
        <v>50</v>
      </c>
      <c r="F40">
        <v>11</v>
      </c>
      <c r="G40" t="s">
        <v>166</v>
      </c>
      <c r="H40">
        <v>2</v>
      </c>
      <c r="I40" s="225" t="s">
        <v>180</v>
      </c>
      <c r="J40" t="s">
        <v>107</v>
      </c>
      <c r="K40">
        <v>1</v>
      </c>
      <c r="L40" t="s">
        <v>182</v>
      </c>
      <c r="M40">
        <v>50</v>
      </c>
      <c r="N40" s="37">
        <v>42917</v>
      </c>
      <c r="O40" s="37"/>
      <c r="Q40" t="s">
        <v>107</v>
      </c>
      <c r="R40">
        <v>1</v>
      </c>
    </row>
    <row r="41" spans="1:18" x14ac:dyDescent="0.25">
      <c r="B41"/>
      <c r="E41"/>
      <c r="F41" s="72"/>
      <c r="G41" s="243" t="s">
        <v>155</v>
      </c>
      <c r="H41" s="244">
        <v>45895</v>
      </c>
      <c r="I41" s="245"/>
      <c r="J41" s="245" t="s">
        <v>70</v>
      </c>
      <c r="K41" s="246" t="s">
        <v>55</v>
      </c>
      <c r="L41" s="245" t="s">
        <v>69</v>
      </c>
      <c r="M41" s="245"/>
      <c r="N41" s="224">
        <v>44562</v>
      </c>
      <c r="O41" s="244"/>
    </row>
    <row r="42" spans="1:18" x14ac:dyDescent="0.25">
      <c r="A42" t="s">
        <v>0</v>
      </c>
      <c r="B42" s="4" t="s">
        <v>156</v>
      </c>
      <c r="C42" t="s">
        <v>20</v>
      </c>
      <c r="D42" t="s">
        <v>3</v>
      </c>
      <c r="E42" s="61" t="s">
        <v>157</v>
      </c>
      <c r="F42" t="s">
        <v>158</v>
      </c>
      <c r="G42" t="s">
        <v>159</v>
      </c>
      <c r="H42" t="s">
        <v>160</v>
      </c>
      <c r="I42" t="s">
        <v>21</v>
      </c>
      <c r="J42" t="s">
        <v>161</v>
      </c>
      <c r="K42" t="s">
        <v>1</v>
      </c>
      <c r="L42" t="s">
        <v>162</v>
      </c>
      <c r="M42" t="s">
        <v>23</v>
      </c>
      <c r="N42" t="s">
        <v>163</v>
      </c>
      <c r="O42" t="s">
        <v>164</v>
      </c>
      <c r="Q42" t="s">
        <v>165</v>
      </c>
      <c r="R42" t="s">
        <v>1</v>
      </c>
    </row>
    <row r="43" spans="1:18" x14ac:dyDescent="0.25">
      <c r="A43" t="str">
        <f>TableOUSPRESCH[[#This Row],[Study Package Code]]</f>
        <v>PRJM6013</v>
      </c>
      <c r="B43" s="4">
        <f>TableOUSPRESCH[[#This Row],[Ver]]</f>
        <v>2</v>
      </c>
      <c r="C43" t="str">
        <f>IF(TableOUSPRESCH[[#This Row],[Ver]]&gt;0,_xlfn.TEXTBEFORE(TableOUSPRESCH[[#This Row],[Structure Line]]," "),"")</f>
        <v>PRM500</v>
      </c>
      <c r="D43" t="str">
        <f>IF(TableOUSPRESCH[[#This Row],[OUA Code]]&lt;&gt;"",_xlfn.TEXTAFTER(TableOUSPRESCH[[#This Row],[Structure Line]]," "),TableOUSPRESCH[[#This Row],[Structure Line]])</f>
        <v>Project Management Overview</v>
      </c>
      <c r="E43" s="61">
        <f>TableOUSPRESCH[[#This Row],[Credit Points]]</f>
        <v>25</v>
      </c>
      <c r="F43">
        <v>1</v>
      </c>
      <c r="G43" t="s">
        <v>166</v>
      </c>
      <c r="H43">
        <v>1</v>
      </c>
      <c r="I43" s="225" t="s">
        <v>180</v>
      </c>
      <c r="J43" t="s">
        <v>97</v>
      </c>
      <c r="K43">
        <v>2</v>
      </c>
      <c r="L43" t="s">
        <v>168</v>
      </c>
      <c r="M43">
        <v>25</v>
      </c>
      <c r="N43" s="37">
        <v>42917</v>
      </c>
      <c r="O43" s="37"/>
      <c r="Q43" t="s">
        <v>97</v>
      </c>
      <c r="R43">
        <v>2</v>
      </c>
    </row>
    <row r="44" spans="1:18" x14ac:dyDescent="0.25">
      <c r="A44" t="str">
        <f>TableOUSPRESCH[[#This Row],[Study Package Code]]</f>
        <v>PRJM6015</v>
      </c>
      <c r="B44" s="4">
        <f>TableOUSPRESCH[[#This Row],[Ver]]</f>
        <v>1</v>
      </c>
      <c r="C44" t="str">
        <f>IF(TableOUSPRESCH[[#This Row],[Ver]]&gt;0,_xlfn.TEXTBEFORE(TableOUSPRESCH[[#This Row],[Structure Line]]," "),"")</f>
        <v>PRM510</v>
      </c>
      <c r="D44" t="str">
        <f>IF(TableOUSPRESCH[[#This Row],[OUA Code]]&lt;&gt;"",_xlfn.TEXTAFTER(TableOUSPRESCH[[#This Row],[Structure Line]]," "),TableOUSPRESCH[[#This Row],[Structure Line]])</f>
        <v>Project and People</v>
      </c>
      <c r="E44" s="61">
        <f>TableOUSPRESCH[[#This Row],[Credit Points]]</f>
        <v>25</v>
      </c>
      <c r="F44">
        <v>2</v>
      </c>
      <c r="G44" t="s">
        <v>166</v>
      </c>
      <c r="H44">
        <v>1</v>
      </c>
      <c r="I44" s="225" t="s">
        <v>180</v>
      </c>
      <c r="J44" t="s">
        <v>99</v>
      </c>
      <c r="K44">
        <v>1</v>
      </c>
      <c r="L44" t="s">
        <v>170</v>
      </c>
      <c r="M44">
        <v>25</v>
      </c>
      <c r="N44" s="37">
        <v>42917</v>
      </c>
      <c r="O44" s="37"/>
      <c r="Q44" t="s">
        <v>99</v>
      </c>
      <c r="R44">
        <v>1</v>
      </c>
    </row>
    <row r="45" spans="1:18" x14ac:dyDescent="0.25">
      <c r="A45" t="str">
        <f>TableOUSPRESCH[[#This Row],[Study Package Code]]</f>
        <v>PRJM6016</v>
      </c>
      <c r="B45" s="4">
        <f>TableOUSPRESCH[[#This Row],[Ver]]</f>
        <v>1</v>
      </c>
      <c r="C45" t="str">
        <f>IF(TableOUSPRESCH[[#This Row],[Ver]]&gt;0,_xlfn.TEXTBEFORE(TableOUSPRESCH[[#This Row],[Structure Line]]," "),"")</f>
        <v>PRM520</v>
      </c>
      <c r="D45" t="str">
        <f>IF(TableOUSPRESCH[[#This Row],[OUA Code]]&lt;&gt;"",_xlfn.TEXTAFTER(TableOUSPRESCH[[#This Row],[Structure Line]]," "),TableOUSPRESCH[[#This Row],[Structure Line]])</f>
        <v>Project Cost Management</v>
      </c>
      <c r="E45" s="61">
        <f>TableOUSPRESCH[[#This Row],[Credit Points]]</f>
        <v>25</v>
      </c>
      <c r="F45">
        <v>3</v>
      </c>
      <c r="G45" t="s">
        <v>166</v>
      </c>
      <c r="H45">
        <v>1</v>
      </c>
      <c r="I45" s="225" t="s">
        <v>180</v>
      </c>
      <c r="J45" t="s">
        <v>102</v>
      </c>
      <c r="K45">
        <v>1</v>
      </c>
      <c r="L45" t="s">
        <v>171</v>
      </c>
      <c r="M45">
        <v>25</v>
      </c>
      <c r="N45" s="37">
        <v>42917</v>
      </c>
      <c r="O45" s="37"/>
      <c r="Q45" t="s">
        <v>102</v>
      </c>
      <c r="R45">
        <v>1</v>
      </c>
    </row>
    <row r="46" spans="1:18" x14ac:dyDescent="0.25">
      <c r="A46" t="str">
        <f>TableOUSPRESCH[[#This Row],[Study Package Code]]</f>
        <v>PRJM6021</v>
      </c>
      <c r="B46" s="4">
        <f>TableOUSPRESCH[[#This Row],[Ver]]</f>
        <v>2</v>
      </c>
      <c r="C46" t="str">
        <f>IF(TableOUSPRESCH[[#This Row],[Ver]]&gt;0,_xlfn.TEXTBEFORE(TableOUSPRESCH[[#This Row],[Structure Line]]," "),"")</f>
        <v>PRM530</v>
      </c>
      <c r="D46" t="str">
        <f>IF(TableOUSPRESCH[[#This Row],[OUA Code]]&lt;&gt;"",_xlfn.TEXTAFTER(TableOUSPRESCH[[#This Row],[Structure Line]]," "),TableOUSPRESCH[[#This Row],[Structure Line]])</f>
        <v>Project Planning and Schedule Management</v>
      </c>
      <c r="E46" s="61">
        <f>TableOUSPRESCH[[#This Row],[Credit Points]]</f>
        <v>25</v>
      </c>
      <c r="F46">
        <v>4</v>
      </c>
      <c r="G46" t="s">
        <v>166</v>
      </c>
      <c r="H46">
        <v>1</v>
      </c>
      <c r="I46" s="225" t="s">
        <v>180</v>
      </c>
      <c r="J46" t="s">
        <v>103</v>
      </c>
      <c r="K46">
        <v>2</v>
      </c>
      <c r="L46" t="s">
        <v>172</v>
      </c>
      <c r="M46">
        <v>25</v>
      </c>
      <c r="N46" s="37">
        <v>45383</v>
      </c>
      <c r="O46" s="37"/>
      <c r="Q46" t="s">
        <v>103</v>
      </c>
      <c r="R46">
        <v>2</v>
      </c>
    </row>
    <row r="47" spans="1:18" x14ac:dyDescent="0.25">
      <c r="A47" t="str">
        <f>TableOUSPRESCH[[#This Row],[Study Package Code]]</f>
        <v>PRJM6018</v>
      </c>
      <c r="B47" s="4">
        <f>TableOUSPRESCH[[#This Row],[Ver]]</f>
        <v>1</v>
      </c>
      <c r="C47" t="str">
        <f>IF(TableOUSPRESCH[[#This Row],[Ver]]&gt;0,_xlfn.TEXTBEFORE(TableOUSPRESCH[[#This Row],[Structure Line]]," "),"")</f>
        <v>PRM540</v>
      </c>
      <c r="D47" t="str">
        <f>IF(TableOUSPRESCH[[#This Row],[OUA Code]]&lt;&gt;"",_xlfn.TEXTAFTER(TableOUSPRESCH[[#This Row],[Structure Line]]," "),TableOUSPRESCH[[#This Row],[Structure Line]])</f>
        <v>Project Procurement Management</v>
      </c>
      <c r="E47" s="61">
        <f>TableOUSPRESCH[[#This Row],[Credit Points]]</f>
        <v>25</v>
      </c>
      <c r="F47">
        <v>5</v>
      </c>
      <c r="G47" t="s">
        <v>166</v>
      </c>
      <c r="H47">
        <v>1</v>
      </c>
      <c r="I47" s="225" t="s">
        <v>180</v>
      </c>
      <c r="J47" t="s">
        <v>104</v>
      </c>
      <c r="K47">
        <v>1</v>
      </c>
      <c r="L47" t="s">
        <v>174</v>
      </c>
      <c r="M47">
        <v>25</v>
      </c>
      <c r="N47" s="37">
        <v>42917</v>
      </c>
      <c r="O47" s="37"/>
      <c r="Q47" t="s">
        <v>104</v>
      </c>
      <c r="R47">
        <v>1</v>
      </c>
    </row>
    <row r="48" spans="1:18" x14ac:dyDescent="0.25">
      <c r="A48" t="str">
        <f>TableOUSPRESCH[[#This Row],[Study Package Code]]</f>
        <v>PRJM6020</v>
      </c>
      <c r="B48" s="4">
        <f>TableOUSPRESCH[[#This Row],[Ver]]</f>
        <v>1</v>
      </c>
      <c r="C48" t="str">
        <f>IF(TableOUSPRESCH[[#This Row],[Ver]]&gt;0,_xlfn.TEXTBEFORE(TableOUSPRESCH[[#This Row],[Structure Line]]," "),"")</f>
        <v>PRM550</v>
      </c>
      <c r="D48" t="str">
        <f>IF(TableOUSPRESCH[[#This Row],[OUA Code]]&lt;&gt;"",_xlfn.TEXTAFTER(TableOUSPRESCH[[#This Row],[Structure Line]]," "),TableOUSPRESCH[[#This Row],[Structure Line]])</f>
        <v>Project Risk Management</v>
      </c>
      <c r="E48" s="61">
        <f>TableOUSPRESCH[[#This Row],[Credit Points]]</f>
        <v>25</v>
      </c>
      <c r="F48">
        <v>6</v>
      </c>
      <c r="G48" t="s">
        <v>166</v>
      </c>
      <c r="H48">
        <v>1</v>
      </c>
      <c r="I48" s="225" t="s">
        <v>180</v>
      </c>
      <c r="J48" t="s">
        <v>106</v>
      </c>
      <c r="K48">
        <v>1</v>
      </c>
      <c r="L48" t="s">
        <v>175</v>
      </c>
      <c r="M48">
        <v>25</v>
      </c>
      <c r="N48" s="37">
        <v>42917</v>
      </c>
      <c r="O48" s="37"/>
      <c r="Q48" t="s">
        <v>106</v>
      </c>
      <c r="R48">
        <v>1</v>
      </c>
    </row>
    <row r="49" spans="1:18" x14ac:dyDescent="0.25">
      <c r="A49" t="str">
        <f>TableOUSPRESCH[[#This Row],[Study Package Code]]</f>
        <v>PRJM6014</v>
      </c>
      <c r="B49" s="4">
        <f>TableOUSPRESCH[[#This Row],[Ver]]</f>
        <v>1</v>
      </c>
      <c r="C49" t="str">
        <f>IF(TableOUSPRESCH[[#This Row],[Ver]]&gt;0,_xlfn.TEXTBEFORE(TableOUSPRESCH[[#This Row],[Structure Line]]," "),"")</f>
        <v>PRM560</v>
      </c>
      <c r="D49" t="str">
        <f>IF(TableOUSPRESCH[[#This Row],[OUA Code]]&lt;&gt;"",_xlfn.TEXTAFTER(TableOUSPRESCH[[#This Row],[Structure Line]]," "),TableOUSPRESCH[[#This Row],[Structure Line]])</f>
        <v>Program and Portfolio Management</v>
      </c>
      <c r="E49" s="61">
        <f>TableOUSPRESCH[[#This Row],[Credit Points]]</f>
        <v>25</v>
      </c>
      <c r="F49">
        <v>7</v>
      </c>
      <c r="G49" t="s">
        <v>166</v>
      </c>
      <c r="H49">
        <v>1</v>
      </c>
      <c r="I49" s="225" t="s">
        <v>180</v>
      </c>
      <c r="J49" t="s">
        <v>105</v>
      </c>
      <c r="K49">
        <v>1</v>
      </c>
      <c r="L49" t="s">
        <v>176</v>
      </c>
      <c r="M49">
        <v>25</v>
      </c>
      <c r="N49" s="37">
        <v>42917</v>
      </c>
      <c r="O49" s="37"/>
      <c r="Q49" t="s">
        <v>105</v>
      </c>
      <c r="R49">
        <v>1</v>
      </c>
    </row>
    <row r="50" spans="1:18" x14ac:dyDescent="0.25">
      <c r="A50" t="str">
        <f>TableOUSPRESCH[[#This Row],[Study Package Code]]</f>
        <v>PRJM6026</v>
      </c>
      <c r="B50" s="4">
        <f>TableOUSPRESCH[[#This Row],[Ver]]</f>
        <v>1</v>
      </c>
      <c r="C50" t="str">
        <f>IF(TableOUSPRESCH[[#This Row],[Ver]]&gt;0,_xlfn.TEXTBEFORE(TableOUSPRESCH[[#This Row],[Structure Line]]," "),"")</f>
        <v>PRM630</v>
      </c>
      <c r="D50" t="str">
        <f>IF(TableOUSPRESCH[[#This Row],[OUA Code]]&lt;&gt;"",_xlfn.TEXTAFTER(TableOUSPRESCH[[#This Row],[Structure Line]]," "),TableOUSPRESCH[[#This Row],[Structure Line]])</f>
        <v>Agile Management</v>
      </c>
      <c r="E50" s="61">
        <f>TableOUSPRESCH[[#This Row],[Credit Points]]</f>
        <v>25</v>
      </c>
      <c r="F50">
        <v>8</v>
      </c>
      <c r="G50" t="s">
        <v>166</v>
      </c>
      <c r="H50">
        <v>1</v>
      </c>
      <c r="I50" s="225" t="s">
        <v>180</v>
      </c>
      <c r="J50" t="s">
        <v>109</v>
      </c>
      <c r="K50">
        <v>1</v>
      </c>
      <c r="L50" t="s">
        <v>178</v>
      </c>
      <c r="M50">
        <v>25</v>
      </c>
      <c r="N50" s="37">
        <v>44562</v>
      </c>
      <c r="O50" s="37"/>
      <c r="Q50" t="s">
        <v>109</v>
      </c>
      <c r="R50">
        <v>1</v>
      </c>
    </row>
    <row r="51" spans="1:18" x14ac:dyDescent="0.25">
      <c r="A51" t="str">
        <f>TableOUSPRESCH[[#This Row],[Study Package Code]]</f>
        <v>URDE6007</v>
      </c>
      <c r="B51" s="4">
        <f>TableOUSPRESCH[[#This Row],[Ver]]</f>
        <v>1</v>
      </c>
      <c r="C51" t="str">
        <f>IF(TableOUSPRESCH[[#This Row],[Ver]]&gt;0,_xlfn.TEXTBEFORE(TableOUSPRESCH[[#This Row],[Structure Line]]," "),"")</f>
        <v>DBE600</v>
      </c>
      <c r="D51" t="str">
        <f>IF(TableOUSPRESCH[[#This Row],[OUA Code]]&lt;&gt;"",_xlfn.TEXTAFTER(TableOUSPRESCH[[#This Row],[Structure Line]]," "),TableOUSPRESCH[[#This Row],[Structure Line]])</f>
        <v>Design and Built Environment Research Methods</v>
      </c>
      <c r="E51" s="61">
        <f>TableOUSPRESCH[[#This Row],[Credit Points]]</f>
        <v>25</v>
      </c>
      <c r="F51">
        <v>9</v>
      </c>
      <c r="G51" t="s">
        <v>166</v>
      </c>
      <c r="H51">
        <v>2</v>
      </c>
      <c r="I51" s="225" t="s">
        <v>180</v>
      </c>
      <c r="J51" t="s">
        <v>111</v>
      </c>
      <c r="K51">
        <v>1</v>
      </c>
      <c r="L51" t="s">
        <v>179</v>
      </c>
      <c r="M51">
        <v>25</v>
      </c>
      <c r="N51" s="37">
        <v>44562</v>
      </c>
      <c r="O51" s="37"/>
      <c r="Q51" t="s">
        <v>111</v>
      </c>
      <c r="R51">
        <v>1</v>
      </c>
    </row>
    <row r="52" spans="1:18" x14ac:dyDescent="0.25">
      <c r="A52" t="str">
        <f>TableOUSPRESCH[[#This Row],[Study Package Code]]</f>
        <v>PRJM6017</v>
      </c>
      <c r="B52" s="4">
        <f>TableOUSPRESCH[[#This Row],[Ver]]</f>
        <v>1</v>
      </c>
      <c r="C52" t="str">
        <f>IF(TableOUSPRESCH[[#This Row],[Ver]]&gt;0,_xlfn.TEXTBEFORE(TableOUSPRESCH[[#This Row],[Structure Line]]," "),"")</f>
        <v>PRM600</v>
      </c>
      <c r="D52" t="str">
        <f>IF(TableOUSPRESCH[[#This Row],[OUA Code]]&lt;&gt;"",_xlfn.TEXTAFTER(TableOUSPRESCH[[#This Row],[Structure Line]]," "),TableOUSPRESCH[[#This Row],[Structure Line]])</f>
        <v>Project Management Integrated Project</v>
      </c>
      <c r="E52" s="61">
        <f>TableOUSPRESCH[[#This Row],[Credit Points]]</f>
        <v>50</v>
      </c>
      <c r="F52">
        <v>10</v>
      </c>
      <c r="G52" t="s">
        <v>166</v>
      </c>
      <c r="H52">
        <v>2</v>
      </c>
      <c r="I52" s="225" t="s">
        <v>180</v>
      </c>
      <c r="J52" t="s">
        <v>107</v>
      </c>
      <c r="K52">
        <v>1</v>
      </c>
      <c r="L52" t="s">
        <v>182</v>
      </c>
      <c r="M52">
        <v>50</v>
      </c>
      <c r="N52" s="37">
        <v>42917</v>
      </c>
      <c r="O52" s="37"/>
      <c r="Q52" t="s">
        <v>107</v>
      </c>
      <c r="R52">
        <v>1</v>
      </c>
    </row>
    <row r="53" spans="1:18" x14ac:dyDescent="0.25">
      <c r="A53" t="str">
        <f>TableOUSPRESCH[[#This Row],[Study Package Code]]</f>
        <v>PRJM6023</v>
      </c>
      <c r="B53" s="4">
        <f>TableOUSPRESCH[[#This Row],[Ver]]</f>
        <v>2</v>
      </c>
      <c r="C53" t="str">
        <f>IF(TableOUSPRESCH[[#This Row],[Ver]]&gt;0,_xlfn.TEXTBEFORE(TableOUSPRESCH[[#This Row],[Structure Line]]," "),"")</f>
        <v>PRM620</v>
      </c>
      <c r="D53" t="str">
        <f>IF(TableOUSPRESCH[[#This Row],[OUA Code]]&lt;&gt;"",_xlfn.TEXTAFTER(TableOUSPRESCH[[#This Row],[Structure Line]]," "),TableOUSPRESCH[[#This Row],[Structure Line]])</f>
        <v>Project Management Dissertation</v>
      </c>
      <c r="E53" s="61">
        <f>TableOUSPRESCH[[#This Row],[Credit Points]]</f>
        <v>25</v>
      </c>
      <c r="F53">
        <v>11</v>
      </c>
      <c r="G53" t="s">
        <v>166</v>
      </c>
      <c r="H53">
        <v>2</v>
      </c>
      <c r="I53" s="225" t="s">
        <v>180</v>
      </c>
      <c r="J53" t="s">
        <v>117</v>
      </c>
      <c r="K53">
        <v>2</v>
      </c>
      <c r="L53" t="s">
        <v>183</v>
      </c>
      <c r="M53">
        <v>25</v>
      </c>
      <c r="N53" s="37">
        <v>44562</v>
      </c>
      <c r="O53" s="37"/>
      <c r="Q53" t="s">
        <v>117</v>
      </c>
      <c r="R53">
        <v>2</v>
      </c>
    </row>
  </sheetData>
  <conditionalFormatting sqref="J3:J6">
    <cfRule type="duplicateValues" dxfId="19" priority="29"/>
  </conditionalFormatting>
  <conditionalFormatting sqref="J11:J20">
    <cfRule type="duplicateValues" dxfId="18" priority="14"/>
  </conditionalFormatting>
  <conditionalFormatting sqref="J25:J27">
    <cfRule type="duplicateValues" dxfId="17" priority="11"/>
  </conditionalFormatting>
  <conditionalFormatting sqref="J30:J40">
    <cfRule type="duplicateValues" dxfId="16" priority="8"/>
  </conditionalFormatting>
  <conditionalFormatting sqref="J43:J53">
    <cfRule type="duplicateValues" dxfId="15" priority="5"/>
  </conditionalFormatting>
  <conditionalFormatting sqref="N3:N6">
    <cfRule type="cellIs" dxfId="14" priority="34" operator="greaterThan">
      <formula>$P$1</formula>
    </cfRule>
  </conditionalFormatting>
  <conditionalFormatting sqref="N11:N20">
    <cfRule type="cellIs" dxfId="13" priority="15" operator="greaterThan">
      <formula>$P$1</formula>
    </cfRule>
  </conditionalFormatting>
  <conditionalFormatting sqref="N25:N27">
    <cfRule type="cellIs" dxfId="12" priority="12" operator="greaterThan">
      <formula>$P$1</formula>
    </cfRule>
  </conditionalFormatting>
  <conditionalFormatting sqref="N30:N40">
    <cfRule type="cellIs" dxfId="11" priority="9" operator="greaterThan">
      <formula>$P$1</formula>
    </cfRule>
  </conditionalFormatting>
  <conditionalFormatting sqref="N43:N53">
    <cfRule type="cellIs" dxfId="10" priority="6" operator="greaterThan">
      <formula>$P$1</formula>
    </cfRule>
  </conditionalFormatting>
  <conditionalFormatting sqref="O3:O6">
    <cfRule type="notContainsBlanks" dxfId="9" priority="45">
      <formula>LEN(TRIM(O3))&gt;0</formula>
    </cfRule>
  </conditionalFormatting>
  <conditionalFormatting sqref="O11:O20">
    <cfRule type="notContainsBlanks" dxfId="8" priority="16">
      <formula>LEN(TRIM(O11))&gt;0</formula>
    </cfRule>
  </conditionalFormatting>
  <conditionalFormatting sqref="O25:O27">
    <cfRule type="notContainsBlanks" dxfId="7" priority="13">
      <formula>LEN(TRIM(O25))&gt;0</formula>
    </cfRule>
  </conditionalFormatting>
  <conditionalFormatting sqref="O30:O40">
    <cfRule type="notContainsBlanks" dxfId="6" priority="10">
      <formula>LEN(TRIM(O30))&gt;0</formula>
    </cfRule>
  </conditionalFormatting>
  <conditionalFormatting sqref="O43:O53">
    <cfRule type="notContainsBlanks" dxfId="5" priority="7">
      <formula>LEN(TRIM(O43))&gt;0</formula>
    </cfRule>
  </conditionalFormatting>
  <conditionalFormatting sqref="Q3:R6">
    <cfRule type="expression" dxfId="4" priority="40">
      <formula>Q3&lt;&gt;J3</formula>
    </cfRule>
  </conditionalFormatting>
  <conditionalFormatting sqref="Q11:R20">
    <cfRule type="expression" dxfId="3" priority="4">
      <formula>Q11&lt;&gt;J11</formula>
    </cfRule>
  </conditionalFormatting>
  <conditionalFormatting sqref="Q25:R27">
    <cfRule type="expression" dxfId="2" priority="3">
      <formula>Q25&lt;&gt;J25</formula>
    </cfRule>
  </conditionalFormatting>
  <conditionalFormatting sqref="Q30:R40">
    <cfRule type="expression" dxfId="1" priority="2">
      <formula>Q30&lt;&gt;J30</formula>
    </cfRule>
  </conditionalFormatting>
  <conditionalFormatting sqref="Q43:R53">
    <cfRule type="expression" dxfId="0" priority="1">
      <formula>Q43&lt;&gt;J43</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
  <sheetViews>
    <sheetView workbookViewId="0">
      <selection activeCell="C31" sqref="C31"/>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57" t="s">
        <v>155</v>
      </c>
    </row>
    <row r="2" spans="1:11" x14ac:dyDescent="0.25">
      <c r="A2" s="256">
        <v>46031</v>
      </c>
    </row>
    <row r="3" spans="1:11" ht="76.5" x14ac:dyDescent="0.25">
      <c r="A3" t="s">
        <v>184</v>
      </c>
      <c r="B3" s="178" t="s">
        <v>185</v>
      </c>
      <c r="C3" s="178" t="s">
        <v>186</v>
      </c>
      <c r="D3" s="178" t="s">
        <v>187</v>
      </c>
      <c r="E3" s="178" t="s">
        <v>188</v>
      </c>
      <c r="G3" t="s">
        <v>198</v>
      </c>
    </row>
    <row r="4" spans="1:11" x14ac:dyDescent="0.25">
      <c r="A4" s="216" t="s">
        <v>121</v>
      </c>
      <c r="B4" s="247">
        <v>1</v>
      </c>
      <c r="C4" s="247"/>
      <c r="D4" s="247">
        <v>1</v>
      </c>
      <c r="E4" s="247"/>
    </row>
    <row r="5" spans="1:11" x14ac:dyDescent="0.25">
      <c r="A5" t="s">
        <v>97</v>
      </c>
      <c r="B5" s="4">
        <v>1</v>
      </c>
      <c r="C5" s="4"/>
      <c r="D5" s="4">
        <v>1</v>
      </c>
      <c r="E5" s="4"/>
      <c r="G5" t="s">
        <v>97</v>
      </c>
      <c r="H5">
        <v>1</v>
      </c>
      <c r="J5">
        <v>1</v>
      </c>
    </row>
    <row r="6" spans="1:11" x14ac:dyDescent="0.25">
      <c r="A6" t="s">
        <v>105</v>
      </c>
      <c r="B6" s="4"/>
      <c r="C6" s="4"/>
      <c r="D6" s="4"/>
      <c r="E6" s="4">
        <v>1</v>
      </c>
      <c r="G6" t="s">
        <v>105</v>
      </c>
      <c r="I6">
        <v>1</v>
      </c>
      <c r="K6">
        <v>1</v>
      </c>
    </row>
    <row r="7" spans="1:11" x14ac:dyDescent="0.25">
      <c r="A7" t="s">
        <v>99</v>
      </c>
      <c r="B7" s="4"/>
      <c r="C7" s="4">
        <v>1</v>
      </c>
      <c r="D7" s="4"/>
      <c r="E7" s="4">
        <v>1</v>
      </c>
      <c r="G7" t="s">
        <v>99</v>
      </c>
      <c r="I7">
        <v>1</v>
      </c>
      <c r="K7">
        <v>1</v>
      </c>
    </row>
    <row r="8" spans="1:11" x14ac:dyDescent="0.25">
      <c r="A8" t="s">
        <v>102</v>
      </c>
      <c r="B8" s="4">
        <v>1</v>
      </c>
      <c r="C8" s="4"/>
      <c r="D8" s="4">
        <v>1</v>
      </c>
      <c r="E8" s="4"/>
      <c r="G8" t="s">
        <v>102</v>
      </c>
      <c r="H8">
        <v>1</v>
      </c>
      <c r="J8">
        <v>1</v>
      </c>
    </row>
    <row r="9" spans="1:11" x14ac:dyDescent="0.25">
      <c r="A9" t="s">
        <v>107</v>
      </c>
      <c r="B9" s="4"/>
      <c r="C9" s="4">
        <v>1</v>
      </c>
      <c r="D9" s="4"/>
      <c r="E9" s="4">
        <v>1</v>
      </c>
      <c r="G9" t="s">
        <v>107</v>
      </c>
      <c r="I9">
        <v>1</v>
      </c>
      <c r="K9">
        <v>1</v>
      </c>
    </row>
    <row r="10" spans="1:11" x14ac:dyDescent="0.25">
      <c r="A10" t="s">
        <v>104</v>
      </c>
      <c r="B10" s="4"/>
      <c r="C10" s="4"/>
      <c r="D10" s="4">
        <v>1</v>
      </c>
      <c r="E10" s="4"/>
      <c r="G10" t="s">
        <v>104</v>
      </c>
      <c r="H10">
        <v>1</v>
      </c>
      <c r="J10">
        <v>1</v>
      </c>
    </row>
    <row r="11" spans="1:11" x14ac:dyDescent="0.25">
      <c r="A11" t="s">
        <v>106</v>
      </c>
      <c r="B11" s="4"/>
      <c r="C11" s="4">
        <v>1</v>
      </c>
      <c r="D11" s="4"/>
      <c r="E11" s="4"/>
      <c r="G11" t="s">
        <v>106</v>
      </c>
      <c r="I11">
        <v>1</v>
      </c>
      <c r="K11">
        <v>1</v>
      </c>
    </row>
    <row r="12" spans="1:11" x14ac:dyDescent="0.25">
      <c r="A12" t="s">
        <v>103</v>
      </c>
      <c r="B12" s="4"/>
      <c r="C12" s="4">
        <v>1</v>
      </c>
      <c r="D12" s="4"/>
      <c r="E12" s="4">
        <v>1</v>
      </c>
      <c r="G12" t="s">
        <v>103</v>
      </c>
      <c r="I12">
        <v>1</v>
      </c>
      <c r="K12">
        <v>1</v>
      </c>
    </row>
    <row r="13" spans="1:11" x14ac:dyDescent="0.25">
      <c r="A13" t="s">
        <v>117</v>
      </c>
      <c r="B13" s="4">
        <v>1</v>
      </c>
      <c r="C13" s="4"/>
      <c r="D13" s="4">
        <v>1</v>
      </c>
      <c r="E13" s="4"/>
      <c r="G13" t="s">
        <v>117</v>
      </c>
      <c r="H13">
        <v>1</v>
      </c>
      <c r="I13">
        <v>1</v>
      </c>
      <c r="J13">
        <v>1</v>
      </c>
    </row>
    <row r="14" spans="1:11" x14ac:dyDescent="0.25">
      <c r="A14" t="s">
        <v>109</v>
      </c>
      <c r="B14" s="4">
        <v>1</v>
      </c>
      <c r="C14" s="4"/>
      <c r="D14" s="4"/>
      <c r="E14" s="4"/>
      <c r="G14" t="s">
        <v>109</v>
      </c>
      <c r="H14">
        <v>1</v>
      </c>
      <c r="J14">
        <v>1</v>
      </c>
    </row>
    <row r="15" spans="1:11" x14ac:dyDescent="0.25">
      <c r="A15" t="s">
        <v>111</v>
      </c>
      <c r="B15" s="4">
        <v>1</v>
      </c>
      <c r="C15" s="4"/>
      <c r="D15" s="4">
        <v>1</v>
      </c>
      <c r="E15" s="4"/>
      <c r="G15" t="s">
        <v>111</v>
      </c>
      <c r="H15">
        <v>1</v>
      </c>
      <c r="J15">
        <v>1</v>
      </c>
    </row>
  </sheetData>
  <phoneticPr fontId="5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Brad Carey</DisplayName>
        <AccountId>155</AccountId>
        <AccountType/>
      </UserInfo>
      <UserInfo>
        <DisplayName>Humira Mirza</DisplayName>
        <AccountId>39</AccountId>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04C615AD-8E57-4F5C-87D8-527522BE0A93}">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schemas.microsoft.com/sharepoint/v4"/>
    <ds:schemaRef ds:uri="1f4c0b20-2c14-4291-851e-36bd297de4e2"/>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ba69df13-0c3c-4942-8695-6ca01564010c"/>
    <ds:schemaRef ds:uri="http://purl.org/dc/dcmitype/"/>
    <ds:schemaRef ds:uri="http://purl.org/dc/terms/"/>
  </ds:schemaRefs>
</ds:datastoreItem>
</file>

<file path=customXml/itemProps4.xml><?xml version="1.0" encoding="utf-8"?>
<ds:datastoreItem xmlns:ds="http://schemas.openxmlformats.org/officeDocument/2006/customXml" ds:itemID="{B9F6917B-8D98-43F5-AA09-14ABAF3BA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GC Proj Man (OUA)</vt:lpstr>
      <vt:lpstr>GD Proj Man (OUA)</vt:lpstr>
      <vt:lpstr>MSc (Proj Man) (OUA)</vt:lpstr>
      <vt:lpstr>CourseDetails</vt:lpstr>
      <vt:lpstr>Unitsets</vt:lpstr>
      <vt:lpstr>Handbook</vt:lpstr>
      <vt:lpstr>Structures</vt:lpstr>
      <vt:lpstr>Availabilities</vt:lpstr>
      <vt:lpstr>'GC Proj Man (OUA)'!Print_Area</vt:lpstr>
      <vt:lpstr>'GD Proj Man (OUA)'!Print_Area</vt:lpstr>
      <vt:lpstr>'MSc (Proj Man) (OUA)'!Print_Area</vt:lpstr>
      <vt:lpstr>RangeAltCores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2026-01-09T06:00:21Z</cp:lastPrinted>
  <dcterms:created xsi:type="dcterms:W3CDTF">2022-02-28T04:48:12Z</dcterms:created>
  <dcterms:modified xsi:type="dcterms:W3CDTF">2026-01-09T06:01:19Z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