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C0B4F8BC-7F37-4CA4-A2C1-4CDDE47381A8}" xr6:coauthVersionLast="47" xr6:coauthVersionMax="47" xr10:uidLastSave="{00000000-0000-0000-0000-000000000000}"/>
  <workbookProtection workbookAlgorithmName="SHA-512" workbookHashValue="Gwa48RM+CtELlKotZJ4c7OPqgxSssr9cd+WTdzQ2Jt51nydJzLFBqttCg2LgxbYVTI56jzW9dWYThOanshhorw==" workbookSaltValue="W7ixb06H0MlvGJ4R8icQ7A==" workbookSpinCount="100000" lockStructure="1"/>
  <bookViews>
    <workbookView xWindow="-120" yWindow="-120" windowWidth="29040" windowHeight="17520" firstSheet="1" activeTab="1" xr2:uid="{00000000-000D-0000-FFFF-FFFF00000000}"/>
  </bookViews>
  <sheets>
    <sheet name="Interior Architecture Planner" sheetId="5" state="hidden" r:id="rId1"/>
    <sheet name="Interior Design Planner" sheetId="10" r:id="rId2"/>
    <sheet name="CourseDetails" sheetId="11" state="hidden" r:id="rId3"/>
    <sheet name="Handbook" sheetId="3" state="hidden" r:id="rId4"/>
    <sheet name="Unitsets" sheetId="2" state="hidden" r:id="rId5"/>
    <sheet name="Structures" sheetId="8" state="hidden" r:id="rId6"/>
    <sheet name="Availabilities" sheetId="9" state="hidden" r:id="rId7"/>
  </sheets>
  <definedNames>
    <definedName name="_xlnm._FilterDatabase" localSheetId="3" hidden="1">Handbook!#REF!</definedName>
    <definedName name="_xlnm.Print_Area" localSheetId="0">'Interior Architecture Planner'!$A$3:$L$73</definedName>
    <definedName name="_xlnm.Print_Area" localSheetId="1">'Interior Design Planner'!$A$3:$L$60</definedName>
    <definedName name="RangeSpecSets">Unitsets!$C$40:$L$50</definedName>
    <definedName name="RangeUnitsets">Unitsets!$C$3:$R$35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3" l="1"/>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E166" i="8"/>
  <c r="D166" i="8"/>
  <c r="B166" i="8"/>
  <c r="A166" i="8"/>
  <c r="E165" i="8"/>
  <c r="D165" i="8"/>
  <c r="B165" i="8"/>
  <c r="A165" i="8"/>
  <c r="E164" i="8"/>
  <c r="D164" i="8"/>
  <c r="B164" i="8"/>
  <c r="A164" i="8"/>
  <c r="E163" i="8"/>
  <c r="D163" i="8"/>
  <c r="B163" i="8"/>
  <c r="A163" i="8"/>
  <c r="E162" i="8"/>
  <c r="D162" i="8"/>
  <c r="B162" i="8"/>
  <c r="A162" i="8"/>
  <c r="E161" i="8"/>
  <c r="C161" i="8"/>
  <c r="D161" i="8" s="1"/>
  <c r="B161" i="8"/>
  <c r="A161" i="8"/>
  <c r="E160" i="8"/>
  <c r="C160" i="8"/>
  <c r="D160" i="8" s="1"/>
  <c r="B160" i="8"/>
  <c r="A160" i="8"/>
  <c r="E159" i="8"/>
  <c r="D159" i="8"/>
  <c r="C159" i="8"/>
  <c r="B159" i="8"/>
  <c r="A159" i="8"/>
  <c r="E158" i="8"/>
  <c r="C158" i="8"/>
  <c r="D158" i="8" s="1"/>
  <c r="B158" i="8"/>
  <c r="A158" i="8"/>
  <c r="E157" i="8"/>
  <c r="C157" i="8"/>
  <c r="D157" i="8" s="1"/>
  <c r="B157" i="8"/>
  <c r="A157" i="8"/>
  <c r="E156" i="8"/>
  <c r="C156" i="8"/>
  <c r="D156" i="8" s="1"/>
  <c r="B156" i="8"/>
  <c r="A156" i="8"/>
  <c r="E155" i="8"/>
  <c r="C155" i="8"/>
  <c r="D155" i="8" s="1"/>
  <c r="B155" i="8"/>
  <c r="A155" i="8"/>
  <c r="E154" i="8"/>
  <c r="C154" i="8"/>
  <c r="D154" i="8" s="1"/>
  <c r="B154" i="8"/>
  <c r="A154" i="8"/>
  <c r="E153" i="8"/>
  <c r="C153" i="8"/>
  <c r="D153" i="8" s="1"/>
  <c r="B153" i="8"/>
  <c r="A153" i="8"/>
  <c r="E152" i="8"/>
  <c r="C152" i="8"/>
  <c r="D152" i="8" s="1"/>
  <c r="B152" i="8"/>
  <c r="A152" i="8"/>
  <c r="E151" i="8"/>
  <c r="C151" i="8"/>
  <c r="D151" i="8" s="1"/>
  <c r="B151" i="8"/>
  <c r="A151" i="8"/>
  <c r="E150" i="8"/>
  <c r="C150" i="8"/>
  <c r="D150" i="8" s="1"/>
  <c r="B150" i="8"/>
  <c r="A150" i="8"/>
  <c r="E149" i="8"/>
  <c r="C149" i="8"/>
  <c r="D149" i="8" s="1"/>
  <c r="B149" i="8"/>
  <c r="A149" i="8"/>
  <c r="E148" i="8"/>
  <c r="C148" i="8"/>
  <c r="D148" i="8" s="1"/>
  <c r="B148" i="8"/>
  <c r="A148" i="8"/>
  <c r="E147" i="8"/>
  <c r="C147" i="8"/>
  <c r="D147" i="8" s="1"/>
  <c r="B147" i="8"/>
  <c r="A147" i="8"/>
  <c r="E146" i="8"/>
  <c r="C146" i="8"/>
  <c r="D146" i="8" s="1"/>
  <c r="B146" i="8"/>
  <c r="A146" i="8"/>
  <c r="E145" i="8"/>
  <c r="C145" i="8"/>
  <c r="D145" i="8" s="1"/>
  <c r="B145" i="8"/>
  <c r="A145" i="8"/>
  <c r="E144" i="8"/>
  <c r="C144" i="8"/>
  <c r="D144" i="8" s="1"/>
  <c r="B144" i="8"/>
  <c r="A144" i="8"/>
  <c r="E143" i="8"/>
  <c r="C143" i="8"/>
  <c r="D143" i="8" s="1"/>
  <c r="B143" i="8"/>
  <c r="A143" i="8"/>
  <c r="E142" i="8"/>
  <c r="C142" i="8"/>
  <c r="D142" i="8" s="1"/>
  <c r="B142" i="8"/>
  <c r="A142" i="8"/>
  <c r="E141" i="8"/>
  <c r="C141" i="8"/>
  <c r="D141" i="8" s="1"/>
  <c r="B141" i="8"/>
  <c r="A141" i="8"/>
  <c r="G35" i="3"/>
  <c r="G41" i="3"/>
  <c r="G42" i="3"/>
  <c r="H35" i="3"/>
  <c r="H41" i="3"/>
  <c r="H42" i="3"/>
  <c r="I35" i="3"/>
  <c r="I41" i="3"/>
  <c r="I42" i="3"/>
  <c r="J35" i="3"/>
  <c r="J41" i="3"/>
  <c r="J42" i="3"/>
  <c r="G73" i="3"/>
  <c r="H73" i="3"/>
  <c r="I73" i="3"/>
  <c r="J73" i="3"/>
  <c r="A137" i="8"/>
  <c r="B137" i="8"/>
  <c r="D137" i="8"/>
  <c r="E137" i="8"/>
  <c r="G33" i="3"/>
  <c r="G34" i="3"/>
  <c r="G43" i="3"/>
  <c r="G44" i="3"/>
  <c r="H33" i="3"/>
  <c r="H34" i="3"/>
  <c r="H43" i="3"/>
  <c r="H44" i="3"/>
  <c r="I33" i="3"/>
  <c r="I34" i="3"/>
  <c r="I43" i="3"/>
  <c r="I44" i="3"/>
  <c r="J33" i="3"/>
  <c r="J34" i="3"/>
  <c r="J43" i="3"/>
  <c r="J44" i="3"/>
  <c r="G65" i="3"/>
  <c r="G67" i="3"/>
  <c r="G69" i="3"/>
  <c r="H65" i="3"/>
  <c r="H67" i="3"/>
  <c r="H69" i="3"/>
  <c r="I65" i="3"/>
  <c r="I67" i="3"/>
  <c r="I69" i="3"/>
  <c r="J65" i="3"/>
  <c r="J67" i="3"/>
  <c r="J69" i="3"/>
  <c r="G29" i="3"/>
  <c r="H29" i="3"/>
  <c r="I29" i="3"/>
  <c r="J29" i="3"/>
  <c r="D133" i="8"/>
  <c r="D134" i="8"/>
  <c r="D135" i="8"/>
  <c r="D136" i="8"/>
  <c r="D138" i="8"/>
  <c r="D64" i="8"/>
  <c r="D65" i="8"/>
  <c r="D66" i="8"/>
  <c r="D67" i="8"/>
  <c r="D68" i="8"/>
  <c r="D30" i="8"/>
  <c r="D31" i="8"/>
  <c r="D32" i="8"/>
  <c r="D33" i="8"/>
  <c r="D34" i="8"/>
  <c r="C112" i="8"/>
  <c r="D112" i="8" s="1"/>
  <c r="C113" i="8"/>
  <c r="D113" i="8" s="1"/>
  <c r="C114" i="8"/>
  <c r="D114" i="8" s="1"/>
  <c r="C115" i="8"/>
  <c r="D115" i="8" s="1"/>
  <c r="C116" i="8"/>
  <c r="D116" i="8" s="1"/>
  <c r="C117" i="8"/>
  <c r="D117" i="8" s="1"/>
  <c r="C118" i="8"/>
  <c r="D118" i="8" s="1"/>
  <c r="C119" i="8"/>
  <c r="D119" i="8" s="1"/>
  <c r="C120" i="8"/>
  <c r="D120" i="8" s="1"/>
  <c r="C121" i="8"/>
  <c r="D121" i="8" s="1"/>
  <c r="C122" i="8"/>
  <c r="D122" i="8" s="1"/>
  <c r="C123" i="8"/>
  <c r="D123" i="8" s="1"/>
  <c r="C124" i="8"/>
  <c r="D124" i="8" s="1"/>
  <c r="C125" i="8"/>
  <c r="D125" i="8" s="1"/>
  <c r="C126" i="8"/>
  <c r="D126" i="8" s="1"/>
  <c r="C127" i="8"/>
  <c r="D127" i="8" s="1"/>
  <c r="C128" i="8"/>
  <c r="D128" i="8" s="1"/>
  <c r="C129" i="8"/>
  <c r="D129" i="8" s="1"/>
  <c r="C130" i="8"/>
  <c r="D130" i="8" s="1"/>
  <c r="C131" i="8"/>
  <c r="D131" i="8" s="1"/>
  <c r="C132" i="8"/>
  <c r="D132" i="8" s="1"/>
  <c r="C101" i="8"/>
  <c r="D101" i="8" s="1"/>
  <c r="C102" i="8"/>
  <c r="D102" i="8" s="1"/>
  <c r="C103" i="8"/>
  <c r="D103" i="8" s="1"/>
  <c r="C104" i="8"/>
  <c r="D104" i="8" s="1"/>
  <c r="C105" i="8"/>
  <c r="D105" i="8" s="1"/>
  <c r="C106" i="8"/>
  <c r="D106" i="8" s="1"/>
  <c r="C107" i="8"/>
  <c r="D107" i="8" s="1"/>
  <c r="C108" i="8"/>
  <c r="D108" i="8" s="1"/>
  <c r="C93" i="8"/>
  <c r="D93" i="8" s="1"/>
  <c r="C94" i="8"/>
  <c r="D94" i="8" s="1"/>
  <c r="C95" i="8"/>
  <c r="D95" i="8" s="1"/>
  <c r="C96" i="8"/>
  <c r="D96" i="8" s="1"/>
  <c r="C97" i="8"/>
  <c r="D97" i="8" s="1"/>
  <c r="C98" i="8"/>
  <c r="D98" i="8" s="1"/>
  <c r="C87" i="8"/>
  <c r="D87" i="8" s="1"/>
  <c r="C88" i="8"/>
  <c r="D88" i="8" s="1"/>
  <c r="C89" i="8"/>
  <c r="D89" i="8" s="1"/>
  <c r="C90" i="8"/>
  <c r="D90" i="8" s="1"/>
  <c r="C79" i="8"/>
  <c r="D79" i="8" s="1"/>
  <c r="C80" i="8"/>
  <c r="D80" i="8" s="1"/>
  <c r="C81" i="8"/>
  <c r="D81" i="8" s="1"/>
  <c r="C82" i="8"/>
  <c r="D82" i="8" s="1"/>
  <c r="C83" i="8"/>
  <c r="D83" i="8" s="1"/>
  <c r="C84" i="8"/>
  <c r="D84" i="8" s="1"/>
  <c r="C71" i="8"/>
  <c r="D71" i="8" s="1"/>
  <c r="C72" i="8"/>
  <c r="D72" i="8" s="1"/>
  <c r="C73" i="8"/>
  <c r="D73" i="8" s="1"/>
  <c r="C74" i="8"/>
  <c r="D74" i="8" s="1"/>
  <c r="C75" i="8"/>
  <c r="D75" i="8" s="1"/>
  <c r="C76" i="8"/>
  <c r="D76" i="8" s="1"/>
  <c r="C37" i="8"/>
  <c r="D37" i="8" s="1"/>
  <c r="C38" i="8"/>
  <c r="D38" i="8" s="1"/>
  <c r="C39" i="8"/>
  <c r="D39" i="8" s="1"/>
  <c r="C40" i="8"/>
  <c r="D40" i="8" s="1"/>
  <c r="C41" i="8"/>
  <c r="D41" i="8" s="1"/>
  <c r="C42" i="8"/>
  <c r="D42" i="8" s="1"/>
  <c r="C43" i="8"/>
  <c r="D43" i="8" s="1"/>
  <c r="C44" i="8"/>
  <c r="D44" i="8" s="1"/>
  <c r="C45" i="8"/>
  <c r="D45"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C25" i="8"/>
  <c r="D25" i="8" s="1"/>
  <c r="C26" i="8"/>
  <c r="D26" i="8" s="1"/>
  <c r="C27" i="8"/>
  <c r="D27" i="8" s="1"/>
  <c r="C28" i="8"/>
  <c r="D28" i="8" s="1"/>
  <c r="C29" i="8"/>
  <c r="D29" i="8" s="1"/>
  <c r="G24" i="3"/>
  <c r="G26" i="3"/>
  <c r="H24" i="3"/>
  <c r="H26" i="3"/>
  <c r="I24" i="3"/>
  <c r="I26" i="3"/>
  <c r="J24" i="3"/>
  <c r="J26" i="3"/>
  <c r="G15" i="3"/>
  <c r="G16" i="3"/>
  <c r="G21" i="3"/>
  <c r="H15" i="3"/>
  <c r="H16" i="3"/>
  <c r="H21" i="3"/>
  <c r="I15" i="3"/>
  <c r="I16" i="3"/>
  <c r="I21" i="3"/>
  <c r="J15" i="3"/>
  <c r="J16" i="3"/>
  <c r="J21" i="3"/>
  <c r="G46" i="3"/>
  <c r="H46" i="3"/>
  <c r="I46" i="3"/>
  <c r="J46" i="3"/>
  <c r="O3" i="3" l="1"/>
  <c r="A105" i="8"/>
  <c r="A106" i="8"/>
  <c r="B105" i="8"/>
  <c r="B106" i="8"/>
  <c r="E105" i="8"/>
  <c r="E106" i="8"/>
  <c r="T1" i="3" l="1"/>
  <c r="S1" i="3"/>
  <c r="R1" i="3"/>
  <c r="Q1" i="3"/>
  <c r="P1" i="3"/>
  <c r="O1" i="3"/>
  <c r="N1" i="3"/>
  <c r="M1" i="3"/>
  <c r="L1" i="3"/>
  <c r="K1" i="3"/>
  <c r="J1" i="3"/>
  <c r="I1" i="3"/>
  <c r="H1" i="3"/>
  <c r="G1" i="3"/>
  <c r="F1" i="3"/>
  <c r="E1" i="3"/>
  <c r="D1" i="3"/>
  <c r="C1" i="3"/>
  <c r="B1" i="3"/>
  <c r="A1" i="3"/>
  <c r="G5" i="3"/>
  <c r="G6" i="3"/>
  <c r="H5" i="3"/>
  <c r="H6" i="3"/>
  <c r="I5" i="3"/>
  <c r="I6" i="3"/>
  <c r="J5" i="3"/>
  <c r="J6" i="3"/>
  <c r="H46" i="10"/>
  <c r="L47" i="10"/>
  <c r="K47" i="10"/>
  <c r="J47" i="10"/>
  <c r="I47" i="10"/>
  <c r="H47" i="10"/>
  <c r="L33" i="10"/>
  <c r="K33" i="10"/>
  <c r="J33" i="10"/>
  <c r="I33" i="10"/>
  <c r="H33" i="10"/>
  <c r="L21" i="10"/>
  <c r="K21" i="10"/>
  <c r="J21" i="10"/>
  <c r="I21" i="10"/>
  <c r="H21" i="10"/>
  <c r="G7" i="10"/>
  <c r="G7" i="5"/>
  <c r="H58" i="5"/>
  <c r="L59" i="5"/>
  <c r="K59" i="5"/>
  <c r="J59" i="5"/>
  <c r="I59" i="5"/>
  <c r="H59" i="5"/>
  <c r="L45" i="5"/>
  <c r="K45" i="5"/>
  <c r="J45" i="5"/>
  <c r="I45" i="5"/>
  <c r="H45" i="5"/>
  <c r="L33" i="5"/>
  <c r="K33" i="5"/>
  <c r="J33" i="5"/>
  <c r="I33" i="5"/>
  <c r="H33" i="5"/>
  <c r="L21" i="5"/>
  <c r="K21" i="5"/>
  <c r="J21" i="5"/>
  <c r="I21" i="5"/>
  <c r="H21" i="5"/>
  <c r="G27" i="3" l="1"/>
  <c r="H27" i="3"/>
  <c r="I27" i="3"/>
  <c r="J27" i="3"/>
  <c r="L5" i="5" l="1"/>
  <c r="L6" i="5"/>
  <c r="L5" i="10"/>
  <c r="L6" i="10"/>
  <c r="J80" i="3"/>
  <c r="I80" i="3"/>
  <c r="H80" i="3"/>
  <c r="G80" i="3"/>
  <c r="J79" i="3"/>
  <c r="I79" i="3"/>
  <c r="H79" i="3"/>
  <c r="G79" i="3"/>
  <c r="J78" i="3"/>
  <c r="I78" i="3"/>
  <c r="H78" i="3"/>
  <c r="G78" i="3"/>
  <c r="J77" i="3"/>
  <c r="I77" i="3"/>
  <c r="H77" i="3"/>
  <c r="G77" i="3"/>
  <c r="J75" i="3"/>
  <c r="I75" i="3"/>
  <c r="H75" i="3"/>
  <c r="G75" i="3"/>
  <c r="J76" i="3"/>
  <c r="I76" i="3"/>
  <c r="H76" i="3"/>
  <c r="G76" i="3"/>
  <c r="J74" i="3"/>
  <c r="I74" i="3"/>
  <c r="H74" i="3"/>
  <c r="G74" i="3"/>
  <c r="J72" i="3"/>
  <c r="I72" i="3"/>
  <c r="H72" i="3"/>
  <c r="G72" i="3"/>
  <c r="J71" i="3"/>
  <c r="I71" i="3"/>
  <c r="H71" i="3"/>
  <c r="G71" i="3"/>
  <c r="J70" i="3"/>
  <c r="I70" i="3"/>
  <c r="H70" i="3"/>
  <c r="G70" i="3"/>
  <c r="J68" i="3"/>
  <c r="I68" i="3"/>
  <c r="H68" i="3"/>
  <c r="G68" i="3"/>
  <c r="J66" i="3"/>
  <c r="I66" i="3"/>
  <c r="H66" i="3"/>
  <c r="G66" i="3"/>
  <c r="J64" i="3"/>
  <c r="I64" i="3"/>
  <c r="H64" i="3"/>
  <c r="G64" i="3"/>
  <c r="J63" i="3"/>
  <c r="I63" i="3"/>
  <c r="H63" i="3"/>
  <c r="G63" i="3"/>
  <c r="J62" i="3"/>
  <c r="I62" i="3"/>
  <c r="H62" i="3"/>
  <c r="G62" i="3"/>
  <c r="J61" i="3"/>
  <c r="I61" i="3"/>
  <c r="H61" i="3"/>
  <c r="G61" i="3"/>
  <c r="J60" i="3"/>
  <c r="I60" i="3"/>
  <c r="H60" i="3"/>
  <c r="G60" i="3"/>
  <c r="J59" i="3"/>
  <c r="I59" i="3"/>
  <c r="H59" i="3"/>
  <c r="G59" i="3"/>
  <c r="J58" i="3"/>
  <c r="I58" i="3"/>
  <c r="H58" i="3"/>
  <c r="G58" i="3"/>
  <c r="J57" i="3"/>
  <c r="I57" i="3"/>
  <c r="H57" i="3"/>
  <c r="G57" i="3"/>
  <c r="J56" i="3"/>
  <c r="I56" i="3"/>
  <c r="H56" i="3"/>
  <c r="G56" i="3"/>
  <c r="J55" i="3"/>
  <c r="I55" i="3"/>
  <c r="H55" i="3"/>
  <c r="G55" i="3"/>
  <c r="J54" i="3"/>
  <c r="I54" i="3"/>
  <c r="H54" i="3"/>
  <c r="G54" i="3"/>
  <c r="J53" i="3"/>
  <c r="I53" i="3"/>
  <c r="H53" i="3"/>
  <c r="G53" i="3"/>
  <c r="J52" i="3"/>
  <c r="I52" i="3"/>
  <c r="H52" i="3"/>
  <c r="G52" i="3"/>
  <c r="J51" i="3"/>
  <c r="I51" i="3"/>
  <c r="H51" i="3"/>
  <c r="G51" i="3"/>
  <c r="J50" i="3"/>
  <c r="I50" i="3"/>
  <c r="H50" i="3"/>
  <c r="G50" i="3"/>
  <c r="J49" i="3"/>
  <c r="I49" i="3"/>
  <c r="H49" i="3"/>
  <c r="G49" i="3"/>
  <c r="J48" i="3"/>
  <c r="I48" i="3"/>
  <c r="H48" i="3"/>
  <c r="G48" i="3"/>
  <c r="J47" i="3"/>
  <c r="I47" i="3"/>
  <c r="H47" i="3"/>
  <c r="G47" i="3"/>
  <c r="J45" i="3"/>
  <c r="I45" i="3"/>
  <c r="H45" i="3"/>
  <c r="G45" i="3"/>
  <c r="J40" i="3"/>
  <c r="I40" i="3"/>
  <c r="H40" i="3"/>
  <c r="G40" i="3"/>
  <c r="J39" i="3"/>
  <c r="I39" i="3"/>
  <c r="H39" i="3"/>
  <c r="G39" i="3"/>
  <c r="J38" i="3"/>
  <c r="I38" i="3"/>
  <c r="H38" i="3"/>
  <c r="G38" i="3"/>
  <c r="J37" i="3"/>
  <c r="I37" i="3"/>
  <c r="H37" i="3"/>
  <c r="G37" i="3"/>
  <c r="J36" i="3"/>
  <c r="I36" i="3"/>
  <c r="H36" i="3"/>
  <c r="G36" i="3"/>
  <c r="J32" i="3"/>
  <c r="I32" i="3"/>
  <c r="H32" i="3"/>
  <c r="G32" i="3"/>
  <c r="J31" i="3"/>
  <c r="I31" i="3"/>
  <c r="H31" i="3"/>
  <c r="G31" i="3"/>
  <c r="J30" i="3"/>
  <c r="I30" i="3"/>
  <c r="H30" i="3"/>
  <c r="G30" i="3"/>
  <c r="J28" i="3"/>
  <c r="I28" i="3"/>
  <c r="H28" i="3"/>
  <c r="G28" i="3"/>
  <c r="J25" i="3"/>
  <c r="I25" i="3"/>
  <c r="H25" i="3"/>
  <c r="G25" i="3"/>
  <c r="J23" i="3"/>
  <c r="I23" i="3"/>
  <c r="H23" i="3"/>
  <c r="G23" i="3"/>
  <c r="J22" i="3"/>
  <c r="I22" i="3"/>
  <c r="H22" i="3"/>
  <c r="G22" i="3"/>
  <c r="J20" i="3"/>
  <c r="I20" i="3"/>
  <c r="H20" i="3"/>
  <c r="G20" i="3"/>
  <c r="J19" i="3"/>
  <c r="I19" i="3"/>
  <c r="H19" i="3"/>
  <c r="G19" i="3"/>
  <c r="J18" i="3"/>
  <c r="I18" i="3"/>
  <c r="H18" i="3"/>
  <c r="G18" i="3"/>
  <c r="J17" i="3"/>
  <c r="I17" i="3"/>
  <c r="H17" i="3"/>
  <c r="G17"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4" i="3"/>
  <c r="I4" i="3"/>
  <c r="H4" i="3"/>
  <c r="G4" i="3"/>
  <c r="A23" i="10" l="1"/>
  <c r="A22" i="10"/>
  <c r="A20" i="10"/>
  <c r="A44" i="10"/>
  <c r="A43" i="10"/>
  <c r="A19" i="10"/>
  <c r="A16" i="10"/>
  <c r="A26" i="10"/>
  <c r="A41" i="10"/>
  <c r="A17" i="10"/>
  <c r="A28" i="10"/>
  <c r="E28" i="10" s="1"/>
  <c r="A25" i="10"/>
  <c r="E25" i="10" s="1"/>
  <c r="A40" i="10"/>
  <c r="A38" i="10"/>
  <c r="A14" i="10"/>
  <c r="A31" i="10"/>
  <c r="E31" i="10" s="1"/>
  <c r="A37" i="10"/>
  <c r="A13" i="10"/>
  <c r="A35" i="10"/>
  <c r="A11" i="10"/>
  <c r="A34" i="10"/>
  <c r="A10" i="10"/>
  <c r="A32" i="10"/>
  <c r="A29" i="10"/>
  <c r="A52" i="5"/>
  <c r="E52" i="5" s="1"/>
  <c r="A28" i="5"/>
  <c r="E28" i="5" s="1"/>
  <c r="A50" i="5"/>
  <c r="A26" i="5"/>
  <c r="A49" i="5"/>
  <c r="E49" i="5" s="1"/>
  <c r="A25" i="5"/>
  <c r="E25" i="5" s="1"/>
  <c r="A47" i="5"/>
  <c r="A23" i="5"/>
  <c r="A22" i="5"/>
  <c r="E22" i="5" s="1"/>
  <c r="A20" i="5"/>
  <c r="A43" i="5"/>
  <c r="E43" i="5" s="1"/>
  <c r="A19" i="5"/>
  <c r="E19" i="5" s="1"/>
  <c r="A16" i="5"/>
  <c r="E16" i="5" s="1"/>
  <c r="A14" i="5"/>
  <c r="A11" i="5"/>
  <c r="A46" i="5"/>
  <c r="E46" i="5" s="1"/>
  <c r="A44" i="5"/>
  <c r="A37" i="5"/>
  <c r="E37" i="5" s="1"/>
  <c r="A35" i="5"/>
  <c r="A34" i="5"/>
  <c r="E34" i="5" s="1"/>
  <c r="A41" i="5"/>
  <c r="A17" i="5"/>
  <c r="A38" i="5"/>
  <c r="A13" i="5"/>
  <c r="E13" i="5" s="1"/>
  <c r="A10" i="5"/>
  <c r="A56" i="5"/>
  <c r="A55" i="5"/>
  <c r="E55" i="5" s="1"/>
  <c r="A29" i="5"/>
  <c r="A40" i="5"/>
  <c r="E40" i="5" s="1"/>
  <c r="A32" i="5"/>
  <c r="A31" i="5"/>
  <c r="E31" i="5" s="1"/>
  <c r="A53" i="5"/>
  <c r="E22" i="10"/>
  <c r="E56" i="5" l="1"/>
  <c r="E32" i="10"/>
  <c r="E29" i="10"/>
  <c r="K38" i="10"/>
  <c r="J38" i="10"/>
  <c r="I38" i="10"/>
  <c r="H38" i="10"/>
  <c r="E40" i="10"/>
  <c r="E41" i="10" s="1"/>
  <c r="K40" i="10"/>
  <c r="H40" i="10"/>
  <c r="J40" i="10"/>
  <c r="I40" i="10"/>
  <c r="E37" i="10"/>
  <c r="E38" i="10" s="1"/>
  <c r="J37" i="10"/>
  <c r="I37" i="10"/>
  <c r="H37" i="10"/>
  <c r="K37" i="10"/>
  <c r="E43" i="10"/>
  <c r="E44" i="10" s="1"/>
  <c r="K43" i="10"/>
  <c r="J43" i="10"/>
  <c r="I43" i="10"/>
  <c r="H43" i="10"/>
  <c r="J35" i="10"/>
  <c r="I35" i="10"/>
  <c r="H35" i="10"/>
  <c r="K35" i="10"/>
  <c r="K41" i="10"/>
  <c r="J41" i="10"/>
  <c r="I41" i="10"/>
  <c r="H41" i="10"/>
  <c r="E34" i="10"/>
  <c r="E35" i="10" s="1"/>
  <c r="J34" i="10"/>
  <c r="K34" i="10"/>
  <c r="I34" i="10"/>
  <c r="H34" i="10"/>
  <c r="E23" i="10"/>
  <c r="K44" i="10"/>
  <c r="J44" i="10"/>
  <c r="I44" i="10"/>
  <c r="H44" i="10"/>
  <c r="E26" i="10"/>
  <c r="E53" i="5"/>
  <c r="E47" i="5"/>
  <c r="E50" i="5"/>
  <c r="E44" i="5"/>
  <c r="E14" i="5"/>
  <c r="E23" i="5"/>
  <c r="E38" i="5"/>
  <c r="E26" i="5"/>
  <c r="E41" i="5"/>
  <c r="E20" i="5"/>
  <c r="E17" i="5"/>
  <c r="E32" i="5"/>
  <c r="E29" i="5"/>
  <c r="E35" i="5"/>
  <c r="L46" i="10"/>
  <c r="A46" i="10"/>
  <c r="G6" i="10"/>
  <c r="G5" i="10"/>
  <c r="A54" i="10" l="1"/>
  <c r="A53" i="10"/>
  <c r="A56" i="10"/>
  <c r="A50" i="10"/>
  <c r="A55" i="10"/>
  <c r="A49" i="10"/>
  <c r="A52" i="10"/>
  <c r="A48" i="10"/>
  <c r="A51" i="10"/>
  <c r="J53" i="10" l="1"/>
  <c r="I53" i="10"/>
  <c r="D53" i="10"/>
  <c r="C53" i="10"/>
  <c r="B53" i="10"/>
  <c r="H53" i="10"/>
  <c r="F53" i="10"/>
  <c r="G53" i="10"/>
  <c r="K53" i="10"/>
  <c r="K54" i="10"/>
  <c r="I54" i="10"/>
  <c r="H54" i="10"/>
  <c r="G54" i="10"/>
  <c r="F54" i="10"/>
  <c r="C54" i="10"/>
  <c r="J54" i="10"/>
  <c r="D54" i="10"/>
  <c r="B54" i="10"/>
  <c r="F52" i="10"/>
  <c r="D52" i="10"/>
  <c r="C52" i="10"/>
  <c r="K52" i="10"/>
  <c r="B52" i="10"/>
  <c r="J52" i="10"/>
  <c r="H52" i="10"/>
  <c r="G52" i="10"/>
  <c r="I52" i="10"/>
  <c r="C49" i="10"/>
  <c r="B49" i="10"/>
  <c r="K49" i="10"/>
  <c r="J49" i="10"/>
  <c r="I49" i="10"/>
  <c r="H49" i="10"/>
  <c r="F49" i="10"/>
  <c r="D49" i="10"/>
  <c r="G49" i="10"/>
  <c r="J50" i="10"/>
  <c r="I50" i="10"/>
  <c r="H50" i="10"/>
  <c r="G50" i="10"/>
  <c r="F50" i="10"/>
  <c r="C50" i="10"/>
  <c r="K50" i="10"/>
  <c r="B50" i="10"/>
  <c r="D50" i="10"/>
  <c r="H51" i="10"/>
  <c r="G51" i="10"/>
  <c r="F51" i="10"/>
  <c r="D51" i="10"/>
  <c r="C51" i="10"/>
  <c r="J51" i="10"/>
  <c r="I51" i="10"/>
  <c r="K51" i="10"/>
  <c r="B51" i="10"/>
  <c r="C55" i="10"/>
  <c r="K55" i="10"/>
  <c r="B55" i="10"/>
  <c r="J55" i="10"/>
  <c r="I55" i="10"/>
  <c r="H55" i="10"/>
  <c r="F55" i="10"/>
  <c r="D55" i="10"/>
  <c r="G55" i="10"/>
  <c r="J56" i="10"/>
  <c r="I56" i="10"/>
  <c r="H56" i="10"/>
  <c r="G56" i="10"/>
  <c r="F56" i="10"/>
  <c r="C56" i="10"/>
  <c r="K56" i="10"/>
  <c r="B56" i="10"/>
  <c r="D56" i="10"/>
  <c r="F48" i="10"/>
  <c r="D48" i="10"/>
  <c r="C48" i="10"/>
  <c r="K48" i="10"/>
  <c r="B48" i="10"/>
  <c r="J48" i="10"/>
  <c r="H48" i="10"/>
  <c r="G48" i="10"/>
  <c r="I48" i="10"/>
  <c r="E138" i="8" l="1"/>
  <c r="B138" i="8"/>
  <c r="A138" i="8"/>
  <c r="E136" i="8"/>
  <c r="B136" i="8"/>
  <c r="A136" i="8"/>
  <c r="E135" i="8"/>
  <c r="B135" i="8"/>
  <c r="A135" i="8"/>
  <c r="E134" i="8"/>
  <c r="B134" i="8"/>
  <c r="A134" i="8"/>
  <c r="E133" i="8"/>
  <c r="B133" i="8"/>
  <c r="A133" i="8"/>
  <c r="E132" i="8"/>
  <c r="B132" i="8"/>
  <c r="A132" i="8"/>
  <c r="E131" i="8"/>
  <c r="B131" i="8"/>
  <c r="A131" i="8"/>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E114" i="8"/>
  <c r="B114" i="8"/>
  <c r="A114" i="8"/>
  <c r="E113" i="8"/>
  <c r="B113" i="8"/>
  <c r="A113" i="8"/>
  <c r="E112" i="8"/>
  <c r="B112" i="8"/>
  <c r="A112" i="8"/>
  <c r="N35" i="3" l="1"/>
  <c r="N41" i="3"/>
  <c r="N42" i="3"/>
  <c r="N73" i="3"/>
  <c r="N29" i="3"/>
  <c r="N33" i="3"/>
  <c r="N65" i="3"/>
  <c r="N34" i="3"/>
  <c r="N43" i="3"/>
  <c r="N67" i="3"/>
  <c r="N69" i="3"/>
  <c r="N44" i="3"/>
  <c r="N24" i="3"/>
  <c r="N26" i="3"/>
  <c r="N15" i="3"/>
  <c r="N21" i="3"/>
  <c r="N16" i="3"/>
  <c r="N46" i="3"/>
  <c r="N5" i="3"/>
  <c r="N6" i="3"/>
  <c r="N27" i="3"/>
  <c r="N75" i="3"/>
  <c r="N3" i="3"/>
  <c r="N13" i="3"/>
  <c r="N23" i="3"/>
  <c r="N37" i="3"/>
  <c r="N49" i="3"/>
  <c r="N57" i="3"/>
  <c r="N66" i="3"/>
  <c r="N78" i="3"/>
  <c r="N8" i="3"/>
  <c r="N18" i="3"/>
  <c r="N28" i="3"/>
  <c r="N40" i="3"/>
  <c r="N60" i="3"/>
  <c r="N71" i="3"/>
  <c r="N19" i="3"/>
  <c r="N53" i="3"/>
  <c r="N72" i="3"/>
  <c r="N4" i="3"/>
  <c r="N14" i="3"/>
  <c r="N38" i="3"/>
  <c r="N50" i="3"/>
  <c r="N58" i="3"/>
  <c r="N68" i="3"/>
  <c r="N79" i="3"/>
  <c r="N9" i="3"/>
  <c r="N30" i="3"/>
  <c r="N45" i="3"/>
  <c r="N61" i="3"/>
  <c r="N36" i="3"/>
  <c r="N56" i="3"/>
  <c r="N77" i="3"/>
  <c r="N7" i="3"/>
  <c r="N17" i="3"/>
  <c r="N25" i="3"/>
  <c r="N39" i="3"/>
  <c r="N51" i="3"/>
  <c r="N59" i="3"/>
  <c r="N70" i="3"/>
  <c r="N80" i="3"/>
  <c r="N52" i="3"/>
  <c r="N12" i="3"/>
  <c r="N22" i="3"/>
  <c r="N48" i="3"/>
  <c r="N64" i="3"/>
  <c r="N10" i="3"/>
  <c r="N20" i="3"/>
  <c r="N31" i="3"/>
  <c r="N54" i="3"/>
  <c r="N62" i="3"/>
  <c r="N74" i="3"/>
  <c r="N11" i="3"/>
  <c r="N32" i="3"/>
  <c r="N47" i="3"/>
  <c r="N55" i="3"/>
  <c r="N63" i="3"/>
  <c r="N76" i="3"/>
  <c r="E108" i="8" l="1"/>
  <c r="B108" i="8"/>
  <c r="A108" i="8"/>
  <c r="E107" i="8"/>
  <c r="B107" i="8"/>
  <c r="A107" i="8"/>
  <c r="E104" i="8"/>
  <c r="B104" i="8"/>
  <c r="A104" i="8"/>
  <c r="E103" i="8"/>
  <c r="B103" i="8"/>
  <c r="A103" i="8"/>
  <c r="E102" i="8"/>
  <c r="B102" i="8"/>
  <c r="A102" i="8"/>
  <c r="E101" i="8"/>
  <c r="B101" i="8"/>
  <c r="A101" i="8"/>
  <c r="A93" i="8"/>
  <c r="B93" i="8"/>
  <c r="E93" i="8"/>
  <c r="A94" i="8"/>
  <c r="B94" i="8"/>
  <c r="E94" i="8"/>
  <c r="A95" i="8"/>
  <c r="B95" i="8"/>
  <c r="E95" i="8"/>
  <c r="A96" i="8"/>
  <c r="B96" i="8"/>
  <c r="E96" i="8"/>
  <c r="A97" i="8"/>
  <c r="B97" i="8"/>
  <c r="E97" i="8"/>
  <c r="A98" i="8"/>
  <c r="B98" i="8"/>
  <c r="E98" i="8"/>
  <c r="S42" i="3" l="1"/>
  <c r="S35" i="3"/>
  <c r="S41" i="3"/>
  <c r="T35" i="3"/>
  <c r="T41" i="3"/>
  <c r="T42" i="3"/>
  <c r="S73" i="3"/>
  <c r="T73" i="3"/>
  <c r="T65" i="3"/>
  <c r="T67" i="3"/>
  <c r="T69" i="3"/>
  <c r="T29" i="3"/>
  <c r="T34" i="3"/>
  <c r="T33" i="3"/>
  <c r="T43" i="3"/>
  <c r="T44" i="3"/>
  <c r="S67" i="3"/>
  <c r="S65" i="3"/>
  <c r="S34" i="3"/>
  <c r="S43" i="3"/>
  <c r="S29" i="3"/>
  <c r="S69" i="3"/>
  <c r="S33" i="3"/>
  <c r="S44" i="3"/>
  <c r="T24" i="3"/>
  <c r="T26" i="3"/>
  <c r="S24" i="3"/>
  <c r="S26" i="3"/>
  <c r="T16" i="3"/>
  <c r="T15" i="3"/>
  <c r="T21" i="3"/>
  <c r="T46" i="3"/>
  <c r="S46" i="3"/>
  <c r="S15" i="3"/>
  <c r="S16" i="3"/>
  <c r="S21" i="3"/>
  <c r="S5" i="3"/>
  <c r="S6" i="3"/>
  <c r="T5" i="3"/>
  <c r="T6" i="3"/>
  <c r="S27" i="3"/>
  <c r="S75" i="3"/>
  <c r="T27" i="3"/>
  <c r="T75" i="3"/>
  <c r="S47" i="3"/>
  <c r="S20" i="3"/>
  <c r="S58" i="3"/>
  <c r="S68" i="3"/>
  <c r="S45" i="3"/>
  <c r="S31" i="3"/>
  <c r="S30" i="3"/>
  <c r="S18" i="3"/>
  <c r="S60" i="3"/>
  <c r="S8" i="3"/>
  <c r="S14" i="3"/>
  <c r="S56" i="3"/>
  <c r="S22" i="3"/>
  <c r="S48" i="3"/>
  <c r="S52" i="3"/>
  <c r="S59" i="3"/>
  <c r="S70" i="3"/>
  <c r="S80" i="3"/>
  <c r="S10" i="3"/>
  <c r="S3" i="3"/>
  <c r="S53" i="3"/>
  <c r="S71" i="3"/>
  <c r="S36" i="3"/>
  <c r="S17" i="3"/>
  <c r="S61" i="3"/>
  <c r="S37" i="3"/>
  <c r="S4" i="3"/>
  <c r="S72" i="3"/>
  <c r="S19" i="3"/>
  <c r="S28" i="3"/>
  <c r="S50" i="3"/>
  <c r="S57" i="3"/>
  <c r="S62" i="3"/>
  <c r="S32" i="3"/>
  <c r="S78" i="3"/>
  <c r="S64" i="3"/>
  <c r="S11" i="3"/>
  <c r="S54" i="3"/>
  <c r="S38" i="3"/>
  <c r="S77" i="3"/>
  <c r="S49" i="3"/>
  <c r="S63" i="3"/>
  <c r="S25" i="3"/>
  <c r="S13" i="3"/>
  <c r="S51" i="3"/>
  <c r="S55" i="3"/>
  <c r="S76" i="3"/>
  <c r="S39" i="3"/>
  <c r="S23" i="3"/>
  <c r="S74" i="3"/>
  <c r="S40" i="3"/>
  <c r="S79" i="3"/>
  <c r="S66" i="3"/>
  <c r="S7" i="3"/>
  <c r="S9" i="3"/>
  <c r="S12" i="3"/>
  <c r="T3" i="3"/>
  <c r="T4" i="3"/>
  <c r="T17" i="3"/>
  <c r="T56" i="3"/>
  <c r="T61" i="3"/>
  <c r="T72" i="3"/>
  <c r="T22" i="3"/>
  <c r="T37" i="3"/>
  <c r="T19" i="3"/>
  <c r="T49" i="3"/>
  <c r="T38" i="3"/>
  <c r="T77" i="3"/>
  <c r="T55" i="3"/>
  <c r="T39" i="3"/>
  <c r="T74" i="3"/>
  <c r="T28" i="3"/>
  <c r="T50" i="3"/>
  <c r="T57" i="3"/>
  <c r="T62" i="3"/>
  <c r="T32" i="3"/>
  <c r="T78" i="3"/>
  <c r="T64" i="3"/>
  <c r="T54" i="3"/>
  <c r="T63" i="3"/>
  <c r="T25" i="3"/>
  <c r="T51" i="3"/>
  <c r="T23" i="3"/>
  <c r="T11" i="3"/>
  <c r="T13" i="3"/>
  <c r="T76" i="3"/>
  <c r="T12" i="3"/>
  <c r="T40" i="3"/>
  <c r="T79" i="3"/>
  <c r="T66" i="3"/>
  <c r="T7" i="3"/>
  <c r="T9" i="3"/>
  <c r="T20" i="3"/>
  <c r="T68" i="3"/>
  <c r="T31" i="3"/>
  <c r="T47" i="3"/>
  <c r="T58" i="3"/>
  <c r="T45" i="3"/>
  <c r="T30" i="3"/>
  <c r="T48" i="3"/>
  <c r="T52" i="3"/>
  <c r="T59" i="3"/>
  <c r="T70" i="3"/>
  <c r="T80" i="3"/>
  <c r="T10" i="3"/>
  <c r="T18" i="3"/>
  <c r="T53" i="3"/>
  <c r="T60" i="3"/>
  <c r="T71" i="3"/>
  <c r="T14" i="3"/>
  <c r="T8" i="3"/>
  <c r="T36" i="3"/>
  <c r="E90" i="8"/>
  <c r="B90" i="8"/>
  <c r="A90" i="8"/>
  <c r="E89" i="8"/>
  <c r="B89" i="8"/>
  <c r="A89" i="8"/>
  <c r="E88" i="8"/>
  <c r="B88" i="8"/>
  <c r="A88" i="8"/>
  <c r="E87" i="8"/>
  <c r="B87" i="8"/>
  <c r="A87" i="8"/>
  <c r="R35" i="3" l="1"/>
  <c r="R41" i="3"/>
  <c r="R42" i="3"/>
  <c r="R73" i="3"/>
  <c r="R43" i="3"/>
  <c r="R65" i="3"/>
  <c r="R33" i="3"/>
  <c r="R44" i="3"/>
  <c r="R34" i="3"/>
  <c r="R69" i="3"/>
  <c r="R29" i="3"/>
  <c r="R67" i="3"/>
  <c r="R24" i="3"/>
  <c r="R26" i="3"/>
  <c r="R46" i="3"/>
  <c r="R15" i="3"/>
  <c r="R16" i="3"/>
  <c r="R21" i="3"/>
  <c r="R5" i="3"/>
  <c r="R6" i="3"/>
  <c r="R27" i="3"/>
  <c r="R75" i="3"/>
  <c r="R11" i="3"/>
  <c r="R49" i="3"/>
  <c r="R54" i="3"/>
  <c r="R63" i="3"/>
  <c r="R38" i="3"/>
  <c r="R25" i="3"/>
  <c r="R77" i="3"/>
  <c r="R40" i="3"/>
  <c r="R66" i="3"/>
  <c r="R47" i="3"/>
  <c r="R68" i="3"/>
  <c r="R30" i="3"/>
  <c r="R13" i="3"/>
  <c r="R51" i="3"/>
  <c r="R55" i="3"/>
  <c r="R76" i="3"/>
  <c r="R39" i="3"/>
  <c r="R23" i="3"/>
  <c r="R74" i="3"/>
  <c r="R12" i="3"/>
  <c r="R79" i="3"/>
  <c r="R7" i="3"/>
  <c r="R9" i="3"/>
  <c r="R20" i="3"/>
  <c r="R45" i="3"/>
  <c r="R58" i="3"/>
  <c r="R31" i="3"/>
  <c r="R48" i="3"/>
  <c r="R52" i="3"/>
  <c r="R59" i="3"/>
  <c r="R70" i="3"/>
  <c r="R80" i="3"/>
  <c r="R10" i="3"/>
  <c r="R18" i="3"/>
  <c r="R60" i="3"/>
  <c r="R8" i="3"/>
  <c r="R14" i="3"/>
  <c r="R19" i="3"/>
  <c r="R3" i="3"/>
  <c r="R53" i="3"/>
  <c r="R71" i="3"/>
  <c r="R36" i="3"/>
  <c r="R4" i="3"/>
  <c r="R17" i="3"/>
  <c r="R56" i="3"/>
  <c r="R61" i="3"/>
  <c r="R72" i="3"/>
  <c r="R22" i="3"/>
  <c r="R37" i="3"/>
  <c r="R57" i="3"/>
  <c r="R62" i="3"/>
  <c r="R32" i="3"/>
  <c r="R78" i="3"/>
  <c r="R28" i="3"/>
  <c r="R64" i="3"/>
  <c r="R50" i="3"/>
  <c r="E84" i="8" l="1"/>
  <c r="B84" i="8"/>
  <c r="A84" i="8"/>
  <c r="E83" i="8"/>
  <c r="B83" i="8"/>
  <c r="A83" i="8"/>
  <c r="E82" i="8"/>
  <c r="B82" i="8"/>
  <c r="A82" i="8"/>
  <c r="E81" i="8"/>
  <c r="B81" i="8"/>
  <c r="A81" i="8"/>
  <c r="E80" i="8"/>
  <c r="B80" i="8"/>
  <c r="A80" i="8"/>
  <c r="E79" i="8"/>
  <c r="B79" i="8"/>
  <c r="A79" i="8"/>
  <c r="E76" i="8"/>
  <c r="B76" i="8"/>
  <c r="A76" i="8"/>
  <c r="E75" i="8"/>
  <c r="B75" i="8"/>
  <c r="A75" i="8"/>
  <c r="E74" i="8"/>
  <c r="B74" i="8"/>
  <c r="A74" i="8"/>
  <c r="E73" i="8"/>
  <c r="B73" i="8"/>
  <c r="A73" i="8"/>
  <c r="E72" i="8"/>
  <c r="B72" i="8"/>
  <c r="A72" i="8"/>
  <c r="E71" i="8"/>
  <c r="B71" i="8"/>
  <c r="A71" i="8"/>
  <c r="P35" i="3" l="1"/>
  <c r="P41" i="3"/>
  <c r="P42" i="3"/>
  <c r="Q35" i="3"/>
  <c r="Q41" i="3"/>
  <c r="Q42" i="3"/>
  <c r="P73" i="3"/>
  <c r="Q73" i="3"/>
  <c r="P33" i="3"/>
  <c r="P34" i="3"/>
  <c r="P43" i="3"/>
  <c r="P44" i="3"/>
  <c r="Q65" i="3"/>
  <c r="Q67" i="3"/>
  <c r="Q69" i="3"/>
  <c r="Q29" i="3"/>
  <c r="Q43" i="3"/>
  <c r="Q33" i="3"/>
  <c r="Q34" i="3"/>
  <c r="Q44" i="3"/>
  <c r="P67" i="3"/>
  <c r="P29" i="3"/>
  <c r="P65" i="3"/>
  <c r="P69" i="3"/>
  <c r="Q24" i="3"/>
  <c r="Q26" i="3"/>
  <c r="P24" i="3"/>
  <c r="P26" i="3"/>
  <c r="Q15" i="3"/>
  <c r="Q46" i="3"/>
  <c r="Q16" i="3"/>
  <c r="Q21" i="3"/>
  <c r="P15" i="3"/>
  <c r="P46" i="3"/>
  <c r="P16" i="3"/>
  <c r="P21" i="3"/>
  <c r="P5" i="3"/>
  <c r="P6" i="3"/>
  <c r="Q5" i="3"/>
  <c r="Q6" i="3"/>
  <c r="P27" i="3"/>
  <c r="P75" i="3"/>
  <c r="Q27" i="3"/>
  <c r="Q75" i="3"/>
  <c r="P12" i="3"/>
  <c r="P40" i="3"/>
  <c r="P79" i="3"/>
  <c r="P66" i="3"/>
  <c r="P7" i="3"/>
  <c r="P9" i="3"/>
  <c r="P48" i="3"/>
  <c r="P59" i="3"/>
  <c r="P80" i="3"/>
  <c r="P10" i="3"/>
  <c r="P47" i="3"/>
  <c r="P20" i="3"/>
  <c r="P58" i="3"/>
  <c r="P68" i="3"/>
  <c r="P45" i="3"/>
  <c r="P31" i="3"/>
  <c r="P30" i="3"/>
  <c r="P52" i="3"/>
  <c r="P70" i="3"/>
  <c r="P4" i="3"/>
  <c r="P17" i="3"/>
  <c r="P56" i="3"/>
  <c r="P61" i="3"/>
  <c r="P72" i="3"/>
  <c r="P22" i="3"/>
  <c r="P37" i="3"/>
  <c r="P19" i="3"/>
  <c r="P50" i="3"/>
  <c r="P62" i="3"/>
  <c r="P32" i="3"/>
  <c r="P78" i="3"/>
  <c r="P54" i="3"/>
  <c r="P28" i="3"/>
  <c r="P57" i="3"/>
  <c r="P64" i="3"/>
  <c r="P49" i="3"/>
  <c r="P38" i="3"/>
  <c r="P11" i="3"/>
  <c r="P63" i="3"/>
  <c r="P60" i="3"/>
  <c r="P77" i="3"/>
  <c r="P76" i="3"/>
  <c r="P74" i="3"/>
  <c r="P53" i="3"/>
  <c r="P3" i="3"/>
  <c r="P71" i="3"/>
  <c r="P14" i="3"/>
  <c r="P55" i="3"/>
  <c r="P13" i="3"/>
  <c r="P39" i="3"/>
  <c r="P18" i="3"/>
  <c r="P8" i="3"/>
  <c r="P51" i="3"/>
  <c r="P25" i="3"/>
  <c r="P23" i="3"/>
  <c r="P36" i="3"/>
  <c r="Q3" i="3"/>
  <c r="Q18" i="3"/>
  <c r="Q53" i="3"/>
  <c r="Q60" i="3"/>
  <c r="Q71" i="3"/>
  <c r="Q8" i="3"/>
  <c r="Q36" i="3"/>
  <c r="Q14" i="3"/>
  <c r="Q28" i="3"/>
  <c r="Q57" i="3"/>
  <c r="Q32" i="3"/>
  <c r="Q78" i="3"/>
  <c r="Q4" i="3"/>
  <c r="Q17" i="3"/>
  <c r="Q56" i="3"/>
  <c r="Q61" i="3"/>
  <c r="Q72" i="3"/>
  <c r="Q22" i="3"/>
  <c r="Q37" i="3"/>
  <c r="Q19" i="3"/>
  <c r="Q50" i="3"/>
  <c r="Q62" i="3"/>
  <c r="Q64" i="3"/>
  <c r="Q11" i="3"/>
  <c r="Q49" i="3"/>
  <c r="Q13" i="3"/>
  <c r="Q51" i="3"/>
  <c r="Q55" i="3"/>
  <c r="Q76" i="3"/>
  <c r="Q39" i="3"/>
  <c r="Q23" i="3"/>
  <c r="Q74" i="3"/>
  <c r="Q40" i="3"/>
  <c r="Q66" i="3"/>
  <c r="Q68" i="3"/>
  <c r="Q30" i="3"/>
  <c r="Q12" i="3"/>
  <c r="Q79" i="3"/>
  <c r="Q7" i="3"/>
  <c r="Q9" i="3"/>
  <c r="Q20" i="3"/>
  <c r="Q31" i="3"/>
  <c r="Q47" i="3"/>
  <c r="Q58" i="3"/>
  <c r="Q45" i="3"/>
  <c r="Q54" i="3"/>
  <c r="Q77" i="3"/>
  <c r="Q25" i="3"/>
  <c r="Q59" i="3"/>
  <c r="Q10" i="3"/>
  <c r="Q63" i="3"/>
  <c r="Q48" i="3"/>
  <c r="Q70" i="3"/>
  <c r="Q38" i="3"/>
  <c r="Q80" i="3"/>
  <c r="Q52" i="3"/>
  <c r="E68" i="8"/>
  <c r="B68" i="8"/>
  <c r="A68" i="8"/>
  <c r="E67" i="8"/>
  <c r="B67" i="8"/>
  <c r="A67" i="8"/>
  <c r="E66" i="8"/>
  <c r="B66" i="8"/>
  <c r="A66" i="8"/>
  <c r="E65" i="8"/>
  <c r="B65" i="8"/>
  <c r="A65" i="8"/>
  <c r="E64" i="8"/>
  <c r="B64" i="8"/>
  <c r="A64" i="8"/>
  <c r="E63" i="8"/>
  <c r="B63" i="8"/>
  <c r="A63" i="8"/>
  <c r="E62" i="8"/>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E45" i="8"/>
  <c r="B45" i="8"/>
  <c r="A45" i="8"/>
  <c r="E44" i="8"/>
  <c r="B44" i="8"/>
  <c r="A44" i="8"/>
  <c r="E43" i="8"/>
  <c r="B43" i="8"/>
  <c r="A43" i="8"/>
  <c r="E42" i="8"/>
  <c r="B42" i="8"/>
  <c r="A42" i="8"/>
  <c r="E41" i="8"/>
  <c r="B41" i="8"/>
  <c r="A41" i="8"/>
  <c r="E40" i="8"/>
  <c r="B40" i="8"/>
  <c r="A40" i="8"/>
  <c r="E39" i="8"/>
  <c r="B39" i="8"/>
  <c r="A39" i="8"/>
  <c r="E38" i="8"/>
  <c r="B38" i="8"/>
  <c r="A38" i="8"/>
  <c r="E37" i="8"/>
  <c r="B37" i="8"/>
  <c r="A37" i="8"/>
  <c r="A30" i="8"/>
  <c r="A31" i="8"/>
  <c r="A32" i="8"/>
  <c r="A33" i="8"/>
  <c r="A34" i="8"/>
  <c r="B30" i="8"/>
  <c r="B31" i="8"/>
  <c r="B32" i="8"/>
  <c r="B33" i="8"/>
  <c r="B34" i="8"/>
  <c r="E30" i="8"/>
  <c r="E31" i="8"/>
  <c r="E32" i="8"/>
  <c r="E33" i="8"/>
  <c r="E34" i="8"/>
  <c r="M41" i="3" l="1"/>
  <c r="M42" i="3"/>
  <c r="M35" i="3"/>
  <c r="M73" i="3"/>
  <c r="M43" i="3"/>
  <c r="M44" i="3"/>
  <c r="M34" i="3"/>
  <c r="M33" i="3"/>
  <c r="M67" i="3"/>
  <c r="M69" i="3"/>
  <c r="M29" i="3"/>
  <c r="M65" i="3"/>
  <c r="M24" i="3"/>
  <c r="M26" i="3"/>
  <c r="M16" i="3"/>
  <c r="M46" i="3"/>
  <c r="M21" i="3"/>
  <c r="M15" i="3"/>
  <c r="M5" i="3"/>
  <c r="M6" i="3"/>
  <c r="M27" i="3"/>
  <c r="M75" i="3"/>
  <c r="M28" i="3"/>
  <c r="M50" i="3"/>
  <c r="M57" i="3"/>
  <c r="M62" i="3"/>
  <c r="M32" i="3"/>
  <c r="M78" i="3"/>
  <c r="M64" i="3"/>
  <c r="M51" i="3"/>
  <c r="M76" i="3"/>
  <c r="M23" i="3"/>
  <c r="M11" i="3"/>
  <c r="M49" i="3"/>
  <c r="M54" i="3"/>
  <c r="M63" i="3"/>
  <c r="M38" i="3"/>
  <c r="M25" i="3"/>
  <c r="M77" i="3"/>
  <c r="M13" i="3"/>
  <c r="M55" i="3"/>
  <c r="M39" i="3"/>
  <c r="M74" i="3"/>
  <c r="M47" i="3"/>
  <c r="M20" i="3"/>
  <c r="M58" i="3"/>
  <c r="M68" i="3"/>
  <c r="M45" i="3"/>
  <c r="M31" i="3"/>
  <c r="M30" i="3"/>
  <c r="M48" i="3"/>
  <c r="M59" i="3"/>
  <c r="M80" i="3"/>
  <c r="M52" i="3"/>
  <c r="M70" i="3"/>
  <c r="M10" i="3"/>
  <c r="M40" i="3"/>
  <c r="M72" i="3"/>
  <c r="M14" i="3"/>
  <c r="M9" i="3"/>
  <c r="M53" i="3"/>
  <c r="M7" i="3"/>
  <c r="M19" i="3"/>
  <c r="M66" i="3"/>
  <c r="M17" i="3"/>
  <c r="M56" i="3"/>
  <c r="M8" i="3"/>
  <c r="M18" i="3"/>
  <c r="M3" i="3"/>
  <c r="M79" i="3"/>
  <c r="M22" i="3"/>
  <c r="M4" i="3"/>
  <c r="M60" i="3"/>
  <c r="M37" i="3"/>
  <c r="M12" i="3"/>
  <c r="M61" i="3"/>
  <c r="M36" i="3"/>
  <c r="M71" i="3"/>
  <c r="J3" i="3" l="1"/>
  <c r="I3" i="3"/>
  <c r="H3" i="3"/>
  <c r="G3" i="3"/>
  <c r="A58" i="5" l="1"/>
  <c r="L58" i="5" l="1"/>
  <c r="A67" i="5" l="1"/>
  <c r="K67" i="5" s="1"/>
  <c r="A68" i="5"/>
  <c r="A65" i="5"/>
  <c r="A64" i="5"/>
  <c r="A63" i="5"/>
  <c r="A62" i="5"/>
  <c r="A61" i="5"/>
  <c r="A69" i="5"/>
  <c r="A66" i="5"/>
  <c r="F35" i="10"/>
  <c r="G35" i="10"/>
  <c r="C35" i="10"/>
  <c r="D35" i="10"/>
  <c r="B35" i="10"/>
  <c r="C34" i="10"/>
  <c r="D34" i="10"/>
  <c r="B34" i="10"/>
  <c r="G34" i="10"/>
  <c r="F34" i="10"/>
  <c r="K23" i="10"/>
  <c r="G23" i="10"/>
  <c r="D23" i="10"/>
  <c r="C23" i="10"/>
  <c r="J23" i="10"/>
  <c r="B23" i="10"/>
  <c r="H23" i="10"/>
  <c r="F23" i="10"/>
  <c r="I23" i="10"/>
  <c r="F13" i="10"/>
  <c r="E13" i="10"/>
  <c r="E14" i="10" s="1"/>
  <c r="C13" i="10"/>
  <c r="G13" i="10"/>
  <c r="K13" i="10"/>
  <c r="J13" i="10"/>
  <c r="H13" i="10"/>
  <c r="B13" i="10"/>
  <c r="I13" i="10"/>
  <c r="D13" i="10"/>
  <c r="K25" i="10"/>
  <c r="C25" i="10"/>
  <c r="F25" i="10"/>
  <c r="J25" i="10"/>
  <c r="B25" i="10"/>
  <c r="G25" i="10"/>
  <c r="D25" i="10"/>
  <c r="I25" i="10"/>
  <c r="H25" i="10"/>
  <c r="C37" i="10"/>
  <c r="B37" i="10"/>
  <c r="D37" i="10"/>
  <c r="F37" i="10"/>
  <c r="G37" i="10"/>
  <c r="D38" i="10"/>
  <c r="F38" i="10"/>
  <c r="C38" i="10"/>
  <c r="B38" i="10"/>
  <c r="G38" i="10"/>
  <c r="C14" i="10"/>
  <c r="H14" i="10"/>
  <c r="B14" i="10"/>
  <c r="G14" i="10"/>
  <c r="J14" i="10"/>
  <c r="K14" i="10"/>
  <c r="I14" i="10"/>
  <c r="D14" i="10"/>
  <c r="F14" i="10"/>
  <c r="G16" i="10"/>
  <c r="J16" i="10"/>
  <c r="E16" i="10"/>
  <c r="E17" i="10" s="1"/>
  <c r="D16" i="10"/>
  <c r="H16" i="10"/>
  <c r="K16" i="10"/>
  <c r="F16" i="10"/>
  <c r="I16" i="10"/>
  <c r="C16" i="10"/>
  <c r="B16" i="10"/>
  <c r="D28" i="10"/>
  <c r="J28" i="10"/>
  <c r="K28" i="10"/>
  <c r="F28" i="10"/>
  <c r="C28" i="10"/>
  <c r="B28" i="10"/>
  <c r="I28" i="10"/>
  <c r="H28" i="10"/>
  <c r="G28" i="10"/>
  <c r="B40" i="10"/>
  <c r="D40" i="10"/>
  <c r="C40" i="10"/>
  <c r="G40" i="10"/>
  <c r="F40" i="10"/>
  <c r="G22" i="10"/>
  <c r="F22" i="10"/>
  <c r="D22" i="10"/>
  <c r="C22" i="10"/>
  <c r="K22" i="10"/>
  <c r="I22" i="10"/>
  <c r="H22" i="10"/>
  <c r="J22" i="10"/>
  <c r="B22" i="10"/>
  <c r="B17" i="10"/>
  <c r="I17" i="10"/>
  <c r="C17" i="10"/>
  <c r="G17" i="10"/>
  <c r="D17" i="10"/>
  <c r="H17" i="10"/>
  <c r="K17" i="10"/>
  <c r="F17" i="10"/>
  <c r="J17" i="10"/>
  <c r="I29" i="10"/>
  <c r="G29" i="10"/>
  <c r="K29" i="10"/>
  <c r="H29" i="10"/>
  <c r="C29" i="10"/>
  <c r="F29" i="10"/>
  <c r="B29" i="10"/>
  <c r="D29" i="10"/>
  <c r="J29" i="10"/>
  <c r="G41" i="10"/>
  <c r="F41" i="10"/>
  <c r="C41" i="10"/>
  <c r="B41" i="10"/>
  <c r="D41" i="10"/>
  <c r="I26" i="10"/>
  <c r="G26" i="10"/>
  <c r="J26" i="10"/>
  <c r="D26" i="10"/>
  <c r="B26" i="10"/>
  <c r="F26" i="10"/>
  <c r="C26" i="10"/>
  <c r="H26" i="10"/>
  <c r="K26" i="10"/>
  <c r="E19" i="10"/>
  <c r="E20" i="10" s="1"/>
  <c r="H19" i="10"/>
  <c r="J19" i="10"/>
  <c r="K19" i="10"/>
  <c r="D19" i="10"/>
  <c r="C19" i="10"/>
  <c r="B19" i="10"/>
  <c r="I19" i="10"/>
  <c r="G19" i="10"/>
  <c r="F19" i="10"/>
  <c r="K31" i="10"/>
  <c r="H31" i="10"/>
  <c r="D31" i="10"/>
  <c r="C31" i="10"/>
  <c r="B31" i="10"/>
  <c r="J31" i="10"/>
  <c r="I31" i="10"/>
  <c r="F31" i="10"/>
  <c r="G31" i="10"/>
  <c r="G43" i="10"/>
  <c r="D43" i="10"/>
  <c r="C43" i="10"/>
  <c r="F43" i="10"/>
  <c r="B43" i="10"/>
  <c r="G11" i="10"/>
  <c r="D11" i="10"/>
  <c r="C11" i="10"/>
  <c r="K11" i="10"/>
  <c r="J11" i="10"/>
  <c r="B11" i="10"/>
  <c r="I11" i="10"/>
  <c r="F11" i="10"/>
  <c r="H11" i="10"/>
  <c r="B10" i="10"/>
  <c r="D10" i="10"/>
  <c r="I10" i="10"/>
  <c r="G10" i="10"/>
  <c r="J10" i="10"/>
  <c r="E10" i="10"/>
  <c r="E11" i="10" s="1"/>
  <c r="F10" i="10"/>
  <c r="H10" i="10"/>
  <c r="K10" i="10"/>
  <c r="C10" i="10"/>
  <c r="G20" i="10"/>
  <c r="K20" i="10"/>
  <c r="I20" i="10"/>
  <c r="D20" i="10"/>
  <c r="H20" i="10"/>
  <c r="C20" i="10"/>
  <c r="J20" i="10"/>
  <c r="F20" i="10"/>
  <c r="B20" i="10"/>
  <c r="J32" i="10"/>
  <c r="D32" i="10"/>
  <c r="K32" i="10"/>
  <c r="C32" i="10"/>
  <c r="G32" i="10"/>
  <c r="H32" i="10"/>
  <c r="B32" i="10"/>
  <c r="F32" i="10"/>
  <c r="I32" i="10"/>
  <c r="G44" i="10"/>
  <c r="B44" i="10"/>
  <c r="F44" i="10"/>
  <c r="D44" i="10"/>
  <c r="C44" i="10"/>
  <c r="A60" i="5"/>
  <c r="I60" i="5" s="1"/>
  <c r="C67" i="5" l="1"/>
  <c r="D67" i="5"/>
  <c r="F67" i="5"/>
  <c r="G67" i="5"/>
  <c r="H67" i="5"/>
  <c r="I67" i="5"/>
  <c r="J67" i="5"/>
  <c r="B67" i="5"/>
  <c r="K68" i="5"/>
  <c r="D68" i="5"/>
  <c r="I68" i="5"/>
  <c r="B68" i="5"/>
  <c r="F68" i="5"/>
  <c r="H68" i="5"/>
  <c r="J68" i="5"/>
  <c r="C68" i="5"/>
  <c r="G68" i="5"/>
  <c r="H55" i="5"/>
  <c r="K55" i="5"/>
  <c r="I55" i="5"/>
  <c r="J55" i="5"/>
  <c r="J40" i="5"/>
  <c r="H40" i="5"/>
  <c r="I40" i="5"/>
  <c r="K40" i="5"/>
  <c r="K34" i="5"/>
  <c r="H34" i="5"/>
  <c r="J34" i="5"/>
  <c r="I34" i="5"/>
  <c r="I52" i="5"/>
  <c r="K52" i="5"/>
  <c r="J52" i="5"/>
  <c r="H52" i="5"/>
  <c r="J53" i="5"/>
  <c r="K53" i="5"/>
  <c r="H53" i="5"/>
  <c r="I53" i="5"/>
  <c r="K44" i="5"/>
  <c r="J44" i="5"/>
  <c r="I44" i="5"/>
  <c r="H44" i="5"/>
  <c r="J43" i="5"/>
  <c r="K43" i="5"/>
  <c r="I43" i="5"/>
  <c r="H43" i="5"/>
  <c r="I49" i="5"/>
  <c r="K49" i="5"/>
  <c r="H49" i="5"/>
  <c r="J49" i="5"/>
  <c r="K38" i="5"/>
  <c r="J38" i="5"/>
  <c r="H38" i="5"/>
  <c r="I38" i="5"/>
  <c r="J37" i="5"/>
  <c r="I37" i="5"/>
  <c r="H37" i="5"/>
  <c r="K37" i="5"/>
  <c r="K47" i="5"/>
  <c r="J47" i="5"/>
  <c r="I47" i="5"/>
  <c r="H47" i="5"/>
  <c r="H50" i="5"/>
  <c r="K50" i="5"/>
  <c r="J50" i="5"/>
  <c r="I50" i="5"/>
  <c r="K41" i="5"/>
  <c r="H41" i="5"/>
  <c r="J41" i="5"/>
  <c r="I41" i="5"/>
  <c r="J35" i="5"/>
  <c r="I35" i="5"/>
  <c r="K35" i="5"/>
  <c r="H35" i="5"/>
  <c r="I56" i="5"/>
  <c r="J56" i="5"/>
  <c r="H56" i="5"/>
  <c r="K56" i="5"/>
  <c r="K46" i="5"/>
  <c r="H46" i="5"/>
  <c r="J46" i="5"/>
  <c r="I46" i="5"/>
  <c r="K66" i="5"/>
  <c r="H66" i="5"/>
  <c r="J66" i="5"/>
  <c r="G66" i="5"/>
  <c r="B66" i="5"/>
  <c r="F66" i="5"/>
  <c r="C66" i="5"/>
  <c r="I66" i="5"/>
  <c r="D66" i="5"/>
  <c r="I26" i="5"/>
  <c r="C26" i="5"/>
  <c r="G26" i="5"/>
  <c r="B26" i="5"/>
  <c r="J26" i="5"/>
  <c r="K26" i="5"/>
  <c r="H26" i="5"/>
  <c r="D26" i="5"/>
  <c r="F26" i="5"/>
  <c r="J10" i="5"/>
  <c r="K10" i="5"/>
  <c r="I10" i="5"/>
  <c r="H10" i="5"/>
  <c r="J60" i="5"/>
  <c r="K60" i="5"/>
  <c r="H60" i="5"/>
  <c r="J69" i="5"/>
  <c r="I69" i="5"/>
  <c r="K69" i="5"/>
  <c r="H69" i="5"/>
  <c r="J65" i="5"/>
  <c r="I65" i="5"/>
  <c r="H65" i="5"/>
  <c r="K65" i="5"/>
  <c r="H64" i="5"/>
  <c r="K64" i="5"/>
  <c r="J64" i="5"/>
  <c r="I64" i="5"/>
  <c r="J63" i="5"/>
  <c r="I63" i="5"/>
  <c r="K63" i="5"/>
  <c r="H63" i="5"/>
  <c r="J62" i="5"/>
  <c r="K62" i="5"/>
  <c r="I62" i="5"/>
  <c r="H62" i="5"/>
  <c r="J61" i="5"/>
  <c r="I61" i="5"/>
  <c r="K61" i="5"/>
  <c r="H61" i="5"/>
  <c r="I14" i="5"/>
  <c r="H14" i="5"/>
  <c r="K14" i="5"/>
  <c r="J14" i="5"/>
  <c r="J13" i="5"/>
  <c r="K13" i="5"/>
  <c r="I13" i="5"/>
  <c r="H13" i="5"/>
  <c r="I23" i="5"/>
  <c r="K23" i="5"/>
  <c r="J23" i="5"/>
  <c r="H23" i="5"/>
  <c r="K31" i="5"/>
  <c r="J31" i="5"/>
  <c r="H31" i="5"/>
  <c r="I31" i="5"/>
  <c r="I11" i="5"/>
  <c r="J11" i="5"/>
  <c r="K11" i="5"/>
  <c r="H11" i="5"/>
  <c r="K19" i="5"/>
  <c r="J19" i="5"/>
  <c r="I19" i="5"/>
  <c r="H19" i="5"/>
  <c r="K22" i="5"/>
  <c r="J22" i="5"/>
  <c r="H22" i="5"/>
  <c r="I22" i="5"/>
  <c r="K28" i="5"/>
  <c r="J28" i="5"/>
  <c r="I28" i="5"/>
  <c r="H28" i="5"/>
  <c r="K16" i="5"/>
  <c r="J16" i="5"/>
  <c r="H16" i="5"/>
  <c r="I16" i="5"/>
  <c r="H32" i="5"/>
  <c r="K32" i="5"/>
  <c r="J32" i="5"/>
  <c r="I32" i="5"/>
  <c r="I29" i="5"/>
  <c r="H29" i="5"/>
  <c r="K29" i="5"/>
  <c r="J29" i="5"/>
  <c r="H20" i="5"/>
  <c r="K20" i="5"/>
  <c r="J20" i="5"/>
  <c r="I20" i="5"/>
  <c r="J17" i="5"/>
  <c r="H17" i="5"/>
  <c r="K17" i="5"/>
  <c r="I17" i="5"/>
  <c r="K25" i="5"/>
  <c r="J25" i="5"/>
  <c r="H25" i="5"/>
  <c r="I25" i="5"/>
  <c r="G5" i="5" l="1"/>
  <c r="G6" i="5"/>
  <c r="D61" i="5" l="1"/>
  <c r="D65" i="5"/>
  <c r="G64" i="5"/>
  <c r="C65" i="5" l="1"/>
  <c r="F65" i="5"/>
  <c r="B65" i="5"/>
  <c r="G65" i="5"/>
  <c r="B61" i="5"/>
  <c r="G61" i="5"/>
  <c r="F61" i="5"/>
  <c r="C61" i="5"/>
  <c r="G63" i="5"/>
  <c r="C64" i="5"/>
  <c r="D64" i="5"/>
  <c r="C63" i="5"/>
  <c r="F63" i="5"/>
  <c r="B64" i="5"/>
  <c r="D63" i="5"/>
  <c r="B63" i="5"/>
  <c r="F64" i="5"/>
  <c r="B62" i="5"/>
  <c r="G62" i="5"/>
  <c r="F62" i="5"/>
  <c r="D62" i="5"/>
  <c r="C62" i="5"/>
  <c r="B69" i="5"/>
  <c r="D69" i="5"/>
  <c r="G69" i="5"/>
  <c r="F69" i="5"/>
  <c r="C69" i="5"/>
  <c r="E10" i="5" l="1"/>
  <c r="E11" i="5" s="1"/>
  <c r="C49" i="5" l="1"/>
  <c r="F49" i="5"/>
  <c r="G49" i="5"/>
  <c r="D49" i="5"/>
  <c r="G52" i="5"/>
  <c r="F52" i="5"/>
  <c r="D52" i="5"/>
  <c r="C52" i="5"/>
  <c r="D47" i="5"/>
  <c r="C47" i="5"/>
  <c r="G47" i="5"/>
  <c r="F47" i="5"/>
  <c r="D55" i="5"/>
  <c r="C55" i="5"/>
  <c r="G55" i="5"/>
  <c r="F55" i="5"/>
  <c r="G50" i="5"/>
  <c r="F50" i="5"/>
  <c r="C50" i="5"/>
  <c r="D50" i="5"/>
  <c r="D53" i="5"/>
  <c r="C53" i="5"/>
  <c r="G53" i="5"/>
  <c r="F53" i="5"/>
  <c r="G46" i="5"/>
  <c r="C46" i="5"/>
  <c r="D46" i="5"/>
  <c r="F46" i="5"/>
  <c r="G56" i="5"/>
  <c r="C56" i="5"/>
  <c r="D56" i="5"/>
  <c r="F56" i="5"/>
  <c r="G60" i="5"/>
  <c r="C60" i="5" l="1"/>
  <c r="D60" i="5"/>
  <c r="F60" i="5"/>
  <c r="B60" i="5"/>
  <c r="A25" i="8" l="1"/>
  <c r="A26" i="8"/>
  <c r="A27" i="8"/>
  <c r="A28" i="8"/>
  <c r="A29" i="8"/>
  <c r="B25" i="8"/>
  <c r="B26" i="8"/>
  <c r="B27" i="8"/>
  <c r="B28" i="8"/>
  <c r="B29" i="8"/>
  <c r="E25" i="8"/>
  <c r="E26" i="8"/>
  <c r="E27" i="8"/>
  <c r="E28" i="8"/>
  <c r="E29" i="8"/>
  <c r="A24" i="8"/>
  <c r="B24" i="8"/>
  <c r="E24" i="8"/>
  <c r="A3" i="8" l="1"/>
  <c r="A7" i="8"/>
  <c r="A8" i="8"/>
  <c r="A9" i="8"/>
  <c r="A10" i="8"/>
  <c r="A11" i="8"/>
  <c r="A12" i="8"/>
  <c r="A13" i="8"/>
  <c r="A14" i="8"/>
  <c r="A15" i="8"/>
  <c r="A16" i="8"/>
  <c r="A17" i="8"/>
  <c r="A18" i="8"/>
  <c r="A19" i="8"/>
  <c r="A20" i="8"/>
  <c r="A21" i="8"/>
  <c r="A22" i="8"/>
  <c r="A23" i="8"/>
  <c r="B7" i="8"/>
  <c r="B8" i="8"/>
  <c r="B9" i="8"/>
  <c r="B10" i="8"/>
  <c r="B11" i="8"/>
  <c r="B12" i="8"/>
  <c r="B13" i="8"/>
  <c r="B14" i="8"/>
  <c r="B15" i="8"/>
  <c r="B16" i="8"/>
  <c r="B17" i="8"/>
  <c r="B18" i="8"/>
  <c r="B19" i="8"/>
  <c r="B20" i="8"/>
  <c r="B21" i="8"/>
  <c r="B22" i="8"/>
  <c r="B23" i="8"/>
  <c r="E7" i="8"/>
  <c r="E8" i="8"/>
  <c r="E9" i="8"/>
  <c r="E10" i="8"/>
  <c r="E11" i="8"/>
  <c r="E12" i="8"/>
  <c r="E13" i="8"/>
  <c r="E14" i="8"/>
  <c r="E15" i="8"/>
  <c r="E16" i="8"/>
  <c r="E17" i="8"/>
  <c r="E18" i="8"/>
  <c r="E19" i="8"/>
  <c r="E20" i="8"/>
  <c r="E21" i="8"/>
  <c r="E22" i="8"/>
  <c r="E23" i="8"/>
  <c r="L29" i="3" l="1"/>
  <c r="E3" i="8"/>
  <c r="E4" i="8"/>
  <c r="E5" i="8"/>
  <c r="E6" i="8"/>
  <c r="B3" i="8"/>
  <c r="B4" i="8"/>
  <c r="B5" i="8"/>
  <c r="B6" i="8"/>
  <c r="A4" i="8"/>
  <c r="L35" i="3" s="1"/>
  <c r="A5" i="8"/>
  <c r="A6" i="8"/>
  <c r="L41" i="3" l="1"/>
  <c r="L42" i="3"/>
  <c r="L34" i="3"/>
  <c r="L73" i="3"/>
  <c r="L44" i="3"/>
  <c r="L67" i="3"/>
  <c r="L69" i="3"/>
  <c r="L65" i="3"/>
  <c r="L43" i="3"/>
  <c r="L33" i="3"/>
  <c r="L24" i="3"/>
  <c r="L26" i="3"/>
  <c r="L28" i="3"/>
  <c r="L15" i="3"/>
  <c r="L16" i="3"/>
  <c r="L21" i="3"/>
  <c r="L46" i="3"/>
  <c r="L72" i="3"/>
  <c r="L5" i="3"/>
  <c r="L6" i="3"/>
  <c r="L56" i="3"/>
  <c r="L27" i="3"/>
  <c r="L75" i="3"/>
  <c r="L10" i="3"/>
  <c r="L51" i="3"/>
  <c r="L36" i="3"/>
  <c r="L59" i="3"/>
  <c r="L13" i="3"/>
  <c r="L31" i="3"/>
  <c r="L79" i="3"/>
  <c r="L39" i="3"/>
  <c r="L54" i="3"/>
  <c r="L17" i="3"/>
  <c r="L71" i="3"/>
  <c r="L76" i="3"/>
  <c r="L52" i="3"/>
  <c r="L68" i="3"/>
  <c r="L40" i="3"/>
  <c r="L32" i="3"/>
  <c r="L11" i="3"/>
  <c r="L48" i="3"/>
  <c r="L12" i="3"/>
  <c r="L19" i="3"/>
  <c r="L8" i="3"/>
  <c r="L47" i="3"/>
  <c r="L25" i="3"/>
  <c r="L57" i="3"/>
  <c r="L37" i="3"/>
  <c r="L70" i="3"/>
  <c r="L58" i="3"/>
  <c r="L62" i="3"/>
  <c r="L53" i="3"/>
  <c r="L60" i="3"/>
  <c r="L55" i="3"/>
  <c r="L9" i="3"/>
  <c r="L63" i="3"/>
  <c r="L50" i="3"/>
  <c r="L22" i="3"/>
  <c r="L80" i="3"/>
  <c r="L30" i="3"/>
  <c r="L14" i="3"/>
  <c r="L18" i="3"/>
  <c r="L45" i="3"/>
  <c r="L7" i="3"/>
  <c r="L64" i="3"/>
  <c r="L77" i="3"/>
  <c r="L61" i="3"/>
  <c r="L49" i="3"/>
  <c r="L74" i="3"/>
  <c r="L23" i="3"/>
  <c r="L20" i="3"/>
  <c r="L66" i="3"/>
  <c r="L78" i="3"/>
  <c r="L38" i="3"/>
  <c r="L4" i="3"/>
  <c r="L3" i="3"/>
  <c r="C41" i="5" l="1"/>
  <c r="F41" i="5"/>
  <c r="G41" i="5"/>
  <c r="B41" i="5"/>
  <c r="D41" i="5"/>
  <c r="B43" i="5"/>
  <c r="F43" i="5"/>
  <c r="G43" i="5"/>
  <c r="D43" i="5"/>
  <c r="C43" i="5"/>
  <c r="B37" i="5"/>
  <c r="C37" i="5"/>
  <c r="G37" i="5"/>
  <c r="F37" i="5"/>
  <c r="D37" i="5"/>
  <c r="D44" i="5"/>
  <c r="B44" i="5"/>
  <c r="C44" i="5"/>
  <c r="F44" i="5"/>
  <c r="G44" i="5"/>
  <c r="D40" i="5"/>
  <c r="B40" i="5"/>
  <c r="C40" i="5"/>
  <c r="F40" i="5"/>
  <c r="G40" i="5"/>
  <c r="C35" i="5"/>
  <c r="G35" i="5"/>
  <c r="D35" i="5"/>
  <c r="F35" i="5"/>
  <c r="B35" i="5"/>
  <c r="C38" i="5"/>
  <c r="G38" i="5"/>
  <c r="F38" i="5"/>
  <c r="B38" i="5"/>
  <c r="D38" i="5"/>
  <c r="D34" i="5"/>
  <c r="F34" i="5"/>
  <c r="B34" i="5"/>
  <c r="C34" i="5"/>
  <c r="G34" i="5"/>
  <c r="F25" i="5" l="1"/>
  <c r="C25" i="5"/>
  <c r="G25" i="5"/>
  <c r="D25" i="5"/>
  <c r="B25" i="5"/>
  <c r="G16" i="5"/>
  <c r="F16" i="5"/>
  <c r="D16" i="5"/>
  <c r="C16" i="5"/>
  <c r="B16" i="5"/>
  <c r="G22" i="5"/>
  <c r="F22" i="5"/>
  <c r="D22" i="5"/>
  <c r="C22" i="5"/>
  <c r="B22" i="5"/>
  <c r="G14" i="5"/>
  <c r="F14" i="5"/>
  <c r="D14" i="5"/>
  <c r="C14" i="5"/>
  <c r="B14" i="5"/>
  <c r="G32" i="5"/>
  <c r="F32" i="5"/>
  <c r="D32" i="5"/>
  <c r="C32" i="5"/>
  <c r="B32" i="5"/>
  <c r="G17" i="5"/>
  <c r="F17" i="5"/>
  <c r="D17" i="5"/>
  <c r="C17" i="5"/>
  <c r="B17" i="5"/>
  <c r="G10" i="5"/>
  <c r="F10" i="5"/>
  <c r="D10" i="5"/>
  <c r="C10" i="5"/>
  <c r="B10" i="5"/>
  <c r="F13" i="5"/>
  <c r="B13" i="5"/>
  <c r="C13" i="5"/>
  <c r="G13" i="5"/>
  <c r="D13" i="5"/>
  <c r="G19" i="5"/>
  <c r="F19" i="5"/>
  <c r="D19" i="5"/>
  <c r="C19" i="5"/>
  <c r="B19" i="5"/>
  <c r="F23" i="5"/>
  <c r="C23" i="5"/>
  <c r="G23" i="5"/>
  <c r="D23" i="5"/>
  <c r="B23" i="5"/>
  <c r="G28" i="5"/>
  <c r="F28" i="5"/>
  <c r="D28" i="5"/>
  <c r="C28" i="5"/>
  <c r="B28" i="5"/>
  <c r="B11" i="5"/>
  <c r="C11" i="5"/>
  <c r="G11" i="5"/>
  <c r="D11" i="5"/>
  <c r="F11" i="5"/>
  <c r="G29" i="5"/>
  <c r="F29" i="5"/>
  <c r="D29" i="5"/>
  <c r="C29" i="5"/>
  <c r="B29" i="5"/>
  <c r="G31" i="5"/>
  <c r="F31" i="5"/>
  <c r="D31" i="5"/>
  <c r="C31" i="5"/>
  <c r="B31" i="5"/>
  <c r="G20" i="5"/>
  <c r="F20" i="5"/>
  <c r="D20" i="5"/>
  <c r="C20" i="5"/>
  <c r="B20" i="5"/>
</calcChain>
</file>

<file path=xl/sharedStrings.xml><?xml version="1.0" encoding="utf-8"?>
<sst xmlns="http://schemas.openxmlformats.org/spreadsheetml/2006/main" count="2091" uniqueCount="439">
  <si>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</si>
  <si>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</si>
  <si>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</si>
  <si>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</si>
  <si>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</si>
  <si>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</si>
  <si>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</si>
  <si>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</si>
  <si>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</si>
  <si>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</si>
  <si>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</si>
  <si>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Bachelor of Applied Science (Interior Architecture) (Honours) (OpenUnis)</t>
  </si>
  <si>
    <t>Course / Stream version:</t>
  </si>
  <si>
    <t>Specialisation:</t>
  </si>
  <si>
    <t>Choose your Specialisation (drop-down list)</t>
  </si>
  <si>
    <t>Specialisation version:</t>
  </si>
  <si>
    <t>Commencing:</t>
  </si>
  <si>
    <t>Choose your commencing study period (drop-down list)</t>
  </si>
  <si>
    <t>Credits to Complete:</t>
  </si>
  <si>
    <t>2026 Availabilities</t>
  </si>
  <si>
    <t>Year 1</t>
  </si>
  <si>
    <t>OUA Code</t>
  </si>
  <si>
    <t>Study Period</t>
  </si>
  <si>
    <t>Pre Requisite(s)</t>
  </si>
  <si>
    <t>CP</t>
  </si>
  <si>
    <t>SP1</t>
  </si>
  <si>
    <t>SP2</t>
  </si>
  <si>
    <t>SP3</t>
  </si>
  <si>
    <t>SP4</t>
  </si>
  <si>
    <t>Notes / Progress</t>
  </si>
  <si>
    <t>Year 2</t>
  </si>
  <si>
    <t>Year 3</t>
  </si>
  <si>
    <t>Year 4</t>
  </si>
  <si>
    <t>Pre Requisites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</si>
  <si>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</si>
  <si>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</si>
  <si>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</si>
  <si>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</si>
  <si>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Bachelor of Interior Design (OpenUnis)</t>
  </si>
  <si>
    <t>TableCourses</t>
  </si>
  <si>
    <t>Choose your Course</t>
  </si>
  <si>
    <t>SM Version</t>
  </si>
  <si>
    <t>SM Effective Date</t>
  </si>
  <si>
    <t>Akari Iteration</t>
  </si>
  <si>
    <t>Akari Effective Date</t>
  </si>
  <si>
    <t>Credit Points</t>
  </si>
  <si>
    <t>SM Availabilities</t>
  </si>
  <si>
    <t>Bachelor of Applied Science (Interior Architecture) (Honours) (OpenUnis CSP)</t>
  </si>
  <si>
    <t>EO-INARCH</t>
  </si>
  <si>
    <t>v.1</t>
  </si>
  <si>
    <t>800 credit points required</t>
  </si>
  <si>
    <t>SP1; SP2; SP3; SP4</t>
  </si>
  <si>
    <t>EO-INARCH1</t>
  </si>
  <si>
    <t>Bachelor of Interior Design (OpenUnis CSP)</t>
  </si>
  <si>
    <t>600 credit points required</t>
  </si>
  <si>
    <t>TableStudyPeriod</t>
  </si>
  <si>
    <t>START</t>
  </si>
  <si>
    <t>Next</t>
  </si>
  <si>
    <t>Next2</t>
  </si>
  <si>
    <t>Next3</t>
  </si>
  <si>
    <t>Study Period 1 (February - May)</t>
  </si>
  <si>
    <t>Study Period 2 (May - August)</t>
  </si>
  <si>
    <t>Study Period 3 (August - November)</t>
  </si>
  <si>
    <t>Study Period 4 (November - February)</t>
  </si>
  <si>
    <t>TableSpecialisations</t>
  </si>
  <si>
    <t>Animation and Game Architecture Design Specialisation (OpenUnis)</t>
  </si>
  <si>
    <t>OSCU-ANGAD</t>
  </si>
  <si>
    <t>100 credit points</t>
  </si>
  <si>
    <t>Architectural Technology Specialisation (OpenUnis)</t>
  </si>
  <si>
    <t>OSEU-ARCHT</t>
  </si>
  <si>
    <t>Construction Management Specialisation (OpenUnis)</t>
  </si>
  <si>
    <t>OSCU-CONMS</t>
  </si>
  <si>
    <t>v.2</t>
  </si>
  <si>
    <t>Digital Design Specialisation (OpenUnis)</t>
  </si>
  <si>
    <t>OSCU-DIGDE</t>
  </si>
  <si>
    <t>Planning and Geography Specialisation (OpenUnis)</t>
  </si>
  <si>
    <t>OSCU-PLGEO</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</si>
  <si>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</si>
  <si>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</si>
  <si>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</si>
  <si>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</si>
  <si>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</si>
  <si>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</si>
  <si>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</si>
  <si>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</si>
  <si>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</si>
  <si>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10/01/2025 - Specialisation Sequencing issues. Worked with Steve Feast to design individual sequences per study period. Not all issues "solved" for CM, DegDesign &amp; Planning and some units pushed into 3rd year to deal with later. Named specific specialisation units in some instances for DigDesign.</t>
  </si>
  <si>
    <t>16/01/2025 - Identified a an issue with Pre Req for SP4 starters for INAR2023, will dump student data and report back on numbers needing waivers. Added to MK Task list.</t>
  </si>
  <si>
    <t>RangeUnitSets</t>
  </si>
  <si>
    <t>Y1SP1</t>
  </si>
  <si>
    <t>ARCH1020</t>
  </si>
  <si>
    <t>Y1SP2</t>
  </si>
  <si>
    <t>ARCH1021</t>
  </si>
  <si>
    <t>Y1SP3</t>
  </si>
  <si>
    <t>INAR1015</t>
  </si>
  <si>
    <t>Y1SP4</t>
  </si>
  <si>
    <t>COMS1007</t>
  </si>
  <si>
    <t>INAR1011</t>
  </si>
  <si>
    <t>Spec</t>
  </si>
  <si>
    <t>ARCH1024</t>
  </si>
  <si>
    <t>INAR2020</t>
  </si>
  <si>
    <t>GRDE2045</t>
  </si>
  <si>
    <t>INAR2023</t>
  </si>
  <si>
    <t>GRDE1017</t>
  </si>
  <si>
    <t>Y2SP1</t>
  </si>
  <si>
    <t>ARCH2029</t>
  </si>
  <si>
    <t>Y2SP2</t>
  </si>
  <si>
    <t>Y2SP3</t>
  </si>
  <si>
    <t>INAR2015</t>
  </si>
  <si>
    <t>Y2SP4</t>
  </si>
  <si>
    <t>ARCH2027</t>
  </si>
  <si>
    <t>GRDE2023</t>
  </si>
  <si>
    <t>INAR3023</t>
  </si>
  <si>
    <t>ARCH3015</t>
  </si>
  <si>
    <t>INAR3025</t>
  </si>
  <si>
    <t>GRDE2030</t>
  </si>
  <si>
    <t>Y3SP1</t>
  </si>
  <si>
    <t>INAR3012</t>
  </si>
  <si>
    <t>Y3SP2</t>
  </si>
  <si>
    <t>URDE3011</t>
  </si>
  <si>
    <t>Y3SP3</t>
  </si>
  <si>
    <t>INAR2025</t>
  </si>
  <si>
    <t>Y3SP4</t>
  </si>
  <si>
    <t>INAR3021</t>
  </si>
  <si>
    <t>INAR3017</t>
  </si>
  <si>
    <t>Y4SP1</t>
  </si>
  <si>
    <t>INAR4032</t>
  </si>
  <si>
    <t>Y4SP2</t>
  </si>
  <si>
    <t>INAR4024</t>
  </si>
  <si>
    <t>Y4SP3</t>
  </si>
  <si>
    <t>Y4SP4</t>
  </si>
  <si>
    <t>INAR4026</t>
  </si>
  <si>
    <t>-</t>
  </si>
  <si>
    <t>INAR4028</t>
  </si>
  <si>
    <t>INAR4030</t>
  </si>
  <si>
    <t>INAR4034</t>
  </si>
  <si>
    <t>Spec Unit</t>
  </si>
  <si>
    <t>50CP Unit</t>
  </si>
  <si>
    <t>RangeSpecSets</t>
  </si>
  <si>
    <t>Spec1</t>
  </si>
  <si>
    <t>-3-</t>
  </si>
  <si>
    <t>-4-</t>
  </si>
  <si>
    <t>Spec2</t>
  </si>
  <si>
    <t>GRDE1022</t>
  </si>
  <si>
    <t>ARCH1026</t>
  </si>
  <si>
    <t>BLDG1005</t>
  </si>
  <si>
    <t>URDE1007</t>
  </si>
  <si>
    <t>Spec3</t>
  </si>
  <si>
    <t>GRDE2036</t>
  </si>
  <si>
    <t>ARCH1009</t>
  </si>
  <si>
    <t>BLDG1006</t>
  </si>
  <si>
    <t>ICTE2003</t>
  </si>
  <si>
    <t>URDE1008</t>
  </si>
  <si>
    <t>Spec4</t>
  </si>
  <si>
    <t>GRDE2042</t>
  </si>
  <si>
    <t>ARCH2031</t>
  </si>
  <si>
    <t>BLDG2027</t>
  </si>
  <si>
    <t>PHGY3001</t>
  </si>
  <si>
    <t>Spec5</t>
  </si>
  <si>
    <t>AND</t>
  </si>
  <si>
    <t>Spec6</t>
  </si>
  <si>
    <t>AC-ANGAD</t>
  </si>
  <si>
    <t>Opt-ARCHT</t>
  </si>
  <si>
    <t>AC-CONMS</t>
  </si>
  <si>
    <t>AC-PLGEO</t>
  </si>
  <si>
    <t>Spec7</t>
  </si>
  <si>
    <t>GRDE3033</t>
  </si>
  <si>
    <t>ARCH2016</t>
  </si>
  <si>
    <t>BLDG2021</t>
  </si>
  <si>
    <t>GEOG3002</t>
  </si>
  <si>
    <t>Spec8</t>
  </si>
  <si>
    <t>WORK3002</t>
  </si>
  <si>
    <t>ARCH2026</t>
  </si>
  <si>
    <t>BLDG2028</t>
  </si>
  <si>
    <t>ARCH3016</t>
  </si>
  <si>
    <t>3 x SP1; 1 x SP2 if not WORK3002</t>
  </si>
  <si>
    <t>Title</t>
  </si>
  <si>
    <t>Notes</t>
  </si>
  <si>
    <t>OB-INDSGN</t>
  </si>
  <si>
    <t>Please note this is a double subject</t>
  </si>
  <si>
    <t>--</t>
  </si>
  <si>
    <t>Not relevant to this study sequence</t>
  </si>
  <si>
    <t>Study all THREE of:</t>
  </si>
  <si>
    <t>Study all FOUR of:</t>
  </si>
  <si>
    <t>Study either DIG39 or WBP300</t>
  </si>
  <si>
    <t>See below</t>
  </si>
  <si>
    <t>Study either CME203 or CME205</t>
  </si>
  <si>
    <t>Study either WBP300 or GPH320</t>
  </si>
  <si>
    <t>BAS120</t>
  </si>
  <si>
    <t>Sustainability and Structures in Architecture</t>
  </si>
  <si>
    <t>Nil</t>
  </si>
  <si>
    <t>BAS115</t>
  </si>
  <si>
    <t>Architecture and Interior Architecture Methods 1A - Analogue Literacy</t>
  </si>
  <si>
    <t>BAS145</t>
  </si>
  <si>
    <t>Architecture and Interior Architecture Methods 1B - Digital Literacy</t>
  </si>
  <si>
    <t>BAS140</t>
  </si>
  <si>
    <t>Architecture and Interior Architecture Design Studio 1 - Small Structures</t>
  </si>
  <si>
    <t>BAS145*</t>
  </si>
  <si>
    <t>BAS150</t>
  </si>
  <si>
    <t>Architectural Science in Context</t>
  </si>
  <si>
    <t>BAS240</t>
  </si>
  <si>
    <t>Architectural Documentation and Detailing</t>
  </si>
  <si>
    <t>BAS230</t>
  </si>
  <si>
    <t>Architecture Design Studio 2B - Regional Studio</t>
  </si>
  <si>
    <t>BAS115 + BAS140 + BAS145</t>
  </si>
  <si>
    <t>BAS235</t>
  </si>
  <si>
    <t>Architecture Methods 2B - Information Visualisation</t>
  </si>
  <si>
    <t>BAS200</t>
  </si>
  <si>
    <t>Architecture and Interior Architecture Design Studio 2A - Residential Typology and Grammar</t>
  </si>
  <si>
    <t>(BAS115 or BIA145) + (BAS140 or BIA110) + (BAS145 or BIA130 )</t>
  </si>
  <si>
    <t>BAS205</t>
  </si>
  <si>
    <t>Architecture Methods 2A - Digital Fabrication</t>
  </si>
  <si>
    <t>BAS310</t>
  </si>
  <si>
    <t>Environmental and Building Systems in Architecture</t>
  </si>
  <si>
    <t>BAS235 or BAS240 or BIA240</t>
  </si>
  <si>
    <t>BAS320</t>
  </si>
  <si>
    <t>Urban Contexts</t>
  </si>
  <si>
    <t>200CP</t>
  </si>
  <si>
    <t>CME101</t>
  </si>
  <si>
    <t>Low Rise Construction</t>
  </si>
  <si>
    <t>CME106</t>
  </si>
  <si>
    <t>High-rise Construction</t>
  </si>
  <si>
    <t>CME203</t>
  </si>
  <si>
    <t>Specialised Construction</t>
  </si>
  <si>
    <t>CME206</t>
  </si>
  <si>
    <t>Building Surveying</t>
  </si>
  <si>
    <t>150CP</t>
  </si>
  <si>
    <t>CME205</t>
  </si>
  <si>
    <t>Building Information Management and Modelling</t>
  </si>
  <si>
    <t>both</t>
  </si>
  <si>
    <t>and study BOTH</t>
  </si>
  <si>
    <t>APC100</t>
  </si>
  <si>
    <t>Academic and Professional Communications</t>
  </si>
  <si>
    <t>GPH320</t>
  </si>
  <si>
    <t>Urban Geographies</t>
  </si>
  <si>
    <t>DIG12</t>
  </si>
  <si>
    <t>Digital Design 1</t>
  </si>
  <si>
    <t>DIG10</t>
  </si>
  <si>
    <t>Game Design Introduction</t>
  </si>
  <si>
    <t>DIG22</t>
  </si>
  <si>
    <t>Web Design 1</t>
  </si>
  <si>
    <t>DIG11 or DIG12</t>
  </si>
  <si>
    <t>DIG24</t>
  </si>
  <si>
    <t>Web Design 2</t>
  </si>
  <si>
    <t>DIG230</t>
  </si>
  <si>
    <t>Introduction to 3D Modelling and Rendering</t>
  </si>
  <si>
    <t>DIG10 or DIG100</t>
  </si>
  <si>
    <t>DIG28</t>
  </si>
  <si>
    <t>Animation and Motion Graphics Design</t>
  </si>
  <si>
    <t>DSN200</t>
  </si>
  <si>
    <t>3D Modelling and Digital Fabrication</t>
  </si>
  <si>
    <t>DIG39</t>
  </si>
  <si>
    <t>Industry Project Development</t>
  </si>
  <si>
    <t>DIG31 or DIG371 or DIG38</t>
  </si>
  <si>
    <t>DIG21</t>
  </si>
  <si>
    <t>UX Design 2</t>
  </si>
  <si>
    <t>New Version</t>
  </si>
  <si>
    <t>Phasing Out</t>
  </si>
  <si>
    <t>BIA140</t>
  </si>
  <si>
    <t>Interior Architecture Studio - Foundation</t>
  </si>
  <si>
    <t>BIA170</t>
  </si>
  <si>
    <t>History of the Interior</t>
  </si>
  <si>
    <t>BIA250</t>
  </si>
  <si>
    <t>Interior Architecture Studio – Community</t>
  </si>
  <si>
    <t>BIA200</t>
  </si>
  <si>
    <t>Interior Architecture Fundamentals</t>
  </si>
  <si>
    <t>BIA280</t>
  </si>
  <si>
    <t>Philosophy and Practice</t>
  </si>
  <si>
    <t>BIA290</t>
  </si>
  <si>
    <t>Design Fabrication</t>
  </si>
  <si>
    <t>BIA300</t>
  </si>
  <si>
    <t>Interior Architecture Studio - Well-being</t>
  </si>
  <si>
    <t>BIA250 + (BAS200 or BIA260)</t>
  </si>
  <si>
    <t>BIA360</t>
  </si>
  <si>
    <t>Interior Architecture Studio - Workplace</t>
  </si>
  <si>
    <t>BIA390</t>
  </si>
  <si>
    <t>Furniture Design</t>
  </si>
  <si>
    <t>350CP</t>
  </si>
  <si>
    <t>BIA305</t>
  </si>
  <si>
    <t>Interior Architecture Practice 1</t>
  </si>
  <si>
    <t>BIA315</t>
  </si>
  <si>
    <t>Interior Architecture Practice 2</t>
  </si>
  <si>
    <t>BIA415</t>
  </si>
  <si>
    <t>Adaptive Reuse and Heritage</t>
  </si>
  <si>
    <t>BIA300 + BIA360</t>
  </si>
  <si>
    <t>BIA425</t>
  </si>
  <si>
    <t>Design for Indoor Comfort</t>
  </si>
  <si>
    <t>BIA435</t>
  </si>
  <si>
    <t>Interior Lighting Design</t>
  </si>
  <si>
    <t>500CP</t>
  </si>
  <si>
    <t>BIA445</t>
  </si>
  <si>
    <t>Sustainable Future and the Built Environment</t>
  </si>
  <si>
    <t>BIA455</t>
  </si>
  <si>
    <t>Interior Architecture Honours Proposal</t>
  </si>
  <si>
    <t>BIA300 + BIA360 + (DBE300 or BIA380)</t>
  </si>
  <si>
    <t>BIA475</t>
  </si>
  <si>
    <t>Interior Architecture Honours Project</t>
  </si>
  <si>
    <t>BIA455 or BIA410</t>
  </si>
  <si>
    <t>Study one Option unit from the list below</t>
  </si>
  <si>
    <t>GPH311</t>
  </si>
  <si>
    <t>Cultural Landscapes</t>
  </si>
  <si>
    <t>Study one subject from your chosen specialisation (see below)</t>
  </si>
  <si>
    <t>Specialisation</t>
  </si>
  <si>
    <t>Choose a Specialisation</t>
  </si>
  <si>
    <t>URP100</t>
  </si>
  <si>
    <t>Governance for Planning</t>
  </si>
  <si>
    <t>URP110</t>
  </si>
  <si>
    <t>Introduction to Planning</t>
  </si>
  <si>
    <t>DBE300</t>
  </si>
  <si>
    <t>Design and Built Environment Research Methods</t>
  </si>
  <si>
    <t>WBP300</t>
  </si>
  <si>
    <t>Work Based Project (with approval)</t>
  </si>
  <si>
    <t>See OUA Website</t>
  </si>
  <si>
    <t>Downloaded:</t>
  </si>
  <si>
    <t>V</t>
  </si>
  <si>
    <t>CPs</t>
  </si>
  <si>
    <t>No.</t>
  </si>
  <si>
    <t>Component Type</t>
  </si>
  <si>
    <t>Year Level</t>
  </si>
  <si>
    <t>Study Package Code</t>
  </si>
  <si>
    <t>Structure Line</t>
  </si>
  <si>
    <t>Effective</t>
  </si>
  <si>
    <t>Discont.</t>
  </si>
  <si>
    <t>Column1</t>
  </si>
  <si>
    <t>Column2</t>
  </si>
  <si>
    <t>Core</t>
  </si>
  <si>
    <t>NA</t>
  </si>
  <si>
    <t>BAS115 Architecture and Interior Architecture Methods 1A - Analogue Literacy</t>
  </si>
  <si>
    <t>BAS140 Architecture and Interior Architecture Design Studio 1 - Small Structures</t>
  </si>
  <si>
    <t>BAS145 Architecture and Interior Architecture Methods 1B - Digital Literacy</t>
  </si>
  <si>
    <t>BIA140 Interior Architecture Studio - Foundation</t>
  </si>
  <si>
    <t>BIA170 History of the Interior</t>
  </si>
  <si>
    <t>BAS200 Architecture and Interior Architecture Design Studio 2A - Residential Typology and Grammar</t>
  </si>
  <si>
    <t>BAS235 Architecture Methods 2B - Information Visualisation</t>
  </si>
  <si>
    <t>BIA200 Interior Architecture Fundamentals</t>
  </si>
  <si>
    <t>BIA250 Interior Architecture Studio – Community</t>
  </si>
  <si>
    <t>BIA280 Philosophy and Practice</t>
  </si>
  <si>
    <t>DSN200 3D Modelling and Digital Fabrication</t>
  </si>
  <si>
    <t>BAS310 Environmental and Building Systems in Architecture</t>
  </si>
  <si>
    <t>BIA290 Design Fabrication</t>
  </si>
  <si>
    <t>BIA300 Interior Architecture Studio - Well-being</t>
  </si>
  <si>
    <t>BIA305 Interior Architecture Practice 1</t>
  </si>
  <si>
    <t>BIA315 Interior Architecture Practice 2</t>
  </si>
  <si>
    <t>BIA360 Interior Architecture Studio - Workplace</t>
  </si>
  <si>
    <t>BIA390 Furniture Design</t>
  </si>
  <si>
    <t>DBE300 Design and Built Environment Research Methods</t>
  </si>
  <si>
    <t>BIA415 Adaptive Reuse and Heritage</t>
  </si>
  <si>
    <t>BIA425 Design for Indoor Comfort</t>
  </si>
  <si>
    <t>BIA435 Interior Lighting Design</t>
  </si>
  <si>
    <t>BIA445 Sustainable Future and the Built Environment</t>
  </si>
  <si>
    <t>BIA455 Interior Architecture Honours Proposal</t>
  </si>
  <si>
    <t>BIA475 Interior Architecture Honours Project</t>
  </si>
  <si>
    <t>Option</t>
  </si>
  <si>
    <t>AltCore</t>
  </si>
  <si>
    <t>Choose GRDE3033 or WORK3002</t>
  </si>
  <si>
    <t>WBP300 Work Based Project</t>
  </si>
  <si>
    <t>CME101 Low Rise Construction</t>
  </si>
  <si>
    <t>CME106 High-rise Construction</t>
  </si>
  <si>
    <t>CME206 Building Surveying</t>
  </si>
  <si>
    <t>CME203 Specialised Construction</t>
  </si>
  <si>
    <t>CME205 Building Information Management and Modelling</t>
  </si>
  <si>
    <t>URP110 Introduction to Planning</t>
  </si>
  <si>
    <t>URP100 Governance for Planning</t>
  </si>
  <si>
    <t>GPH311 Cultural Landscapes</t>
  </si>
  <si>
    <t>Choose WORK3002 or GEOG3002</t>
  </si>
  <si>
    <t>GPH320 Urban Geographies</t>
  </si>
  <si>
    <t>BAS120 Sustainability and Structures in Architecture</t>
  </si>
  <si>
    <t>BAS150 Architectural Science in Context</t>
  </si>
  <si>
    <t>BAS205 Architecture Methods 2A - Digital Fabrication</t>
  </si>
  <si>
    <t>Choose an Option</t>
  </si>
  <si>
    <t>BAS240 Architectural Documentation and Detailing</t>
  </si>
  <si>
    <t>BAS230 Architecture Design Studio 2B - Regional Studio</t>
  </si>
  <si>
    <t>BAS320 Urban Contexts</t>
  </si>
  <si>
    <t>OU-INDSGN1</t>
  </si>
  <si>
    <t>Row Labels</t>
  </si>
  <si>
    <t>OpenUnis SP 1</t>
  </si>
  <si>
    <t>OpenUnis SP 2</t>
  </si>
  <si>
    <t>OpenUnis SP 3</t>
  </si>
  <si>
    <t>OpenUnis SP 4</t>
  </si>
  <si>
    <t>Manual</t>
  </si>
  <si>
    <t>7/11/2025 - Reverting to generic sequencing for 2026, no specific speciailisation sequencing will be provided.</t>
  </si>
  <si>
    <t>ENST1002</t>
  </si>
  <si>
    <t>ENST1002 Sustainability Communication and Action</t>
  </si>
  <si>
    <t>Sustainability Communication and Action</t>
  </si>
  <si>
    <t>GRDE1029</t>
  </si>
  <si>
    <t>GRDE1029 Motion Design Studio</t>
  </si>
  <si>
    <t>GRDE1031</t>
  </si>
  <si>
    <t>GRDE1031 Introduction to 3D Modelling</t>
  </si>
  <si>
    <t>GRDE2055</t>
  </si>
  <si>
    <t>GRDE2055 3D Game and Level Design</t>
  </si>
  <si>
    <t>DIG39 Emerging Digital Experience Studio</t>
  </si>
  <si>
    <t>Motion Design Studio</t>
  </si>
  <si>
    <t>Introduction to 3D Modelling</t>
  </si>
  <si>
    <t>3D Game and Level Design</t>
  </si>
  <si>
    <t>Emerging Digital Experience Studio</t>
  </si>
  <si>
    <t>Choose BLDG2028 or BLDG2021</t>
  </si>
  <si>
    <t>GRDE1033</t>
  </si>
  <si>
    <t>GRDE1033 Introduction to Digital Creative Practice</t>
  </si>
  <si>
    <t>GRDE2049</t>
  </si>
  <si>
    <t>GRDE2049 Interactive Platforms</t>
  </si>
  <si>
    <t>GRDE2054</t>
  </si>
  <si>
    <t>GRDE2054 Social Interactive Experiences</t>
  </si>
  <si>
    <t>GRDE1022.RE</t>
  </si>
  <si>
    <t>GRDE2036.RE</t>
  </si>
  <si>
    <t>GRDE2042.RE</t>
  </si>
  <si>
    <t>COMS1007.DE</t>
  </si>
  <si>
    <t>Deactivating 30/12/2025</t>
  </si>
  <si>
    <t>GRDE1017.RE</t>
  </si>
  <si>
    <t>ICTE2003.RE</t>
  </si>
  <si>
    <t>GRDE2023.RE</t>
  </si>
  <si>
    <t>GRDE2030.RE</t>
  </si>
  <si>
    <t>OUSU-ELECT</t>
  </si>
  <si>
    <t>Elective Stream (OpenUnis)</t>
  </si>
  <si>
    <t>GRDE3033.PO</t>
  </si>
  <si>
    <t>Pre Req - IA students cannot complete Pre Reqs.
Phasing Out</t>
  </si>
  <si>
    <t>OSCU-ANGAD.PO</t>
  </si>
  <si>
    <t>OSCU-CONMS.PO</t>
  </si>
  <si>
    <t>OSCU-DIGDE.PO</t>
  </si>
  <si>
    <t>Not selectable to students, not represented.</t>
  </si>
  <si>
    <t>Removed for 2026</t>
  </si>
  <si>
    <t>Pre-reqs (7/11/2025)</t>
  </si>
  <si>
    <t>GRDE1029 or DIG271</t>
  </si>
  <si>
    <t>BIA140 or BAS140</t>
  </si>
  <si>
    <t>EO-INARCH1SP1</t>
  </si>
  <si>
    <t>EO-INARCH1SP2</t>
  </si>
  <si>
    <t>EO-INARCH1SP3</t>
  </si>
  <si>
    <t>EO-INARCH1SP4</t>
  </si>
  <si>
    <t>OB-INDSGNSP1</t>
  </si>
  <si>
    <t>OB-INDSGNSP2</t>
  </si>
  <si>
    <t>OB-INDSGNSP3</t>
  </si>
  <si>
    <t>OB-INDSGNSP4</t>
  </si>
  <si>
    <t>Introduction to Digital Creative Practice</t>
  </si>
  <si>
    <t>Interactive Platforms</t>
  </si>
  <si>
    <t>Social Interactive Experiences</t>
  </si>
  <si>
    <t>GRDE1029 or DIG11 or DIG12 or DIG271</t>
  </si>
  <si>
    <t>GRDE1029 or DIG11 or DIG271</t>
  </si>
  <si>
    <t>3 x SP1</t>
  </si>
  <si>
    <t>Reverted to generic sequencing for 2026.</t>
  </si>
  <si>
    <t>Good To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</si>
</sst>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sz val="10"/>
      <color rgb="FF00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b/>
      <sz val="9"/>
      <name val="Segoe UI"/>
      <family val="2"/>
    </font>
    <font>
      <sz val="12"/>
      <name val="Calibri"/>
      <family val="2"/>
      <scheme val="minor"/>
    </font>
    <font>
      <i/>
      <sz val="10"/>
      <color theme="0" tint="-0.34998626667073579"/>
      <name val="Arial"/>
      <family val="2"/>
    </font>
    <font>
      <b/>
      <sz val="10"/>
      <color theme="0"/>
      <name val="Segoe UI"/>
      <family val="2"/>
    </font>
    <font>
      <b/>
      <i/>
      <sz val="12"/>
      <color theme="0"/>
      <name val="Segoe UI"/>
      <family val="2"/>
    </font>
    <font>
      <b/>
      <sz val="16"/>
      <color theme="1"/>
      <name val="Segoe UI"/>
      <family val="2"/>
    </font>
    <font>
      <i/>
      <sz val="9"/>
      <color theme="1"/>
      <name val="Segoe UI"/>
      <family val="2"/>
    </font>
    <font>
      <i/>
      <sz val="8"/>
      <color theme="1"/>
      <name val="Segoe UI"/>
      <family val="2"/>
    </font>
    <font>
      <b/>
      <i/>
      <sz val="10"/>
      <color theme="0" tint="-0.34998626667073579"/>
      <name val="Arial"/>
      <family val="2"/>
    </font>
    <font>
      <sz val="9"/>
      <color rgb="FFFF0000"/>
      <name val="Segoe UI"/>
      <family val="2"/>
    </font>
    <font>
      <b/>
      <sz val="9"/>
      <color rgb="FFFF0000"/>
      <name val="Segoe UI"/>
      <family val="2"/>
    </font>
    <font>
      <b/>
      <sz val="8"/>
      <name val="Arial"/>
      <family val="2"/>
    </font>
    <font>
      <b/>
      <sz val="11"/>
      <name val="Segoe UI"/>
      <family val="2"/>
    </font>
    <font>
      <b/>
      <sz val="11"/>
      <color theme="8"/>
      <name val="Calibri"/>
      <family val="2"/>
      <scheme val="minor"/>
    </font>
    <font>
      <sz val="10"/>
      <name val="Arial"/>
      <family val="2"/>
    </font>
    <font>
      <sz val="11"/>
      <color rgb="FF006100"/>
      <name val="Calibri"/>
      <family val="2"/>
      <scheme val="minor"/>
    </font>
    <font>
      <sz val="10"/>
      <color rgb="FF00B050"/>
      <name val="Arial"/>
      <family val="2"/>
    </font>
    <font>
      <b/>
      <i/>
      <sz val="12"/>
      <color rgb="FF00B050"/>
      <name val="Calibri"/>
      <family val="2"/>
      <scheme val="minor"/>
    </font>
    <font>
      <sz val="8"/>
      <name val="Calibri"/>
      <family val="2"/>
      <scheme val="minor"/>
    </font>
    <font>
      <sz val="10"/>
      <color rgb="FFFF0000"/>
      <name val="Arial"/>
      <family val="2"/>
    </font>
    <font>
      <b/>
      <i/>
      <sz val="12"/>
      <name val="Calibri"/>
      <family val="2"/>
      <scheme val="minor"/>
    </font>
    <font>
      <b/>
      <sz val="12"/>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FF00"/>
        <bgColor indexed="64"/>
      </patternFill>
    </fill>
    <fill>
      <patternFill patternType="solid">
        <fgColor rgb="FFFFC000"/>
        <bgColor indexed="64"/>
      </patternFill>
    </fill>
    <fill>
      <patternFill patternType="solid">
        <fgColor theme="8"/>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92D050"/>
        <bgColor indexed="64"/>
      </patternFill>
    </fill>
    <fill>
      <patternFill patternType="solid">
        <fgColor theme="8" tint="0.79998168889431442"/>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style="medium">
        <color indexed="64"/>
      </left>
      <right/>
      <top/>
      <bottom/>
      <diagonal/>
    </border>
    <border>
      <left/>
      <right style="medium">
        <color indexed="64"/>
      </right>
      <top/>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style="thin">
        <color theme="0" tint="-0.149937437055574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0" fontId="23" fillId="0" borderId="0" applyNumberFormat="0" applyFill="0" applyBorder="0" applyAlignment="0" applyProtection="0"/>
    <xf numFmtId="0" fontId="53" fillId="13" borderId="0" applyNumberFormat="0" applyBorder="0" applyAlignment="0" applyProtection="0"/>
  </cellStyleXfs>
  <cellXfs count="336">
    <xf numFmtId="0" fontId="0" fillId="0" borderId="0" xfId="0"/>
    <xf numFmtId="0" fontId="3" fillId="0" borderId="0" xfId="0" applyFont="1" applyAlignment="1">
      <alignment horizontal="center" vertical="center"/>
    </xf>
    <xf numFmtId="0" fontId="0" fillId="0" borderId="0" xfId="0" applyAlignment="1">
      <alignment horizontal="center"/>
    </xf>
    <xf numFmtId="0" fontId="7" fillId="0" borderId="0" xfId="0" applyFont="1"/>
    <xf numFmtId="0" fontId="7"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9" fillId="0" borderId="0" xfId="0" applyFont="1"/>
    <xf numFmtId="0" fontId="12" fillId="0" borderId="0" xfId="0" applyFont="1"/>
    <xf numFmtId="0" fontId="10" fillId="0" borderId="0" xfId="0" applyFont="1"/>
    <xf numFmtId="0" fontId="8" fillId="0" borderId="0" xfId="0" applyFont="1" applyAlignment="1">
      <alignment horizontal="center" vertical="center"/>
    </xf>
    <xf numFmtId="0" fontId="13" fillId="0" borderId="9" xfId="1" applyFont="1" applyBorder="1" applyAlignment="1">
      <alignment horizontal="center"/>
    </xf>
    <xf numFmtId="0" fontId="13" fillId="0" borderId="10" xfId="1" applyFont="1" applyBorder="1" applyAlignment="1">
      <alignment horizontal="center"/>
    </xf>
    <xf numFmtId="0" fontId="13" fillId="0" borderId="10" xfId="1" applyFont="1" applyBorder="1"/>
    <xf numFmtId="0" fontId="13" fillId="0" borderId="11" xfId="1" applyFont="1" applyBorder="1"/>
    <xf numFmtId="0" fontId="1" fillId="0" borderId="0" xfId="1"/>
    <xf numFmtId="0" fontId="1" fillId="0" borderId="0" xfId="1" applyAlignment="1">
      <alignment horizontal="center"/>
    </xf>
    <xf numFmtId="0" fontId="1" fillId="0" borderId="0" xfId="1" applyProtection="1">
      <protection locked="0"/>
    </xf>
    <xf numFmtId="0" fontId="20" fillId="2" borderId="0" xfId="1" applyFont="1" applyFill="1" applyAlignment="1" applyProtection="1">
      <alignment vertical="center"/>
      <protection locked="0"/>
    </xf>
    <xf numFmtId="0" fontId="20" fillId="2" borderId="0" xfId="1" applyFont="1" applyFill="1" applyAlignment="1">
      <alignment vertical="center"/>
    </xf>
    <xf numFmtId="0" fontId="20" fillId="2" borderId="0" xfId="1" applyFont="1" applyFill="1" applyAlignment="1" applyProtection="1">
      <alignment wrapText="1"/>
      <protection locked="0"/>
    </xf>
    <xf numFmtId="0" fontId="20" fillId="2" borderId="0" xfId="1" applyFont="1" applyFill="1" applyAlignment="1">
      <alignment wrapText="1"/>
    </xf>
    <xf numFmtId="0" fontId="20" fillId="2" borderId="0" xfId="1" applyFont="1" applyFill="1" applyProtection="1">
      <protection locked="0"/>
    </xf>
    <xf numFmtId="0" fontId="20" fillId="2" borderId="0" xfId="1" applyFont="1" applyFill="1"/>
    <xf numFmtId="0" fontId="27" fillId="2" borderId="0" xfId="1" applyFont="1" applyFill="1" applyProtection="1">
      <protection locked="0"/>
    </xf>
    <xf numFmtId="0" fontId="27" fillId="2" borderId="0" xfId="1" applyFont="1" applyFill="1"/>
    <xf numFmtId="0" fontId="9" fillId="2" borderId="0" xfId="1" applyFont="1" applyFill="1" applyProtection="1">
      <protection locked="0"/>
    </xf>
    <xf numFmtId="0" fontId="9" fillId="2" borderId="0" xfId="1" applyFont="1" applyFill="1"/>
    <xf numFmtId="0" fontId="1" fillId="0" borderId="0" xfId="1" applyAlignment="1" applyProtection="1">
      <alignment horizontal="center" vertical="top"/>
      <protection locked="0"/>
    </xf>
    <xf numFmtId="0" fontId="1" fillId="0" borderId="0" xfId="1" applyAlignment="1">
      <alignment horizontal="center" vertical="top"/>
    </xf>
    <xf numFmtId="0" fontId="13" fillId="0" borderId="0" xfId="0" applyFont="1" applyAlignment="1">
      <alignment horizont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0" fillId="0" borderId="21" xfId="0" applyBorder="1" applyAlignment="1">
      <alignment horizontal="center"/>
    </xf>
    <xf numFmtId="0" fontId="7" fillId="0" borderId="0" xfId="0" applyFont="1" applyAlignment="1">
      <alignment horizontal="center"/>
    </xf>
    <xf numFmtId="0" fontId="3" fillId="0" borderId="6" xfId="0" applyFont="1" applyBorder="1" applyAlignment="1">
      <alignment horizontal="center" vertical="center"/>
    </xf>
    <xf numFmtId="0" fontId="4" fillId="0" borderId="6" xfId="0" applyFont="1" applyBorder="1" applyAlignment="1">
      <alignment horizontal="center" vertical="center"/>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6" borderId="0" xfId="0" applyFont="1" applyFill="1" applyAlignment="1">
      <alignment horizontal="center" vertical="center"/>
    </xf>
    <xf numFmtId="0" fontId="39" fillId="0" borderId="0" xfId="0" applyFont="1"/>
    <xf numFmtId="0" fontId="40" fillId="0" borderId="0" xfId="0" applyFont="1" applyAlignment="1">
      <alignment horizontal="right"/>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6" fillId="0" borderId="0" xfId="0" applyFont="1" applyAlignment="1">
      <alignment horizontal="center" vertical="center"/>
    </xf>
    <xf numFmtId="0" fontId="4" fillId="8" borderId="5" xfId="0" applyFont="1" applyFill="1" applyBorder="1" applyAlignment="1">
      <alignment horizontal="center" vertical="center"/>
    </xf>
    <xf numFmtId="0" fontId="24" fillId="10" borderId="0" xfId="2" applyFont="1" applyFill="1" applyAlignment="1" applyProtection="1">
      <alignment vertical="center"/>
    </xf>
    <xf numFmtId="0" fontId="23" fillId="10" borderId="0" xfId="2" applyFill="1" applyAlignment="1" applyProtection="1">
      <alignment vertical="center"/>
    </xf>
    <xf numFmtId="0" fontId="23" fillId="10" borderId="0" xfId="2" applyFill="1" applyAlignment="1" applyProtection="1">
      <alignment horizontal="center" vertical="center"/>
    </xf>
    <xf numFmtId="0" fontId="38" fillId="4" borderId="0" xfId="1" applyFont="1" applyFill="1" applyAlignment="1" applyProtection="1">
      <alignment vertical="center"/>
      <protection locked="0"/>
    </xf>
    <xf numFmtId="0" fontId="15" fillId="2" borderId="0" xfId="1" applyFont="1" applyFill="1" applyAlignment="1" applyProtection="1">
      <alignment vertical="center"/>
      <protection locked="0"/>
    </xf>
    <xf numFmtId="0" fontId="34" fillId="9" borderId="0" xfId="1" applyFont="1" applyFill="1" applyAlignment="1">
      <alignment vertical="center" wrapText="1"/>
    </xf>
    <xf numFmtId="0" fontId="15" fillId="2" borderId="0" xfId="1" applyFont="1" applyFill="1" applyAlignment="1">
      <alignment horizontal="right" vertical="center" indent="1"/>
    </xf>
    <xf numFmtId="0" fontId="17" fillId="2" borderId="0" xfId="1" applyFont="1" applyFill="1" applyAlignment="1">
      <alignment horizontal="right" vertical="center" indent="1"/>
    </xf>
    <xf numFmtId="0" fontId="15" fillId="2" borderId="0" xfId="1" applyFont="1" applyFill="1" applyAlignment="1">
      <alignment vertical="center"/>
    </xf>
    <xf numFmtId="0" fontId="15" fillId="2" borderId="0" xfId="1" applyFont="1" applyFill="1" applyAlignment="1">
      <alignment horizontal="left" vertical="center"/>
    </xf>
    <xf numFmtId="0" fontId="15" fillId="2" borderId="0" xfId="1" applyFont="1" applyFill="1" applyAlignment="1">
      <alignment horizontal="left" vertical="center" indent="1"/>
    </xf>
    <xf numFmtId="0" fontId="17" fillId="2" borderId="0" xfId="1" applyFont="1" applyFill="1" applyAlignment="1">
      <alignment horizontal="left" vertical="center" wrapText="1"/>
    </xf>
    <xf numFmtId="0" fontId="17" fillId="0" borderId="0" xfId="1" applyFont="1" applyAlignment="1">
      <alignment vertical="top" wrapText="1"/>
    </xf>
    <xf numFmtId="0" fontId="18" fillId="9" borderId="0" xfId="1" applyFont="1" applyFill="1" applyAlignment="1">
      <alignment horizontal="center" vertical="center"/>
    </xf>
    <xf numFmtId="0" fontId="18" fillId="9" borderId="0" xfId="1" applyFont="1" applyFill="1" applyAlignment="1">
      <alignment horizontal="left" vertical="center" indent="1"/>
    </xf>
    <xf numFmtId="0" fontId="18" fillId="9" borderId="0" xfId="1" applyFont="1" applyFill="1" applyAlignment="1">
      <alignment vertical="center"/>
    </xf>
    <xf numFmtId="0" fontId="18" fillId="9" borderId="20" xfId="1" applyFont="1" applyFill="1" applyBorder="1" applyAlignment="1">
      <alignment horizontal="left" vertical="center"/>
    </xf>
    <xf numFmtId="0" fontId="18" fillId="9" borderId="0" xfId="1" applyFont="1" applyFill="1" applyAlignment="1">
      <alignment horizontal="left" vertical="center"/>
    </xf>
    <xf numFmtId="0" fontId="18" fillId="9" borderId="16" xfId="1" applyFont="1" applyFill="1" applyBorder="1" applyAlignment="1">
      <alignment horizontal="left" vertical="center"/>
    </xf>
    <xf numFmtId="0" fontId="19" fillId="2" borderId="0" xfId="1" applyFont="1" applyFill="1" applyAlignment="1">
      <alignment vertical="center"/>
    </xf>
    <xf numFmtId="0" fontId="18" fillId="9" borderId="0" xfId="1" applyFont="1" applyFill="1" applyAlignment="1">
      <alignment horizontal="center" vertical="center" wrapText="1"/>
    </xf>
    <xf numFmtId="0" fontId="17" fillId="2" borderId="17" xfId="1" applyFont="1" applyFill="1" applyBorder="1" applyAlignment="1">
      <alignment horizontal="center" vertical="center" wrapText="1"/>
    </xf>
    <xf numFmtId="0" fontId="17" fillId="2" borderId="18" xfId="1" applyFont="1" applyFill="1" applyBorder="1" applyAlignment="1">
      <alignment horizontal="center" vertical="center" wrapText="1"/>
    </xf>
    <xf numFmtId="0" fontId="20" fillId="2" borderId="18" xfId="1" applyFont="1" applyFill="1" applyBorder="1" applyAlignment="1">
      <alignment horizontal="center" vertical="center" wrapText="1"/>
    </xf>
    <xf numFmtId="0" fontId="21" fillId="0" borderId="0" xfId="1" applyFont="1" applyAlignment="1">
      <alignment horizontal="left" vertical="top" wrapText="1"/>
    </xf>
    <xf numFmtId="0" fontId="19" fillId="2" borderId="0" xfId="1" applyFont="1" applyFill="1" applyAlignment="1">
      <alignment wrapText="1"/>
    </xf>
    <xf numFmtId="0" fontId="17" fillId="0" borderId="18" xfId="1" applyFont="1" applyBorder="1" applyAlignment="1">
      <alignment horizontal="center" vertical="center" wrapText="1"/>
    </xf>
    <xf numFmtId="0" fontId="19" fillId="2" borderId="0" xfId="1" applyFont="1" applyFill="1"/>
    <xf numFmtId="0" fontId="28" fillId="2" borderId="0" xfId="1" applyFont="1" applyFill="1" applyAlignment="1">
      <alignment horizontal="left" vertical="center" wrapText="1"/>
    </xf>
    <xf numFmtId="0" fontId="29" fillId="2" borderId="0" xfId="1" applyFont="1" applyFill="1" applyAlignment="1">
      <alignment horizontal="left" vertical="center" wrapText="1"/>
    </xf>
    <xf numFmtId="0" fontId="29" fillId="2" borderId="0" xfId="1" applyFont="1" applyFill="1" applyAlignment="1">
      <alignment horizontal="center" vertical="center" wrapText="1"/>
    </xf>
    <xf numFmtId="0" fontId="30" fillId="2" borderId="0" xfId="1" applyFont="1" applyFill="1" applyAlignment="1">
      <alignment vertical="center"/>
    </xf>
    <xf numFmtId="0" fontId="31" fillId="2" borderId="0" xfId="1" applyFont="1" applyFill="1"/>
    <xf numFmtId="0" fontId="42" fillId="9" borderId="0" xfId="1" applyFont="1" applyFill="1" applyAlignment="1">
      <alignment horizontal="left" vertical="center" readingOrder="1"/>
    </xf>
    <xf numFmtId="0" fontId="33" fillId="9" borderId="0" xfId="1" applyFont="1" applyFill="1" applyAlignment="1">
      <alignment horizontal="left" vertical="center" readingOrder="1"/>
    </xf>
    <xf numFmtId="0" fontId="16" fillId="9" borderId="0" xfId="1" applyFont="1" applyFill="1" applyAlignment="1">
      <alignment horizontal="left" vertical="center" readingOrder="1"/>
    </xf>
    <xf numFmtId="0" fontId="36" fillId="9" borderId="0" xfId="1" applyFont="1" applyFill="1" applyAlignment="1">
      <alignment horizontal="center" vertical="center"/>
    </xf>
    <xf numFmtId="0" fontId="36" fillId="9" borderId="0" xfId="1" applyFont="1" applyFill="1" applyAlignment="1">
      <alignment horizontal="center" vertical="center" readingOrder="1"/>
    </xf>
    <xf numFmtId="0" fontId="18" fillId="9" borderId="20" xfId="1" applyFont="1" applyFill="1" applyBorder="1" applyAlignment="1">
      <alignment vertical="center" readingOrder="1"/>
    </xf>
    <xf numFmtId="0" fontId="18" fillId="9" borderId="0" xfId="1" applyFont="1" applyFill="1" applyAlignment="1">
      <alignment vertical="center" readingOrder="1"/>
    </xf>
    <xf numFmtId="0" fontId="36" fillId="9" borderId="0" xfId="1" applyFont="1" applyFill="1" applyAlignment="1">
      <alignment vertical="center" readingOrder="1"/>
    </xf>
    <xf numFmtId="0" fontId="36" fillId="9" borderId="16" xfId="1" applyFont="1" applyFill="1" applyBorder="1" applyAlignment="1">
      <alignment vertical="center" readingOrder="1"/>
    </xf>
    <xf numFmtId="0" fontId="41" fillId="9" borderId="0" xfId="1" applyFont="1" applyFill="1" applyAlignment="1">
      <alignment horizontal="left" vertical="center" indent="1"/>
    </xf>
    <xf numFmtId="0" fontId="33" fillId="9" borderId="0" xfId="1" applyFont="1" applyFill="1" applyAlignment="1">
      <alignment horizontal="left" vertical="top" indent="1"/>
    </xf>
    <xf numFmtId="0" fontId="33" fillId="9" borderId="0" xfId="1" applyFont="1" applyFill="1" applyAlignment="1">
      <alignment horizontal="center" vertical="top"/>
    </xf>
    <xf numFmtId="0" fontId="32" fillId="0" borderId="18" xfId="1" applyFont="1" applyBorder="1" applyAlignment="1">
      <alignment vertical="center"/>
    </xf>
    <xf numFmtId="0" fontId="32" fillId="0" borderId="18" xfId="1" applyFont="1" applyBorder="1" applyAlignment="1">
      <alignment horizontal="center" vertical="center" wrapText="1"/>
    </xf>
    <xf numFmtId="0" fontId="26" fillId="2" borderId="0" xfId="1" applyFont="1" applyFill="1"/>
    <xf numFmtId="0" fontId="28" fillId="2" borderId="0" xfId="1" applyFont="1" applyFill="1" applyAlignment="1">
      <alignment vertical="center"/>
    </xf>
    <xf numFmtId="0" fontId="9" fillId="2" borderId="0" xfId="1" applyFont="1" applyFill="1" applyAlignment="1">
      <alignment vertical="center"/>
    </xf>
    <xf numFmtId="0" fontId="30" fillId="2" borderId="0" xfId="1" applyFont="1" applyFill="1" applyAlignment="1">
      <alignment horizontal="right" vertical="center"/>
    </xf>
    <xf numFmtId="0" fontId="0" fillId="0" borderId="0" xfId="0" applyAlignment="1">
      <alignment horizontal="left" textRotation="90"/>
    </xf>
    <xf numFmtId="0" fontId="46" fillId="0" borderId="0" xfId="0" applyFont="1" applyAlignment="1">
      <alignment horizontal="left"/>
    </xf>
    <xf numFmtId="0" fontId="46" fillId="0" borderId="0" xfId="0" applyFont="1" applyAlignment="1">
      <alignment horizontal="right"/>
    </xf>
    <xf numFmtId="14" fontId="39" fillId="0" borderId="0" xfId="0" applyNumberFormat="1" applyFont="1"/>
    <xf numFmtId="0" fontId="47" fillId="0" borderId="0" xfId="1" applyFont="1" applyAlignment="1">
      <alignment vertical="top" wrapText="1"/>
    </xf>
    <xf numFmtId="0" fontId="48" fillId="2" borderId="0" xfId="1" applyFont="1" applyFill="1" applyAlignment="1">
      <alignment vertical="center"/>
    </xf>
    <xf numFmtId="0" fontId="13" fillId="0" borderId="0" xfId="1" applyFont="1" applyAlignment="1">
      <alignment horizontal="center"/>
    </xf>
    <xf numFmtId="0" fontId="6" fillId="0" borderId="0" xfId="1" applyFont="1" applyAlignment="1">
      <alignment horizontal="center" vertical="center"/>
    </xf>
    <xf numFmtId="0" fontId="13" fillId="0" borderId="0" xfId="1" applyFont="1"/>
    <xf numFmtId="0" fontId="32" fillId="0" borderId="18" xfId="1" applyFont="1" applyBorder="1" applyAlignment="1">
      <alignment horizontal="center" vertical="center"/>
    </xf>
    <xf numFmtId="0" fontId="1" fillId="0" borderId="0" xfId="1" applyAlignment="1">
      <alignment horizontal="center" vertical="center"/>
    </xf>
    <xf numFmtId="0" fontId="21" fillId="0" borderId="0" xfId="1" applyFont="1" applyAlignment="1">
      <alignment horizontal="center" vertical="center" wrapText="1"/>
    </xf>
    <xf numFmtId="0" fontId="19" fillId="2" borderId="0" xfId="1" applyFont="1" applyFill="1" applyAlignment="1">
      <alignment horizontal="center" vertical="center"/>
    </xf>
    <xf numFmtId="0" fontId="31" fillId="2" borderId="0" xfId="1" applyFont="1" applyFill="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7" fillId="11" borderId="11" xfId="1" applyFont="1" applyFill="1" applyBorder="1" applyAlignment="1">
      <alignment horizontal="center" vertical="center" wrapText="1"/>
    </xf>
    <xf numFmtId="0" fontId="17" fillId="11" borderId="0" xfId="1" applyFont="1" applyFill="1" applyAlignment="1">
      <alignment horizontal="center" vertical="center" wrapText="1"/>
    </xf>
    <xf numFmtId="0" fontId="20" fillId="11" borderId="0" xfId="1" applyFont="1" applyFill="1" applyAlignment="1">
      <alignment horizontal="left" vertical="center" wrapText="1"/>
    </xf>
    <xf numFmtId="0" fontId="32" fillId="0" borderId="17" xfId="1" applyFont="1" applyBorder="1" applyAlignment="1">
      <alignment horizontal="center" vertical="center"/>
    </xf>
    <xf numFmtId="0" fontId="51" fillId="9" borderId="0" xfId="1" applyFont="1" applyFill="1" applyAlignment="1">
      <alignment horizontal="right" vertical="center"/>
    </xf>
    <xf numFmtId="0" fontId="5" fillId="0" borderId="0" xfId="0" applyFont="1"/>
    <xf numFmtId="0" fontId="5" fillId="0" borderId="0" xfId="0" applyFont="1" applyAlignment="1">
      <alignment horizontal="left"/>
    </xf>
    <xf numFmtId="0" fontId="17" fillId="2" borderId="19" xfId="1" applyFont="1" applyFill="1" applyBorder="1" applyAlignment="1" applyProtection="1">
      <alignment horizontal="center" vertical="center" wrapText="1"/>
      <protection locked="0"/>
    </xf>
    <xf numFmtId="0" fontId="17" fillId="11" borderId="16" xfId="1" applyFont="1" applyFill="1" applyBorder="1" applyAlignment="1" applyProtection="1">
      <alignment horizontal="center" vertical="center" wrapText="1"/>
      <protection locked="0"/>
    </xf>
    <xf numFmtId="0" fontId="17" fillId="0" borderId="19" xfId="1" applyFont="1" applyBorder="1" applyAlignment="1" applyProtection="1">
      <alignment horizontal="center" vertical="center" wrapText="1"/>
      <protection locked="0"/>
    </xf>
    <xf numFmtId="0" fontId="44" fillId="2" borderId="19" xfId="1" applyFont="1" applyFill="1" applyBorder="1" applyAlignment="1" applyProtection="1">
      <alignment horizontal="center" vertical="center" wrapText="1"/>
      <protection locked="0"/>
    </xf>
    <xf numFmtId="0" fontId="43" fillId="11" borderId="14" xfId="1" applyFont="1" applyFill="1" applyBorder="1" applyAlignment="1">
      <alignment horizontal="right" vertical="center"/>
    </xf>
    <xf numFmtId="0" fontId="4" fillId="0" borderId="2" xfId="0" quotePrefix="1" applyFont="1" applyBorder="1" applyAlignment="1">
      <alignment horizontal="center" vertical="center"/>
    </xf>
    <xf numFmtId="0" fontId="4" fillId="0" borderId="3" xfId="0" quotePrefix="1" applyFont="1" applyBorder="1" applyAlignment="1">
      <alignment horizontal="center" vertical="center"/>
    </xf>
    <xf numFmtId="0" fontId="7" fillId="4" borderId="0" xfId="0" applyFont="1" applyFill="1" applyAlignment="1">
      <alignment horizontal="center"/>
    </xf>
    <xf numFmtId="0" fontId="7" fillId="0" borderId="0" xfId="0" applyFont="1" applyAlignment="1">
      <alignment horizontal="left" textRotation="90"/>
    </xf>
    <xf numFmtId="0" fontId="7" fillId="12" borderId="22" xfId="0" applyFont="1" applyFill="1" applyBorder="1" applyAlignment="1">
      <alignment horizontal="center"/>
    </xf>
    <xf numFmtId="0" fontId="7" fillId="12" borderId="23" xfId="0" applyFont="1" applyFill="1" applyBorder="1" applyAlignment="1">
      <alignment horizontal="center"/>
    </xf>
    <xf numFmtId="0" fontId="7" fillId="12" borderId="0" xfId="0" applyFont="1" applyFill="1" applyAlignment="1">
      <alignment horizontal="center"/>
    </xf>
    <xf numFmtId="0" fontId="3" fillId="8" borderId="5" xfId="0" applyFont="1" applyFill="1" applyBorder="1" applyAlignment="1">
      <alignment horizontal="center" vertical="center"/>
    </xf>
    <xf numFmtId="0" fontId="6" fillId="7" borderId="0" xfId="0" applyFont="1" applyFill="1" applyAlignment="1">
      <alignment horizontal="center" vertical="center" wrapText="1"/>
    </xf>
    <xf numFmtId="14" fontId="53" fillId="13" borderId="0" xfId="3" applyNumberFormat="1" applyAlignment="1">
      <alignment horizontal="center"/>
    </xf>
    <xf numFmtId="14" fontId="55" fillId="0" borderId="0" xfId="0" applyNumberFormat="1" applyFont="1"/>
    <xf numFmtId="0" fontId="54" fillId="5" borderId="0" xfId="0" applyFont="1" applyFill="1" applyAlignment="1">
      <alignment wrapText="1"/>
    </xf>
    <xf numFmtId="0" fontId="7" fillId="0" borderId="0" xfId="0" applyFont="1" applyAlignment="1">
      <alignment horizontal="left" wrapText="1"/>
    </xf>
    <xf numFmtId="0" fontId="43" fillId="11" borderId="13" xfId="1" applyFont="1" applyFill="1" applyBorder="1" applyAlignment="1">
      <alignment vertical="center"/>
    </xf>
    <xf numFmtId="0" fontId="14" fillId="11" borderId="14" xfId="1" applyFont="1" applyFill="1" applyBorder="1" applyAlignment="1">
      <alignment vertical="center"/>
    </xf>
    <xf numFmtId="0" fontId="43" fillId="11" borderId="14" xfId="1" applyFont="1" applyFill="1" applyBorder="1" applyAlignment="1">
      <alignment vertical="center"/>
    </xf>
    <xf numFmtId="0" fontId="37" fillId="11" borderId="14" xfId="1" applyFont="1" applyFill="1" applyBorder="1" applyAlignment="1">
      <alignment vertical="center"/>
    </xf>
    <xf numFmtId="0" fontId="37" fillId="11" borderId="15" xfId="1" applyFont="1" applyFill="1" applyBorder="1" applyAlignment="1">
      <alignment vertical="center"/>
    </xf>
    <xf numFmtId="0" fontId="17" fillId="2" borderId="18" xfId="1" applyFont="1" applyFill="1" applyBorder="1" applyAlignment="1">
      <alignment vertical="center" shrinkToFit="1"/>
    </xf>
    <xf numFmtId="0" fontId="17" fillId="11" borderId="0" xfId="1" applyFont="1" applyFill="1" applyAlignment="1">
      <alignment vertical="center" shrinkToFit="1"/>
    </xf>
    <xf numFmtId="0" fontId="17" fillId="0" borderId="18" xfId="1" applyFont="1" applyBorder="1" applyAlignment="1">
      <alignment horizontal="left" vertical="center" shrinkToFit="1"/>
    </xf>
    <xf numFmtId="0" fontId="18" fillId="9" borderId="0" xfId="1" applyFont="1" applyFill="1" applyAlignment="1">
      <alignment horizontal="left" vertical="center" shrinkToFit="1"/>
    </xf>
    <xf numFmtId="0" fontId="17" fillId="0" borderId="18" xfId="1" applyFont="1" applyBorder="1" applyAlignment="1">
      <alignment vertical="center" shrinkToFit="1"/>
    </xf>
    <xf numFmtId="0" fontId="3" fillId="0" borderId="3" xfId="0" quotePrefix="1" applyFont="1" applyBorder="1" applyAlignment="1">
      <alignment horizontal="center" vertical="center"/>
    </xf>
    <xf numFmtId="0" fontId="4" fillId="8" borderId="3" xfId="0" applyFont="1" applyFill="1" applyBorder="1" applyAlignment="1">
      <alignment horizontal="center" vertical="center"/>
    </xf>
    <xf numFmtId="0" fontId="3" fillId="8" borderId="3" xfId="0" applyFont="1" applyFill="1" applyBorder="1" applyAlignment="1">
      <alignment horizontal="center" vertical="center"/>
    </xf>
    <xf numFmtId="0" fontId="18" fillId="9" borderId="24" xfId="1" applyFont="1" applyFill="1" applyBorder="1" applyAlignment="1">
      <alignment horizontal="center" vertical="center" wrapText="1"/>
    </xf>
    <xf numFmtId="0" fontId="18" fillId="9" borderId="25" xfId="1" applyFont="1" applyFill="1" applyBorder="1" applyAlignment="1">
      <alignment horizontal="center" vertical="center" wrapText="1"/>
    </xf>
    <xf numFmtId="0" fontId="18" fillId="9"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11" borderId="24" xfId="1" applyFont="1" applyFill="1" applyBorder="1" applyAlignment="1">
      <alignment horizontal="center" vertical="center" wrapText="1"/>
    </xf>
    <xf numFmtId="0" fontId="17" fillId="11" borderId="25" xfId="1" applyFont="1" applyFill="1" applyBorder="1" applyAlignment="1">
      <alignment horizontal="center" vertical="center" wrapText="1"/>
    </xf>
    <xf numFmtId="0" fontId="17" fillId="11" borderId="26" xfId="1" applyFont="1" applyFill="1" applyBorder="1" applyAlignment="1">
      <alignment horizontal="center" vertical="center" wrapText="1"/>
    </xf>
    <xf numFmtId="0" fontId="17" fillId="0" borderId="27" xfId="1" applyFont="1" applyBorder="1" applyAlignment="1">
      <alignment horizontal="center" vertical="center" wrapText="1"/>
    </xf>
    <xf numFmtId="0" fontId="17" fillId="0" borderId="28" xfId="1" applyFont="1" applyBorder="1" applyAlignment="1">
      <alignment horizontal="center" vertical="center" wrapText="1"/>
    </xf>
    <xf numFmtId="0" fontId="17" fillId="0" borderId="29" xfId="1" applyFont="1" applyBorder="1" applyAlignment="1">
      <alignment horizontal="center" vertical="center" wrapText="1"/>
    </xf>
    <xf numFmtId="0" fontId="18" fillId="9" borderId="30" xfId="1" applyFont="1" applyFill="1" applyBorder="1" applyAlignment="1">
      <alignment horizontal="center" vertical="center" wrapText="1"/>
    </xf>
    <xf numFmtId="0" fontId="17" fillId="2" borderId="27" xfId="1" applyFont="1" applyFill="1" applyBorder="1" applyAlignment="1">
      <alignment horizontal="center" vertical="center"/>
    </xf>
    <xf numFmtId="0" fontId="17" fillId="2" borderId="28" xfId="1" applyFont="1" applyFill="1" applyBorder="1" applyAlignment="1">
      <alignment horizontal="center" vertical="center"/>
    </xf>
    <xf numFmtId="0" fontId="17" fillId="2" borderId="29" xfId="1" applyFont="1" applyFill="1" applyBorder="1" applyAlignment="1">
      <alignment horizontal="center" vertical="center"/>
    </xf>
    <xf numFmtId="0" fontId="57" fillId="7" borderId="0" xfId="0" applyFont="1" applyFill="1" applyAlignment="1">
      <alignment wrapText="1"/>
    </xf>
    <xf numFmtId="0" fontId="2" fillId="3" borderId="31" xfId="0" applyFont="1" applyFill="1" applyBorder="1" applyAlignment="1">
      <alignment horizontal="right" vertical="center"/>
    </xf>
    <xf numFmtId="0" fontId="49" fillId="3" borderId="32" xfId="0" applyFont="1" applyFill="1" applyBorder="1" applyAlignment="1">
      <alignment horizontal="right" vertical="center"/>
    </xf>
    <xf numFmtId="0" fontId="49" fillId="3" borderId="33" xfId="0" applyFont="1" applyFill="1" applyBorder="1" applyAlignment="1">
      <alignment horizontal="right" vertical="center"/>
    </xf>
    <xf numFmtId="0" fontId="49" fillId="3" borderId="34" xfId="0" applyFont="1" applyFill="1" applyBorder="1" applyAlignment="1">
      <alignment horizontal="righ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xf>
    <xf numFmtId="0" fontId="4" fillId="0" borderId="37" xfId="0" applyFont="1" applyBorder="1" applyAlignment="1">
      <alignment horizontal="center" vertical="center"/>
    </xf>
    <xf numFmtId="0" fontId="3" fillId="0" borderId="37" xfId="0" applyFont="1" applyBorder="1" applyAlignment="1">
      <alignment horizontal="center" vertical="center"/>
    </xf>
    <xf numFmtId="0" fontId="3" fillId="8" borderId="23" xfId="0" applyFont="1" applyFill="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3" fillId="8" borderId="39" xfId="0" applyFont="1" applyFill="1" applyBorder="1" applyAlignment="1">
      <alignment horizontal="center" vertical="center"/>
    </xf>
    <xf numFmtId="0" fontId="3" fillId="0" borderId="39" xfId="0" applyFont="1" applyBorder="1" applyAlignment="1">
      <alignment horizontal="center" vertical="center"/>
    </xf>
    <xf numFmtId="0" fontId="3" fillId="8" borderId="41" xfId="0" applyFont="1" applyFill="1" applyBorder="1" applyAlignment="1">
      <alignment horizontal="center" vertical="center"/>
    </xf>
    <xf numFmtId="0" fontId="52" fillId="0" borderId="0" xfId="0" applyFont="1" applyAlignment="1">
      <alignment horizontal="center"/>
    </xf>
    <xf numFmtId="0" fontId="52" fillId="14" borderId="0" xfId="0" applyFont="1" applyFill="1" applyAlignment="1">
      <alignment horizontal="center"/>
    </xf>
    <xf numFmtId="14" fontId="52" fillId="14" borderId="0" xfId="0" applyNumberFormat="1" applyFont="1" applyFill="1" applyAlignment="1">
      <alignment horizontal="center"/>
    </xf>
    <xf numFmtId="0" fontId="52" fillId="0" borderId="0" xfId="0" applyFont="1" applyAlignment="1">
      <alignment horizontal="left"/>
    </xf>
    <xf numFmtId="0" fontId="38" fillId="2" borderId="0" xfId="1" applyFont="1" applyFill="1" applyAlignment="1" applyProtection="1">
      <alignment vertical="center"/>
      <protection locked="0"/>
    </xf>
    <xf numFmtId="0" fontId="54" fillId="0" borderId="0" xfId="0" applyFont="1" applyAlignment="1">
      <alignment horizontal="center" wrapText="1"/>
    </xf>
    <xf numFmtId="0" fontId="54" fillId="0" borderId="0" xfId="0" applyFont="1" applyAlignment="1">
      <alignment horizontal="center"/>
    </xf>
    <xf numFmtId="14" fontId="54" fillId="0" borderId="0" xfId="0" applyNumberFormat="1" applyFont="1" applyAlignment="1">
      <alignment horizontal="center"/>
    </xf>
    <xf numFmtId="14" fontId="0" fillId="0" borderId="0" xfId="0" applyNumberFormat="1" applyAlignment="1">
      <alignment horizontal="center"/>
    </xf>
    <xf numFmtId="0" fontId="58" fillId="0" borderId="0" xfId="0" applyFont="1"/>
    <xf numFmtId="0" fontId="58" fillId="0" borderId="0" xfId="0" applyFont="1" applyAlignment="1">
      <alignment horizontal="left"/>
    </xf>
    <xf numFmtId="0" fontId="58" fillId="0" borderId="0" xfId="0" applyFont="1" applyAlignment="1">
      <alignment horizontal="center"/>
    </xf>
    <xf numFmtId="0" fontId="59" fillId="0" borderId="0" xfId="0" applyFont="1" applyAlignment="1">
      <alignment horizontal="right"/>
    </xf>
    <xf numFmtId="14" fontId="59" fillId="0" borderId="0" xfId="0" applyNumberFormat="1" applyFont="1" applyAlignment="1">
      <alignment horizontal="left"/>
    </xf>
    <xf numFmtId="14" fontId="59" fillId="0" borderId="0" xfId="0" applyNumberFormat="1" applyFont="1" applyAlignment="1">
      <alignment horizontal="center"/>
    </xf>
    <xf numFmtId="0" fontId="39" fillId="0" borderId="0" xfId="0" applyFont="1" applyAlignment="1">
      <alignment horizontal="center"/>
    </xf>
    <xf numFmtId="0" fontId="58" fillId="14" borderId="0" xfId="0" applyFont="1" applyFill="1" applyAlignment="1">
      <alignment horizontal="center"/>
    </xf>
    <xf numFmtId="14" fontId="58" fillId="14" borderId="0" xfId="0" applyNumberFormat="1" applyFont="1" applyFill="1"/>
    <xf numFmtId="0" fontId="7" fillId="15" borderId="0" xfId="0" applyFont="1" applyFill="1"/>
    <xf numFmtId="0" fontId="59" fillId="0" borderId="0" xfId="0" applyFont="1"/>
    <xf numFmtId="0" fontId="52" fillId="5" borderId="0" xfId="0" applyFont="1" applyFill="1" applyAlignment="1">
      <alignment wrapText="1"/>
    </xf>
    <xf numFmtId="0" fontId="7" fillId="0" borderId="0" xfId="0" applyFont="1" applyAlignment="1">
      <alignment wrapText="1"/>
    </xf>
    <xf numFmtId="0" fontId="0" fillId="7" borderId="0" xfId="0" applyFill="1" applyAlignment="1">
      <alignment horizontal="center"/>
    </xf>
    <xf numFmtId="14" fontId="0" fillId="7" borderId="0" xfId="0" applyNumberFormat="1" applyFill="1" applyAlignment="1">
      <alignment horizontal="center"/>
    </xf>
    <xf numFmtId="0" fontId="3" fillId="0" borderId="41" xfId="0" applyFont="1" applyBorder="1" applyAlignment="1">
      <alignment horizontal="center" vertical="center"/>
    </xf>
    <xf numFmtId="0" fontId="49" fillId="3" borderId="3" xfId="0" applyFont="1" applyFill="1" applyBorder="1" applyAlignment="1">
      <alignment horizontal="right" vertical="center"/>
    </xf>
    <xf numFmtId="14" fontId="33" fillId="2" borderId="0" xfId="1" applyNumberFormat="1" applyFont="1" applyFill="1" applyAlignment="1">
      <alignment horizontal="right" vertical="center"/>
    </xf>
    <xf numFmtId="0" fontId="16" fillId="0" borderId="0" xfId="1" applyFont="1" applyAlignment="1">
      <alignment vertical="top" wrapText="1"/>
    </xf>
    <xf numFmtId="0" fontId="0" fillId="0" borderId="0" xfId="0" applyAlignment="1">
      <alignment horizontal="right"/>
    </xf>
    <xf numFmtId="0" fontId="0" fillId="0" borderId="0" xfId="0" applyAlignment="1">
      <alignment wrapText="1"/>
    </xf>
    <xf numFmtId="0" fontId="34" fillId="9" borderId="12" xfId="1" applyFont="1" applyFill="1" applyBorder="1" applyAlignment="1">
      <alignment horizontal="left" vertical="center" wrapText="1"/>
    </xf>
    <xf numFmtId="0" fontId="22" fillId="2" borderId="0" xfId="1" applyFont="1" applyFill="1" applyAlignment="1">
      <alignment horizontal="center" vertical="center" wrapText="1"/>
    </xf>
    <xf numFmtId="0" fontId="13" fillId="0" borderId="9" xfId="1" applyFont="1" applyBorder="1" applyAlignment="1" applyProtection="1">
      <alignment horizontal="center"/>
    </xf>
    <xf numFmtId="0" fontId="13" fillId="0" borderId="10" xfId="1" applyFont="1" applyBorder="1" applyAlignment="1" applyProtection="1">
      <alignment horizontal="center"/>
    </xf>
    <xf numFmtId="0" fontId="13" fillId="0" borderId="10" xfId="1" applyFont="1" applyBorder="1" applyProtection="1"/>
    <xf numFmtId="0" fontId="13" fillId="0" borderId="11" xfId="1" applyFont="1" applyBorder="1" applyProtection="1"/>
    <xf numFmtId="0" fontId="1" fillId="0" borderId="0" xfId="1" applyProtection="1"/>
    <xf numFmtId="0" fontId="13" fillId="0" borderId="0" xfId="1" applyFont="1" applyAlignment="1" applyProtection="1">
      <alignment horizontal="center"/>
    </xf>
    <xf numFmtId="0" fontId="6" fillId="0" borderId="0" xfId="1" applyFont="1" applyAlignment="1" applyProtection="1">
      <alignment horizontal="center" vertical="center"/>
    </xf>
    <xf numFmtId="0" fontId="13" fillId="0" borderId="0" xfId="1" applyFont="1" applyProtection="1"/>
    <xf numFmtId="0" fontId="34" fillId="9" borderId="12" xfId="1" applyFont="1" applyFill="1" applyBorder="1" applyAlignment="1" applyProtection="1">
      <alignment horizontal="left" vertical="center" wrapText="1"/>
    </xf>
    <xf numFmtId="0" fontId="34" fillId="9" borderId="0" xfId="1" applyFont="1" applyFill="1" applyAlignment="1" applyProtection="1">
      <alignment vertical="center" wrapText="1"/>
    </xf>
    <xf numFmtId="0" fontId="43" fillId="11" borderId="13" xfId="1" applyFont="1" applyFill="1" applyBorder="1" applyAlignment="1" applyProtection="1">
      <alignment vertical="center"/>
    </xf>
    <xf numFmtId="0" fontId="14" fillId="11" borderId="14" xfId="1" applyFont="1" applyFill="1" applyBorder="1" applyAlignment="1" applyProtection="1">
      <alignment vertical="center"/>
    </xf>
    <xf numFmtId="0" fontId="43" fillId="11" borderId="14" xfId="1" applyFont="1" applyFill="1" applyBorder="1" applyAlignment="1" applyProtection="1">
      <alignment vertical="center"/>
    </xf>
    <xf numFmtId="0" fontId="43" fillId="11" borderId="14" xfId="1" applyFont="1" applyFill="1" applyBorder="1" applyAlignment="1" applyProtection="1">
      <alignment horizontal="right" vertical="center"/>
    </xf>
    <xf numFmtId="0" fontId="37" fillId="11" borderId="14" xfId="1" applyFont="1" applyFill="1" applyBorder="1" applyAlignment="1" applyProtection="1">
      <alignment vertical="center"/>
    </xf>
    <xf numFmtId="0" fontId="37" fillId="11" borderId="15" xfId="1" applyFont="1" applyFill="1" applyBorder="1" applyAlignment="1" applyProtection="1">
      <alignment vertical="center"/>
    </xf>
    <xf numFmtId="0" fontId="1" fillId="0" borderId="0" xfId="1" applyAlignment="1" applyProtection="1">
      <alignment horizontal="center"/>
    </xf>
    <xf numFmtId="0" fontId="15" fillId="2" borderId="0" xfId="1" applyFont="1" applyFill="1" applyAlignment="1" applyProtection="1">
      <alignment horizontal="right" vertical="center" indent="1"/>
    </xf>
    <xf numFmtId="0" fontId="17" fillId="2" borderId="0" xfId="1" applyFont="1" applyFill="1" applyAlignment="1" applyProtection="1">
      <alignment horizontal="right" vertical="center" indent="1"/>
    </xf>
    <xf numFmtId="0" fontId="50" fillId="2" borderId="0" xfId="1" applyFont="1" applyFill="1" applyAlignment="1" applyProtection="1">
      <alignment vertical="center"/>
    </xf>
    <xf numFmtId="0" fontId="15" fillId="2" borderId="0" xfId="1" applyFont="1" applyFill="1" applyAlignment="1" applyProtection="1">
      <alignment vertical="center"/>
    </xf>
    <xf numFmtId="0" fontId="48" fillId="2" borderId="0" xfId="1" applyFont="1" applyFill="1" applyAlignment="1" applyProtection="1">
      <alignment vertical="center"/>
    </xf>
    <xf numFmtId="14" fontId="33" fillId="2" borderId="0" xfId="1" applyNumberFormat="1" applyFont="1" applyFill="1" applyAlignment="1" applyProtection="1">
      <alignment horizontal="right" vertical="center"/>
    </xf>
    <xf numFmtId="0" fontId="15" fillId="2" borderId="0" xfId="1" applyFont="1" applyFill="1" applyAlignment="1" applyProtection="1">
      <alignment horizontal="left" vertical="center"/>
    </xf>
    <xf numFmtId="0" fontId="15" fillId="2" borderId="0" xfId="1" applyFont="1" applyFill="1" applyAlignment="1" applyProtection="1">
      <alignment horizontal="left" vertical="center" indent="1"/>
    </xf>
    <xf numFmtId="0" fontId="17" fillId="2" borderId="0" xfId="1" applyFont="1" applyFill="1" applyAlignment="1" applyProtection="1">
      <alignment horizontal="left" vertical="center" wrapText="1"/>
    </xf>
    <xf numFmtId="0" fontId="17" fillId="0" borderId="0" xfId="1" applyFont="1" applyAlignment="1" applyProtection="1">
      <alignment vertical="top" wrapText="1"/>
    </xf>
    <xf numFmtId="0" fontId="47" fillId="0" borderId="0" xfId="1" applyFont="1" applyAlignment="1" applyProtection="1">
      <alignment vertical="top" wrapText="1"/>
    </xf>
    <xf numFmtId="0" fontId="16" fillId="0" borderId="0" xfId="1" applyFont="1" applyAlignment="1" applyProtection="1">
      <alignment vertical="top" wrapText="1"/>
    </xf>
    <xf numFmtId="0" fontId="18" fillId="9" borderId="0" xfId="1" applyFont="1" applyFill="1" applyAlignment="1" applyProtection="1">
      <alignment horizontal="center" vertical="center"/>
    </xf>
    <xf numFmtId="0" fontId="18" fillId="9" borderId="0" xfId="1" applyFont="1" applyFill="1" applyAlignment="1" applyProtection="1">
      <alignment horizontal="left" vertical="center" indent="1"/>
    </xf>
    <xf numFmtId="0" fontId="18" fillId="9" borderId="0" xfId="1" applyFont="1" applyFill="1" applyAlignment="1" applyProtection="1">
      <alignment vertical="center"/>
    </xf>
    <xf numFmtId="0" fontId="18" fillId="9" borderId="20" xfId="1" applyFont="1" applyFill="1" applyBorder="1" applyAlignment="1" applyProtection="1">
      <alignment horizontal="left" vertical="center"/>
    </xf>
    <xf numFmtId="0" fontId="18" fillId="9" borderId="0" xfId="1" applyFont="1" applyFill="1" applyAlignment="1" applyProtection="1">
      <alignment horizontal="left" vertical="center"/>
    </xf>
    <xf numFmtId="0" fontId="18" fillId="9" borderId="16" xfId="1" applyFont="1" applyFill="1" applyBorder="1" applyAlignment="1" applyProtection="1">
      <alignment horizontal="left" vertical="center"/>
    </xf>
    <xf numFmtId="0" fontId="19" fillId="2" borderId="0" xfId="1" applyFont="1" applyFill="1" applyAlignment="1" applyProtection="1">
      <alignment vertical="center"/>
    </xf>
    <xf numFmtId="0" fontId="20" fillId="2" borderId="0" xfId="1" applyFont="1" applyFill="1" applyAlignment="1" applyProtection="1">
      <alignment vertical="center"/>
    </xf>
    <xf numFmtId="0" fontId="18" fillId="9" borderId="0" xfId="1" applyFont="1" applyFill="1" applyAlignment="1" applyProtection="1">
      <alignment horizontal="center" vertical="center" wrapText="1"/>
    </xf>
    <xf numFmtId="0" fontId="18" fillId="9" borderId="24" xfId="1" applyFont="1" applyFill="1" applyBorder="1" applyAlignment="1" applyProtection="1">
      <alignment horizontal="center" vertical="center" wrapText="1"/>
    </xf>
    <xf numFmtId="0" fontId="18" fillId="9" borderId="25" xfId="1" applyFont="1" applyFill="1" applyBorder="1" applyAlignment="1" applyProtection="1">
      <alignment horizontal="center" vertical="center" wrapText="1"/>
    </xf>
    <xf numFmtId="0" fontId="18" fillId="9" borderId="26" xfId="1" applyFont="1" applyFill="1" applyBorder="1" applyAlignment="1" applyProtection="1">
      <alignment horizontal="center" vertical="center" wrapText="1"/>
    </xf>
    <xf numFmtId="0" fontId="17" fillId="2" borderId="17" xfId="1" applyFont="1" applyFill="1" applyBorder="1" applyAlignment="1" applyProtection="1">
      <alignment horizontal="center" vertical="center" wrapText="1"/>
    </xf>
    <xf numFmtId="0" fontId="17" fillId="2" borderId="18" xfId="1" applyFont="1" applyFill="1" applyBorder="1" applyAlignment="1" applyProtection="1">
      <alignment horizontal="center" vertical="center" wrapText="1"/>
    </xf>
    <xf numFmtId="0" fontId="17" fillId="2" borderId="18" xfId="1" applyFont="1" applyFill="1" applyBorder="1" applyAlignment="1" applyProtection="1">
      <alignment vertical="center" shrinkToFit="1"/>
    </xf>
    <xf numFmtId="0" fontId="20" fillId="2" borderId="18" xfId="1" applyFont="1" applyFill="1" applyBorder="1" applyAlignment="1" applyProtection="1">
      <alignment horizontal="center" vertical="center" wrapText="1"/>
    </xf>
    <xf numFmtId="0" fontId="17" fillId="2" borderId="27" xfId="1" applyFont="1" applyFill="1" applyBorder="1" applyAlignment="1" applyProtection="1">
      <alignment horizontal="center" vertical="center" wrapText="1"/>
    </xf>
    <xf numFmtId="0" fontId="17" fillId="2" borderId="28" xfId="1" applyFont="1" applyFill="1" applyBorder="1" applyAlignment="1" applyProtection="1">
      <alignment horizontal="center" vertical="center" wrapText="1"/>
    </xf>
    <xf numFmtId="0" fontId="17" fillId="2" borderId="29" xfId="1" applyFont="1" applyFill="1" applyBorder="1" applyAlignment="1" applyProtection="1">
      <alignment horizontal="center" vertical="center" wrapText="1"/>
    </xf>
    <xf numFmtId="0" fontId="21" fillId="0" borderId="0" xfId="1" applyFont="1" applyAlignment="1" applyProtection="1">
      <alignment horizontal="center" vertical="center" wrapText="1"/>
    </xf>
    <xf numFmtId="0" fontId="19" fillId="2" borderId="0" xfId="1" applyFont="1" applyFill="1" applyAlignment="1" applyProtection="1">
      <alignment wrapText="1"/>
    </xf>
    <xf numFmtId="0" fontId="20" fillId="2" borderId="0" xfId="1" applyFont="1" applyFill="1" applyAlignment="1" applyProtection="1">
      <alignment wrapText="1"/>
    </xf>
    <xf numFmtId="0" fontId="17" fillId="11" borderId="11" xfId="1" applyFont="1" applyFill="1" applyBorder="1" applyAlignment="1" applyProtection="1">
      <alignment horizontal="center" vertical="center" wrapText="1"/>
    </xf>
    <xf numFmtId="0" fontId="17" fillId="11" borderId="0" xfId="1" applyFont="1" applyFill="1" applyAlignment="1" applyProtection="1">
      <alignment horizontal="center" vertical="center" wrapText="1"/>
    </xf>
    <xf numFmtId="0" fontId="17" fillId="11" borderId="0" xfId="1" applyFont="1" applyFill="1" applyAlignment="1" applyProtection="1">
      <alignment vertical="center" shrinkToFit="1"/>
    </xf>
    <xf numFmtId="0" fontId="20" fillId="11" borderId="0" xfId="1" applyFont="1" applyFill="1" applyAlignment="1" applyProtection="1">
      <alignment horizontal="left" vertical="center" wrapText="1"/>
    </xf>
    <xf numFmtId="0" fontId="17" fillId="11" borderId="24" xfId="1" applyFont="1" applyFill="1" applyBorder="1" applyAlignment="1" applyProtection="1">
      <alignment horizontal="center" vertical="center" wrapText="1"/>
    </xf>
    <xf numFmtId="0" fontId="17" fillId="11" borderId="25" xfId="1" applyFont="1" applyFill="1" applyBorder="1" applyAlignment="1" applyProtection="1">
      <alignment horizontal="center" vertical="center" wrapText="1"/>
    </xf>
    <xf numFmtId="0" fontId="17" fillId="11" borderId="26" xfId="1" applyFont="1" applyFill="1" applyBorder="1" applyAlignment="1" applyProtection="1">
      <alignment horizontal="center" vertical="center" wrapText="1"/>
    </xf>
    <xf numFmtId="0" fontId="17" fillId="0" borderId="18" xfId="1" applyFont="1" applyBorder="1" applyAlignment="1" applyProtection="1">
      <alignment horizontal="center" vertical="center" wrapText="1"/>
    </xf>
    <xf numFmtId="0" fontId="17" fillId="0" borderId="27" xfId="1" applyFont="1" applyBorder="1" applyAlignment="1" applyProtection="1">
      <alignment horizontal="center" vertical="center" wrapText="1"/>
    </xf>
    <xf numFmtId="0" fontId="17" fillId="0" borderId="28" xfId="1" applyFont="1" applyBorder="1" applyAlignment="1" applyProtection="1">
      <alignment horizontal="center" vertical="center" wrapText="1"/>
    </xf>
    <xf numFmtId="0" fontId="17" fillId="0" borderId="29" xfId="1" applyFont="1" applyBorder="1" applyAlignment="1" applyProtection="1">
      <alignment horizontal="center" vertical="center" wrapText="1"/>
    </xf>
    <xf numFmtId="0" fontId="19" fillId="2" borderId="0" xfId="1" applyFont="1" applyFill="1" applyProtection="1"/>
    <xf numFmtId="0" fontId="20" fillId="2" borderId="0" xfId="1" applyFont="1" applyFill="1" applyProtection="1"/>
    <xf numFmtId="0" fontId="17" fillId="0" borderId="18" xfId="1" applyFont="1" applyBorder="1" applyAlignment="1" applyProtection="1">
      <alignment horizontal="left" vertical="center" shrinkToFit="1"/>
    </xf>
    <xf numFmtId="0" fontId="18" fillId="9" borderId="0" xfId="1" applyFont="1" applyFill="1" applyAlignment="1" applyProtection="1">
      <alignment horizontal="left" vertical="center" shrinkToFit="1"/>
    </xf>
    <xf numFmtId="0" fontId="19" fillId="2" borderId="0" xfId="1" applyFont="1" applyFill="1" applyAlignment="1" applyProtection="1">
      <alignment horizontal="center" vertical="center"/>
    </xf>
    <xf numFmtId="0" fontId="44" fillId="2" borderId="17" xfId="1" applyFont="1" applyFill="1" applyBorder="1" applyAlignment="1" applyProtection="1">
      <alignment horizontal="center" vertical="center" wrapText="1"/>
    </xf>
    <xf numFmtId="0" fontId="44" fillId="0" borderId="18" xfId="1" applyFont="1" applyBorder="1" applyAlignment="1" applyProtection="1">
      <alignment horizontal="center" vertical="center" wrapText="1"/>
    </xf>
    <xf numFmtId="0" fontId="44" fillId="0" borderId="18" xfId="1" applyFont="1" applyBorder="1" applyAlignment="1" applyProtection="1">
      <alignment vertical="center" shrinkToFit="1"/>
    </xf>
    <xf numFmtId="0" fontId="45" fillId="2" borderId="18" xfId="1" applyFont="1" applyFill="1" applyBorder="1" applyAlignment="1" applyProtection="1">
      <alignment horizontal="center" vertical="center" wrapText="1"/>
    </xf>
    <xf numFmtId="0" fontId="44" fillId="2" borderId="18" xfId="1" applyFont="1" applyFill="1" applyBorder="1" applyAlignment="1" applyProtection="1">
      <alignment horizontal="center" vertical="center" wrapText="1"/>
    </xf>
    <xf numFmtId="0" fontId="44" fillId="0" borderId="18" xfId="1" applyFont="1" applyBorder="1" applyAlignment="1" applyProtection="1">
      <alignment horizontal="left" vertical="center" shrinkToFit="1"/>
    </xf>
    <xf numFmtId="0" fontId="28" fillId="2" borderId="0" xfId="1" applyFont="1" applyFill="1" applyAlignment="1" applyProtection="1">
      <alignment horizontal="left" vertical="center" wrapText="1"/>
    </xf>
    <xf numFmtId="0" fontId="29" fillId="2" borderId="0" xfId="1" applyFont="1" applyFill="1" applyAlignment="1" applyProtection="1">
      <alignment horizontal="left" vertical="center" wrapText="1"/>
    </xf>
    <xf numFmtId="0" fontId="29" fillId="2" borderId="0" xfId="1" applyFont="1" applyFill="1" applyAlignment="1" applyProtection="1">
      <alignment horizontal="center" vertical="center" wrapText="1"/>
    </xf>
    <xf numFmtId="0" fontId="30" fillId="2" borderId="0" xfId="1" applyFont="1" applyFill="1" applyAlignment="1" applyProtection="1">
      <alignment vertical="center"/>
    </xf>
    <xf numFmtId="0" fontId="31" fillId="2" borderId="0" xfId="1" applyFont="1" applyFill="1" applyAlignment="1" applyProtection="1">
      <alignment horizontal="center" vertical="center"/>
    </xf>
    <xf numFmtId="0" fontId="31" fillId="2" borderId="0" xfId="1" applyFont="1" applyFill="1" applyProtection="1"/>
    <xf numFmtId="0" fontId="9" fillId="2" borderId="0" xfId="1" applyFont="1" applyFill="1" applyProtection="1"/>
    <xf numFmtId="0" fontId="42" fillId="9" borderId="0" xfId="1" applyFont="1" applyFill="1" applyAlignment="1" applyProtection="1">
      <alignment horizontal="left" vertical="center" readingOrder="1"/>
    </xf>
    <xf numFmtId="0" fontId="33" fillId="9" borderId="0" xfId="1" applyFont="1" applyFill="1" applyAlignment="1" applyProtection="1">
      <alignment horizontal="left" vertical="center" readingOrder="1"/>
    </xf>
    <xf numFmtId="0" fontId="16" fillId="9" borderId="0" xfId="1" applyFont="1" applyFill="1" applyAlignment="1" applyProtection="1">
      <alignment horizontal="left" vertical="center" readingOrder="1"/>
    </xf>
    <xf numFmtId="0" fontId="36" fillId="9" borderId="0" xfId="1" applyFont="1" applyFill="1" applyAlignment="1" applyProtection="1">
      <alignment horizontal="center" vertical="center"/>
    </xf>
    <xf numFmtId="0" fontId="36" fillId="9" borderId="0" xfId="1" applyFont="1" applyFill="1" applyAlignment="1" applyProtection="1">
      <alignment horizontal="center" vertical="center" readingOrder="1"/>
    </xf>
    <xf numFmtId="0" fontId="18" fillId="9" borderId="20" xfId="1" applyFont="1" applyFill="1" applyBorder="1" applyAlignment="1" applyProtection="1">
      <alignment vertical="center" readingOrder="1"/>
    </xf>
    <xf numFmtId="0" fontId="18" fillId="9" borderId="0" xfId="1" applyFont="1" applyFill="1" applyAlignment="1" applyProtection="1">
      <alignment vertical="center" readingOrder="1"/>
    </xf>
    <xf numFmtId="0" fontId="36" fillId="9" borderId="0" xfId="1" applyFont="1" applyFill="1" applyAlignment="1" applyProtection="1">
      <alignment vertical="center" readingOrder="1"/>
    </xf>
    <xf numFmtId="0" fontId="36" fillId="9" borderId="16" xfId="1" applyFont="1" applyFill="1" applyBorder="1" applyAlignment="1" applyProtection="1">
      <alignment vertical="center" readingOrder="1"/>
    </xf>
    <xf numFmtId="0" fontId="51" fillId="9" borderId="0" xfId="1" applyFont="1" applyFill="1" applyAlignment="1" applyProtection="1">
      <alignment horizontal="right" vertical="center"/>
    </xf>
    <xf numFmtId="0" fontId="1" fillId="0" borderId="0" xfId="1" applyAlignment="1" applyProtection="1">
      <alignment horizontal="center" vertical="center"/>
    </xf>
    <xf numFmtId="0" fontId="41" fillId="9" borderId="0" xfId="1" applyFont="1" applyFill="1" applyAlignment="1" applyProtection="1">
      <alignment horizontal="left" vertical="center"/>
    </xf>
    <xf numFmtId="0" fontId="33" fillId="9" borderId="0" xfId="1" applyFont="1" applyFill="1" applyAlignment="1" applyProtection="1">
      <alignment horizontal="left" vertical="center"/>
    </xf>
    <xf numFmtId="0" fontId="33" fillId="9" borderId="0" xfId="1" applyFont="1" applyFill="1" applyAlignment="1" applyProtection="1">
      <alignment horizontal="center" vertical="center"/>
    </xf>
    <xf numFmtId="0" fontId="18" fillId="9" borderId="30" xfId="1" applyFont="1" applyFill="1" applyBorder="1" applyAlignment="1" applyProtection="1">
      <alignment horizontal="center" vertical="center" wrapText="1"/>
    </xf>
    <xf numFmtId="0" fontId="1" fillId="0" borderId="0" xfId="1" applyAlignment="1" applyProtection="1">
      <alignment horizontal="center" vertical="top"/>
    </xf>
    <xf numFmtId="0" fontId="32" fillId="0" borderId="17" xfId="1" applyFont="1" applyBorder="1" applyAlignment="1" applyProtection="1">
      <alignment horizontal="center" vertical="center"/>
    </xf>
    <xf numFmtId="0" fontId="32" fillId="0" borderId="18" xfId="1" applyFont="1" applyBorder="1" applyAlignment="1" applyProtection="1">
      <alignment horizontal="center" vertical="center"/>
    </xf>
    <xf numFmtId="0" fontId="32" fillId="0" borderId="18" xfId="1" applyFont="1" applyBorder="1" applyAlignment="1" applyProtection="1">
      <alignment vertical="center"/>
    </xf>
    <xf numFmtId="0" fontId="32" fillId="0" borderId="18" xfId="1" applyFont="1" applyBorder="1" applyAlignment="1" applyProtection="1">
      <alignment horizontal="center" vertical="center" wrapText="1"/>
    </xf>
    <xf numFmtId="0" fontId="17" fillId="2" borderId="27" xfId="1" applyFont="1" applyFill="1" applyBorder="1" applyAlignment="1" applyProtection="1">
      <alignment horizontal="center" vertical="center"/>
    </xf>
    <xf numFmtId="0" fontId="17" fillId="2" borderId="28" xfId="1" applyFont="1" applyFill="1" applyBorder="1" applyAlignment="1" applyProtection="1">
      <alignment horizontal="center" vertical="center"/>
    </xf>
    <xf numFmtId="0" fontId="17" fillId="2" borderId="29" xfId="1" applyFont="1" applyFill="1" applyBorder="1" applyAlignment="1" applyProtection="1">
      <alignment horizontal="center" vertical="center"/>
    </xf>
    <xf numFmtId="0" fontId="0" fillId="0" borderId="0" xfId="0" applyProtection="1"/>
    <xf numFmtId="0" fontId="21" fillId="0" borderId="0" xfId="1" applyFont="1" applyAlignment="1" applyProtection="1">
      <alignment horizontal="left" vertical="top" wrapText="1"/>
    </xf>
    <xf numFmtId="0" fontId="22" fillId="2" borderId="0" xfId="1" applyFont="1" applyFill="1" applyAlignment="1" applyProtection="1">
      <alignment horizontal="center" vertical="center" wrapText="1"/>
    </xf>
    <xf numFmtId="0" fontId="26" fillId="2" borderId="0" xfId="1" applyFont="1" applyFill="1" applyProtection="1"/>
    <xf numFmtId="0" fontId="27" fillId="2" borderId="0" xfId="1" applyFont="1" applyFill="1" applyProtection="1"/>
    <xf numFmtId="0" fontId="28" fillId="2" borderId="0" xfId="1" applyFont="1" applyFill="1" applyAlignment="1" applyProtection="1">
      <alignment vertical="center"/>
    </xf>
    <xf numFmtId="0" fontId="9" fillId="2" borderId="0" xfId="1" applyFont="1" applyFill="1" applyAlignment="1" applyProtection="1">
      <alignment vertical="center"/>
    </xf>
    <xf numFmtId="0" fontId="30" fillId="2" borderId="0" xfId="1" applyFont="1" applyFill="1" applyAlignment="1" applyProtection="1">
      <alignment horizontal="right" vertical="center"/>
    </xf>
  </cellXfs>
  <cellStyles count="4">
    <cellStyle name="Good" xfId="3" builtinId="26"/>
    <cellStyle name="Hyperlink" xfId="2" builtinId="8"/>
    <cellStyle name="Normal" xfId="0" builtinId="0"/>
    <cellStyle name="Normal 2" xfId="1" xr:uid="{00000000-0005-0000-0000-000005000000}"/>
  </cellStyles>
  <dxfs count="216">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ont>
        <b val="0"/>
        <i/>
      </font>
      <fill>
        <patternFill>
          <bgColor theme="4" tint="0.79998168889431442"/>
        </patternFill>
      </fill>
    </dxf>
    <dxf>
      <font>
        <b/>
        <i val="0"/>
      </font>
      <fill>
        <patternFill>
          <bgColor theme="0" tint="-0.14996795556505021"/>
        </patternFill>
      </fill>
    </dxf>
    <dxf>
      <font>
        <b/>
        <i/>
        <color rgb="FFFF0000"/>
      </font>
    </dxf>
    <dxf>
      <font>
        <b/>
        <i/>
      </font>
      <fill>
        <patternFill patternType="solid">
          <bgColor theme="0" tint="-0.14996795556505021"/>
        </patternFill>
      </fill>
    </dxf>
    <dxf>
      <fill>
        <patternFill>
          <bgColor theme="0" tint="-0.14996795556505021"/>
        </patternFill>
      </fill>
    </dxf>
    <dxf>
      <font>
        <b val="0"/>
        <i/>
      </font>
      <fill>
        <patternFill>
          <bgColor theme="4" tint="0.79998168889431442"/>
        </patternFill>
      </fill>
    </dxf>
    <dxf>
      <font>
        <b val="0"/>
        <i/>
      </font>
      <fill>
        <patternFill>
          <bgColor theme="4" tint="0.79998168889431442"/>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color rgb="FFFF0000"/>
      </font>
    </dxf>
    <dxf>
      <font>
        <b/>
        <i/>
      </font>
      <fill>
        <patternFill patternType="solid">
          <bgColor theme="0" tint="-0.14996795556505021"/>
        </patternFill>
      </fill>
    </dxf>
    <dxf>
      <fill>
        <patternFill>
          <bgColor theme="0" tint="-0.14996795556505021"/>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right style="medium">
          <color indexed="64"/>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alignment horizontal="general" vertical="bottom" textRotation="0" wrapText="1"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none">
          <fgColor indexed="64"/>
          <bgColor auto="1"/>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rgb="FFFF000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rgb="FFFFC000"/>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247651</xdr:colOff>
      <xdr:row>3</xdr:row>
      <xdr:rowOff>38101</xdr:rowOff>
    </xdr:from>
    <xdr:ext cx="5629275" cy="48577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696701" y="542926"/>
          <a:ext cx="5629275" cy="48577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rtl="0" fontAlgn="base"/>
          <a:r>
            <a:rPr lang="en-AU" sz="1100" b="1" i="0" u="sng">
              <a:solidFill>
                <a:schemeClr val="dk1"/>
              </a:solidFill>
              <a:effectLst/>
              <a:latin typeface="+mn-lt"/>
              <a:ea typeface="+mn-ea"/>
              <a:cs typeface="+mn-cs"/>
            </a:rPr>
            <a:t>Full-Time Enrolment Guidelines</a:t>
          </a:r>
        </a:p>
        <a:p>
          <a:pPr algn="ctr" rtl="0" fontAlgn="base"/>
          <a:endParaRPr lang="en-AU" sz="1100" b="1" i="0">
            <a:solidFill>
              <a:schemeClr val="dk1"/>
            </a:solidFill>
            <a:effectLst/>
            <a:latin typeface="+mn-lt"/>
            <a:ea typeface="+mn-ea"/>
            <a:cs typeface="+mn-cs"/>
          </a:endParaRPr>
        </a:p>
        <a:p>
          <a:pPr algn="ctr" rtl="0" fontAlgn="base"/>
          <a:r>
            <a:rPr lang="en-AU" sz="1100" b="1" i="0">
              <a:solidFill>
                <a:schemeClr val="accent5"/>
              </a:solidFill>
              <a:effectLst/>
              <a:latin typeface="+mn-lt"/>
              <a:ea typeface="+mn-ea"/>
              <a:cs typeface="+mn-cs"/>
            </a:rPr>
            <a:t>Bachelor of Applied Science (Interior Architecture) (Honours) (OpenUnis)</a:t>
          </a:r>
        </a:p>
        <a:p>
          <a:pPr algn="ctr" rtl="0" fontAlgn="base"/>
          <a:endParaRPr lang="en-AU" sz="1100" b="1" i="0">
            <a:solidFill>
              <a:schemeClr val="dk1"/>
            </a:solidFill>
            <a:effectLst/>
            <a:latin typeface="+mn-lt"/>
            <a:ea typeface="+mn-ea"/>
            <a:cs typeface="+mn-cs"/>
          </a:endParaRPr>
        </a:p>
        <a:p>
          <a:pPr algn="ctr" rtl="0" fontAlgn="base"/>
          <a:r>
            <a:rPr lang="en-AU" sz="1100" b="0" i="1">
              <a:solidFill>
                <a:schemeClr val="dk1"/>
              </a:solidFill>
              <a:effectLst/>
              <a:latin typeface="+mn-lt"/>
              <a:ea typeface="+mn-ea"/>
              <a:cs typeface="+mn-cs"/>
            </a:rPr>
            <a:t>Use the drop-down list to select your </a:t>
          </a:r>
          <a:r>
            <a:rPr lang="en-AU" sz="1100" b="1" i="1">
              <a:solidFill>
                <a:schemeClr val="dk1"/>
              </a:solidFill>
              <a:effectLst/>
              <a:latin typeface="+mn-lt"/>
              <a:ea typeface="+mn-ea"/>
              <a:cs typeface="+mn-cs"/>
            </a:rPr>
            <a:t>Specialisation</a:t>
          </a:r>
          <a:r>
            <a:rPr lang="en-AU" sz="1100" b="0" i="1">
              <a:solidFill>
                <a:schemeClr val="dk1"/>
              </a:solidFill>
              <a:effectLst/>
              <a:latin typeface="+mn-lt"/>
              <a:ea typeface="+mn-ea"/>
              <a:cs typeface="+mn-cs"/>
            </a:rPr>
            <a:t> and your </a:t>
          </a:r>
          <a:r>
            <a:rPr lang="en-AU" sz="1100" b="1" i="1">
              <a:solidFill>
                <a:schemeClr val="dk1"/>
              </a:solidFill>
              <a:effectLst/>
              <a:latin typeface="+mn-lt"/>
              <a:ea typeface="+mn-ea"/>
              <a:cs typeface="+mn-cs"/>
            </a:rPr>
            <a:t>Commencing Study Period</a:t>
          </a:r>
          <a:r>
            <a:rPr lang="en-AU" sz="1100" b="0" i="1">
              <a:solidFill>
                <a:schemeClr val="dk1"/>
              </a:solidFill>
              <a:effectLst/>
              <a:latin typeface="+mn-lt"/>
              <a:ea typeface="+mn-ea"/>
              <a:cs typeface="+mn-cs"/>
            </a:rPr>
            <a:t>.</a:t>
          </a: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000">
            <a:effectLst/>
          </a:endParaRPr>
        </a:p>
        <a:p>
          <a:pPr rtl="0" fontAlgn="base"/>
          <a:r>
            <a:rPr lang="en-AU" sz="1100" b="0" i="0">
              <a:solidFill>
                <a:schemeClr val="dk1"/>
              </a:solidFill>
              <a:effectLst/>
              <a:latin typeface="+mn-lt"/>
              <a:ea typeface="+mn-ea"/>
              <a:cs typeface="+mn-cs"/>
            </a:rPr>
            <a:t>If you wish to enrol in a part-time load, </a:t>
          </a:r>
          <a:r>
            <a:rPr lang="en-AU" sz="1100" b="0" i="0" baseline="0">
              <a:solidFill>
                <a:schemeClr val="dk1"/>
              </a:solidFill>
              <a:effectLst/>
              <a:latin typeface="+mn-lt"/>
              <a:ea typeface="+mn-ea"/>
              <a:cs typeface="+mn-cs"/>
            </a:rPr>
            <a:t>please contact your Course Coordinator (Email - interiorarchitecture@curtin.edu.au) to develop an ad hoc study plan.</a:t>
          </a:r>
          <a:endParaRPr lang="en-AU">
            <a:effectLst/>
          </a:endParaRPr>
        </a:p>
        <a:p>
          <a:pPr rtl="0" fontAlgn="base"/>
          <a:endParaRPr lang="en-AU" sz="1000">
            <a:effectLst/>
          </a:endParaRPr>
        </a:p>
        <a:p>
          <a:r>
            <a:rPr lang="en-AU" sz="1100" b="1">
              <a:solidFill>
                <a:schemeClr val="dk1"/>
              </a:solidFill>
              <a:effectLst/>
              <a:latin typeface="+mn-lt"/>
              <a:ea typeface="+mn-ea"/>
              <a:cs typeface="+mn-cs"/>
            </a:rPr>
            <a:t>Pre-requisites</a:t>
          </a:r>
          <a:endParaRPr lang="en-AU" sz="1000">
            <a:effectLst/>
          </a:endParaRPr>
        </a:p>
        <a:p>
          <a:r>
            <a:rPr lang="en-AU" sz="1100">
              <a:solidFill>
                <a:schemeClr val="dk1"/>
              </a:solidFill>
              <a:effectLst/>
              <a:latin typeface="+mn-lt"/>
              <a:ea typeface="+mn-ea"/>
              <a:cs typeface="+mn-cs"/>
            </a:rPr>
            <a:t>Pre-requisite units denoted by * can be enrolled concurrently in the same study period if required by the</a:t>
          </a:r>
          <a:r>
            <a:rPr lang="en-AU" sz="1100" baseline="0">
              <a:solidFill>
                <a:schemeClr val="dk1"/>
              </a:solidFill>
              <a:effectLst/>
              <a:latin typeface="+mn-lt"/>
              <a:ea typeface="+mn-ea"/>
              <a:cs typeface="+mn-cs"/>
            </a:rPr>
            <a:t> Enrolment Planner's specified sequence.</a:t>
          </a:r>
        </a:p>
        <a:p>
          <a:endParaRPr lang="en-AU" sz="1000">
            <a:effectLst/>
          </a:endParaRPr>
        </a:p>
        <a:p>
          <a:pPr rtl="0" eaLnBrk="1" fontAlgn="base" latinLnBrk="0" hangingPunct="1"/>
          <a:r>
            <a:rPr lang="en-AU" sz="1100" b="1">
              <a:solidFill>
                <a:schemeClr val="dk1"/>
              </a:solidFill>
              <a:effectLst/>
              <a:latin typeface="+mn-lt"/>
              <a:ea typeface="+mn-ea"/>
              <a:cs typeface="+mn-cs"/>
            </a:rPr>
            <a:t>Practicum placement</a:t>
          </a:r>
          <a:endParaRPr lang="en-AU">
            <a:effectLst/>
          </a:endParaRPr>
        </a:p>
        <a:p>
          <a:pPr rtl="0" fontAlgn="base"/>
          <a:r>
            <a:rPr lang="en-AU" sz="1100" b="0" i="0">
              <a:solidFill>
                <a:schemeClr val="dk1"/>
              </a:solidFill>
              <a:effectLst/>
              <a:latin typeface="+mn-lt"/>
              <a:ea typeface="+mn-ea"/>
              <a:cs typeface="+mn-cs"/>
            </a:rPr>
            <a:t>Students are required to complete at least 80 hours of relevant work experience before completing the degree. The work experience must be in approved professional roles relevant to the degree</a:t>
          </a:r>
          <a:r>
            <a:rPr lang="en-AU" sz="1100" b="0" i="0" baseline="0">
              <a:solidFill>
                <a:schemeClr val="dk1"/>
              </a:solidFill>
              <a:effectLst/>
              <a:latin typeface="+mn-lt"/>
              <a:ea typeface="+mn-ea"/>
              <a:cs typeface="+mn-cs"/>
            </a:rPr>
            <a:t>.</a:t>
          </a:r>
        </a:p>
        <a:p>
          <a:pPr rtl="0" fontAlgn="base"/>
          <a:endParaRPr lang="en-AU" sz="1000">
            <a:effectLst/>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endParaRPr lang="en-AU" sz="1000">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28576</xdr:colOff>
      <xdr:row>2</xdr:row>
      <xdr:rowOff>219076</xdr:rowOff>
    </xdr:from>
    <xdr:to>
      <xdr:col>21</xdr:col>
      <xdr:colOff>390526</xdr:colOff>
      <xdr:row>3</xdr:row>
      <xdr:rowOff>38101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906626" y="219076"/>
          <a:ext cx="2419350" cy="32385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219076</xdr:colOff>
      <xdr:row>3</xdr:row>
      <xdr:rowOff>57152</xdr:rowOff>
    </xdr:from>
    <xdr:ext cx="5629275" cy="485184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20451" y="561977"/>
          <a:ext cx="5629275" cy="4851841"/>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rtl="0" fontAlgn="base"/>
          <a:r>
            <a:rPr lang="en-AU" sz="1100" b="1" i="0" u="sng">
              <a:solidFill>
                <a:schemeClr val="dk1"/>
              </a:solidFill>
              <a:effectLst/>
              <a:latin typeface="+mn-lt"/>
              <a:ea typeface="+mn-ea"/>
              <a:cs typeface="+mn-cs"/>
            </a:rPr>
            <a:t>Full-Time Enrolment Guidelines</a:t>
          </a:r>
        </a:p>
        <a:p>
          <a:pPr algn="ctr" rtl="0" fontAlgn="base"/>
          <a:endParaRPr lang="en-AU" sz="1100" b="1" i="0">
            <a:solidFill>
              <a:schemeClr val="dk1"/>
            </a:solidFill>
            <a:effectLst/>
            <a:latin typeface="+mn-lt"/>
            <a:ea typeface="+mn-ea"/>
            <a:cs typeface="+mn-cs"/>
          </a:endParaRPr>
        </a:p>
        <a:p>
          <a:pPr algn="ctr" rtl="0" fontAlgn="base"/>
          <a:r>
            <a:rPr lang="en-AU" sz="1100" b="1" i="0">
              <a:solidFill>
                <a:schemeClr val="accent5"/>
              </a:solidFill>
              <a:effectLst/>
              <a:latin typeface="+mn-lt"/>
              <a:ea typeface="+mn-ea"/>
              <a:cs typeface="+mn-cs"/>
            </a:rPr>
            <a:t>Bachelor of Interior Design (OpenUnis)</a:t>
          </a:r>
        </a:p>
        <a:p>
          <a:pPr rtl="0" fontAlgn="base"/>
          <a:endParaRPr lang="en-AU">
            <a:effectLst/>
          </a:endParaRPr>
        </a:p>
        <a:p>
          <a:pPr algn="ctr" rtl="0" fontAlgn="base"/>
          <a:r>
            <a:rPr lang="en-AU" sz="1100" b="0" i="1">
              <a:solidFill>
                <a:schemeClr val="dk1"/>
              </a:solidFill>
              <a:effectLst/>
              <a:latin typeface="+mn-lt"/>
              <a:ea typeface="+mn-ea"/>
              <a:cs typeface="+mn-cs"/>
            </a:rPr>
            <a:t>Use the drop-down list to select your </a:t>
          </a:r>
          <a:r>
            <a:rPr lang="en-AU" sz="1100" b="1" i="1">
              <a:solidFill>
                <a:schemeClr val="dk1"/>
              </a:solidFill>
              <a:effectLst/>
              <a:latin typeface="+mn-lt"/>
              <a:ea typeface="+mn-ea"/>
              <a:cs typeface="+mn-cs"/>
            </a:rPr>
            <a:t>Specialisation</a:t>
          </a:r>
          <a:r>
            <a:rPr lang="en-AU" sz="1100" b="0" i="1">
              <a:solidFill>
                <a:schemeClr val="dk1"/>
              </a:solidFill>
              <a:effectLst/>
              <a:latin typeface="+mn-lt"/>
              <a:ea typeface="+mn-ea"/>
              <a:cs typeface="+mn-cs"/>
            </a:rPr>
            <a:t> and your </a:t>
          </a:r>
          <a:r>
            <a:rPr lang="en-AU" sz="1100" b="1" i="1">
              <a:solidFill>
                <a:schemeClr val="dk1"/>
              </a:solidFill>
              <a:effectLst/>
              <a:latin typeface="+mn-lt"/>
              <a:ea typeface="+mn-ea"/>
              <a:cs typeface="+mn-cs"/>
            </a:rPr>
            <a:t>Commencing Study Period</a:t>
          </a:r>
          <a:r>
            <a:rPr lang="en-AU" sz="1100" b="0" i="1">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000">
            <a:effectLst/>
          </a:endParaRPr>
        </a:p>
        <a:p>
          <a:pPr rtl="0" fontAlgn="base"/>
          <a:r>
            <a:rPr lang="en-AU" sz="1100" b="0" i="0">
              <a:solidFill>
                <a:schemeClr val="dk1"/>
              </a:solidFill>
              <a:effectLst/>
              <a:latin typeface="+mn-lt"/>
              <a:ea typeface="+mn-ea"/>
              <a:cs typeface="+mn-cs"/>
            </a:rPr>
            <a:t>If you wish to enrol in a part-time load, </a:t>
          </a:r>
          <a:r>
            <a:rPr lang="en-AU" sz="1100" b="0" i="0" baseline="0">
              <a:solidFill>
                <a:schemeClr val="dk1"/>
              </a:solidFill>
              <a:effectLst/>
              <a:latin typeface="+mn-lt"/>
              <a:ea typeface="+mn-ea"/>
              <a:cs typeface="+mn-cs"/>
            </a:rPr>
            <a:t>please contact your Course Coordinator (Email - interiorarchitecture@curtin.edu.au) to develop an ad hoc study plan.</a:t>
          </a:r>
        </a:p>
        <a:p>
          <a:pPr rtl="0" fontAlgn="base"/>
          <a:endParaRPr lang="en-AU" sz="1000">
            <a:effectLst/>
          </a:endParaRPr>
        </a:p>
        <a:p>
          <a:r>
            <a:rPr lang="en-AU" sz="1100" b="1">
              <a:solidFill>
                <a:schemeClr val="dk1"/>
              </a:solidFill>
              <a:effectLst/>
              <a:latin typeface="+mn-lt"/>
              <a:ea typeface="+mn-ea"/>
              <a:cs typeface="+mn-cs"/>
            </a:rPr>
            <a:t>Pre-requisites</a:t>
          </a:r>
          <a:endParaRPr lang="en-AU" sz="1000">
            <a:effectLst/>
          </a:endParaRPr>
        </a:p>
        <a:p>
          <a:r>
            <a:rPr lang="en-AU" sz="1100">
              <a:solidFill>
                <a:schemeClr val="dk1"/>
              </a:solidFill>
              <a:effectLst/>
              <a:latin typeface="+mn-lt"/>
              <a:ea typeface="+mn-ea"/>
              <a:cs typeface="+mn-cs"/>
            </a:rPr>
            <a:t>Pre-requisite units denoted by * can be enrolled concurrently in the same study period if required by the</a:t>
          </a:r>
          <a:r>
            <a:rPr lang="en-AU" sz="1100" baseline="0">
              <a:solidFill>
                <a:schemeClr val="dk1"/>
              </a:solidFill>
              <a:effectLst/>
              <a:latin typeface="+mn-lt"/>
              <a:ea typeface="+mn-ea"/>
              <a:cs typeface="+mn-cs"/>
            </a:rPr>
            <a:t> Enrolment Planner's specified sequence.</a:t>
          </a:r>
        </a:p>
        <a:p>
          <a:endParaRPr lang="en-AU" sz="1000">
            <a:effectLst/>
          </a:endParaRPr>
        </a:p>
        <a:p>
          <a:pPr rtl="0" eaLnBrk="1" fontAlgn="base" latinLnBrk="0" hangingPunct="1"/>
          <a:r>
            <a:rPr lang="en-AU" sz="1100" b="1">
              <a:solidFill>
                <a:schemeClr val="dk1"/>
              </a:solidFill>
              <a:effectLst/>
              <a:latin typeface="+mn-lt"/>
              <a:ea typeface="+mn-ea"/>
              <a:cs typeface="+mn-cs"/>
            </a:rPr>
            <a:t>Practicum placement</a:t>
          </a:r>
        </a:p>
        <a:p>
          <a:pPr rtl="0" fontAlgn="base"/>
          <a:r>
            <a:rPr lang="en-AU" sz="1100" b="0" i="0">
              <a:solidFill>
                <a:schemeClr val="dk1"/>
              </a:solidFill>
              <a:effectLst/>
              <a:latin typeface="+mn-lt"/>
              <a:ea typeface="+mn-ea"/>
              <a:cs typeface="+mn-cs"/>
            </a:rPr>
            <a:t>Students are required to complete at least 80 hours of relevant work experience before completing the degree. The work experience must be in approved professional roles relevant to the degree</a:t>
          </a:r>
          <a:r>
            <a:rPr lang="en-AU" sz="1100" b="0" i="0" baseline="0">
              <a:solidFill>
                <a:schemeClr val="dk1"/>
              </a:solidFill>
              <a:effectLst/>
              <a:latin typeface="+mn-lt"/>
              <a:ea typeface="+mn-ea"/>
              <a:cs typeface="+mn-cs"/>
            </a:rPr>
            <a:t>.</a:t>
          </a:r>
        </a:p>
        <a:p>
          <a:pPr rtl="0" fontAlgn="base"/>
          <a:endParaRPr lang="en-AU" sz="1000">
            <a:effectLst/>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endParaRPr lang="en-AU" sz="1000">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96425"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xdr:colOff>
      <xdr:row>2</xdr:row>
      <xdr:rowOff>238126</xdr:rowOff>
    </xdr:from>
    <xdr:to>
      <xdr:col>21</xdr:col>
      <xdr:colOff>361951</xdr:colOff>
      <xdr:row>3</xdr:row>
      <xdr:rowOff>57151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430376" y="238126"/>
          <a:ext cx="2419350" cy="32385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8" totalsRowShown="0" headerRowDxfId="215">
  <autoFilter ref="A4:I8" xr:uid="{00000000-0009-0000-0100-000003000000}"/>
  <tableColumns count="9">
    <tableColumn id="3" xr3:uid="{00000000-0010-0000-0000-000003000000}" name="Choose your Course" dataDxfId="214"/>
    <tableColumn id="1" xr3:uid="{00000000-0010-0000-0000-000001000000}" name="UDC" dataDxfId="213"/>
    <tableColumn id="2" xr3:uid="{00000000-0010-0000-0000-000002000000}" name="SM Version" dataDxfId="212"/>
    <tableColumn id="5" xr3:uid="{00000000-0010-0000-0000-000005000000}" name="SM Effective Date" dataDxfId="211"/>
    <tableColumn id="4" xr3:uid="{00000000-0010-0000-0000-000004000000}" name="Akari Iteration" dataDxfId="210"/>
    <tableColumn id="6" xr3:uid="{00000000-0010-0000-0000-000006000000}" name="Akari Effective Date" dataDxfId="209"/>
    <tableColumn id="7" xr3:uid="{00000000-0010-0000-0000-000007000000}" name="Credit Points" dataDxfId="208"/>
    <tableColumn id="8" xr3:uid="{00000000-0010-0000-0000-000008000000}" name="SM Availabilities" dataDxfId="207"/>
    <tableColumn id="9" xr3:uid="{6969AD84-19E3-42CC-84C8-EA07919725F7}" name="Notes" dataDxfId="206"/>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9000000}" name="TableOSCUANGADCheck" displayName="TableOSCUANGADCheck" ref="Q70:R76" totalsRowShown="0">
  <autoFilter ref="Q70:R76" xr:uid="{00000000-0009-0000-0100-000016000000}"/>
  <tableColumns count="2">
    <tableColumn id="1" xr3:uid="{00000000-0010-0000-0900-000001000000}" name="Column1"/>
    <tableColumn id="2" xr3:uid="{00000000-0010-0000-0900-000002000000}" name="Column2"/>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A000000}" name="TableOSCUCONMS" displayName="TableOSCUCONMS" ref="A78:O84" totalsRowShown="0">
  <autoFilter ref="A78:O84" xr:uid="{00000000-0009-0000-0100-000017000000}"/>
  <sortState xmlns:xlrd2="http://schemas.microsoft.com/office/spreadsheetml/2017/richdata2" ref="A80:R87">
    <sortCondition ref="N10:N18"/>
  </sortState>
  <tableColumns count="15">
    <tableColumn id="1" xr3:uid="{00000000-0010-0000-0A00-000001000000}" name="UDC" dataDxfId="136">
      <calculatedColumnFormula>TableOSCUCONMS[[#This Row],[Study Package Code]]</calculatedColumnFormula>
    </tableColumn>
    <tableColumn id="9" xr3:uid="{00000000-0010-0000-0A00-000009000000}" name="V" dataDxfId="135">
      <calculatedColumnFormula>TableOSCUCONMS[[#This Row],[Ver]]</calculatedColumnFormula>
    </tableColumn>
    <tableColumn id="10" xr3:uid="{00000000-0010-0000-0A00-00000A000000}" name="OUA Code" dataDxfId="134">
      <calculatedColumnFormula>IF(TableOSCUCONMS[[#This Row],[Ver]]&gt;0,_xlfn.TEXTBEFORE(TableOSCUCONMS[[#This Row],[Structure Line]]," "),"")</calculatedColumnFormula>
    </tableColumn>
    <tableColumn id="11" xr3:uid="{00000000-0010-0000-0A00-00000B000000}" name="Unit Title" dataDxfId="133">
      <calculatedColumnFormula>IF(TableOSCUCONMS[[#This Row],[OUA Code]]&lt;&gt;"",_xlfn.TEXTAFTER(TableOSCUCONMS[[#This Row],[Structure Line]]," "),TableOSCUCONMS[[#This Row],[Structure Line]])</calculatedColumnFormula>
    </tableColumn>
    <tableColumn id="12" xr3:uid="{00000000-0010-0000-0A00-00000C000000}" name="CPs" dataDxfId="132">
      <calculatedColumnFormula>TableOSCUCONMS[[#This Row],[Credit Points]]</calculatedColumnFormula>
    </tableColumn>
    <tableColumn id="13" xr3:uid="{00000000-0010-0000-0A00-00000D000000}" name="No."/>
    <tableColumn id="2" xr3:uid="{00000000-0010-0000-0A00-000002000000}" name="Component Type"/>
    <tableColumn id="3" xr3:uid="{00000000-0010-0000-0A00-000003000000}" name="Year Level" dataDxfId="131"/>
    <tableColumn id="4" xr3:uid="{00000000-0010-0000-0A00-000004000000}" name="Study Period"/>
    <tableColumn id="5" xr3:uid="{00000000-0010-0000-0A00-000005000000}" name="Study Package Code"/>
    <tableColumn id="6" xr3:uid="{00000000-0010-0000-0A00-000006000000}" name="Ver" dataDxfId="130"/>
    <tableColumn id="7" xr3:uid="{00000000-0010-0000-0A00-000007000000}" name="Structure Line" dataDxfId="129"/>
    <tableColumn id="8" xr3:uid="{00000000-0010-0000-0A00-000008000000}" name="Credit Points" dataDxfId="128"/>
    <tableColumn id="14" xr3:uid="{00000000-0010-0000-0A00-00000E000000}" name="Effective" dataDxfId="127"/>
    <tableColumn id="15" xr3:uid="{00000000-0010-0000-0A00-00000F000000}" name="Discont." dataDxfId="12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B000000}" name="TableOSCUCONMSCheck" displayName="TableOSCUCONMSCheck" ref="Q78:R84" totalsRowShown="0">
  <autoFilter ref="Q78:R84" xr:uid="{00000000-0009-0000-0100-000018000000}"/>
  <tableColumns count="2">
    <tableColumn id="1" xr3:uid="{00000000-0010-0000-0B00-000001000000}" name="Column1"/>
    <tableColumn id="2" xr3:uid="{00000000-0010-0000-0B00-000002000000}" name="Column2" dataDxfId="125"/>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C000000}" name="TableOSCUDIGDE" displayName="TableOSCUDIGDE" ref="A86:O90" totalsRowShown="0">
  <autoFilter ref="A86:O90" xr:uid="{00000000-0009-0000-0100-000019000000}"/>
  <sortState xmlns:xlrd2="http://schemas.microsoft.com/office/spreadsheetml/2017/richdata2" ref="A88:R95">
    <sortCondition ref="N10:N18"/>
  </sortState>
  <tableColumns count="15">
    <tableColumn id="1" xr3:uid="{00000000-0010-0000-0C00-000001000000}" name="UDC" dataDxfId="124">
      <calculatedColumnFormula>TableOSCUDIGDE[[#This Row],[Study Package Code]]</calculatedColumnFormula>
    </tableColumn>
    <tableColumn id="9" xr3:uid="{00000000-0010-0000-0C00-000009000000}" name="V" dataDxfId="123">
      <calculatedColumnFormula>TableOSCUDIGDE[[#This Row],[Ver]]</calculatedColumnFormula>
    </tableColumn>
    <tableColumn id="10" xr3:uid="{00000000-0010-0000-0C00-00000A000000}" name="OUA Code" dataDxfId="122">
      <calculatedColumnFormula>IF(TableOSCUDIGDE[[#This Row],[Ver]]&gt;0,_xlfn.TEXTBEFORE(TableOSCUDIGDE[[#This Row],[Structure Line]]," "),"")</calculatedColumnFormula>
    </tableColumn>
    <tableColumn id="11" xr3:uid="{00000000-0010-0000-0C00-00000B000000}" name="Unit Title" dataDxfId="121">
      <calculatedColumnFormula>IF(TableOSCUDIGDE[[#This Row],[OUA Code]]&lt;&gt;"",_xlfn.TEXTAFTER(TableOSCUDIGDE[[#This Row],[Structure Line]]," "),TableOSCUDIGDE[[#This Row],[Structure Line]])</calculatedColumnFormula>
    </tableColumn>
    <tableColumn id="12" xr3:uid="{00000000-0010-0000-0C00-00000C000000}" name="CPs" dataDxfId="120">
      <calculatedColumnFormula>TableOSCUDIGDE[[#This Row],[Credit Points]]</calculatedColumnFormula>
    </tableColumn>
    <tableColumn id="13" xr3:uid="{00000000-0010-0000-0C00-00000D000000}" name="No."/>
    <tableColumn id="2" xr3:uid="{00000000-0010-0000-0C00-000002000000}" name="Component Type"/>
    <tableColumn id="3" xr3:uid="{00000000-0010-0000-0C00-000003000000}" name="Year Level" dataDxfId="119"/>
    <tableColumn id="4" xr3:uid="{00000000-0010-0000-0C00-000004000000}" name="Study Period"/>
    <tableColumn id="5" xr3:uid="{00000000-0010-0000-0C00-000005000000}" name="Study Package Code"/>
    <tableColumn id="6" xr3:uid="{00000000-0010-0000-0C00-000006000000}" name="Ver" dataDxfId="118"/>
    <tableColumn id="7" xr3:uid="{00000000-0010-0000-0C00-000007000000}" name="Structure Line" dataDxfId="117"/>
    <tableColumn id="8" xr3:uid="{00000000-0010-0000-0C00-000008000000}" name="Credit Points" dataDxfId="116"/>
    <tableColumn id="14" xr3:uid="{00000000-0010-0000-0C00-00000E000000}" name="Effective" dataDxfId="115"/>
    <tableColumn id="15" xr3:uid="{00000000-0010-0000-0C00-00000F000000}" name="Discont." dataDxfId="114"/>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D000000}" name="TableOSCUDIGDECheck" displayName="TableOSCUDIGDECheck" ref="Q86:R90" totalsRowShown="0">
  <autoFilter ref="Q86:R90" xr:uid="{00000000-0009-0000-0100-00001A000000}"/>
  <tableColumns count="2">
    <tableColumn id="1" xr3:uid="{00000000-0010-0000-0D00-000001000000}" name="Column1"/>
    <tableColumn id="2" xr3:uid="{00000000-0010-0000-0D00-000002000000}" name="Column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E000000}" name="TableOSCUPLGEO" displayName="TableOSCUPLGEO" ref="A92:O98" totalsRowShown="0">
  <autoFilter ref="A92:O98" xr:uid="{00000000-0009-0000-0100-00001B000000}"/>
  <sortState xmlns:xlrd2="http://schemas.microsoft.com/office/spreadsheetml/2017/richdata2" ref="A94:R101">
    <sortCondition ref="N10:N18"/>
  </sortState>
  <tableColumns count="15">
    <tableColumn id="1" xr3:uid="{00000000-0010-0000-0E00-000001000000}" name="UDC" dataDxfId="113">
      <calculatedColumnFormula>TableOSCUPLGEO[[#This Row],[Study Package Code]]</calculatedColumnFormula>
    </tableColumn>
    <tableColumn id="9" xr3:uid="{00000000-0010-0000-0E00-000009000000}" name="V" dataDxfId="112">
      <calculatedColumnFormula>TableOSCUPLGEO[[#This Row],[Ver]]</calculatedColumnFormula>
    </tableColumn>
    <tableColumn id="10" xr3:uid="{00000000-0010-0000-0E00-00000A000000}" name="OUA Code" dataDxfId="111">
      <calculatedColumnFormula>IF(TableOSCUPLGEO[[#This Row],[Ver]]&gt;0,_xlfn.TEXTBEFORE(TableOSCUPLGEO[[#This Row],[Structure Line]]," "),"")</calculatedColumnFormula>
    </tableColumn>
    <tableColumn id="11" xr3:uid="{00000000-0010-0000-0E00-00000B000000}" name="Unit Title" dataDxfId="110">
      <calculatedColumnFormula>IF(TableOSCUPLGEO[[#This Row],[OUA Code]]&lt;&gt;"",_xlfn.TEXTAFTER(TableOSCUPLGEO[[#This Row],[Structure Line]]," "),TableOSCUPLGEO[[#This Row],[Structure Line]])</calculatedColumnFormula>
    </tableColumn>
    <tableColumn id="12" xr3:uid="{00000000-0010-0000-0E00-00000C000000}" name="CPs" dataDxfId="109">
      <calculatedColumnFormula>TableOSCUPLGEO[[#This Row],[Credit Points]]</calculatedColumnFormula>
    </tableColumn>
    <tableColumn id="13" xr3:uid="{00000000-0010-0000-0E00-00000D000000}" name="No."/>
    <tableColumn id="2" xr3:uid="{00000000-0010-0000-0E00-000002000000}" name="Component Type"/>
    <tableColumn id="3" xr3:uid="{00000000-0010-0000-0E00-000003000000}" name="Year Level" dataDxfId="108"/>
    <tableColumn id="4" xr3:uid="{00000000-0010-0000-0E00-000004000000}" name="Study Period"/>
    <tableColumn id="5" xr3:uid="{00000000-0010-0000-0E00-000005000000}" name="Study Package Code"/>
    <tableColumn id="6" xr3:uid="{00000000-0010-0000-0E00-000006000000}" name="Ver" dataDxfId="107"/>
    <tableColumn id="7" xr3:uid="{00000000-0010-0000-0E00-000007000000}" name="Structure Line" dataDxfId="106"/>
    <tableColumn id="8" xr3:uid="{00000000-0010-0000-0E00-000008000000}" name="Credit Points" dataDxfId="105"/>
    <tableColumn id="14" xr3:uid="{00000000-0010-0000-0E00-00000E000000}" name="Effective" dataDxfId="104"/>
    <tableColumn id="15" xr3:uid="{00000000-0010-0000-0E00-00000F000000}" name="Discont." dataDxfId="10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F000000}" name="TableOSCUPLGEOCheck" displayName="TableOSCUPLGEOCheck" ref="Q92:R98" totalsRowShown="0">
  <autoFilter ref="Q92:R98" xr:uid="{00000000-0009-0000-0100-00001C000000}"/>
  <tableColumns count="2">
    <tableColumn id="1" xr3:uid="{00000000-0010-0000-0F00-000001000000}" name="Column1"/>
    <tableColumn id="2" xr3:uid="{00000000-0010-0000-0F00-000002000000}" name="Column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0000000}" name="TableOSEUARCHT" displayName="TableOSEUARCHT" ref="A100:O108" totalsRowShown="0">
  <autoFilter ref="A100:O108" xr:uid="{00000000-0009-0000-0100-00001D000000}"/>
  <sortState xmlns:xlrd2="http://schemas.microsoft.com/office/spreadsheetml/2017/richdata2" ref="A102:R109">
    <sortCondition ref="N10:N18"/>
  </sortState>
  <tableColumns count="15">
    <tableColumn id="1" xr3:uid="{00000000-0010-0000-1000-000001000000}" name="UDC" dataDxfId="102">
      <calculatedColumnFormula>TableOSEUARCHT[[#This Row],[Study Package Code]]</calculatedColumnFormula>
    </tableColumn>
    <tableColumn id="9" xr3:uid="{00000000-0010-0000-1000-000009000000}" name="V" dataDxfId="101">
      <calculatedColumnFormula>TableOSEUARCHT[[#This Row],[Ver]]</calculatedColumnFormula>
    </tableColumn>
    <tableColumn id="10" xr3:uid="{00000000-0010-0000-1000-00000A000000}" name="OUA Code" dataDxfId="100">
      <calculatedColumnFormula>IF(TableOSEUARCHT[[#This Row],[Ver]]&gt;0,_xlfn.TEXTBEFORE(TableOSEUARCHT[[#This Row],[Structure Line]]," "),"")</calculatedColumnFormula>
    </tableColumn>
    <tableColumn id="11" xr3:uid="{00000000-0010-0000-1000-00000B000000}" name="Unit Title" dataDxfId="99">
      <calculatedColumnFormula>IF(TableOSEUARCHT[[#This Row],[OUA Code]]&lt;&gt;"",_xlfn.TEXTAFTER(TableOSEUARCHT[[#This Row],[Structure Line]]," "),TableOSEUARCHT[[#This Row],[Structure Line]])</calculatedColumnFormula>
    </tableColumn>
    <tableColumn id="12" xr3:uid="{00000000-0010-0000-1000-00000C000000}" name="CPs" dataDxfId="98">
      <calculatedColumnFormula>TableOSEUARCHT[[#This Row],[Credit Points]]</calculatedColumnFormula>
    </tableColumn>
    <tableColumn id="13" xr3:uid="{00000000-0010-0000-1000-00000D000000}" name="No."/>
    <tableColumn id="2" xr3:uid="{00000000-0010-0000-1000-000002000000}" name="Component Type"/>
    <tableColumn id="3" xr3:uid="{00000000-0010-0000-1000-000003000000}" name="Year Level" dataDxfId="97"/>
    <tableColumn id="4" xr3:uid="{00000000-0010-0000-1000-000004000000}" name="Study Period"/>
    <tableColumn id="5" xr3:uid="{00000000-0010-0000-1000-000005000000}" name="Study Package Code"/>
    <tableColumn id="6" xr3:uid="{00000000-0010-0000-1000-000006000000}" name="Ver" dataDxfId="96"/>
    <tableColumn id="7" xr3:uid="{00000000-0010-0000-1000-000007000000}" name="Structure Line" dataDxfId="95"/>
    <tableColumn id="8" xr3:uid="{00000000-0010-0000-1000-000008000000}" name="Credit Points" dataDxfId="94"/>
    <tableColumn id="14" xr3:uid="{00000000-0010-0000-1000-00000E000000}" name="Effective" dataDxfId="93"/>
    <tableColumn id="15" xr3:uid="{00000000-0010-0000-1000-00000F000000}" name="Discont." dataDxfId="92"/>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1000000}" name="TableOSEUARCHTCheck" displayName="TableOSEUARCHTCheck" ref="Q100:R108" totalsRowShown="0">
  <autoFilter ref="Q100:R108" xr:uid="{00000000-0009-0000-0100-00001E000000}"/>
  <tableColumns count="2">
    <tableColumn id="1" xr3:uid="{00000000-0010-0000-1100-000001000000}" name="Column1"/>
    <tableColumn id="2" xr3:uid="{00000000-0010-0000-1100-000002000000}" name="Column2"/>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2000000}" name="TableOUINDSGN1" displayName="TableOUINDSGN1" ref="A111:O138" totalsRowShown="0">
  <autoFilter ref="A111:O138" xr:uid="{00000000-0009-0000-0100-00001F000000}"/>
  <sortState xmlns:xlrd2="http://schemas.microsoft.com/office/spreadsheetml/2017/richdata2" ref="A110:R113">
    <sortCondition ref="O2:O6"/>
  </sortState>
  <tableColumns count="15">
    <tableColumn id="1" xr3:uid="{00000000-0010-0000-1200-000001000000}" name="UDC" dataDxfId="91">
      <calculatedColumnFormula>TableOUINDSGN1[[#This Row],[Study Package Code]]</calculatedColumnFormula>
    </tableColumn>
    <tableColumn id="9" xr3:uid="{00000000-0010-0000-1200-000009000000}" name="V" dataDxfId="90">
      <calculatedColumnFormula>TableOUINDSGN1[[#This Row],[Ver]]</calculatedColumnFormula>
    </tableColumn>
    <tableColumn id="10" xr3:uid="{00000000-0010-0000-1200-00000A000000}" name="OUA Code" dataDxfId="89">
      <calculatedColumnFormula>IF(TableOUINDSGN1[[#This Row],[Ver]]&gt;0,_xlfn.TEXTBEFORE(TableOUINDSGN1[[#This Row],[Structure Line]]," "),"")</calculatedColumnFormula>
    </tableColumn>
    <tableColumn id="11" xr3:uid="{00000000-0010-0000-1200-00000B000000}" name="Unit Title" dataDxfId="88">
      <calculatedColumnFormula>IF(TableOUINDSGN1[[#This Row],[OUA Code]]&lt;&gt;"",_xlfn.TEXTAFTER(TableOUINDSGN1[[#This Row],[Structure Line]]," "),TableOUINDSGN1[[#This Row],[Structure Line]])</calculatedColumnFormula>
    </tableColumn>
    <tableColumn id="12" xr3:uid="{00000000-0010-0000-1200-00000C000000}" name="CPs" dataDxfId="87">
      <calculatedColumnFormula>TableOUINDSGN1[[#This Row],[Credit Points]]</calculatedColumnFormula>
    </tableColumn>
    <tableColumn id="13" xr3:uid="{00000000-0010-0000-1200-00000D000000}" name="No."/>
    <tableColumn id="2" xr3:uid="{00000000-0010-0000-1200-000002000000}" name="Component Type"/>
    <tableColumn id="3" xr3:uid="{00000000-0010-0000-1200-000003000000}" name="Year Level" dataDxfId="86"/>
    <tableColumn id="4" xr3:uid="{00000000-0010-0000-1200-000004000000}" name="Study Period"/>
    <tableColumn id="5" xr3:uid="{00000000-0010-0000-1200-000005000000}" name="Study Package Code"/>
    <tableColumn id="6" xr3:uid="{00000000-0010-0000-1200-000006000000}" name="Ver" dataDxfId="85"/>
    <tableColumn id="7" xr3:uid="{00000000-0010-0000-1200-000007000000}" name="Structure Line" dataDxfId="84"/>
    <tableColumn id="8" xr3:uid="{00000000-0010-0000-1200-000008000000}" name="Credit Points" dataDxfId="83"/>
    <tableColumn id="14" xr3:uid="{00000000-0010-0000-1200-00000E000000}" name="Effective" dataDxfId="82"/>
    <tableColumn id="15" xr3:uid="{00000000-0010-0000-1200-00000F000000}" name="Discont." dataDxfId="8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1:E15" totalsRowShown="0" dataDxfId="205">
  <autoFilter ref="A11:E15" xr:uid="{00000000-0009-0000-0100-000004000000}"/>
  <tableColumns count="5">
    <tableColumn id="1" xr3:uid="{00000000-0010-0000-0100-000001000000}" name="Choose your commencing study period (drop-down list)" dataDxfId="204"/>
    <tableColumn id="2" xr3:uid="{00000000-0010-0000-0100-000002000000}" name="START" dataDxfId="203"/>
    <tableColumn id="3" xr3:uid="{00000000-0010-0000-0100-000003000000}" name="Next" dataDxfId="202"/>
    <tableColumn id="4" xr3:uid="{00000000-0010-0000-0100-000004000000}" name="Next2" dataDxfId="201"/>
    <tableColumn id="5" xr3:uid="{00000000-0010-0000-0100-000005000000}" name="Next3" dataDxfId="20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3000000}" name="TableOUINDSGN1Check" displayName="TableOUINDSGN1Check" ref="Q111:R138" totalsRowShown="0">
  <autoFilter ref="Q111:R138" xr:uid="{00000000-0009-0000-0100-000020000000}"/>
  <tableColumns count="2">
    <tableColumn id="1" xr3:uid="{00000000-0010-0000-1300-000001000000}" name="Column1"/>
    <tableColumn id="2" xr3:uid="{00000000-0010-0000-1300-000002000000}" name="Column2"/>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C88A82-AD96-45C5-B51B-19876E8F7BA4}" name="TableOBINDSGN" displayName="TableOBINDSGN" ref="A140:O166" totalsRowShown="0">
  <autoFilter ref="A140:O166" xr:uid="{40C88A82-AD96-45C5-B51B-19876E8F7BA4}"/>
  <sortState xmlns:xlrd2="http://schemas.microsoft.com/office/spreadsheetml/2017/richdata2" ref="A141:R144">
    <sortCondition ref="O2:O6"/>
  </sortState>
  <tableColumns count="15">
    <tableColumn id="1" xr3:uid="{3E95EA1E-06A3-48D0-8E33-4C50013FF38F}" name="UDC" dataDxfId="80">
      <calculatedColumnFormula>TableOBINDSGN[[#This Row],[Study Package Code]]</calculatedColumnFormula>
    </tableColumn>
    <tableColumn id="9" xr3:uid="{4A19F922-58FD-45FE-A75F-18F124130A09}" name="V" dataDxfId="79">
      <calculatedColumnFormula>TableOBINDSGN[[#This Row],[Ver]]</calculatedColumnFormula>
    </tableColumn>
    <tableColumn id="10" xr3:uid="{4E0B1411-16C0-4EAF-97EA-3565E0D4AFA3}" name="OUA Code" dataDxfId="78">
      <calculatedColumnFormula>IF(TableOBINDSGN[[#This Row],[Ver]]&gt;0,_xlfn.TEXTBEFORE(TableOBINDSGN[[#This Row],[Structure Line]]," "),"")</calculatedColumnFormula>
    </tableColumn>
    <tableColumn id="11" xr3:uid="{940D0EFD-9DDF-4F3D-A86A-4F8EB4B49227}" name="Unit Title" dataDxfId="77">
      <calculatedColumnFormula>IF(TableOBINDSGN[[#This Row],[OUA Code]]&lt;&gt;"",_xlfn.TEXTAFTER(TableOBINDSGN[[#This Row],[Structure Line]]," "),TableOBINDSGN[[#This Row],[Structure Line]])</calculatedColumnFormula>
    </tableColumn>
    <tableColumn id="12" xr3:uid="{8404D582-0978-4DAE-A890-7BF863C8950F}" name="CPs" dataDxfId="76">
      <calculatedColumnFormula>TableOBINDSGN[[#This Row],[Credit Points]]</calculatedColumnFormula>
    </tableColumn>
    <tableColumn id="13" xr3:uid="{D1D9F658-D651-4041-BB63-7771AB866906}" name="No."/>
    <tableColumn id="2" xr3:uid="{42A6CDDB-4EDA-447A-B286-986E6EF7A6F1}" name="Component Type"/>
    <tableColumn id="3" xr3:uid="{80F1DB5B-6B06-4BFE-970F-581AFB2498F1}" name="Year Level" dataDxfId="75"/>
    <tableColumn id="4" xr3:uid="{E3C7F9D2-F104-4183-8265-713FAF3667CB}" name="Study Period"/>
    <tableColumn id="5" xr3:uid="{AB5740DC-550C-4F77-9F4D-24396930DFFC}" name="Study Package Code"/>
    <tableColumn id="6" xr3:uid="{CEB3EA0F-1089-49D7-810E-2D6624F81CA6}" name="Ver" dataDxfId="74"/>
    <tableColumn id="7" xr3:uid="{24FF1855-FACB-4D2A-9CB6-A2B228C84D3C}" name="Structure Line" dataDxfId="73"/>
    <tableColumn id="8" xr3:uid="{62A3B1F5-3D0E-40CC-8238-DC58E1BA9889}" name="Credit Points" dataDxfId="72"/>
    <tableColumn id="14" xr3:uid="{E184AFE2-4D37-4340-8FDD-A9EE56B1B31D}" name="Effective" dataDxfId="71"/>
    <tableColumn id="15" xr3:uid="{285DFEF8-44EB-4BB5-9A42-994DA9421D7A}" name="Discont." dataDxfId="7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BFBC94E-4F7C-4668-B157-3C10280437A2}" name="TableOBINDSGNCheck" displayName="TableOBINDSGNCheck" ref="Q140:R166" totalsRowShown="0">
  <autoFilter ref="Q140:R166" xr:uid="{1BFBC94E-4F7C-4668-B157-3C10280437A2}"/>
  <tableColumns count="2">
    <tableColumn id="1" xr3:uid="{035C2371-9CBD-4AAC-9634-BB2253DFA9A3}" name="Column1"/>
    <tableColumn id="2" xr3:uid="{54AD00F4-87E8-4555-9D68-67DF86DD3072}" name="Column2"/>
  </tableColumns>
  <tableStyleInfo name="TableStyleLight4"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6000000}" name="TableAvailabilities" displayName="TableAvailabilities" ref="A3:E51" totalsRowShown="0">
  <autoFilter ref="A3:E51" xr:uid="{00000000-0009-0000-0100-00000D000000}"/>
  <sortState xmlns:xlrd2="http://schemas.microsoft.com/office/spreadsheetml/2017/richdata2" ref="A4:E49">
    <sortCondition ref="A3:A49"/>
  </sortState>
  <tableColumns count="5">
    <tableColumn id="1" xr3:uid="{00000000-0010-0000-1600-000001000000}" name="Row Labels"/>
    <tableColumn id="2" xr3:uid="{00000000-0010-0000-1600-000002000000}" name="OpenUnis SP 1" dataDxfId="69"/>
    <tableColumn id="3" xr3:uid="{00000000-0010-0000-1600-000003000000}" name="OpenUnis SP 2" dataDxfId="68"/>
    <tableColumn id="4" xr3:uid="{00000000-0010-0000-1600-000004000000}" name="OpenUnis SP 3" dataDxfId="67"/>
    <tableColumn id="5" xr3:uid="{00000000-0010-0000-1600-000005000000}" name="OpenUnis SP 4" dataDxfId="66"/>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Specialisations" displayName="TableSpecialisations" ref="A18:G23" totalsRowShown="0" dataDxfId="199">
  <autoFilter ref="A18:G23" xr:uid="{00000000-0009-0000-0100-000005000000}"/>
  <tableColumns count="7">
    <tableColumn id="1" xr3:uid="{00000000-0010-0000-0200-000001000000}" name="Choose your Specialisation (drop-down list)" dataDxfId="198"/>
    <tableColumn id="2" xr3:uid="{00000000-0010-0000-0200-000002000000}" name="UDC" dataDxfId="197"/>
    <tableColumn id="3" xr3:uid="{00000000-0010-0000-0200-000003000000}" name="SM Version" dataDxfId="196">
      <calculatedColumnFormula>B56</calculatedColumnFormula>
    </tableColumn>
    <tableColumn id="4" xr3:uid="{00000000-0010-0000-0200-000004000000}" name="SM Effective Date" dataDxfId="195"/>
    <tableColumn id="5" xr3:uid="{00000000-0010-0000-0200-000005000000}" name="Akari Iteration" dataDxfId="194"/>
    <tableColumn id="6" xr3:uid="{00000000-0010-0000-0200-000006000000}" name="Akari Effective Date" dataDxfId="193"/>
    <tableColumn id="7" xr3:uid="{00000000-0010-0000-0200-000007000000}" name="Credit Points" dataDxfId="19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T80" totalsRowShown="0" headerRowDxfId="191" dataDxfId="190">
  <autoFilter ref="A2:T80" xr:uid="{00000000-0009-0000-0100-000002000000}"/>
  <sortState xmlns:xlrd2="http://schemas.microsoft.com/office/spreadsheetml/2017/richdata2" ref="A3:T80">
    <sortCondition ref="A2:A80"/>
  </sortState>
  <tableColumns count="20">
    <tableColumn id="1" xr3:uid="{00000000-0010-0000-0300-000001000000}" name="UDC" dataDxfId="189"/>
    <tableColumn id="2" xr3:uid="{00000000-0010-0000-0300-000002000000}" name="Ver" dataDxfId="188"/>
    <tableColumn id="3" xr3:uid="{00000000-0010-0000-0300-000003000000}" name="OUA Cd" dataDxfId="187"/>
    <tableColumn id="4" xr3:uid="{00000000-0010-0000-0300-000004000000}" name="Title" dataDxfId="186"/>
    <tableColumn id="5" xr3:uid="{00000000-0010-0000-0300-000005000000}" name="Credits" dataDxfId="185"/>
    <tableColumn id="6" xr3:uid="{00000000-0010-0000-0300-000006000000}" name="Pre-reqs (7/11/2025)" dataDxfId="184"/>
    <tableColumn id="12" xr3:uid="{00000000-0010-0000-0300-00000C000000}" name="SP1" dataDxfId="183">
      <calculatedColumnFormula>IFERROR(IF(VLOOKUP(TableHandbook[[#This Row],[UDC]],TableAvailabilities[],2,FALSE)&gt;0,"Y",""),"")</calculatedColumnFormula>
    </tableColumn>
    <tableColumn id="13" xr3:uid="{00000000-0010-0000-0300-00000D000000}" name="SP2" dataDxfId="182">
      <calculatedColumnFormula>IFERROR(IF(VLOOKUP(TableHandbook[[#This Row],[UDC]],TableAvailabilities[],3,FALSE)&gt;0,"Y",""),"")</calculatedColumnFormula>
    </tableColumn>
    <tableColumn id="14" xr3:uid="{00000000-0010-0000-0300-00000E000000}" name="SP3" dataDxfId="181">
      <calculatedColumnFormula>IFERROR(IF(VLOOKUP(TableHandbook[[#This Row],[UDC]],TableAvailabilities[],4,FALSE)&gt;0,"Y",""),"")</calculatedColumnFormula>
    </tableColumn>
    <tableColumn id="15" xr3:uid="{00000000-0010-0000-0300-00000F000000}" name="SP4" dataDxfId="180">
      <calculatedColumnFormula>IFERROR(IF(VLOOKUP(TableHandbook[[#This Row],[UDC]],TableAvailabilities[],5,FALSE)&gt;0,"Y",""),"")</calculatedColumnFormula>
    </tableColumn>
    <tableColumn id="16" xr3:uid="{00000000-0010-0000-0300-000010000000}" name="Notes" dataDxfId="179"/>
    <tableColumn id="8" xr3:uid="{00000000-0010-0000-0300-000008000000}" name="EO-INARCH" dataDxfId="178">
      <calculatedColumnFormula>IFERROR(VLOOKUP(TableHandbook[[#This Row],[UDC]],TableEOINARCH[],7,FALSE),"")</calculatedColumnFormula>
    </tableColumn>
    <tableColumn id="9" xr3:uid="{00000000-0010-0000-0300-000009000000}" name="EO-INARCH1" dataDxfId="177">
      <calculatedColumnFormula>IFERROR(VLOOKUP(TableHandbook[[#This Row],[UDC]],TableEOINARCH1[],7,FALSE),"")</calculatedColumnFormula>
    </tableColumn>
    <tableColumn id="11" xr3:uid="{00000000-0010-0000-0300-00000B000000}" name="OU-INDSGN1" dataDxfId="176">
      <calculatedColumnFormula>IFERROR(VLOOKUP(TableHandbook[[#This Row],[UDC]],TableOUINDSGN1[],7,FALSE),"")</calculatedColumnFormula>
    </tableColumn>
    <tableColumn id="18" xr3:uid="{00000000-0010-0000-0300-000012000000}" name="OB-INDSGN" dataDxfId="175">
      <calculatedColumnFormula>IFERROR(VLOOKUP(TableHandbook[[#This Row],[UDC]],TableOBINDSGN[],7,FALSE),"")</calculatedColumnFormula>
    </tableColumn>
    <tableColumn id="10" xr3:uid="{00000000-0010-0000-0300-00000A000000}" name="OSCU-ANGAD" dataDxfId="174">
      <calculatedColumnFormula>IFERROR(VLOOKUP(TableHandbook[[#This Row],[UDC]],TableOSCUANGAD[],7,FALSE),"")</calculatedColumnFormula>
    </tableColumn>
    <tableColumn id="20" xr3:uid="{00000000-0010-0000-0300-000014000000}" name="OSCU-CONMS" dataDxfId="173">
      <calculatedColumnFormula>IFERROR(VLOOKUP(TableHandbook[[#This Row],[UDC]],TableOSCUCONMS[],7,FALSE),"")</calculatedColumnFormula>
    </tableColumn>
    <tableColumn id="21" xr3:uid="{00000000-0010-0000-0300-000015000000}" name="OSCU-DIGDE" dataDxfId="172">
      <calculatedColumnFormula>IFERROR(VLOOKUP(TableHandbook[[#This Row],[UDC]],TableOSCUDIGDE[],7,FALSE),"")</calculatedColumnFormula>
    </tableColumn>
    <tableColumn id="17" xr3:uid="{00000000-0010-0000-0300-000011000000}" name="OSCU-PLGEO" dataDxfId="171">
      <calculatedColumnFormula>IFERROR(VLOOKUP(TableHandbook[[#This Row],[UDC]],TableOSCUPLGEO[],7,FALSE),"")</calculatedColumnFormula>
    </tableColumn>
    <tableColumn id="7" xr3:uid="{00000000-0010-0000-0300-000007000000}" name="OSEU-ARCHT" dataDxfId="170">
      <calculatedColumnFormula>IFERROR(VLOOKUP(TableHandbook[[#This Row],[UDC]],TableOSEUARCHT[],7,FALSE),"")</calculatedColumnFormula>
    </tableColumn>
  </tableColumns>
  <tableStyleInfo name="TableStyleLight11"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EOINARCH" displayName="TableEOINARCH" ref="A2:O34" totalsRowShown="0">
  <autoFilter ref="A2:O34" xr:uid="{00000000-0009-0000-0100-000001000000}"/>
  <sortState xmlns:xlrd2="http://schemas.microsoft.com/office/spreadsheetml/2017/richdata2" ref="AB3:AS6">
    <sortCondition ref="AP2:AP6"/>
  </sortState>
  <tableColumns count="15">
    <tableColumn id="1" xr3:uid="{00000000-0010-0000-0400-000001000000}" name="UDC" dataDxfId="169">
      <calculatedColumnFormula>TableEOINARCH[[#This Row],[Study Package Code]]</calculatedColumnFormula>
    </tableColumn>
    <tableColumn id="9" xr3:uid="{00000000-0010-0000-0400-000009000000}" name="V" dataDxfId="168">
      <calculatedColumnFormula>TableEOINARCH[[#This Row],[Ver]]</calculatedColumnFormula>
    </tableColumn>
    <tableColumn id="10" xr3:uid="{00000000-0010-0000-0400-00000A000000}" name="OUA Code" dataDxfId="167">
      <calculatedColumnFormula>IF(TableEOINARCH[[#This Row],[Ver]]&gt;0,_xlfn.TEXTBEFORE(TableEOINARCH[[#This Row],[Structure Line]]," "),"")</calculatedColumnFormula>
    </tableColumn>
    <tableColumn id="11" xr3:uid="{00000000-0010-0000-0400-00000B000000}" name="Unit Title" dataDxfId="166">
      <calculatedColumnFormula>IF(TableEOINARCH[[#This Row],[OUA Code]]&lt;&gt;"",_xlfn.TEXTAFTER(TableEOINARCH[[#This Row],[Structure Line]]," "),TableEOINARCH[[#This Row],[Structure Line]])</calculatedColumnFormula>
    </tableColumn>
    <tableColumn id="12" xr3:uid="{00000000-0010-0000-0400-00000C000000}" name="CPs" dataDxfId="165">
      <calculatedColumnFormula>TableEOINARCH[[#This Row],[Credit Points]]</calculatedColumnFormula>
    </tableColumn>
    <tableColumn id="13" xr3:uid="{00000000-0010-0000-0400-00000D000000}" name="No."/>
    <tableColumn id="2" xr3:uid="{00000000-0010-0000-0400-000002000000}" name="Component Type"/>
    <tableColumn id="3" xr3:uid="{00000000-0010-0000-0400-000003000000}" name="Year Level" dataDxfId="164"/>
    <tableColumn id="4" xr3:uid="{00000000-0010-0000-0400-000004000000}" name="Study Period"/>
    <tableColumn id="5" xr3:uid="{00000000-0010-0000-0400-000005000000}" name="Study Package Code"/>
    <tableColumn id="6" xr3:uid="{00000000-0010-0000-0400-000006000000}" name="Ver" dataDxfId="163"/>
    <tableColumn id="7" xr3:uid="{00000000-0010-0000-0400-000007000000}" name="Structure Line" dataDxfId="162"/>
    <tableColumn id="8" xr3:uid="{00000000-0010-0000-0400-000008000000}" name="Credit Points" dataDxfId="161"/>
    <tableColumn id="14" xr3:uid="{00000000-0010-0000-0400-00000E000000}" name="Effective" dataDxfId="160"/>
    <tableColumn id="15" xr3:uid="{00000000-0010-0000-0400-00000F000000}" name="Discont." dataDxfId="159"/>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EOINARCHCheck" displayName="TableEOINARCHCheck" ref="Q2:R34" totalsRowShown="0">
  <autoFilter ref="Q2:R34" xr:uid="{00000000-0009-0000-0100-00000A000000}"/>
  <tableColumns count="2">
    <tableColumn id="1" xr3:uid="{00000000-0010-0000-0500-000001000000}" name="Column1"/>
    <tableColumn id="2" xr3:uid="{00000000-0010-0000-0500-000002000000}" name="Column2"/>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6000000}" name="TableEOINARCH1" displayName="TableEOINARCH1" ref="A36:O68" totalsRowShown="0">
  <autoFilter ref="A36:O68" xr:uid="{00000000-0009-0000-0100-000013000000}"/>
  <sortState xmlns:xlrd2="http://schemas.microsoft.com/office/spreadsheetml/2017/richdata2" ref="A37:R40">
    <sortCondition ref="O2:O6"/>
  </sortState>
  <tableColumns count="15">
    <tableColumn id="1" xr3:uid="{00000000-0010-0000-0600-000001000000}" name="UDC" dataDxfId="158">
      <calculatedColumnFormula>TableEOINARCH1[[#This Row],[Study Package Code]]</calculatedColumnFormula>
    </tableColumn>
    <tableColumn id="9" xr3:uid="{00000000-0010-0000-0600-000009000000}" name="V" dataDxfId="157">
      <calculatedColumnFormula>TableEOINARCH1[[#This Row],[Ver]]</calculatedColumnFormula>
    </tableColumn>
    <tableColumn id="10" xr3:uid="{00000000-0010-0000-0600-00000A000000}" name="OUA Code" dataDxfId="156">
      <calculatedColumnFormula>IF(TableEOINARCH1[[#This Row],[Ver]]&gt;0,_xlfn.TEXTBEFORE(TableEOINARCH1[[#This Row],[Structure Line]]," "),"")</calculatedColumnFormula>
    </tableColumn>
    <tableColumn id="11" xr3:uid="{00000000-0010-0000-0600-00000B000000}" name="Unit Title" dataDxfId="155">
      <calculatedColumnFormula>IF(TableEOINARCH1[[#This Row],[OUA Code]]&lt;&gt;"",_xlfn.TEXTAFTER(TableEOINARCH1[[#This Row],[Structure Line]]," "),TableEOINARCH1[[#This Row],[Structure Line]])</calculatedColumnFormula>
    </tableColumn>
    <tableColumn id="12" xr3:uid="{00000000-0010-0000-0600-00000C000000}" name="CPs" dataDxfId="154">
      <calculatedColumnFormula>TableEOINARCH1[[#This Row],[Credit Points]]</calculatedColumnFormula>
    </tableColumn>
    <tableColumn id="13" xr3:uid="{00000000-0010-0000-0600-00000D000000}" name="No."/>
    <tableColumn id="2" xr3:uid="{00000000-0010-0000-0600-000002000000}" name="Component Type"/>
    <tableColumn id="3" xr3:uid="{00000000-0010-0000-0600-000003000000}" name="Year Level" dataDxfId="153"/>
    <tableColumn id="4" xr3:uid="{00000000-0010-0000-0600-000004000000}" name="Study Period"/>
    <tableColumn id="5" xr3:uid="{00000000-0010-0000-0600-000005000000}" name="Study Package Code"/>
    <tableColumn id="6" xr3:uid="{00000000-0010-0000-0600-000006000000}" name="Ver" dataDxfId="152"/>
    <tableColumn id="7" xr3:uid="{00000000-0010-0000-0600-000007000000}" name="Structure Line" dataDxfId="151"/>
    <tableColumn id="8" xr3:uid="{00000000-0010-0000-0600-000008000000}" name="Credit Points" dataDxfId="150"/>
    <tableColumn id="14" xr3:uid="{00000000-0010-0000-0600-00000E000000}" name="Effective" dataDxfId="149"/>
    <tableColumn id="15" xr3:uid="{00000000-0010-0000-0600-00000F000000}" name="Discont." dataDxfId="148"/>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7000000}" name="TableEOINARCH1Check" displayName="TableEOINARCH1Check" ref="Q36:R68" totalsRowShown="0">
  <autoFilter ref="Q36:R68" xr:uid="{00000000-0009-0000-0100-000014000000}"/>
  <tableColumns count="2">
    <tableColumn id="1" xr3:uid="{00000000-0010-0000-0700-000001000000}" name="Column1"/>
    <tableColumn id="2" xr3:uid="{00000000-0010-0000-0700-000002000000}" name="Column2"/>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8000000}" name="TableOSCUANGAD" displayName="TableOSCUANGAD" ref="A70:O76" totalsRowShown="0">
  <autoFilter ref="A70:O76" xr:uid="{00000000-0009-0000-0100-000015000000}"/>
  <sortState xmlns:xlrd2="http://schemas.microsoft.com/office/spreadsheetml/2017/richdata2" ref="A72:R79">
    <sortCondition ref="N10:N18"/>
  </sortState>
  <tableColumns count="15">
    <tableColumn id="1" xr3:uid="{00000000-0010-0000-0800-000001000000}" name="UDC" dataDxfId="147">
      <calculatedColumnFormula>TableOSCUANGAD[[#This Row],[Study Package Code]]</calculatedColumnFormula>
    </tableColumn>
    <tableColumn id="9" xr3:uid="{00000000-0010-0000-0800-000009000000}" name="V" dataDxfId="146">
      <calculatedColumnFormula>TableOSCUANGAD[[#This Row],[Ver]]</calculatedColumnFormula>
    </tableColumn>
    <tableColumn id="10" xr3:uid="{00000000-0010-0000-0800-00000A000000}" name="OUA Code" dataDxfId="145">
      <calculatedColumnFormula>IF(TableOSCUANGAD[[#This Row],[Ver]]&gt;0,_xlfn.TEXTBEFORE(TableOSCUANGAD[[#This Row],[Structure Line]]," "),"")</calculatedColumnFormula>
    </tableColumn>
    <tableColumn id="11" xr3:uid="{00000000-0010-0000-0800-00000B000000}" name="Unit Title" dataDxfId="144">
      <calculatedColumnFormula>IF(TableOSCUANGAD[[#This Row],[OUA Code]]&lt;&gt;"",_xlfn.TEXTAFTER(TableOSCUANGAD[[#This Row],[Structure Line]]," "),TableOSCUANGAD[[#This Row],[Structure Line]])</calculatedColumnFormula>
    </tableColumn>
    <tableColumn id="12" xr3:uid="{00000000-0010-0000-0800-00000C000000}" name="CPs" dataDxfId="143">
      <calculatedColumnFormula>TableOSCUANGAD[[#This Row],[Credit Points]]</calculatedColumnFormula>
    </tableColumn>
    <tableColumn id="13" xr3:uid="{00000000-0010-0000-0800-00000D000000}" name="No."/>
    <tableColumn id="2" xr3:uid="{00000000-0010-0000-0800-000002000000}" name="Component Type"/>
    <tableColumn id="3" xr3:uid="{00000000-0010-0000-0800-000003000000}" name="Year Level" dataDxfId="142"/>
    <tableColumn id="4" xr3:uid="{00000000-0010-0000-0800-000004000000}" name="Study Period"/>
    <tableColumn id="5" xr3:uid="{00000000-0010-0000-0800-000005000000}" name="Study Package Code"/>
    <tableColumn id="6" xr3:uid="{00000000-0010-0000-0800-000006000000}" name="Ver" dataDxfId="141"/>
    <tableColumn id="7" xr3:uid="{00000000-0010-0000-0800-000007000000}" name="Structure Line" dataDxfId="140"/>
    <tableColumn id="8" xr3:uid="{00000000-0010-0000-0800-000008000000}" name="Credit Points" dataDxfId="139"/>
    <tableColumn id="14" xr3:uid="{00000000-0010-0000-0800-00000E000000}" name="Effective" dataDxfId="138"/>
    <tableColumn id="15" xr3:uid="{00000000-0010-0000-0800-00000F000000}" name="Discont." dataDxfId="13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18" Type="http://schemas.openxmlformats.org/officeDocument/2006/relationships/table" Target="../tables/table21.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17" Type="http://schemas.openxmlformats.org/officeDocument/2006/relationships/table" Target="../tables/table20.xml"/><Relationship Id="rId2" Type="http://schemas.openxmlformats.org/officeDocument/2006/relationships/table" Target="../tables/table5.xml"/><Relationship Id="rId16" Type="http://schemas.openxmlformats.org/officeDocument/2006/relationships/table" Target="../tables/table19.xml"/><Relationship Id="rId1" Type="http://schemas.openxmlformats.org/officeDocument/2006/relationships/printerSettings" Target="../printerSettings/printerSettings5.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5" Type="http://schemas.openxmlformats.org/officeDocument/2006/relationships/table" Target="../tables/table18.xml"/><Relationship Id="rId10" Type="http://schemas.openxmlformats.org/officeDocument/2006/relationships/table" Target="../tables/table13.xml"/><Relationship Id="rId19" Type="http://schemas.openxmlformats.org/officeDocument/2006/relationships/table" Target="../tables/table22.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73"/>
  <sheetViews>
    <sheetView showGridLines="0" topLeftCell="A3" zoomScaleNormal="100" workbookViewId="0">
      <selection activeCell="D7" sqref="D7"/>
    </sheetView>
  </sheetViews>
  <sheetFormatPr defaultColWidth="9" defaultRowHeight="15" x14ac:dyDescent="0.25"/>
  <cols>
    <col min="1" max="1" width="11.125" style="16" customWidth="1"/>
    <col min="2" max="2" width="3.25" style="16" customWidth="1"/>
    <col min="3" max="3" width="8" style="16" customWidth="1"/>
    <col min="4" max="4" width="52.875" style="15" bestFit="1" customWidth="1"/>
    <col min="5" max="5" width="7.5" style="15" customWidth="1"/>
    <col min="6" max="6" width="21.375" style="15" customWidth="1"/>
    <col min="7" max="7" width="5.625" style="15" customWidth="1"/>
    <col min="8" max="11" width="4.625" style="15" customWidth="1"/>
    <col min="12" max="12" width="18.625" style="15" customWidth="1"/>
    <col min="13" max="13" width="2.5" style="15" hidden="1" customWidth="1"/>
    <col min="14" max="16384" width="9" style="15"/>
  </cols>
  <sheetData>
    <row r="1" spans="1:23" hidden="1" x14ac:dyDescent="0.25">
      <c r="A1" s="11" t="s">
        <v>0</v>
      </c>
      <c r="B1" s="12" t="s">
        <v>1</v>
      </c>
      <c r="C1" s="12" t="s">
        <v>2</v>
      </c>
      <c r="D1" s="13" t="s">
        <v>3</v>
      </c>
      <c r="E1" s="13"/>
      <c r="F1" s="13" t="s">
        <v>4</v>
      </c>
      <c r="G1" s="13" t="s">
        <v>5</v>
      </c>
      <c r="H1" s="14" t="s">
        <v>6</v>
      </c>
      <c r="I1" s="13"/>
      <c r="J1" s="13"/>
      <c r="K1" s="13"/>
      <c r="L1" s="13" t="s">
        <v>7</v>
      </c>
    </row>
    <row r="2" spans="1:23" hidden="1" x14ac:dyDescent="0.25">
      <c r="A2" s="109"/>
      <c r="B2" s="110">
        <v>2</v>
      </c>
      <c r="C2" s="110">
        <v>3</v>
      </c>
      <c r="D2" s="110">
        <v>4</v>
      </c>
      <c r="E2" s="110"/>
      <c r="F2" s="110">
        <v>6</v>
      </c>
      <c r="G2" s="110">
        <v>5</v>
      </c>
      <c r="H2" s="110">
        <v>7</v>
      </c>
      <c r="I2" s="110">
        <v>8</v>
      </c>
      <c r="J2" s="110">
        <v>9</v>
      </c>
      <c r="K2" s="110">
        <v>10</v>
      </c>
      <c r="L2" s="111"/>
    </row>
    <row r="3" spans="1:23" ht="39.950000000000003" customHeight="1" x14ac:dyDescent="0.25">
      <c r="A3" s="223" t="s">
        <v>8</v>
      </c>
      <c r="B3" s="223"/>
      <c r="C3" s="223"/>
      <c r="D3" s="223"/>
      <c r="E3" s="57"/>
      <c r="F3" s="57"/>
      <c r="G3" s="57"/>
      <c r="H3" s="57"/>
      <c r="I3" s="57"/>
      <c r="J3" s="57"/>
      <c r="K3" s="57"/>
      <c r="L3" s="57"/>
    </row>
    <row r="4" spans="1:23" ht="25.5" x14ac:dyDescent="0.25">
      <c r="A4" s="144"/>
      <c r="B4" s="145"/>
      <c r="C4" s="145"/>
      <c r="D4" s="146"/>
      <c r="E4" s="130" t="s">
        <v>9</v>
      </c>
      <c r="F4" s="145"/>
      <c r="G4" s="147"/>
      <c r="H4" s="147"/>
      <c r="I4" s="147"/>
      <c r="J4" s="147"/>
      <c r="K4" s="147"/>
      <c r="L4" s="148"/>
    </row>
    <row r="5" spans="1:23" ht="20.100000000000001" customHeight="1" x14ac:dyDescent="0.25">
      <c r="B5" s="58"/>
      <c r="C5" s="59" t="s">
        <v>10</v>
      </c>
      <c r="D5" s="197" t="s">
        <v>11</v>
      </c>
      <c r="E5" s="60"/>
      <c r="F5" s="59" t="s">
        <v>12</v>
      </c>
      <c r="G5" s="60" t="str">
        <f>IFERROR(CONCATENATE(VLOOKUP(D5,TableCourses[],2,FALSE)," ",VLOOKUP(D5,TableCourses[],3,FALSE)),"")</f>
        <v>EO-INARCH1 v.2</v>
      </c>
      <c r="H5" s="60"/>
      <c r="I5" s="60"/>
      <c r="J5" s="108"/>
      <c r="K5" s="108"/>
      <c r="L5" s="219" t="e">
        <f>CONCATENATE(VLOOKUP(D5,TableCourses[],2,FALSE),VLOOKUP(D7,TableStudyPeriod[],2,FALSE))</f>
        <v>#N/A</v>
      </c>
    </row>
    <row r="6" spans="1:23" ht="20.100000000000001" customHeight="1" x14ac:dyDescent="0.25">
      <c r="B6" s="58"/>
      <c r="C6" s="59" t="s">
        <v>13</v>
      </c>
      <c r="D6" s="55" t="s">
        <v>14</v>
      </c>
      <c r="E6" s="60"/>
      <c r="F6" s="59" t="s">
        <v>15</v>
      </c>
      <c r="G6" s="60" t="str">
        <f>IFERROR(CONCATENATE(VLOOKUP(D6,TableSpecialisations[],2,FALSE)," ",VLOOKUP(D6,TableSpecialisations[],3,FALSE)),"")</f>
        <v/>
      </c>
      <c r="H6" s="60"/>
      <c r="I6" s="60"/>
      <c r="J6" s="108"/>
      <c r="K6" s="108"/>
      <c r="L6" s="219" t="e">
        <f>CONCATENATE(VLOOKUP(D6,TableSpecialisations[],2,FALSE),VLOOKUP(D7,TableStudyPeriod[],2,FALSE))</f>
        <v>#N/A</v>
      </c>
    </row>
    <row r="7" spans="1:23" ht="20.100000000000001" customHeight="1" x14ac:dyDescent="0.25">
      <c r="A7" s="61"/>
      <c r="B7" s="62"/>
      <c r="C7" s="59" t="s">
        <v>16</v>
      </c>
      <c r="D7" s="56" t="s">
        <v>17</v>
      </c>
      <c r="E7" s="63"/>
      <c r="F7" s="59" t="s">
        <v>18</v>
      </c>
      <c r="G7" s="60" t="str">
        <f>IFERROR(VLOOKUP($D$5,TableCourses[],7,FALSE),"")</f>
        <v>800 credit points required</v>
      </c>
      <c r="H7" s="64"/>
      <c r="I7" s="64"/>
      <c r="J7" s="107"/>
      <c r="K7" s="107"/>
      <c r="L7" s="220"/>
      <c r="W7" s="17"/>
    </row>
    <row r="8" spans="1:23" s="19" customFormat="1" ht="14.1" customHeight="1" x14ac:dyDescent="0.25">
      <c r="A8" s="65"/>
      <c r="B8" s="65"/>
      <c r="C8" s="65"/>
      <c r="D8" s="66"/>
      <c r="E8" s="67"/>
      <c r="F8" s="65"/>
      <c r="G8" s="65"/>
      <c r="H8" s="68" t="s">
        <v>19</v>
      </c>
      <c r="I8" s="69"/>
      <c r="J8" s="69"/>
      <c r="K8" s="70"/>
      <c r="L8" s="67"/>
      <c r="M8" s="71"/>
      <c r="N8" s="71"/>
      <c r="O8" s="71"/>
      <c r="W8" s="18"/>
    </row>
    <row r="9" spans="1:23" s="19" customFormat="1" ht="21" x14ac:dyDescent="0.25">
      <c r="A9" s="65" t="s">
        <v>20</v>
      </c>
      <c r="B9" s="65"/>
      <c r="C9" s="65" t="s">
        <v>21</v>
      </c>
      <c r="D9" s="66" t="s">
        <v>3</v>
      </c>
      <c r="E9" s="72" t="s">
        <v>22</v>
      </c>
      <c r="F9" s="65" t="s">
        <v>23</v>
      </c>
      <c r="G9" s="65" t="s">
        <v>24</v>
      </c>
      <c r="H9" s="157" t="s">
        <v>25</v>
      </c>
      <c r="I9" s="158" t="s">
        <v>26</v>
      </c>
      <c r="J9" s="158" t="s">
        <v>27</v>
      </c>
      <c r="K9" s="159" t="s">
        <v>28</v>
      </c>
      <c r="L9" s="65" t="s">
        <v>29</v>
      </c>
      <c r="M9" s="71"/>
      <c r="N9" s="71"/>
      <c r="O9" s="71"/>
      <c r="W9" s="18"/>
    </row>
    <row r="10" spans="1:23" s="21" customFormat="1" ht="20.100000000000001" customHeight="1" x14ac:dyDescent="0.15">
      <c r="A10" s="73" t="str">
        <f>IFERROR(IF(HLOOKUP($L$5,RangeUnitsets,M10,FALSE)=0,"",HLOOKUP($L$5,RangeUnitsets,M10,FALSE)),"")</f>
        <v/>
      </c>
      <c r="B10" s="74" t="str">
        <f>IFERROR(IF(VLOOKUP($A10,TableHandbook[],2,FALSE)=0,"",VLOOKUP($A10,TableHandbook[],2,FALSE)),"")</f>
        <v/>
      </c>
      <c r="C10" s="74" t="str">
        <f>IFERROR(IF(VLOOKUP($A10,TableHandbook[],3,FALSE)=0,"",VLOOKUP($A10,TableHandbook[],3,FALSE)),"")</f>
        <v/>
      </c>
      <c r="D10" s="149" t="str">
        <f>IFERROR(IF(VLOOKUP($A10,TableHandbook[],4,FALSE)=0,"",VLOOKUP($A10,TableHandbook[],4,FALSE)),"")</f>
        <v/>
      </c>
      <c r="E10" s="74" t="str">
        <f>IF(A10="","",VLOOKUP($D$7,TableStudyPeriod[],2,FALSE))</f>
        <v/>
      </c>
      <c r="F10" s="75" t="str">
        <f>IFERROR(IF(VLOOKUP($A10,TableHandbook[],6,FALSE)=0,"",VLOOKUP($A10,TableHandbook[],6,FALSE)),"")</f>
        <v/>
      </c>
      <c r="G10" s="74" t="str">
        <f>IFERROR(IF(VLOOKUP($A10,TableHandbook[],5,FALSE)=0,"",VLOOKUP($A10,TableHandbook[],5,FALSE)),"")</f>
        <v/>
      </c>
      <c r="H10" s="160" t="str">
        <f>IFERROR(VLOOKUP($A10,TableHandbook[],H$2,FALSE),"")</f>
        <v/>
      </c>
      <c r="I10" s="161" t="str">
        <f>IFERROR(VLOOKUP($A10,TableHandbook[],I$2,FALSE),"")</f>
        <v/>
      </c>
      <c r="J10" s="161" t="str">
        <f>IFERROR(VLOOKUP($A10,TableHandbook[],J$2,FALSE),"")</f>
        <v/>
      </c>
      <c r="K10" s="162" t="str">
        <f>IFERROR(VLOOKUP($A10,TableHandbook[],K$2,FALSE),"")</f>
        <v/>
      </c>
      <c r="L10" s="126"/>
      <c r="M10" s="114">
        <v>2</v>
      </c>
      <c r="N10" s="77"/>
      <c r="O10" s="77"/>
      <c r="W10" s="20"/>
    </row>
    <row r="11" spans="1:23" s="21" customFormat="1" ht="20.100000000000001" customHeight="1" x14ac:dyDescent="0.15">
      <c r="A11" s="73" t="str">
        <f>IFERROR(IF(HLOOKUP($L$5,RangeUnitsets,M11,FALSE)=0,"",HLOOKUP($L$5,RangeUnitsets,M11,FALSE)),"")</f>
        <v/>
      </c>
      <c r="B11" s="74" t="str">
        <f>IFERROR(IF(VLOOKUP($A11,TableHandbook[],2,FALSE)=0,"",VLOOKUP($A11,TableHandbook[],2,FALSE)),"")</f>
        <v/>
      </c>
      <c r="C11" s="74" t="str">
        <f>IFERROR(IF(VLOOKUP($A11,TableHandbook[],3,FALSE)=0,"",VLOOKUP($A11,TableHandbook[],3,FALSE)),"")</f>
        <v/>
      </c>
      <c r="D11" s="149" t="str">
        <f>IFERROR(IF(VLOOKUP($A11,TableHandbook[],4,FALSE)=0,"",VLOOKUP($A11,TableHandbook[],4,FALSE)),"")</f>
        <v/>
      </c>
      <c r="E11" s="74" t="str">
        <f>IF(OR(A11="",A11="-"),"",E10)</f>
        <v/>
      </c>
      <c r="F11" s="75" t="str">
        <f>IFERROR(IF(VLOOKUP($A11,TableHandbook[],6,FALSE)=0,"",VLOOKUP($A11,TableHandbook[],6,FALSE)),"")</f>
        <v/>
      </c>
      <c r="G11" s="74" t="str">
        <f>IFERROR(IF(VLOOKUP($A11,TableHandbook[],5,FALSE)=0,"",VLOOKUP($A11,TableHandbook[],5,FALSE)),"")</f>
        <v/>
      </c>
      <c r="H11" s="160" t="str">
        <f>IFERROR(VLOOKUP(A11,TableHandbook[],7,FALSE),"")</f>
        <v/>
      </c>
      <c r="I11" s="161" t="str">
        <f>IFERROR(VLOOKUP(A11,TableHandbook[],8,FALSE),"")</f>
        <v/>
      </c>
      <c r="J11" s="161" t="str">
        <f>IFERROR(VLOOKUP(A11,TableHandbook[],9,FALSE),"")</f>
        <v/>
      </c>
      <c r="K11" s="162" t="str">
        <f>IFERROR(VLOOKUP(A11,TableHandbook[],10,FALSE),"")</f>
        <v/>
      </c>
      <c r="L11" s="126"/>
      <c r="M11" s="114">
        <v>3</v>
      </c>
      <c r="N11" s="77"/>
      <c r="O11" s="77"/>
      <c r="W11" s="20"/>
    </row>
    <row r="12" spans="1:23" s="21" customFormat="1" ht="5.0999999999999996" customHeight="1" x14ac:dyDescent="0.15">
      <c r="A12" s="119"/>
      <c r="B12" s="120"/>
      <c r="C12" s="120"/>
      <c r="D12" s="150"/>
      <c r="E12" s="120"/>
      <c r="F12" s="121"/>
      <c r="G12" s="120"/>
      <c r="H12" s="163"/>
      <c r="I12" s="164"/>
      <c r="J12" s="164"/>
      <c r="K12" s="165"/>
      <c r="L12" s="127"/>
      <c r="M12" s="114"/>
      <c r="N12" s="77"/>
      <c r="O12" s="77"/>
      <c r="P12" s="77"/>
      <c r="W12" s="20"/>
    </row>
    <row r="13" spans="1:23" s="21" customFormat="1" ht="20.100000000000001" customHeight="1" x14ac:dyDescent="0.15">
      <c r="A13" s="73" t="str">
        <f>IFERROR(IF(HLOOKUP($L$5,RangeUnitsets,M13,FALSE)=0,"",HLOOKUP($L$5,RangeUnitsets,M13,FALSE)),"")</f>
        <v/>
      </c>
      <c r="B13" s="74" t="str">
        <f>IFERROR(IF(VLOOKUP($A13,TableHandbook[],2,FALSE)=0,"",VLOOKUP($A13,TableHandbook[],2,FALSE)),"")</f>
        <v/>
      </c>
      <c r="C13" s="74" t="str">
        <f>IFERROR(IF(VLOOKUP($A13,TableHandbook[],3,FALSE)=0,"",VLOOKUP($A13,TableHandbook[],3,FALSE)),"")</f>
        <v/>
      </c>
      <c r="D13" s="149" t="str">
        <f>IFERROR(IF(VLOOKUP($A13,TableHandbook[],4,FALSE)=0,"",VLOOKUP($A13,TableHandbook[],4,FALSE)),"")</f>
        <v/>
      </c>
      <c r="E13" s="74" t="str">
        <f>IF(A13="","",VLOOKUP($D$7,TableStudyPeriod[],3,FALSE))</f>
        <v/>
      </c>
      <c r="F13" s="75" t="str">
        <f>IFERROR(IF(VLOOKUP($A13,TableHandbook[],6,FALSE)=0,"",VLOOKUP($A13,TableHandbook[],6,FALSE)),"")</f>
        <v/>
      </c>
      <c r="G13" s="74" t="str">
        <f>IFERROR(IF(VLOOKUP($A13,TableHandbook[],5,FALSE)=0,"",VLOOKUP($A13,TableHandbook[],5,FALSE)),"")</f>
        <v/>
      </c>
      <c r="H13" s="160" t="str">
        <f>IFERROR(VLOOKUP(A13,TableHandbook[],7,FALSE),"")</f>
        <v/>
      </c>
      <c r="I13" s="161" t="str">
        <f>IFERROR(VLOOKUP(A13,TableHandbook[],8,FALSE),"")</f>
        <v/>
      </c>
      <c r="J13" s="161" t="str">
        <f>IFERROR(VLOOKUP(A13,TableHandbook[],9,FALSE),"")</f>
        <v/>
      </c>
      <c r="K13" s="162" t="str">
        <f>IFERROR(VLOOKUP(A13,TableHandbook[],10,FALSE),"")</f>
        <v/>
      </c>
      <c r="L13" s="128"/>
      <c r="M13" s="114">
        <v>4</v>
      </c>
      <c r="N13" s="77"/>
      <c r="O13" s="77"/>
      <c r="W13" s="20"/>
    </row>
    <row r="14" spans="1:23" s="21" customFormat="1" ht="20.100000000000001" customHeight="1" x14ac:dyDescent="0.15">
      <c r="A14" s="73" t="str">
        <f>IFERROR(IF(HLOOKUP($L$5,RangeUnitsets,M14,FALSE)=0,"",HLOOKUP($L$5,RangeUnitsets,M14,FALSE)),"")</f>
        <v/>
      </c>
      <c r="B14" s="74" t="str">
        <f>IFERROR(IF(VLOOKUP($A14,TableHandbook[],2,FALSE)=0,"",VLOOKUP($A14,TableHandbook[],2,FALSE)),"")</f>
        <v/>
      </c>
      <c r="C14" s="74" t="str">
        <f>IFERROR(IF(VLOOKUP($A14,TableHandbook[],3,FALSE)=0,"",VLOOKUP($A14,TableHandbook[],3,FALSE)),"")</f>
        <v/>
      </c>
      <c r="D14" s="149" t="str">
        <f>IFERROR(IF(VLOOKUP($A14,TableHandbook[],4,FALSE)=0,"",VLOOKUP($A14,TableHandbook[],4,FALSE)),"")</f>
        <v/>
      </c>
      <c r="E14" s="74" t="str">
        <f>IF(OR(A14="",A14="-"),"",E13)</f>
        <v/>
      </c>
      <c r="F14" s="75" t="str">
        <f>IFERROR(IF(VLOOKUP($A14,TableHandbook[],6,FALSE)=0,"",VLOOKUP($A14,TableHandbook[],6,FALSE)),"")</f>
        <v/>
      </c>
      <c r="G14" s="74" t="str">
        <f>IFERROR(IF(VLOOKUP($A14,TableHandbook[],5,FALSE)=0,"",VLOOKUP($A14,TableHandbook[],5,FALSE)),"")</f>
        <v/>
      </c>
      <c r="H14" s="160" t="str">
        <f>IFERROR(VLOOKUP(A14,TableHandbook[],7,FALSE),"")</f>
        <v/>
      </c>
      <c r="I14" s="161" t="str">
        <f>IFERROR(VLOOKUP(A14,TableHandbook[],8,FALSE),"")</f>
        <v/>
      </c>
      <c r="J14" s="161" t="str">
        <f>IFERROR(VLOOKUP(A14,TableHandbook[],9,FALSE),"")</f>
        <v/>
      </c>
      <c r="K14" s="162" t="str">
        <f>IFERROR(VLOOKUP(A14,TableHandbook[],10,FALSE),"")</f>
        <v/>
      </c>
      <c r="L14" s="126"/>
      <c r="M14" s="114">
        <v>5</v>
      </c>
      <c r="N14" s="77"/>
      <c r="O14" s="77"/>
      <c r="W14" s="20"/>
    </row>
    <row r="15" spans="1:23" s="21" customFormat="1" ht="5.0999999999999996" customHeight="1" x14ac:dyDescent="0.15">
      <c r="A15" s="119"/>
      <c r="B15" s="120"/>
      <c r="C15" s="120"/>
      <c r="D15" s="150"/>
      <c r="E15" s="120"/>
      <c r="F15" s="121"/>
      <c r="G15" s="120"/>
      <c r="H15" s="163"/>
      <c r="I15" s="164"/>
      <c r="J15" s="164"/>
      <c r="K15" s="165"/>
      <c r="L15" s="127"/>
      <c r="M15" s="114"/>
      <c r="N15" s="77"/>
      <c r="O15" s="77"/>
      <c r="P15" s="77"/>
      <c r="W15" s="20"/>
    </row>
    <row r="16" spans="1:23" s="21" customFormat="1" ht="20.100000000000001" customHeight="1" x14ac:dyDescent="0.15">
      <c r="A16" s="73" t="str">
        <f>IFERROR(IF(HLOOKUP($L$5,RangeUnitsets,M16,FALSE)=0,"",HLOOKUP($L$5,RangeUnitsets,M16,FALSE)),"")</f>
        <v/>
      </c>
      <c r="B16" s="78" t="str">
        <f>IFERROR(IF(VLOOKUP($A16,TableHandbook[],2,FALSE)=0,"",VLOOKUP($A16,TableHandbook[],2,FALSE)),"")</f>
        <v/>
      </c>
      <c r="C16" s="78" t="str">
        <f>IFERROR(IF(VLOOKUP($A16,TableHandbook[],3,FALSE)=0,"",VLOOKUP($A16,TableHandbook[],3,FALSE)),"")</f>
        <v/>
      </c>
      <c r="D16" s="149" t="str">
        <f>IFERROR(IF(VLOOKUP($A16,TableHandbook[],4,FALSE)=0,"",VLOOKUP($A16,TableHandbook[],4,FALSE)),"")</f>
        <v/>
      </c>
      <c r="E16" s="74" t="str">
        <f>IF(A16="","",VLOOKUP($D$7,TableStudyPeriod[],4,FALSE))</f>
        <v/>
      </c>
      <c r="F16" s="75" t="str">
        <f>IFERROR(IF(VLOOKUP($A16,TableHandbook[],6,FALSE)=0,"",VLOOKUP($A16,TableHandbook[],6,FALSE)),"")</f>
        <v/>
      </c>
      <c r="G16" s="78" t="str">
        <f>IFERROR(IF(VLOOKUP($A16,TableHandbook[],5,FALSE)=0,"",VLOOKUP($A16,TableHandbook[],5,FALSE)),"")</f>
        <v/>
      </c>
      <c r="H16" s="166" t="str">
        <f>IFERROR(VLOOKUP(A16,TableHandbook[],7,FALSE),"")</f>
        <v/>
      </c>
      <c r="I16" s="167" t="str">
        <f>IFERROR(VLOOKUP(A16,TableHandbook[],8,FALSE),"")</f>
        <v/>
      </c>
      <c r="J16" s="167" t="str">
        <f>IFERROR(VLOOKUP(A16,TableHandbook[],9,FALSE),"")</f>
        <v/>
      </c>
      <c r="K16" s="168" t="str">
        <f>IFERROR(VLOOKUP(A16,TableHandbook[],10,FALSE),"")</f>
        <v/>
      </c>
      <c r="L16" s="128"/>
      <c r="M16" s="114">
        <v>6</v>
      </c>
      <c r="N16" s="77"/>
      <c r="O16" s="77"/>
      <c r="W16" s="20"/>
    </row>
    <row r="17" spans="1:23" s="23" customFormat="1" ht="20.100000000000001" customHeight="1" x14ac:dyDescent="0.15">
      <c r="A17" s="73" t="str">
        <f>IFERROR(IF(HLOOKUP($L$5,RangeUnitsets,M17,FALSE)=0,"",HLOOKUP($L$5,RangeUnitsets,M17,FALSE)),"")</f>
        <v/>
      </c>
      <c r="B17" s="78" t="str">
        <f>IFERROR(IF(VLOOKUP($A17,TableHandbook[],2,FALSE)=0,"",VLOOKUP($A17,TableHandbook[],2,FALSE)),"")</f>
        <v/>
      </c>
      <c r="C17" s="78" t="str">
        <f>IFERROR(IF(VLOOKUP($A17,TableHandbook[],3,FALSE)=0,"",VLOOKUP($A17,TableHandbook[],3,FALSE)),"")</f>
        <v/>
      </c>
      <c r="D17" s="149" t="str">
        <f>IFERROR(IF(VLOOKUP($A17,TableHandbook[],4,FALSE)=0,"",VLOOKUP($A17,TableHandbook[],4,FALSE)),"")</f>
        <v/>
      </c>
      <c r="E17" s="74" t="str">
        <f>IF(OR(A17="",A17="-"),"",E16)</f>
        <v/>
      </c>
      <c r="F17" s="75" t="str">
        <f>IFERROR(IF(VLOOKUP($A17,TableHandbook[],6,FALSE)=0,"",VLOOKUP($A17,TableHandbook[],6,FALSE)),"")</f>
        <v/>
      </c>
      <c r="G17" s="78" t="str">
        <f>IFERROR(IF(VLOOKUP($A17,TableHandbook[],5,FALSE)=0,"",VLOOKUP($A17,TableHandbook[],5,FALSE)),"")</f>
        <v/>
      </c>
      <c r="H17" s="166" t="str">
        <f>IFERROR(VLOOKUP(A17,TableHandbook[],7,FALSE),"")</f>
        <v/>
      </c>
      <c r="I17" s="167" t="str">
        <f>IFERROR(VLOOKUP(A17,TableHandbook[],8,FALSE),"")</f>
        <v/>
      </c>
      <c r="J17" s="167" t="str">
        <f>IFERROR(VLOOKUP(A17,TableHandbook[],9,FALSE),"")</f>
        <v/>
      </c>
      <c r="K17" s="168" t="str">
        <f>IFERROR(VLOOKUP(A17,TableHandbook[],10,FALSE),"")</f>
        <v/>
      </c>
      <c r="L17" s="128"/>
      <c r="M17" s="114">
        <v>7</v>
      </c>
      <c r="N17" s="79"/>
      <c r="O17" s="79"/>
      <c r="W17" s="22"/>
    </row>
    <row r="18" spans="1:23" s="21" customFormat="1" ht="5.0999999999999996" customHeight="1" x14ac:dyDescent="0.15">
      <c r="A18" s="119"/>
      <c r="B18" s="120"/>
      <c r="C18" s="120"/>
      <c r="D18" s="150"/>
      <c r="E18" s="120"/>
      <c r="F18" s="121"/>
      <c r="G18" s="120"/>
      <c r="H18" s="163"/>
      <c r="I18" s="164"/>
      <c r="J18" s="164"/>
      <c r="K18" s="165"/>
      <c r="L18" s="127"/>
      <c r="M18" s="114"/>
      <c r="N18" s="77"/>
      <c r="O18" s="77"/>
      <c r="P18" s="77"/>
      <c r="W18" s="20"/>
    </row>
    <row r="19" spans="1:23" s="23" customFormat="1" ht="20.100000000000001" customHeight="1" x14ac:dyDescent="0.15">
      <c r="A19" s="73" t="str">
        <f>IFERROR(IF(HLOOKUP($L$5,RangeUnitsets,M19,FALSE)=0,"",HLOOKUP($L$5,RangeUnitsets,M19,FALSE)),"")</f>
        <v/>
      </c>
      <c r="B19" s="78" t="str">
        <f>IFERROR(IF(VLOOKUP($A19,TableHandbook[],2,FALSE)=0,"",VLOOKUP($A19,TableHandbook[],2,FALSE)),"")</f>
        <v/>
      </c>
      <c r="C19" s="78" t="str">
        <f>IFERROR(IF(VLOOKUP($A19,TableHandbook[],3,FALSE)=0,"",VLOOKUP($A19,TableHandbook[],3,FALSE)),"")</f>
        <v/>
      </c>
      <c r="D19" s="149" t="str">
        <f>IFERROR(IF(VLOOKUP($A19,TableHandbook[],4,FALSE)=0,"",VLOOKUP($A19,TableHandbook[],4,FALSE)),"")</f>
        <v/>
      </c>
      <c r="E19" s="74" t="str">
        <f>IF(A19="","",VLOOKUP($D$7,TableStudyPeriod[],5,FALSE))</f>
        <v/>
      </c>
      <c r="F19" s="75" t="str">
        <f>IFERROR(IF(VLOOKUP($A19,TableHandbook[],6,FALSE)=0,"",VLOOKUP($A19,TableHandbook[],6,FALSE)),"")</f>
        <v/>
      </c>
      <c r="G19" s="78" t="str">
        <f>IFERROR(IF(VLOOKUP($A19,TableHandbook[],5,FALSE)=0,"",VLOOKUP($A19,TableHandbook[],5,FALSE)),"")</f>
        <v/>
      </c>
      <c r="H19" s="166" t="str">
        <f>IFERROR(VLOOKUP(A19,TableHandbook[],7,FALSE),"")</f>
        <v/>
      </c>
      <c r="I19" s="167" t="str">
        <f>IFERROR(VLOOKUP(A19,TableHandbook[],8,FALSE),"")</f>
        <v/>
      </c>
      <c r="J19" s="167" t="str">
        <f>IFERROR(VLOOKUP(A19,TableHandbook[],9,FALSE),"")</f>
        <v/>
      </c>
      <c r="K19" s="168" t="str">
        <f>IFERROR(VLOOKUP(A19,TableHandbook[],10,FALSE),"")</f>
        <v/>
      </c>
      <c r="L19" s="128"/>
      <c r="M19" s="114">
        <v>8</v>
      </c>
      <c r="N19" s="79"/>
      <c r="O19" s="79"/>
      <c r="W19" s="22"/>
    </row>
    <row r="20" spans="1:23" s="23" customFormat="1" ht="20.100000000000001" customHeight="1" x14ac:dyDescent="0.15">
      <c r="A20" s="73" t="str">
        <f>IFERROR(IF(HLOOKUP($L$5,RangeUnitsets,M20,FALSE)=0,"",HLOOKUP($L$5,RangeUnitsets,M20,FALSE)),"")</f>
        <v/>
      </c>
      <c r="B20" s="78" t="str">
        <f>IFERROR(IF(VLOOKUP($A20,TableHandbook[],2,FALSE)=0,"",VLOOKUP($A20,TableHandbook[],2,FALSE)),"")</f>
        <v/>
      </c>
      <c r="C20" s="78" t="str">
        <f>IFERROR(IF(VLOOKUP($A20,TableHandbook[],3,FALSE)=0,"",VLOOKUP($A20,TableHandbook[],3,FALSE)),"")</f>
        <v/>
      </c>
      <c r="D20" s="151" t="str">
        <f>IFERROR(IF(VLOOKUP($A20,TableHandbook[],4,FALSE)=0,"",VLOOKUP($A20,TableHandbook[],4,FALSE)),"")</f>
        <v/>
      </c>
      <c r="E20" s="78" t="str">
        <f>IF(OR(A20="",A20="-"),"",E19)</f>
        <v/>
      </c>
      <c r="F20" s="75" t="str">
        <f>IFERROR(IF(VLOOKUP($A20,TableHandbook[],6,FALSE)=0,"",VLOOKUP($A20,TableHandbook[],6,FALSE)),"")</f>
        <v/>
      </c>
      <c r="G20" s="78" t="str">
        <f>IFERROR(IF(VLOOKUP($A20,TableHandbook[],5,FALSE)=0,"",VLOOKUP($A20,TableHandbook[],5,FALSE)),"")</f>
        <v/>
      </c>
      <c r="H20" s="166" t="str">
        <f>IFERROR(VLOOKUP(A20,TableHandbook[],7,FALSE),"")</f>
        <v/>
      </c>
      <c r="I20" s="167" t="str">
        <f>IFERROR(VLOOKUP(A20,TableHandbook[],8,FALSE),"")</f>
        <v/>
      </c>
      <c r="J20" s="167" t="str">
        <f>IFERROR(VLOOKUP(A20,TableHandbook[],9,FALSE),"")</f>
        <v/>
      </c>
      <c r="K20" s="168" t="str">
        <f>IFERROR(VLOOKUP(A20,TableHandbook[],10,FALSE),"")</f>
        <v/>
      </c>
      <c r="L20" s="128"/>
      <c r="M20" s="114">
        <v>9</v>
      </c>
      <c r="N20" s="79"/>
      <c r="O20" s="79"/>
      <c r="W20" s="22"/>
    </row>
    <row r="21" spans="1:23" s="19" customFormat="1" ht="21" x14ac:dyDescent="0.25">
      <c r="A21" s="65" t="s">
        <v>30</v>
      </c>
      <c r="B21" s="65"/>
      <c r="C21" s="65" t="s">
        <v>21</v>
      </c>
      <c r="D21" s="152" t="s">
        <v>3</v>
      </c>
      <c r="E21" s="72" t="s">
        <v>22</v>
      </c>
      <c r="F21" s="65" t="s">
        <v>23</v>
      </c>
      <c r="G21" s="65" t="s">
        <v>24</v>
      </c>
      <c r="H21" s="157" t="str">
        <f>H$9</f>
        <v>SP1</v>
      </c>
      <c r="I21" s="158" t="str">
        <f t="shared" ref="I21:L21" si="0">I$9</f>
        <v>SP2</v>
      </c>
      <c r="J21" s="158" t="str">
        <f t="shared" si="0"/>
        <v>SP3</v>
      </c>
      <c r="K21" s="159" t="str">
        <f t="shared" si="0"/>
        <v>SP4</v>
      </c>
      <c r="L21" s="65" t="str">
        <f t="shared" si="0"/>
        <v>Notes / Progress</v>
      </c>
      <c r="M21" s="115"/>
      <c r="N21" s="71"/>
      <c r="O21" s="71"/>
      <c r="W21" s="18"/>
    </row>
    <row r="22" spans="1:23" s="21" customFormat="1" ht="20.100000000000001" customHeight="1" x14ac:dyDescent="0.15">
      <c r="A22" s="73" t="str">
        <f>IFERROR(IF(HLOOKUP($L$5,RangeUnitsets,M22,FALSE)=0,"",HLOOKUP($L$5,RangeUnitsets,M22,FALSE)),"")</f>
        <v/>
      </c>
      <c r="B22" s="78" t="str">
        <f>IFERROR(IF(VLOOKUP($A22,TableHandbook[],2,FALSE)=0,"",VLOOKUP($A22,TableHandbook[],2,FALSE)),"")</f>
        <v/>
      </c>
      <c r="C22" s="78" t="str">
        <f>IFERROR(IF(VLOOKUP($A22,TableHandbook[],3,FALSE)=0,"",VLOOKUP($A22,TableHandbook[],3,FALSE)),"")</f>
        <v/>
      </c>
      <c r="D22" s="153" t="str">
        <f>IFERROR(IF(VLOOKUP($A22,TableHandbook[],4,FALSE)=0,"",VLOOKUP($A22,TableHandbook[],4,FALSE)),"")</f>
        <v/>
      </c>
      <c r="E22" s="78" t="str">
        <f>IF(A22="","",VLOOKUP($D$7,TableStudyPeriod[],2,FALSE))</f>
        <v/>
      </c>
      <c r="F22" s="75" t="str">
        <f>IFERROR(IF(VLOOKUP($A22,TableHandbook[],6,FALSE)=0,"",VLOOKUP($A22,TableHandbook[],6,FALSE)),"")</f>
        <v/>
      </c>
      <c r="G22" s="74" t="str">
        <f>IFERROR(IF(VLOOKUP($A22,TableHandbook[],5,FALSE)=0,"",VLOOKUP($A22,TableHandbook[],5,FALSE)),"")</f>
        <v/>
      </c>
      <c r="H22" s="160" t="str">
        <f>IFERROR(VLOOKUP(A22,TableHandbook[],7,FALSE),"")</f>
        <v/>
      </c>
      <c r="I22" s="161" t="str">
        <f>IFERROR(VLOOKUP(A22,TableHandbook[],8,FALSE),"")</f>
        <v/>
      </c>
      <c r="J22" s="161" t="str">
        <f>IFERROR(VLOOKUP(A22,TableHandbook[],9,FALSE),"")</f>
        <v/>
      </c>
      <c r="K22" s="162" t="str">
        <f>IFERROR(VLOOKUP(A22,TableHandbook[],10,FALSE),"")</f>
        <v/>
      </c>
      <c r="L22" s="126"/>
      <c r="M22" s="114">
        <v>10</v>
      </c>
      <c r="N22" s="77"/>
      <c r="O22" s="77"/>
      <c r="W22" s="20"/>
    </row>
    <row r="23" spans="1:23" s="21" customFormat="1" ht="20.100000000000001" customHeight="1" x14ac:dyDescent="0.15">
      <c r="A23" s="73" t="str">
        <f>IFERROR(IF(HLOOKUP($L$5,RangeUnitsets,M23,FALSE)=0,"",HLOOKUP($L$5,RangeUnitsets,M23,FALSE)),"")</f>
        <v/>
      </c>
      <c r="B23" s="78" t="str">
        <f>IFERROR(IF(VLOOKUP($A23,TableHandbook[],2,FALSE)=0,"",VLOOKUP($A23,TableHandbook[],2,FALSE)),"")</f>
        <v/>
      </c>
      <c r="C23" s="78" t="str">
        <f>IFERROR(IF(VLOOKUP($A23,TableHandbook[],3,FALSE)=0,"",VLOOKUP($A23,TableHandbook[],3,FALSE)),"")</f>
        <v/>
      </c>
      <c r="D23" s="151" t="str">
        <f>IFERROR(IF(VLOOKUP($A23,TableHandbook[],4,FALSE)=0,"",VLOOKUP($A23,TableHandbook[],4,FALSE)),"")</f>
        <v/>
      </c>
      <c r="E23" s="78" t="str">
        <f>IF(OR(A23="",A23="-"),"",E22)</f>
        <v/>
      </c>
      <c r="F23" s="75" t="str">
        <f>IFERROR(IF(VLOOKUP($A23,TableHandbook[],6,FALSE)=0,"",VLOOKUP($A23,TableHandbook[],6,FALSE)),"")</f>
        <v/>
      </c>
      <c r="G23" s="74" t="str">
        <f>IFERROR(IF(VLOOKUP($A23,TableHandbook[],5,FALSE)=0,"",VLOOKUP($A23,TableHandbook[],5,FALSE)),"")</f>
        <v/>
      </c>
      <c r="H23" s="160" t="str">
        <f>IFERROR(VLOOKUP(A23,TableHandbook[],7,FALSE),"")</f>
        <v/>
      </c>
      <c r="I23" s="161" t="str">
        <f>IFERROR(VLOOKUP(A23,TableHandbook[],8,FALSE),"")</f>
        <v/>
      </c>
      <c r="J23" s="161" t="str">
        <f>IFERROR(VLOOKUP(A23,TableHandbook[],9,FALSE),"")</f>
        <v/>
      </c>
      <c r="K23" s="162" t="str">
        <f>IFERROR(VLOOKUP(A23,TableHandbook[],10,FALSE),"")</f>
        <v/>
      </c>
      <c r="L23" s="126"/>
      <c r="M23" s="114">
        <v>11</v>
      </c>
      <c r="N23" s="77"/>
      <c r="O23" s="77"/>
      <c r="W23" s="20"/>
    </row>
    <row r="24" spans="1:23" s="21" customFormat="1" ht="5.0999999999999996" customHeight="1" x14ac:dyDescent="0.15">
      <c r="A24" s="119"/>
      <c r="B24" s="120"/>
      <c r="C24" s="120"/>
      <c r="D24" s="150"/>
      <c r="E24" s="120"/>
      <c r="F24" s="121"/>
      <c r="G24" s="120"/>
      <c r="H24" s="163"/>
      <c r="I24" s="164"/>
      <c r="J24" s="164"/>
      <c r="K24" s="165"/>
      <c r="L24" s="127"/>
      <c r="M24" s="114"/>
      <c r="N24" s="77"/>
      <c r="O24" s="77"/>
      <c r="P24" s="77"/>
      <c r="W24" s="20"/>
    </row>
    <row r="25" spans="1:23" s="21" customFormat="1" ht="20.100000000000001" customHeight="1" x14ac:dyDescent="0.15">
      <c r="A25" s="73" t="str">
        <f>IFERROR(IF(HLOOKUP($L$5,RangeUnitsets,M25,FALSE)=0,"",HLOOKUP($L$5,RangeUnitsets,M25,FALSE)),"")</f>
        <v/>
      </c>
      <c r="B25" s="78" t="str">
        <f>IFERROR(IF(VLOOKUP($A25,TableHandbook[],2,FALSE)=0,"",VLOOKUP($A25,TableHandbook[],2,FALSE)),"")</f>
        <v/>
      </c>
      <c r="C25" s="78" t="str">
        <f>IFERROR(IF(VLOOKUP($A25,TableHandbook[],3,FALSE)=0,"",VLOOKUP($A25,TableHandbook[],3,FALSE)),"")</f>
        <v/>
      </c>
      <c r="D25" s="151" t="str">
        <f>IFERROR(IF(VLOOKUP($A25,TableHandbook[],4,FALSE)=0,"",VLOOKUP($A25,TableHandbook[],4,FALSE)),"")</f>
        <v/>
      </c>
      <c r="E25" s="78" t="str">
        <f>IF(A25="","",VLOOKUP($D$7,TableStudyPeriod[],3,FALSE))</f>
        <v/>
      </c>
      <c r="F25" s="75" t="str">
        <f>IFERROR(IF(VLOOKUP($A25,TableHandbook[],6,FALSE)=0,"",VLOOKUP($A25,TableHandbook[],6,FALSE)),"")</f>
        <v/>
      </c>
      <c r="G25" s="74" t="str">
        <f>IFERROR(IF(VLOOKUP($A25,TableHandbook[],5,FALSE)=0,"",VLOOKUP($A25,TableHandbook[],5,FALSE)),"")</f>
        <v/>
      </c>
      <c r="H25" s="160" t="str">
        <f>IFERROR(VLOOKUP(A25,TableHandbook[],7,FALSE),"")</f>
        <v/>
      </c>
      <c r="I25" s="161" t="str">
        <f>IFERROR(VLOOKUP(A25,TableHandbook[],8,FALSE),"")</f>
        <v/>
      </c>
      <c r="J25" s="161" t="str">
        <f>IFERROR(VLOOKUP(A25,TableHandbook[],9,FALSE),"")</f>
        <v/>
      </c>
      <c r="K25" s="162" t="str">
        <f>IFERROR(VLOOKUP(A25,TableHandbook[],10,FALSE),"")</f>
        <v/>
      </c>
      <c r="L25" s="126"/>
      <c r="M25" s="114">
        <v>12</v>
      </c>
      <c r="N25" s="77"/>
      <c r="O25" s="77"/>
      <c r="W25" s="20"/>
    </row>
    <row r="26" spans="1:23" s="21" customFormat="1" ht="20.100000000000001" customHeight="1" x14ac:dyDescent="0.15">
      <c r="A26" s="73" t="str">
        <f>IFERROR(IF(HLOOKUP($L$5,RangeUnitsets,M26,FALSE)=0,"",HLOOKUP($L$5,RangeUnitsets,M26,FALSE)),"")</f>
        <v/>
      </c>
      <c r="B26" s="78" t="str">
        <f>IFERROR(IF(VLOOKUP($A26,TableHandbook[],2,FALSE)=0,"",VLOOKUP($A26,TableHandbook[],2,FALSE)),"")</f>
        <v/>
      </c>
      <c r="C26" s="78" t="str">
        <f>IFERROR(IF(VLOOKUP($A26,TableHandbook[],3,FALSE)=0,"",VLOOKUP($A26,TableHandbook[],3,FALSE)),"")</f>
        <v/>
      </c>
      <c r="D26" s="151" t="str">
        <f>IFERROR(IF(VLOOKUP($A26,TableHandbook[],4,FALSE)=0,"",VLOOKUP($A26,TableHandbook[],4,FALSE)),"")</f>
        <v/>
      </c>
      <c r="E26" s="78" t="str">
        <f>IF(OR(A26="",A26="-"),"",E25)</f>
        <v/>
      </c>
      <c r="F26" s="75" t="str">
        <f>IFERROR(IF(VLOOKUP($A26,TableHandbook[],6,FALSE)=0,"",VLOOKUP($A26,TableHandbook[],6,FALSE)),"")</f>
        <v/>
      </c>
      <c r="G26" s="74" t="str">
        <f>IFERROR(IF(VLOOKUP($A26,TableHandbook[],5,FALSE)=0,"",VLOOKUP($A26,TableHandbook[],5,FALSE)),"")</f>
        <v/>
      </c>
      <c r="H26" s="160" t="str">
        <f>IFERROR(VLOOKUP(A26,TableHandbook[],7,FALSE),"")</f>
        <v/>
      </c>
      <c r="I26" s="161" t="str">
        <f>IFERROR(VLOOKUP(A26,TableHandbook[],8,FALSE),"")</f>
        <v/>
      </c>
      <c r="J26" s="161" t="str">
        <f>IFERROR(VLOOKUP(A26,TableHandbook[],9,FALSE),"")</f>
        <v/>
      </c>
      <c r="K26" s="162" t="str">
        <f>IFERROR(VLOOKUP(A26,TableHandbook[],10,FALSE),"")</f>
        <v/>
      </c>
      <c r="L26" s="126"/>
      <c r="M26" s="114">
        <v>13</v>
      </c>
      <c r="N26" s="77"/>
      <c r="O26" s="77"/>
      <c r="W26" s="20"/>
    </row>
    <row r="27" spans="1:23" s="21" customFormat="1" ht="5.0999999999999996" customHeight="1" x14ac:dyDescent="0.15">
      <c r="A27" s="119"/>
      <c r="B27" s="120"/>
      <c r="C27" s="120"/>
      <c r="D27" s="150"/>
      <c r="E27" s="120"/>
      <c r="F27" s="121"/>
      <c r="G27" s="120"/>
      <c r="H27" s="163"/>
      <c r="I27" s="164"/>
      <c r="J27" s="164"/>
      <c r="K27" s="165"/>
      <c r="L27" s="127"/>
      <c r="M27" s="114"/>
      <c r="N27" s="77"/>
      <c r="O27" s="77"/>
      <c r="P27" s="77"/>
      <c r="W27" s="20"/>
    </row>
    <row r="28" spans="1:23" s="21" customFormat="1" ht="20.100000000000001" customHeight="1" x14ac:dyDescent="0.15">
      <c r="A28" s="73" t="str">
        <f>IFERROR(IF(HLOOKUP($L$5,RangeUnitsets,M28,FALSE)=0,"",HLOOKUP($L$5,RangeUnitsets,M28,FALSE)),"")</f>
        <v/>
      </c>
      <c r="B28" s="78" t="str">
        <f>IFERROR(IF(VLOOKUP($A28,TableHandbook[],2,FALSE)=0,"",VLOOKUP($A28,TableHandbook[],2,FALSE)),"")</f>
        <v/>
      </c>
      <c r="C28" s="78" t="str">
        <f>IFERROR(IF(VLOOKUP($A28,TableHandbook[],3,FALSE)=0,"",VLOOKUP($A28,TableHandbook[],3,FALSE)),"")</f>
        <v/>
      </c>
      <c r="D28" s="151" t="str">
        <f>IFERROR(IF(VLOOKUP($A28,TableHandbook[],4,FALSE)=0,"",VLOOKUP($A28,TableHandbook[],4,FALSE)),"")</f>
        <v/>
      </c>
      <c r="E28" s="78" t="str">
        <f>IF(A28="","",VLOOKUP($D$7,TableStudyPeriod[],4,FALSE))</f>
        <v/>
      </c>
      <c r="F28" s="75" t="str">
        <f>IFERROR(IF(VLOOKUP($A28,TableHandbook[],6,FALSE)=0,"",VLOOKUP($A28,TableHandbook[],6,FALSE)),"")</f>
        <v/>
      </c>
      <c r="G28" s="74" t="str">
        <f>IFERROR(IF(VLOOKUP($A28,TableHandbook[],5,FALSE)=0,"",VLOOKUP($A28,TableHandbook[],5,FALSE)),"")</f>
        <v/>
      </c>
      <c r="H28" s="160" t="str">
        <f>IFERROR(VLOOKUP(A28,TableHandbook[],7,FALSE),"")</f>
        <v/>
      </c>
      <c r="I28" s="161" t="str">
        <f>IFERROR(VLOOKUP(A28,TableHandbook[],8,FALSE),"")</f>
        <v/>
      </c>
      <c r="J28" s="161" t="str">
        <f>IFERROR(VLOOKUP(A28,TableHandbook[],9,FALSE),"")</f>
        <v/>
      </c>
      <c r="K28" s="162" t="str">
        <f>IFERROR(VLOOKUP(A28,TableHandbook[],10,FALSE),"")</f>
        <v/>
      </c>
      <c r="L28" s="126"/>
      <c r="M28" s="114">
        <v>14</v>
      </c>
      <c r="N28" s="77"/>
      <c r="O28" s="77"/>
      <c r="W28" s="20"/>
    </row>
    <row r="29" spans="1:23" s="21" customFormat="1" ht="20.100000000000001" customHeight="1" x14ac:dyDescent="0.15">
      <c r="A29" s="73" t="str">
        <f>IFERROR(IF(HLOOKUP($L$5,RangeUnitsets,M29,FALSE)=0,"",HLOOKUP($L$5,RangeUnitsets,M29,FALSE)),"")</f>
        <v/>
      </c>
      <c r="B29" s="78" t="str">
        <f>IFERROR(IF(VLOOKUP($A29,TableHandbook[],2,FALSE)=0,"",VLOOKUP($A29,TableHandbook[],2,FALSE)),"")</f>
        <v/>
      </c>
      <c r="C29" s="78" t="str">
        <f>IFERROR(IF(VLOOKUP($A29,TableHandbook[],3,FALSE)=0,"",VLOOKUP($A29,TableHandbook[],3,FALSE)),"")</f>
        <v/>
      </c>
      <c r="D29" s="151" t="str">
        <f>IFERROR(IF(VLOOKUP($A29,TableHandbook[],4,FALSE)=0,"",VLOOKUP($A29,TableHandbook[],4,FALSE)),"")</f>
        <v/>
      </c>
      <c r="E29" s="78" t="str">
        <f>IF(OR(A29="",A29="-"),"",E28)</f>
        <v/>
      </c>
      <c r="F29" s="75" t="str">
        <f>IFERROR(IF(VLOOKUP($A29,TableHandbook[],6,FALSE)=0,"",VLOOKUP($A29,TableHandbook[],6,FALSE)),"")</f>
        <v/>
      </c>
      <c r="G29" s="74" t="str">
        <f>IFERROR(IF(VLOOKUP($A29,TableHandbook[],5,FALSE)=0,"",VLOOKUP($A29,TableHandbook[],5,FALSE)),"")</f>
        <v/>
      </c>
      <c r="H29" s="160" t="str">
        <f>IFERROR(VLOOKUP(A29,TableHandbook[],7,FALSE),"")</f>
        <v/>
      </c>
      <c r="I29" s="161" t="str">
        <f>IFERROR(VLOOKUP(A29,TableHandbook[],8,FALSE),"")</f>
        <v/>
      </c>
      <c r="J29" s="161" t="str">
        <f>IFERROR(VLOOKUP(A29,TableHandbook[],9,FALSE),"")</f>
        <v/>
      </c>
      <c r="K29" s="162" t="str">
        <f>IFERROR(VLOOKUP(A29,TableHandbook[],10,FALSE),"")</f>
        <v/>
      </c>
      <c r="L29" s="126"/>
      <c r="M29" s="114">
        <v>15</v>
      </c>
      <c r="N29" s="77"/>
      <c r="O29" s="77"/>
      <c r="W29" s="20"/>
    </row>
    <row r="30" spans="1:23" s="21" customFormat="1" ht="5.0999999999999996" customHeight="1" x14ac:dyDescent="0.15">
      <c r="A30" s="119"/>
      <c r="B30" s="120"/>
      <c r="C30" s="120"/>
      <c r="D30" s="150"/>
      <c r="E30" s="120"/>
      <c r="F30" s="121"/>
      <c r="G30" s="120"/>
      <c r="H30" s="163"/>
      <c r="I30" s="164"/>
      <c r="J30" s="164"/>
      <c r="K30" s="165"/>
      <c r="L30" s="127"/>
      <c r="M30" s="114"/>
      <c r="N30" s="77"/>
      <c r="O30" s="77"/>
      <c r="P30" s="77"/>
      <c r="W30" s="20"/>
    </row>
    <row r="31" spans="1:23" s="23" customFormat="1" ht="20.100000000000001" customHeight="1" x14ac:dyDescent="0.15">
      <c r="A31" s="73" t="str">
        <f>IFERROR(IF(HLOOKUP($L$5,RangeUnitsets,M31,FALSE)=0,"",HLOOKUP($L$5,RangeUnitsets,M31,FALSE)),"")</f>
        <v/>
      </c>
      <c r="B31" s="78" t="str">
        <f>IFERROR(IF(VLOOKUP($A31,TableHandbook[],2,FALSE)=0,"",VLOOKUP($A31,TableHandbook[],2,FALSE)),"")</f>
        <v/>
      </c>
      <c r="C31" s="78" t="str">
        <f>IFERROR(IF(VLOOKUP($A31,TableHandbook[],3,FALSE)=0,"",VLOOKUP($A31,TableHandbook[],3,FALSE)),"")</f>
        <v/>
      </c>
      <c r="D31" s="151" t="str">
        <f>IFERROR(IF(VLOOKUP($A31,TableHandbook[],4,FALSE)=0,"",VLOOKUP($A31,TableHandbook[],4,FALSE)),"")</f>
        <v/>
      </c>
      <c r="E31" s="78" t="str">
        <f>IF(A31="","",VLOOKUP($D$7,TableStudyPeriod[],5,FALSE))</f>
        <v/>
      </c>
      <c r="F31" s="75" t="str">
        <f>IFERROR(IF(VLOOKUP($A31,TableHandbook[],6,FALSE)=0,"",VLOOKUP($A31,TableHandbook[],6,FALSE)),"")</f>
        <v/>
      </c>
      <c r="G31" s="74" t="str">
        <f>IFERROR(IF(VLOOKUP($A31,TableHandbook[],5,FALSE)=0,"",VLOOKUP($A31,TableHandbook[],5,FALSE)),"")</f>
        <v/>
      </c>
      <c r="H31" s="160" t="str">
        <f>IFERROR(VLOOKUP(A31,TableHandbook[],7,FALSE),"")</f>
        <v/>
      </c>
      <c r="I31" s="161" t="str">
        <f>IFERROR(VLOOKUP(A31,TableHandbook[],8,FALSE),"")</f>
        <v/>
      </c>
      <c r="J31" s="161" t="str">
        <f>IFERROR(VLOOKUP(A31,TableHandbook[],9,FALSE),"")</f>
        <v/>
      </c>
      <c r="K31" s="162" t="str">
        <f>IFERROR(VLOOKUP(A31,TableHandbook[],10,FALSE),"")</f>
        <v/>
      </c>
      <c r="L31" s="126"/>
      <c r="M31" s="114">
        <v>16</v>
      </c>
      <c r="N31" s="79"/>
      <c r="O31" s="79"/>
      <c r="W31" s="22"/>
    </row>
    <row r="32" spans="1:23" s="23" customFormat="1" ht="20.100000000000001" customHeight="1" x14ac:dyDescent="0.15">
      <c r="A32" s="73" t="str">
        <f>IFERROR(IF(HLOOKUP($L$5,RangeUnitsets,M32,FALSE)=0,"",HLOOKUP($L$5,RangeUnitsets,M32,FALSE)),"")</f>
        <v/>
      </c>
      <c r="B32" s="78" t="str">
        <f>IFERROR(IF(VLOOKUP($A32,TableHandbook[],2,FALSE)=0,"",VLOOKUP($A32,TableHandbook[],2,FALSE)),"")</f>
        <v/>
      </c>
      <c r="C32" s="78" t="str">
        <f>IFERROR(IF(VLOOKUP($A32,TableHandbook[],3,FALSE)=0,"",VLOOKUP($A32,TableHandbook[],3,FALSE)),"")</f>
        <v/>
      </c>
      <c r="D32" s="151" t="str">
        <f>IFERROR(IF(VLOOKUP($A32,TableHandbook[],4,FALSE)=0,"",VLOOKUP($A32,TableHandbook[],4,FALSE)),"")</f>
        <v/>
      </c>
      <c r="E32" s="74" t="str">
        <f>IF(OR(A32="",A32="-"),"",E31)</f>
        <v/>
      </c>
      <c r="F32" s="75" t="str">
        <f>IFERROR(IF(VLOOKUP($A32,TableHandbook[],6,FALSE)=0,"",VLOOKUP($A32,TableHandbook[],6,FALSE)),"")</f>
        <v/>
      </c>
      <c r="G32" s="74" t="str">
        <f>IFERROR(IF(VLOOKUP($A32,TableHandbook[],5,FALSE)=0,"",VLOOKUP($A32,TableHandbook[],5,FALSE)),"")</f>
        <v/>
      </c>
      <c r="H32" s="160" t="str">
        <f>IFERROR(VLOOKUP(A32,TableHandbook[],7,FALSE),"")</f>
        <v/>
      </c>
      <c r="I32" s="161" t="str">
        <f>IFERROR(VLOOKUP(A32,TableHandbook[],8,FALSE),"")</f>
        <v/>
      </c>
      <c r="J32" s="161" t="str">
        <f>IFERROR(VLOOKUP(A32,TableHandbook[],9,FALSE),"")</f>
        <v/>
      </c>
      <c r="K32" s="162" t="str">
        <f>IFERROR(VLOOKUP(A32,TableHandbook[],10,FALSE),"")</f>
        <v/>
      </c>
      <c r="L32" s="126"/>
      <c r="M32" s="114">
        <v>17</v>
      </c>
      <c r="N32" s="79"/>
      <c r="O32" s="79"/>
      <c r="W32" s="22"/>
    </row>
    <row r="33" spans="1:23" s="19" customFormat="1" ht="21" x14ac:dyDescent="0.25">
      <c r="A33" s="65" t="s">
        <v>31</v>
      </c>
      <c r="B33" s="65"/>
      <c r="C33" s="65" t="s">
        <v>21</v>
      </c>
      <c r="D33" s="152" t="s">
        <v>3</v>
      </c>
      <c r="E33" s="72" t="s">
        <v>22</v>
      </c>
      <c r="F33" s="65" t="s">
        <v>23</v>
      </c>
      <c r="G33" s="65" t="s">
        <v>24</v>
      </c>
      <c r="H33" s="157" t="str">
        <f>H$9</f>
        <v>SP1</v>
      </c>
      <c r="I33" s="158" t="str">
        <f t="shared" ref="I33:L33" si="1">I$9</f>
        <v>SP2</v>
      </c>
      <c r="J33" s="158" t="str">
        <f t="shared" si="1"/>
        <v>SP3</v>
      </c>
      <c r="K33" s="159" t="str">
        <f t="shared" si="1"/>
        <v>SP4</v>
      </c>
      <c r="L33" s="65" t="str">
        <f t="shared" si="1"/>
        <v>Notes / Progress</v>
      </c>
      <c r="M33" s="115"/>
      <c r="N33" s="71"/>
      <c r="O33" s="71"/>
      <c r="W33" s="18"/>
    </row>
    <row r="34" spans="1:23" s="21" customFormat="1" ht="20.100000000000001" customHeight="1" x14ac:dyDescent="0.15">
      <c r="A34" s="73" t="str">
        <f>IFERROR(IF(HLOOKUP($L$5,RangeUnitsets,M34,FALSE)=0,"",HLOOKUP($L$5,RangeUnitsets,M34,FALSE)),"")</f>
        <v/>
      </c>
      <c r="B34" s="78" t="str">
        <f>IFERROR(IF(VLOOKUP($A34,TableHandbook[],2,FALSE)=0,"",VLOOKUP($A34,TableHandbook[],2,FALSE)),"")</f>
        <v/>
      </c>
      <c r="C34" s="78" t="str">
        <f>IFERROR(IF(VLOOKUP($A34,TableHandbook[],3,FALSE)=0,"",VLOOKUP($A34,TableHandbook[],3,FALSE)),"")</f>
        <v/>
      </c>
      <c r="D34" s="153" t="str">
        <f>IFERROR(IF(VLOOKUP($A34,TableHandbook[],4,FALSE)=0,"",VLOOKUP($A34,TableHandbook[],4,FALSE)),"")</f>
        <v/>
      </c>
      <c r="E34" s="78" t="str">
        <f>IF(A34="","",VLOOKUP($D$7,TableStudyPeriod[],2,FALSE))</f>
        <v/>
      </c>
      <c r="F34" s="75" t="str">
        <f>IFERROR(IF(VLOOKUP($A34,TableHandbook[],6,FALSE)=0,"",VLOOKUP($A34,TableHandbook[],6,FALSE)),"")</f>
        <v/>
      </c>
      <c r="G34" s="74" t="str">
        <f>IFERROR(IF(VLOOKUP($A34,TableHandbook[],5,FALSE)=0,"",VLOOKUP($A34,TableHandbook[],5,FALSE)),"")</f>
        <v/>
      </c>
      <c r="H34" s="160" t="str">
        <f>IFERROR(VLOOKUP(A34,TableHandbook[],7,FALSE),"")</f>
        <v/>
      </c>
      <c r="I34" s="161" t="str">
        <f>IFERROR(VLOOKUP(A34,TableHandbook[],8,FALSE),"")</f>
        <v/>
      </c>
      <c r="J34" s="161" t="str">
        <f>IFERROR(VLOOKUP(A34,TableHandbook[],9,FALSE),"")</f>
        <v/>
      </c>
      <c r="K34" s="162" t="str">
        <f>IFERROR(VLOOKUP(A34,TableHandbook[],10,FALSE),"")</f>
        <v/>
      </c>
      <c r="L34" s="126"/>
      <c r="M34" s="114">
        <v>18</v>
      </c>
      <c r="N34" s="77"/>
      <c r="O34" s="77"/>
      <c r="W34" s="20"/>
    </row>
    <row r="35" spans="1:23" s="21" customFormat="1" ht="20.100000000000001" customHeight="1" x14ac:dyDescent="0.15">
      <c r="A35" s="73" t="str">
        <f>IFERROR(IF(HLOOKUP($L$5,RangeUnitsets,M35,FALSE)=0,"",HLOOKUP($L$5,RangeUnitsets,M35,FALSE)),"")</f>
        <v/>
      </c>
      <c r="B35" s="78" t="str">
        <f>IFERROR(IF(VLOOKUP($A35,TableHandbook[],2,FALSE)=0,"",VLOOKUP($A35,TableHandbook[],2,FALSE)),"")</f>
        <v/>
      </c>
      <c r="C35" s="78" t="str">
        <f>IFERROR(IF(VLOOKUP($A35,TableHandbook[],3,FALSE)=0,"",VLOOKUP($A35,TableHandbook[],3,FALSE)),"")</f>
        <v/>
      </c>
      <c r="D35" s="151" t="str">
        <f>IFERROR(IF(VLOOKUP($A35,TableHandbook[],4,FALSE)=0,"",VLOOKUP($A35,TableHandbook[],4,FALSE)),"")</f>
        <v/>
      </c>
      <c r="E35" s="78" t="str">
        <f>IF(OR(A35="",A35="-"),"",E34)</f>
        <v/>
      </c>
      <c r="F35" s="75" t="str">
        <f>IFERROR(IF(VLOOKUP($A35,TableHandbook[],6,FALSE)=0,"",VLOOKUP($A35,TableHandbook[],6,FALSE)),"")</f>
        <v/>
      </c>
      <c r="G35" s="74" t="str">
        <f>IFERROR(IF(VLOOKUP($A35,TableHandbook[],5,FALSE)=0,"",VLOOKUP($A35,TableHandbook[],5,FALSE)),"")</f>
        <v/>
      </c>
      <c r="H35" s="160" t="str">
        <f>IFERROR(VLOOKUP(A35,TableHandbook[],7,FALSE),"")</f>
        <v/>
      </c>
      <c r="I35" s="161" t="str">
        <f>IFERROR(VLOOKUP(A35,TableHandbook[],8,FALSE),"")</f>
        <v/>
      </c>
      <c r="J35" s="161" t="str">
        <f>IFERROR(VLOOKUP(A35,TableHandbook[],9,FALSE),"")</f>
        <v/>
      </c>
      <c r="K35" s="162" t="str">
        <f>IFERROR(VLOOKUP(A35,TableHandbook[],10,FALSE),"")</f>
        <v/>
      </c>
      <c r="L35" s="126"/>
      <c r="M35" s="114">
        <v>19</v>
      </c>
      <c r="N35" s="77"/>
      <c r="O35" s="77"/>
      <c r="W35" s="20"/>
    </row>
    <row r="36" spans="1:23" s="21" customFormat="1" ht="5.0999999999999996" customHeight="1" x14ac:dyDescent="0.15">
      <c r="A36" s="119"/>
      <c r="B36" s="120"/>
      <c r="C36" s="120"/>
      <c r="D36" s="150"/>
      <c r="E36" s="120"/>
      <c r="F36" s="121"/>
      <c r="G36" s="120"/>
      <c r="H36" s="163"/>
      <c r="I36" s="164"/>
      <c r="J36" s="164"/>
      <c r="K36" s="165"/>
      <c r="L36" s="127"/>
      <c r="M36" s="114"/>
      <c r="N36" s="77"/>
      <c r="O36" s="77"/>
      <c r="P36" s="77"/>
      <c r="W36" s="20"/>
    </row>
    <row r="37" spans="1:23" s="21" customFormat="1" ht="20.100000000000001" customHeight="1" x14ac:dyDescent="0.15">
      <c r="A37" s="73" t="str">
        <f>IFERROR(IF(HLOOKUP($L$5,RangeUnitsets,M37,FALSE)=0,"",HLOOKUP($L$5,RangeUnitsets,M37,FALSE)),"")</f>
        <v/>
      </c>
      <c r="B37" s="78" t="str">
        <f>IFERROR(IF(VLOOKUP($A37,TableHandbook[],2,FALSE)=0,"",VLOOKUP($A37,TableHandbook[],2,FALSE)),"")</f>
        <v/>
      </c>
      <c r="C37" s="78" t="str">
        <f>IFERROR(IF(VLOOKUP($A37,TableHandbook[],3,FALSE)=0,"",VLOOKUP($A37,TableHandbook[],3,FALSE)),"")</f>
        <v/>
      </c>
      <c r="D37" s="151" t="str">
        <f>IFERROR(IF(VLOOKUP($A37,TableHandbook[],4,FALSE)=0,"",VLOOKUP($A37,TableHandbook[],4,FALSE)),"")</f>
        <v/>
      </c>
      <c r="E37" s="78" t="str">
        <f>IF(A37="","",VLOOKUP($D$7,TableStudyPeriod[],3,FALSE))</f>
        <v/>
      </c>
      <c r="F37" s="75" t="str">
        <f>IFERROR(IF(VLOOKUP($A37,TableHandbook[],6,FALSE)=0,"",VLOOKUP($A37,TableHandbook[],6,FALSE)),"")</f>
        <v/>
      </c>
      <c r="G37" s="74" t="str">
        <f>IFERROR(IF(VLOOKUP($A37,TableHandbook[],5,FALSE)=0,"",VLOOKUP($A37,TableHandbook[],5,FALSE)),"")</f>
        <v/>
      </c>
      <c r="H37" s="160" t="str">
        <f>IFERROR(VLOOKUP(A37,TableHandbook[],7,FALSE),"")</f>
        <v/>
      </c>
      <c r="I37" s="161" t="str">
        <f>IFERROR(VLOOKUP(A37,TableHandbook[],8,FALSE),"")</f>
        <v/>
      </c>
      <c r="J37" s="161" t="str">
        <f>IFERROR(VLOOKUP(A37,TableHandbook[],9,FALSE),"")</f>
        <v/>
      </c>
      <c r="K37" s="162" t="str">
        <f>IFERROR(VLOOKUP(A37,TableHandbook[],10,FALSE),"")</f>
        <v/>
      </c>
      <c r="L37" s="126"/>
      <c r="M37" s="114">
        <v>20</v>
      </c>
      <c r="N37" s="77"/>
      <c r="O37" s="77"/>
      <c r="W37" s="20"/>
    </row>
    <row r="38" spans="1:23" s="21" customFormat="1" ht="20.100000000000001" customHeight="1" x14ac:dyDescent="0.15">
      <c r="A38" s="73" t="str">
        <f>IFERROR(IF(HLOOKUP($L$5,RangeUnitsets,M38,FALSE)=0,"",HLOOKUP($L$5,RangeUnitsets,M38,FALSE)),"")</f>
        <v/>
      </c>
      <c r="B38" s="78" t="str">
        <f>IFERROR(IF(VLOOKUP($A38,TableHandbook[],2,FALSE)=0,"",VLOOKUP($A38,TableHandbook[],2,FALSE)),"")</f>
        <v/>
      </c>
      <c r="C38" s="78" t="str">
        <f>IFERROR(IF(VLOOKUP($A38,TableHandbook[],3,FALSE)=0,"",VLOOKUP($A38,TableHandbook[],3,FALSE)),"")</f>
        <v/>
      </c>
      <c r="D38" s="151" t="str">
        <f>IFERROR(IF(VLOOKUP($A38,TableHandbook[],4,FALSE)=0,"",VLOOKUP($A38,TableHandbook[],4,FALSE)),"")</f>
        <v/>
      </c>
      <c r="E38" s="78" t="str">
        <f>IF(OR(A38="",A38="-"),"",E37)</f>
        <v/>
      </c>
      <c r="F38" s="75" t="str">
        <f>IFERROR(IF(VLOOKUP($A38,TableHandbook[],6,FALSE)=0,"",VLOOKUP($A38,TableHandbook[],6,FALSE)),"")</f>
        <v/>
      </c>
      <c r="G38" s="74" t="str">
        <f>IFERROR(IF(VLOOKUP($A38,TableHandbook[],5,FALSE)=0,"",VLOOKUP($A38,TableHandbook[],5,FALSE)),"")</f>
        <v/>
      </c>
      <c r="H38" s="160" t="str">
        <f>IFERROR(VLOOKUP(A38,TableHandbook[],7,FALSE),"")</f>
        <v/>
      </c>
      <c r="I38" s="161" t="str">
        <f>IFERROR(VLOOKUP(A38,TableHandbook[],8,FALSE),"")</f>
        <v/>
      </c>
      <c r="J38" s="161" t="str">
        <f>IFERROR(VLOOKUP(A38,TableHandbook[],9,FALSE),"")</f>
        <v/>
      </c>
      <c r="K38" s="162" t="str">
        <f>IFERROR(VLOOKUP(A38,TableHandbook[],10,FALSE),"")</f>
        <v/>
      </c>
      <c r="L38" s="126"/>
      <c r="M38" s="114">
        <v>21</v>
      </c>
      <c r="N38" s="77"/>
      <c r="O38" s="77"/>
      <c r="W38" s="20"/>
    </row>
    <row r="39" spans="1:23" s="21" customFormat="1" ht="5.0999999999999996" customHeight="1" x14ac:dyDescent="0.15">
      <c r="A39" s="119"/>
      <c r="B39" s="120"/>
      <c r="C39" s="120"/>
      <c r="D39" s="150"/>
      <c r="E39" s="120"/>
      <c r="F39" s="121"/>
      <c r="G39" s="120"/>
      <c r="H39" s="163"/>
      <c r="I39" s="164"/>
      <c r="J39" s="164"/>
      <c r="K39" s="165"/>
      <c r="L39" s="127"/>
      <c r="M39" s="114"/>
      <c r="N39" s="77"/>
      <c r="O39" s="77"/>
      <c r="P39" s="77"/>
      <c r="W39" s="20"/>
    </row>
    <row r="40" spans="1:23" s="21" customFormat="1" ht="20.100000000000001" customHeight="1" x14ac:dyDescent="0.15">
      <c r="A40" s="73" t="str">
        <f>IFERROR(IF(HLOOKUP($L$5,RangeUnitsets,M40,FALSE)=0,"",HLOOKUP($L$5,RangeUnitsets,M40,FALSE)),"")</f>
        <v/>
      </c>
      <c r="B40" s="78" t="str">
        <f>IFERROR(IF(VLOOKUP($A40,TableHandbook[],2,FALSE)=0,"",VLOOKUP($A40,TableHandbook[],2,FALSE)),"")</f>
        <v/>
      </c>
      <c r="C40" s="78" t="str">
        <f>IFERROR(IF(VLOOKUP($A40,TableHandbook[],3,FALSE)=0,"",VLOOKUP($A40,TableHandbook[],3,FALSE)),"")</f>
        <v/>
      </c>
      <c r="D40" s="151" t="str">
        <f>IFERROR(IF(VLOOKUP($A40,TableHandbook[],4,FALSE)=0,"",VLOOKUP($A40,TableHandbook[],4,FALSE)),"")</f>
        <v/>
      </c>
      <c r="E40" s="78" t="str">
        <f>IF(A40="","",VLOOKUP($D$7,TableStudyPeriod[],4,FALSE))</f>
        <v/>
      </c>
      <c r="F40" s="75" t="str">
        <f>IFERROR(IF(VLOOKUP($A40,TableHandbook[],6,FALSE)=0,"",VLOOKUP($A40,TableHandbook[],6,FALSE)),"")</f>
        <v/>
      </c>
      <c r="G40" s="74" t="str">
        <f>IFERROR(IF(VLOOKUP($A40,TableHandbook[],5,FALSE)=0,"",VLOOKUP($A40,TableHandbook[],5,FALSE)),"")</f>
        <v/>
      </c>
      <c r="H40" s="160" t="str">
        <f>IFERROR(VLOOKUP(A40,TableHandbook[],7,FALSE),"")</f>
        <v/>
      </c>
      <c r="I40" s="161" t="str">
        <f>IFERROR(VLOOKUP(A40,TableHandbook[],8,FALSE),"")</f>
        <v/>
      </c>
      <c r="J40" s="161" t="str">
        <f>IFERROR(VLOOKUP(A40,TableHandbook[],9,FALSE),"")</f>
        <v/>
      </c>
      <c r="K40" s="162" t="str">
        <f>IFERROR(VLOOKUP(A40,TableHandbook[],10,FALSE),"")</f>
        <v/>
      </c>
      <c r="L40" s="126"/>
      <c r="M40" s="114">
        <v>22</v>
      </c>
      <c r="N40" s="77"/>
      <c r="O40" s="77"/>
      <c r="W40" s="20"/>
    </row>
    <row r="41" spans="1:23" s="21" customFormat="1" ht="20.100000000000001" customHeight="1" x14ac:dyDescent="0.15">
      <c r="A41" s="73" t="str">
        <f>IFERROR(IF(HLOOKUP($L$5,RangeUnitsets,M41,FALSE)=0,"",HLOOKUP($L$5,RangeUnitsets,M41,FALSE)),"")</f>
        <v/>
      </c>
      <c r="B41" s="78" t="str">
        <f>IFERROR(IF(VLOOKUP($A41,TableHandbook[],2,FALSE)=0,"",VLOOKUP($A41,TableHandbook[],2,FALSE)),"")</f>
        <v/>
      </c>
      <c r="C41" s="78" t="str">
        <f>IFERROR(IF(VLOOKUP($A41,TableHandbook[],3,FALSE)=0,"",VLOOKUP($A41,TableHandbook[],3,FALSE)),"")</f>
        <v/>
      </c>
      <c r="D41" s="151" t="str">
        <f>IFERROR(IF(VLOOKUP($A41,TableHandbook[],4,FALSE)=0,"",VLOOKUP($A41,TableHandbook[],4,FALSE)),"")</f>
        <v/>
      </c>
      <c r="E41" s="78" t="str">
        <f>IF(OR(A41="",A41="-"),"",E40)</f>
        <v/>
      </c>
      <c r="F41" s="75" t="str">
        <f>IFERROR(IF(VLOOKUP($A41,TableHandbook[],6,FALSE)=0,"",VLOOKUP($A41,TableHandbook[],6,FALSE)),"")</f>
        <v/>
      </c>
      <c r="G41" s="74" t="str">
        <f>IFERROR(IF(VLOOKUP($A41,TableHandbook[],5,FALSE)=0,"",VLOOKUP($A41,TableHandbook[],5,FALSE)),"")</f>
        <v/>
      </c>
      <c r="H41" s="160" t="str">
        <f>IFERROR(VLOOKUP(A41,TableHandbook[],7,FALSE),"")</f>
        <v/>
      </c>
      <c r="I41" s="161" t="str">
        <f>IFERROR(VLOOKUP(A41,TableHandbook[],8,FALSE),"")</f>
        <v/>
      </c>
      <c r="J41" s="161" t="str">
        <f>IFERROR(VLOOKUP(A41,TableHandbook[],9,FALSE),"")</f>
        <v/>
      </c>
      <c r="K41" s="162" t="str">
        <f>IFERROR(VLOOKUP(A41,TableHandbook[],10,FALSE),"")</f>
        <v/>
      </c>
      <c r="L41" s="126"/>
      <c r="M41" s="114">
        <v>23</v>
      </c>
      <c r="N41" s="77"/>
      <c r="O41" s="77"/>
      <c r="W41" s="20"/>
    </row>
    <row r="42" spans="1:23" s="21" customFormat="1" ht="5.0999999999999996" customHeight="1" x14ac:dyDescent="0.15">
      <c r="A42" s="119"/>
      <c r="B42" s="120"/>
      <c r="C42" s="120"/>
      <c r="D42" s="150"/>
      <c r="E42" s="120"/>
      <c r="F42" s="121"/>
      <c r="G42" s="120"/>
      <c r="H42" s="163"/>
      <c r="I42" s="164"/>
      <c r="J42" s="164"/>
      <c r="K42" s="165"/>
      <c r="L42" s="127"/>
      <c r="M42" s="114"/>
      <c r="N42" s="77"/>
      <c r="O42" s="77"/>
      <c r="P42" s="77"/>
      <c r="W42" s="20"/>
    </row>
    <row r="43" spans="1:23" s="23" customFormat="1" ht="20.100000000000001" customHeight="1" x14ac:dyDescent="0.15">
      <c r="A43" s="73" t="str">
        <f>IFERROR(IF(HLOOKUP($L$5,RangeUnitsets,M43,FALSE)=0,"",HLOOKUP($L$5,RangeUnitsets,M43,FALSE)),"")</f>
        <v/>
      </c>
      <c r="B43" s="78" t="str">
        <f>IFERROR(IF(VLOOKUP($A43,TableHandbook[],2,FALSE)=0,"",VLOOKUP($A43,TableHandbook[],2,FALSE)),"")</f>
        <v/>
      </c>
      <c r="C43" s="78" t="str">
        <f>IFERROR(IF(VLOOKUP($A43,TableHandbook[],3,FALSE)=0,"",VLOOKUP($A43,TableHandbook[],3,FALSE)),"")</f>
        <v/>
      </c>
      <c r="D43" s="151" t="str">
        <f>IFERROR(IF(VLOOKUP($A43,TableHandbook[],4,FALSE)=0,"",VLOOKUP($A43,TableHandbook[],4,FALSE)),"")</f>
        <v/>
      </c>
      <c r="E43" s="78" t="str">
        <f>IF(A43="","",VLOOKUP($D$7,TableStudyPeriod[],5,FALSE))</f>
        <v/>
      </c>
      <c r="F43" s="75" t="str">
        <f>IFERROR(IF(VLOOKUP($A43,TableHandbook[],6,FALSE)=0,"",VLOOKUP($A43,TableHandbook[],6,FALSE)),"")</f>
        <v/>
      </c>
      <c r="G43" s="74" t="str">
        <f>IFERROR(IF(VLOOKUP($A43,TableHandbook[],5,FALSE)=0,"",VLOOKUP($A43,TableHandbook[],5,FALSE)),"")</f>
        <v/>
      </c>
      <c r="H43" s="160" t="str">
        <f>IFERROR(VLOOKUP(A43,TableHandbook[],7,FALSE),"")</f>
        <v/>
      </c>
      <c r="I43" s="161" t="str">
        <f>IFERROR(VLOOKUP(A43,TableHandbook[],8,FALSE),"")</f>
        <v/>
      </c>
      <c r="J43" s="161" t="str">
        <f>IFERROR(VLOOKUP(A43,TableHandbook[],9,FALSE),"")</f>
        <v/>
      </c>
      <c r="K43" s="162" t="str">
        <f>IFERROR(VLOOKUP(A43,TableHandbook[],10,FALSE),"")</f>
        <v/>
      </c>
      <c r="L43" s="126"/>
      <c r="M43" s="114">
        <v>24</v>
      </c>
      <c r="N43" s="79"/>
      <c r="O43" s="79"/>
      <c r="W43" s="22"/>
    </row>
    <row r="44" spans="1:23" s="23" customFormat="1" ht="20.100000000000001" customHeight="1" x14ac:dyDescent="0.15">
      <c r="A44" s="73" t="str">
        <f>IFERROR(IF(HLOOKUP($L$5,RangeUnitsets,M44,FALSE)=0,"",HLOOKUP($L$5,RangeUnitsets,M44,FALSE)),"")</f>
        <v/>
      </c>
      <c r="B44" s="78" t="str">
        <f>IFERROR(IF(VLOOKUP($A44,TableHandbook[],2,FALSE)=0,"",VLOOKUP($A44,TableHandbook[],2,FALSE)),"")</f>
        <v/>
      </c>
      <c r="C44" s="78" t="str">
        <f>IFERROR(IF(VLOOKUP($A44,TableHandbook[],3,FALSE)=0,"",VLOOKUP($A44,TableHandbook[],3,FALSE)),"")</f>
        <v/>
      </c>
      <c r="D44" s="151" t="str">
        <f>IFERROR(IF(VLOOKUP($A44,TableHandbook[],4,FALSE)=0,"",VLOOKUP($A44,TableHandbook[],4,FALSE)),"")</f>
        <v/>
      </c>
      <c r="E44" s="74" t="str">
        <f>IF(OR(A44="",A44="-"),"",E43)</f>
        <v/>
      </c>
      <c r="F44" s="75" t="str">
        <f>IFERROR(IF(VLOOKUP($A44,TableHandbook[],6,FALSE)=0,"",VLOOKUP($A44,TableHandbook[],6,FALSE)),"")</f>
        <v/>
      </c>
      <c r="G44" s="74" t="str">
        <f>IFERROR(IF(VLOOKUP($A44,TableHandbook[],5,FALSE)=0,"",VLOOKUP($A44,TableHandbook[],5,FALSE)),"")</f>
        <v/>
      </c>
      <c r="H44" s="160" t="str">
        <f>IFERROR(VLOOKUP(A44,TableHandbook[],7,FALSE),"")</f>
        <v/>
      </c>
      <c r="I44" s="161" t="str">
        <f>IFERROR(VLOOKUP(A44,TableHandbook[],8,FALSE),"")</f>
        <v/>
      </c>
      <c r="J44" s="161" t="str">
        <f>IFERROR(VLOOKUP(A44,TableHandbook[],9,FALSE),"")</f>
        <v/>
      </c>
      <c r="K44" s="162" t="str">
        <f>IFERROR(VLOOKUP(A44,TableHandbook[],10,FALSE),"")</f>
        <v/>
      </c>
      <c r="L44" s="126"/>
      <c r="M44" s="114">
        <v>25</v>
      </c>
      <c r="N44" s="79"/>
      <c r="O44" s="79"/>
      <c r="W44" s="22"/>
    </row>
    <row r="45" spans="1:23" s="23" customFormat="1" ht="21" customHeight="1" x14ac:dyDescent="0.15">
      <c r="A45" s="65" t="s">
        <v>32</v>
      </c>
      <c r="B45" s="65"/>
      <c r="C45" s="65" t="s">
        <v>21</v>
      </c>
      <c r="D45" s="152" t="s">
        <v>3</v>
      </c>
      <c r="E45" s="72" t="s">
        <v>22</v>
      </c>
      <c r="F45" s="65" t="s">
        <v>23</v>
      </c>
      <c r="G45" s="65" t="s">
        <v>24</v>
      </c>
      <c r="H45" s="157" t="str">
        <f>H$9</f>
        <v>SP1</v>
      </c>
      <c r="I45" s="158" t="str">
        <f t="shared" ref="I45:L45" si="2">I$9</f>
        <v>SP2</v>
      </c>
      <c r="J45" s="158" t="str">
        <f t="shared" si="2"/>
        <v>SP3</v>
      </c>
      <c r="K45" s="159" t="str">
        <f t="shared" si="2"/>
        <v>SP4</v>
      </c>
      <c r="L45" s="65" t="str">
        <f t="shared" si="2"/>
        <v>Notes / Progress</v>
      </c>
      <c r="M45" s="115"/>
      <c r="N45" s="79"/>
      <c r="O45" s="79"/>
      <c r="W45" s="22"/>
    </row>
    <row r="46" spans="1:23" s="23" customFormat="1" ht="20.100000000000001" customHeight="1" x14ac:dyDescent="0.15">
      <c r="A46" s="73" t="str">
        <f>IFERROR(IF(HLOOKUP($L$5,RangeUnitsets,M46,FALSE)=0,"",HLOOKUP($L$5,RangeUnitsets,M46,FALSE)),"")</f>
        <v/>
      </c>
      <c r="B46" s="78"/>
      <c r="C46" s="78" t="str">
        <f>IFERROR(IF(VLOOKUP($A46,TableHandbook[],3,FALSE)=0,"",VLOOKUP($A46,TableHandbook[],3,FALSE)),"")</f>
        <v/>
      </c>
      <c r="D46" s="153" t="str">
        <f>IFERROR(IF(VLOOKUP($A46,TableHandbook[],4,FALSE)=0,"",VLOOKUP($A46,TableHandbook[],4,FALSE)),"")</f>
        <v/>
      </c>
      <c r="E46" s="78" t="str">
        <f>IF(A46="","",VLOOKUP($D$7,TableStudyPeriod[],2,FALSE))</f>
        <v/>
      </c>
      <c r="F46" s="75" t="str">
        <f>IFERROR(IF(VLOOKUP($A46,TableHandbook[],6,FALSE)=0,"",VLOOKUP($A46,TableHandbook[],6,FALSE)),"")</f>
        <v/>
      </c>
      <c r="G46" s="74" t="str">
        <f>IFERROR(IF(VLOOKUP($A46,TableHandbook[],5,FALSE)=0,"",VLOOKUP($A46,TableHandbook[],5,FALSE)),"")</f>
        <v/>
      </c>
      <c r="H46" s="160" t="str">
        <f>IFERROR(VLOOKUP(A46,TableHandbook[],7,FALSE),"")</f>
        <v/>
      </c>
      <c r="I46" s="161" t="str">
        <f>IFERROR(VLOOKUP(A46,TableHandbook[],8,FALSE),"")</f>
        <v/>
      </c>
      <c r="J46" s="161" t="str">
        <f>IFERROR(VLOOKUP(A46,TableHandbook[],9,FALSE),"")</f>
        <v/>
      </c>
      <c r="K46" s="162" t="str">
        <f>IFERROR(VLOOKUP(A46,TableHandbook[],10,FALSE),"")</f>
        <v/>
      </c>
      <c r="L46" s="126"/>
      <c r="M46" s="114">
        <v>26</v>
      </c>
      <c r="N46" s="79"/>
      <c r="O46" s="79"/>
      <c r="W46" s="22"/>
    </row>
    <row r="47" spans="1:23" s="23" customFormat="1" ht="20.100000000000001" customHeight="1" x14ac:dyDescent="0.15">
      <c r="A47" s="73" t="str">
        <f>IFERROR(IF(HLOOKUP($L$5,RangeUnitsets,M47,FALSE)=0,"",HLOOKUP($L$5,RangeUnitsets,M47,FALSE)),"")</f>
        <v/>
      </c>
      <c r="B47" s="78"/>
      <c r="C47" s="78" t="str">
        <f>IFERROR(IF(VLOOKUP($A47,TableHandbook[],3,FALSE)=0,"",VLOOKUP($A47,TableHandbook[],3,FALSE)),"")</f>
        <v/>
      </c>
      <c r="D47" s="151" t="str">
        <f>IFERROR(IF(VLOOKUP($A47,TableHandbook[],4,FALSE)=0,"",VLOOKUP($A47,TableHandbook[],4,FALSE)),"")</f>
        <v/>
      </c>
      <c r="E47" s="78" t="str">
        <f>IF(OR(A47="",A47="-"),"",E46)</f>
        <v/>
      </c>
      <c r="F47" s="75" t="str">
        <f>IFERROR(IF(VLOOKUP($A47,TableHandbook[],6,FALSE)=0,"",VLOOKUP($A47,TableHandbook[],6,FALSE)),"")</f>
        <v/>
      </c>
      <c r="G47" s="74" t="str">
        <f>IFERROR(IF(VLOOKUP($A47,TableHandbook[],5,FALSE)=0,"",VLOOKUP($A47,TableHandbook[],5,FALSE)),"")</f>
        <v/>
      </c>
      <c r="H47" s="160" t="str">
        <f>IFERROR(VLOOKUP(A47,TableHandbook[],7,FALSE),"")</f>
        <v/>
      </c>
      <c r="I47" s="161" t="str">
        <f>IFERROR(VLOOKUP(A47,TableHandbook[],8,FALSE),"")</f>
        <v/>
      </c>
      <c r="J47" s="161" t="str">
        <f>IFERROR(VLOOKUP(A47,TableHandbook[],9,FALSE),"")</f>
        <v/>
      </c>
      <c r="K47" s="162" t="str">
        <f>IFERROR(VLOOKUP(A47,TableHandbook[],10,FALSE),"")</f>
        <v/>
      </c>
      <c r="L47" s="126"/>
      <c r="M47" s="114">
        <v>27</v>
      </c>
      <c r="N47" s="79"/>
      <c r="O47" s="79"/>
      <c r="W47" s="22"/>
    </row>
    <row r="48" spans="1:23" s="21" customFormat="1" ht="5.0999999999999996" customHeight="1" x14ac:dyDescent="0.15">
      <c r="A48" s="119"/>
      <c r="B48" s="120"/>
      <c r="C48" s="120"/>
      <c r="D48" s="150"/>
      <c r="E48" s="120"/>
      <c r="F48" s="121"/>
      <c r="G48" s="120"/>
      <c r="H48" s="163"/>
      <c r="I48" s="164"/>
      <c r="J48" s="164"/>
      <c r="K48" s="165"/>
      <c r="L48" s="127"/>
      <c r="M48" s="114"/>
      <c r="N48" s="77"/>
      <c r="O48" s="77"/>
      <c r="P48" s="77"/>
      <c r="W48" s="20"/>
    </row>
    <row r="49" spans="1:23" s="23" customFormat="1" ht="20.100000000000001" customHeight="1" x14ac:dyDescent="0.15">
      <c r="A49" s="73" t="str">
        <f>IFERROR(IF(HLOOKUP($L$5,RangeUnitsets,M49,FALSE)=0,"",HLOOKUP($L$5,RangeUnitsets,M49,FALSE)),"")</f>
        <v/>
      </c>
      <c r="B49" s="78"/>
      <c r="C49" s="78" t="str">
        <f>IFERROR(IF(VLOOKUP($A49,TableHandbook[],3,FALSE)=0,"",VLOOKUP($A49,TableHandbook[],3,FALSE)),"")</f>
        <v/>
      </c>
      <c r="D49" s="151" t="str">
        <f>IFERROR(IF(VLOOKUP($A49,TableHandbook[],4,FALSE)=0,"",VLOOKUP($A49,TableHandbook[],4,FALSE)),"")</f>
        <v/>
      </c>
      <c r="E49" s="78" t="str">
        <f>IF(A49="","",VLOOKUP($D$7,TableStudyPeriod[],3,FALSE))</f>
        <v/>
      </c>
      <c r="F49" s="75" t="str">
        <f>IFERROR(IF(VLOOKUP($A49,TableHandbook[],6,FALSE)=0,"",VLOOKUP($A49,TableHandbook[],6,FALSE)),"")</f>
        <v/>
      </c>
      <c r="G49" s="74" t="str">
        <f>IFERROR(IF(VLOOKUP($A49,TableHandbook[],5,FALSE)=0,"",VLOOKUP($A49,TableHandbook[],5,FALSE)),"")</f>
        <v/>
      </c>
      <c r="H49" s="160" t="str">
        <f>IFERROR(VLOOKUP(A49,TableHandbook[],7,FALSE),"")</f>
        <v/>
      </c>
      <c r="I49" s="161" t="str">
        <f>IFERROR(VLOOKUP(A49,TableHandbook[],8,FALSE),"")</f>
        <v/>
      </c>
      <c r="J49" s="161" t="str">
        <f>IFERROR(VLOOKUP(A49,TableHandbook[],9,FALSE),"")</f>
        <v/>
      </c>
      <c r="K49" s="162" t="str">
        <f>IFERROR(VLOOKUP(A49,TableHandbook[],10,FALSE),"")</f>
        <v/>
      </c>
      <c r="L49" s="126"/>
      <c r="M49" s="114">
        <v>28</v>
      </c>
      <c r="N49" s="79"/>
      <c r="O49" s="79"/>
      <c r="W49" s="22"/>
    </row>
    <row r="50" spans="1:23" s="23" customFormat="1" ht="20.100000000000001" customHeight="1" x14ac:dyDescent="0.15">
      <c r="A50" s="73" t="str">
        <f>IFERROR(IF(HLOOKUP($L$5,RangeUnitsets,M50,FALSE)=0,"",HLOOKUP($L$5,RangeUnitsets,M50,FALSE)),"")</f>
        <v/>
      </c>
      <c r="B50" s="78"/>
      <c r="C50" s="78" t="str">
        <f>IFERROR(IF(VLOOKUP($A50,TableHandbook[],3,FALSE)=0,"",VLOOKUP($A50,TableHandbook[],3,FALSE)),"")</f>
        <v/>
      </c>
      <c r="D50" s="151" t="str">
        <f>IFERROR(IF(VLOOKUP($A50,TableHandbook[],4,FALSE)=0,"",VLOOKUP($A50,TableHandbook[],4,FALSE)),"")</f>
        <v/>
      </c>
      <c r="E50" s="78" t="str">
        <f>IF(OR(A50="",A50="-"),"",E49)</f>
        <v/>
      </c>
      <c r="F50" s="75" t="str">
        <f>IFERROR(IF(VLOOKUP($A50,TableHandbook[],6,FALSE)=0,"",VLOOKUP($A50,TableHandbook[],6,FALSE)),"")</f>
        <v/>
      </c>
      <c r="G50" s="74" t="str">
        <f>IFERROR(IF(VLOOKUP($A50,TableHandbook[],5,FALSE)=0,"",VLOOKUP($A50,TableHandbook[],5,FALSE)),"")</f>
        <v/>
      </c>
      <c r="H50" s="160" t="str">
        <f>IFERROR(VLOOKUP(A50,TableHandbook[],7,FALSE),"")</f>
        <v/>
      </c>
      <c r="I50" s="161" t="str">
        <f>IFERROR(VLOOKUP(A50,TableHandbook[],8,FALSE),"")</f>
        <v/>
      </c>
      <c r="J50" s="161" t="str">
        <f>IFERROR(VLOOKUP(A50,TableHandbook[],9,FALSE),"")</f>
        <v/>
      </c>
      <c r="K50" s="162" t="str">
        <f>IFERROR(VLOOKUP(A50,TableHandbook[],10,FALSE),"")</f>
        <v/>
      </c>
      <c r="L50" s="126"/>
      <c r="M50" s="114">
        <v>29</v>
      </c>
      <c r="N50" s="79"/>
      <c r="O50" s="79"/>
      <c r="W50" s="22"/>
    </row>
    <row r="51" spans="1:23" s="21" customFormat="1" ht="5.0999999999999996" customHeight="1" x14ac:dyDescent="0.15">
      <c r="A51" s="119"/>
      <c r="B51" s="120"/>
      <c r="C51" s="120"/>
      <c r="D51" s="150"/>
      <c r="E51" s="120"/>
      <c r="F51" s="121"/>
      <c r="G51" s="120"/>
      <c r="H51" s="163"/>
      <c r="I51" s="164"/>
      <c r="J51" s="164"/>
      <c r="K51" s="165"/>
      <c r="L51" s="127"/>
      <c r="M51" s="114"/>
      <c r="N51" s="77"/>
      <c r="O51" s="77"/>
      <c r="P51" s="77"/>
      <c r="W51" s="20"/>
    </row>
    <row r="52" spans="1:23" s="23" customFormat="1" ht="20.100000000000001" customHeight="1" x14ac:dyDescent="0.15">
      <c r="A52" s="73" t="str">
        <f>IFERROR(IF(HLOOKUP($L$5,RangeUnitsets,M52,FALSE)=0,"",HLOOKUP($L$5,RangeUnitsets,M52,FALSE)),"")</f>
        <v/>
      </c>
      <c r="B52" s="78"/>
      <c r="C52" s="78" t="str">
        <f>IFERROR(IF(VLOOKUP($A52,TableHandbook[],3,FALSE)=0,"",VLOOKUP($A52,TableHandbook[],3,FALSE)),"")</f>
        <v/>
      </c>
      <c r="D52" s="151" t="str">
        <f>IFERROR(IF(VLOOKUP($A52,TableHandbook[],4,FALSE)=0,"",VLOOKUP($A52,TableHandbook[],4,FALSE)),"")</f>
        <v/>
      </c>
      <c r="E52" s="78" t="str">
        <f>IF(A52="","",VLOOKUP($D$7,TableStudyPeriod[],4,FALSE))</f>
        <v/>
      </c>
      <c r="F52" s="75" t="str">
        <f>IFERROR(IF(VLOOKUP($A52,TableHandbook[],6,FALSE)=0,"",VLOOKUP($A52,TableHandbook[],6,FALSE)),"")</f>
        <v/>
      </c>
      <c r="G52" s="74" t="str">
        <f>IFERROR(IF(VLOOKUP($A52,TableHandbook[],5,FALSE)=0,"",VLOOKUP($A52,TableHandbook[],5,FALSE)),"")</f>
        <v/>
      </c>
      <c r="H52" s="160" t="str">
        <f>IFERROR(VLOOKUP(A52,TableHandbook[],7,FALSE),"")</f>
        <v/>
      </c>
      <c r="I52" s="161" t="str">
        <f>IFERROR(VLOOKUP(A52,TableHandbook[],8,FALSE),"")</f>
        <v/>
      </c>
      <c r="J52" s="161" t="str">
        <f>IFERROR(VLOOKUP(A52,TableHandbook[],9,FALSE),"")</f>
        <v/>
      </c>
      <c r="K52" s="162" t="str">
        <f>IFERROR(VLOOKUP(A52,TableHandbook[],10,FALSE),"")</f>
        <v/>
      </c>
      <c r="L52" s="126"/>
      <c r="M52" s="114">
        <v>30</v>
      </c>
      <c r="N52" s="79"/>
      <c r="O52" s="79"/>
      <c r="W52" s="22"/>
    </row>
    <row r="53" spans="1:23" s="23" customFormat="1" ht="20.100000000000001" customHeight="1" x14ac:dyDescent="0.15">
      <c r="A53" s="73" t="str">
        <f>IFERROR(IF(HLOOKUP($L$5,RangeUnitsets,M53,FALSE)=0,"",HLOOKUP($L$5,RangeUnitsets,M53,FALSE)),"")</f>
        <v/>
      </c>
      <c r="B53" s="78"/>
      <c r="C53" s="78" t="str">
        <f>IFERROR(IF(VLOOKUP($A53,TableHandbook[],3,FALSE)=0,"",VLOOKUP($A53,TableHandbook[],3,FALSE)),"")</f>
        <v/>
      </c>
      <c r="D53" s="151" t="str">
        <f>IFERROR(IF(VLOOKUP($A53,TableHandbook[],4,FALSE)=0,"",VLOOKUP($A53,TableHandbook[],4,FALSE)),"")</f>
        <v/>
      </c>
      <c r="E53" s="78" t="str">
        <f>IF(OR(A53="",A53="-"),"",E52)</f>
        <v/>
      </c>
      <c r="F53" s="75" t="str">
        <f>IFERROR(IF(VLOOKUP($A53,TableHandbook[],6,FALSE)=0,"",VLOOKUP($A53,TableHandbook[],6,FALSE)),"")</f>
        <v/>
      </c>
      <c r="G53" s="74" t="str">
        <f>IFERROR(IF(VLOOKUP($A53,TableHandbook[],5,FALSE)=0,"",VLOOKUP($A53,TableHandbook[],5,FALSE)),"")</f>
        <v/>
      </c>
      <c r="H53" s="160" t="str">
        <f>IFERROR(VLOOKUP(A53,TableHandbook[],7,FALSE),"")</f>
        <v/>
      </c>
      <c r="I53" s="161" t="str">
        <f>IFERROR(VLOOKUP(A53,TableHandbook[],8,FALSE),"")</f>
        <v/>
      </c>
      <c r="J53" s="161" t="str">
        <f>IFERROR(VLOOKUP(A53,TableHandbook[],9,FALSE),"")</f>
        <v/>
      </c>
      <c r="K53" s="162" t="str">
        <f>IFERROR(VLOOKUP(A53,TableHandbook[],10,FALSE),"")</f>
        <v/>
      </c>
      <c r="L53" s="126"/>
      <c r="M53" s="114">
        <v>31</v>
      </c>
      <c r="N53" s="79"/>
      <c r="O53" s="79"/>
      <c r="W53" s="22"/>
    </row>
    <row r="54" spans="1:23" s="21" customFormat="1" ht="5.0999999999999996" customHeight="1" x14ac:dyDescent="0.15">
      <c r="A54" s="119"/>
      <c r="B54" s="120"/>
      <c r="C54" s="120"/>
      <c r="D54" s="150"/>
      <c r="E54" s="120"/>
      <c r="F54" s="121"/>
      <c r="G54" s="120"/>
      <c r="H54" s="163"/>
      <c r="I54" s="164"/>
      <c r="J54" s="164"/>
      <c r="K54" s="165"/>
      <c r="L54" s="127"/>
      <c r="M54" s="114"/>
      <c r="N54" s="77"/>
      <c r="O54" s="77"/>
      <c r="P54" s="77"/>
      <c r="W54" s="20"/>
    </row>
    <row r="55" spans="1:23" s="23" customFormat="1" ht="20.100000000000001" customHeight="1" x14ac:dyDescent="0.15">
      <c r="A55" s="73" t="str">
        <f>IFERROR(IF(HLOOKUP($L$5,RangeUnitsets,M55,FALSE)=0,"",HLOOKUP($L$5,RangeUnitsets,M55,FALSE)),"")</f>
        <v/>
      </c>
      <c r="B55" s="78"/>
      <c r="C55" s="78" t="str">
        <f>IFERROR(IF(VLOOKUP($A55,TableHandbook[],3,FALSE)=0,"",VLOOKUP($A55,TableHandbook[],3,FALSE)),"")</f>
        <v/>
      </c>
      <c r="D55" s="151" t="str">
        <f>IFERROR(IF(VLOOKUP($A55,TableHandbook[],4,FALSE)=0,"",VLOOKUP($A55,TableHandbook[],4,FALSE)),"")</f>
        <v/>
      </c>
      <c r="E55" s="78" t="str">
        <f>IF(A55="","",VLOOKUP($D$7,TableStudyPeriod[],5,FALSE))</f>
        <v/>
      </c>
      <c r="F55" s="75" t="str">
        <f>IFERROR(IF(VLOOKUP($A55,TableHandbook[],6,FALSE)=0,"",VLOOKUP($A55,TableHandbook[],6,FALSE)),"")</f>
        <v/>
      </c>
      <c r="G55" s="74" t="str">
        <f>IFERROR(IF(VLOOKUP($A55,TableHandbook[],5,FALSE)=0,"",VLOOKUP($A55,TableHandbook[],5,FALSE)),"")</f>
        <v/>
      </c>
      <c r="H55" s="160" t="str">
        <f>IFERROR(VLOOKUP(A55,TableHandbook[],7,FALSE),"")</f>
        <v/>
      </c>
      <c r="I55" s="161" t="str">
        <f>IFERROR(VLOOKUP(A55,TableHandbook[],8,FALSE),"")</f>
        <v/>
      </c>
      <c r="J55" s="161" t="str">
        <f>IFERROR(VLOOKUP(A55,TableHandbook[],9,FALSE),"")</f>
        <v/>
      </c>
      <c r="K55" s="162" t="str">
        <f>IFERROR(VLOOKUP(A55,TableHandbook[],10,FALSE),"")</f>
        <v/>
      </c>
      <c r="L55" s="126"/>
      <c r="M55" s="114">
        <v>32</v>
      </c>
      <c r="N55" s="79"/>
      <c r="O55" s="79"/>
      <c r="W55" s="22"/>
    </row>
    <row r="56" spans="1:23" s="23" customFormat="1" ht="20.100000000000001" customHeight="1" x14ac:dyDescent="0.15">
      <c r="A56" s="73" t="str">
        <f>IFERROR(IF(HLOOKUP($L$5,RangeUnitsets,M56,FALSE)=0,"",HLOOKUP($L$5,RangeUnitsets,M56,FALSE)),"")</f>
        <v/>
      </c>
      <c r="B56" s="78"/>
      <c r="C56" s="78" t="str">
        <f>IFERROR(IF(VLOOKUP($A56,TableHandbook[],3,FALSE)=0,"",VLOOKUP($A56,TableHandbook[],3,FALSE)),"")</f>
        <v/>
      </c>
      <c r="D56" s="151" t="str">
        <f>IFERROR(IF(VLOOKUP($A56,TableHandbook[],4,FALSE)=0,"",VLOOKUP($A56,TableHandbook[],4,FALSE)),"")</f>
        <v/>
      </c>
      <c r="E56" s="74" t="str">
        <f>IF(OR(A56="",A56="-"),"",E55)</f>
        <v/>
      </c>
      <c r="F56" s="75" t="str">
        <f>IFERROR(IF(VLOOKUP($A56,TableHandbook[],6,FALSE)=0,"",VLOOKUP($A56,TableHandbook[],6,FALSE)),"")</f>
        <v/>
      </c>
      <c r="G56" s="74" t="str">
        <f>IFERROR(IF(VLOOKUP($A56,TableHandbook[],5,FALSE)=0,"",VLOOKUP($A56,TableHandbook[],5,FALSE)),"")</f>
        <v/>
      </c>
      <c r="H56" s="160" t="str">
        <f>IFERROR(VLOOKUP(A56,TableHandbook[],7,FALSE),"")</f>
        <v/>
      </c>
      <c r="I56" s="161" t="str">
        <f>IFERROR(VLOOKUP(A56,TableHandbook[],8,FALSE),"")</f>
        <v/>
      </c>
      <c r="J56" s="161" t="str">
        <f>IFERROR(VLOOKUP(A56,TableHandbook[],9,FALSE),"")</f>
        <v/>
      </c>
      <c r="K56" s="162" t="str">
        <f>IFERROR(VLOOKUP(A56,TableHandbook[],10,FALSE),"")</f>
        <v/>
      </c>
      <c r="L56" s="126"/>
      <c r="M56" s="114">
        <v>33</v>
      </c>
      <c r="N56" s="79"/>
      <c r="O56" s="79"/>
      <c r="W56" s="22"/>
    </row>
    <row r="57" spans="1:23" s="27" customFormat="1" ht="13.9" customHeight="1" x14ac:dyDescent="0.2">
      <c r="A57" s="80"/>
      <c r="B57" s="80"/>
      <c r="C57" s="80"/>
      <c r="D57" s="81"/>
      <c r="E57" s="82"/>
      <c r="F57" s="83"/>
      <c r="G57" s="83"/>
      <c r="H57" s="83"/>
      <c r="I57" s="83"/>
      <c r="J57" s="83"/>
      <c r="K57" s="83"/>
      <c r="L57" s="83"/>
      <c r="M57" s="116"/>
      <c r="N57" s="84"/>
      <c r="O57" s="84"/>
      <c r="W57" s="26"/>
    </row>
    <row r="58" spans="1:23" ht="17.25" x14ac:dyDescent="0.25">
      <c r="A58" s="85" t="str">
        <f>D6</f>
        <v>Choose your Specialisation (drop-down list)</v>
      </c>
      <c r="B58" s="86"/>
      <c r="C58" s="86"/>
      <c r="D58" s="87"/>
      <c r="E58" s="88"/>
      <c r="F58" s="89"/>
      <c r="G58" s="89"/>
      <c r="H58" s="90" t="str">
        <f>H8</f>
        <v>2026 Availabilities</v>
      </c>
      <c r="I58" s="91"/>
      <c r="J58" s="92"/>
      <c r="K58" s="93"/>
      <c r="L58" s="123" t="e">
        <f>VLOOKUP(D6,TableSpecialisations[],2,FALSE)</f>
        <v>#N/A</v>
      </c>
      <c r="M58" s="113"/>
      <c r="W58" s="17"/>
    </row>
    <row r="59" spans="1:23" s="29" customFormat="1" x14ac:dyDescent="0.25">
      <c r="A59" s="94"/>
      <c r="B59" s="95"/>
      <c r="C59" s="65" t="s">
        <v>21</v>
      </c>
      <c r="D59" s="66" t="s">
        <v>3</v>
      </c>
      <c r="E59" s="96"/>
      <c r="F59" s="96" t="s">
        <v>33</v>
      </c>
      <c r="G59" s="96" t="s">
        <v>24</v>
      </c>
      <c r="H59" s="157" t="str">
        <f>H$9</f>
        <v>SP1</v>
      </c>
      <c r="I59" s="158" t="str">
        <f t="shared" ref="I59:L59" si="3">I$9</f>
        <v>SP2</v>
      </c>
      <c r="J59" s="158" t="str">
        <f t="shared" si="3"/>
        <v>SP3</v>
      </c>
      <c r="K59" s="169" t="str">
        <f t="shared" si="3"/>
        <v>SP4</v>
      </c>
      <c r="L59" s="65" t="str">
        <f t="shared" si="3"/>
        <v>Notes / Progress</v>
      </c>
      <c r="M59" s="113"/>
      <c r="W59" s="28"/>
    </row>
    <row r="60" spans="1:23" x14ac:dyDescent="0.25">
      <c r="A60" s="122" t="str">
        <f t="shared" ref="A60:A69" si="4">IFERROR(IF(HLOOKUP($L$58,RangeSpecSets,M60,FALSE)=0,"",HLOOKUP($L$58,RangeSpecSets,M60,FALSE)),"")</f>
        <v/>
      </c>
      <c r="B60" s="112" t="str">
        <f>IFERROR(IF(VLOOKUP($A60,TableHandbook[],2,FALSE)=0,"",VLOOKUP($A60,TableHandbook[],2,FALSE)),"")</f>
        <v/>
      </c>
      <c r="C60" s="112" t="str">
        <f>IFERROR(IF(VLOOKUP($A60,TableHandbook[],3,FALSE)=0,"",VLOOKUP($A60,TableHandbook[],3,FALSE)),"")</f>
        <v/>
      </c>
      <c r="D60" s="97" t="str">
        <f>IFERROR(IF(VLOOKUP($A60,TableHandbook[],4,FALSE)=0,"",VLOOKUP($A60,TableHandbook[],4,FALSE)),"")</f>
        <v/>
      </c>
      <c r="E60" s="98"/>
      <c r="F60" s="75" t="str">
        <f>IFERROR(IF(VLOOKUP($A60,TableHandbook[],6,FALSE)=0,"",VLOOKUP($A60,TableHandbook[],6,FALSE)),"")</f>
        <v/>
      </c>
      <c r="G60" s="98" t="str">
        <f>IFERROR(IF(VLOOKUP($A60,TableHandbook[],5,FALSE)=0,"",VLOOKUP($A60,TableHandbook[],5,FALSE)),"")</f>
        <v/>
      </c>
      <c r="H60" s="170" t="str">
        <f>IFERROR(VLOOKUP(A60,TableHandbook[],7,FALSE),"")</f>
        <v/>
      </c>
      <c r="I60" s="171" t="str">
        <f>IFERROR(VLOOKUP(A60,TableHandbook[],8,FALSE),"")</f>
        <v/>
      </c>
      <c r="J60" s="171" t="str">
        <f>IFERROR(VLOOKUP(A60,TableHandbook[],9,FALSE),"")</f>
        <v/>
      </c>
      <c r="K60" s="172" t="str">
        <f>IFERROR(VLOOKUP(A60,TableHandbook[],10,FALSE),"")</f>
        <v/>
      </c>
      <c r="L60" s="128"/>
      <c r="M60" s="114">
        <v>2</v>
      </c>
      <c r="W60" s="17"/>
    </row>
    <row r="61" spans="1:23" ht="19.5" customHeight="1" x14ac:dyDescent="0.25">
      <c r="A61" s="122" t="str">
        <f t="shared" si="4"/>
        <v/>
      </c>
      <c r="B61" s="112" t="str">
        <f>IFERROR(IF(VLOOKUP($A61,TableHandbook[],2,FALSE)=0,"",VLOOKUP($A61,TableHandbook[],2,FALSE)),"")</f>
        <v/>
      </c>
      <c r="C61" s="112" t="str">
        <f>IFERROR(IF(VLOOKUP($A61,TableHandbook[],3,FALSE)=0,"",VLOOKUP($A61,TableHandbook[],3,FALSE)),"")</f>
        <v/>
      </c>
      <c r="D61" s="97" t="str">
        <f>IFERROR(IF(VLOOKUP($A61,TableHandbook[],4,FALSE)=0,"",VLOOKUP($A61,TableHandbook[],4,FALSE)),"")</f>
        <v/>
      </c>
      <c r="E61" s="98"/>
      <c r="F61" s="75" t="str">
        <f>IFERROR(IF(VLOOKUP($A61,TableHandbook[],6,FALSE)=0,"",VLOOKUP($A61,TableHandbook[],6,FALSE)),"")</f>
        <v/>
      </c>
      <c r="G61" s="98" t="str">
        <f>IFERROR(IF(VLOOKUP($A61,TableHandbook[],5,FALSE)=0,"",VLOOKUP($A61,TableHandbook[],5,FALSE)),"")</f>
        <v/>
      </c>
      <c r="H61" s="170" t="str">
        <f>IFERROR(VLOOKUP(A61,TableHandbook[],7,FALSE),"")</f>
        <v/>
      </c>
      <c r="I61" s="171" t="str">
        <f>IFERROR(VLOOKUP(A61,TableHandbook[],8,FALSE),"")</f>
        <v/>
      </c>
      <c r="J61" s="171" t="str">
        <f>IFERROR(VLOOKUP(A61,TableHandbook[],9,FALSE),"")</f>
        <v/>
      </c>
      <c r="K61" s="172" t="str">
        <f>IFERROR(VLOOKUP(A61,TableHandbook[],10,FALSE),"")</f>
        <v/>
      </c>
      <c r="L61" s="128"/>
      <c r="M61" s="114">
        <v>3</v>
      </c>
      <c r="W61" s="17"/>
    </row>
    <row r="62" spans="1:23" ht="19.5" customHeight="1" x14ac:dyDescent="0.25">
      <c r="A62" s="122" t="str">
        <f t="shared" si="4"/>
        <v/>
      </c>
      <c r="B62" s="112" t="str">
        <f>IFERROR(IF(VLOOKUP($A62,TableHandbook[],2,FALSE)=0,"",VLOOKUP($A62,TableHandbook[],2,FALSE)),"")</f>
        <v/>
      </c>
      <c r="C62" s="112" t="str">
        <f>IFERROR(IF(VLOOKUP($A62,TableHandbook[],3,FALSE)=0,"",VLOOKUP($A62,TableHandbook[],3,FALSE)),"")</f>
        <v/>
      </c>
      <c r="D62" s="97" t="str">
        <f>IFERROR(IF(VLOOKUP($A62,TableHandbook[],4,FALSE)=0,"",VLOOKUP($A62,TableHandbook[],4,FALSE)),"")</f>
        <v/>
      </c>
      <c r="E62" s="98"/>
      <c r="F62" s="75" t="str">
        <f>IFERROR(IF(VLOOKUP($A62,TableHandbook[],6,FALSE)=0,"",VLOOKUP($A62,TableHandbook[],6,FALSE)),"")</f>
        <v/>
      </c>
      <c r="G62" s="98" t="str">
        <f>IFERROR(IF(VLOOKUP($A62,TableHandbook[],5,FALSE)=0,"",VLOOKUP($A62,TableHandbook[],5,FALSE)),"")</f>
        <v/>
      </c>
      <c r="H62" s="170" t="str">
        <f>IFERROR(VLOOKUP(A62,TableHandbook[],7,FALSE),"")</f>
        <v/>
      </c>
      <c r="I62" s="171" t="str">
        <f>IFERROR(VLOOKUP(A62,TableHandbook[],8,FALSE),"")</f>
        <v/>
      </c>
      <c r="J62" s="171" t="str">
        <f>IFERROR(VLOOKUP(A62,TableHandbook[],9,FALSE),"")</f>
        <v/>
      </c>
      <c r="K62" s="172" t="str">
        <f>IFERROR(VLOOKUP(A62,TableHandbook[],10,FALSE),"")</f>
        <v/>
      </c>
      <c r="L62" s="128"/>
      <c r="M62" s="114">
        <v>4</v>
      </c>
      <c r="W62" s="17"/>
    </row>
    <row r="63" spans="1:23" ht="19.5" customHeight="1" x14ac:dyDescent="0.25">
      <c r="A63" s="122" t="str">
        <f t="shared" si="4"/>
        <v/>
      </c>
      <c r="B63" s="112" t="str">
        <f>IFERROR(IF(VLOOKUP($A63,TableHandbook[],2,FALSE)=0,"",VLOOKUP($A63,TableHandbook[],2,FALSE)),"")</f>
        <v/>
      </c>
      <c r="C63" s="112" t="str">
        <f>IFERROR(IF(VLOOKUP($A63,TableHandbook[],3,FALSE)=0,"",VLOOKUP($A63,TableHandbook[],3,FALSE)),"")</f>
        <v/>
      </c>
      <c r="D63" s="97" t="str">
        <f>IFERROR(IF(VLOOKUP($A63,TableHandbook[],4,FALSE)=0,"",VLOOKUP($A63,TableHandbook[],4,FALSE)),"")</f>
        <v/>
      </c>
      <c r="E63" s="98"/>
      <c r="F63" s="75" t="str">
        <f>IFERROR(IF(VLOOKUP($A63,TableHandbook[],6,FALSE)=0,"",VLOOKUP($A63,TableHandbook[],6,FALSE)),"")</f>
        <v/>
      </c>
      <c r="G63" s="98" t="str">
        <f>IFERROR(IF(VLOOKUP($A63,TableHandbook[],5,FALSE)=0,"",VLOOKUP($A63,TableHandbook[],5,FALSE)),"")</f>
        <v/>
      </c>
      <c r="H63" s="170" t="str">
        <f>IFERROR(VLOOKUP(A63,TableHandbook[],7,FALSE),"")</f>
        <v/>
      </c>
      <c r="I63" s="171" t="str">
        <f>IFERROR(VLOOKUP(A63,TableHandbook[],8,FALSE),"")</f>
        <v/>
      </c>
      <c r="J63" s="171" t="str">
        <f>IFERROR(VLOOKUP(A63,TableHandbook[],9,FALSE),"")</f>
        <v/>
      </c>
      <c r="K63" s="172" t="str">
        <f>IFERROR(VLOOKUP(A63,TableHandbook[],10,FALSE),"")</f>
        <v/>
      </c>
      <c r="L63" s="128"/>
      <c r="M63" s="114">
        <v>5</v>
      </c>
      <c r="W63" s="17"/>
    </row>
    <row r="64" spans="1:23" ht="19.5" customHeight="1" x14ac:dyDescent="0.25">
      <c r="A64" s="122" t="str">
        <f t="shared" si="4"/>
        <v/>
      </c>
      <c r="B64" s="112" t="str">
        <f>IFERROR(IF(VLOOKUP($A64,TableHandbook[],2,FALSE)=0,"",VLOOKUP($A64,TableHandbook[],2,FALSE)),"")</f>
        <v/>
      </c>
      <c r="C64" s="112" t="str">
        <f>IFERROR(IF(VLOOKUP($A64,TableHandbook[],3,FALSE)=0,"",VLOOKUP($A64,TableHandbook[],3,FALSE)),"")</f>
        <v/>
      </c>
      <c r="D64" s="97" t="str">
        <f>IFERROR(IF(VLOOKUP($A64,TableHandbook[],4,FALSE)=0,"",VLOOKUP($A64,TableHandbook[],4,FALSE)),"")</f>
        <v/>
      </c>
      <c r="E64" s="98"/>
      <c r="F64" s="75" t="str">
        <f>IFERROR(IF(VLOOKUP($A64,TableHandbook[],6,FALSE)=0,"",VLOOKUP($A64,TableHandbook[],6,FALSE)),"")</f>
        <v/>
      </c>
      <c r="G64" s="98" t="str">
        <f>IFERROR(IF(VLOOKUP($A64,TableHandbook[],5,FALSE)=0,"",VLOOKUP($A64,TableHandbook[],5,FALSE)),"")</f>
        <v/>
      </c>
      <c r="H64" s="170" t="str">
        <f>IFERROR(VLOOKUP(A64,TableHandbook[],7,FALSE),"")</f>
        <v/>
      </c>
      <c r="I64" s="171" t="str">
        <f>IFERROR(VLOOKUP(A64,TableHandbook[],8,FALSE),"")</f>
        <v/>
      </c>
      <c r="J64" s="171" t="str">
        <f>IFERROR(VLOOKUP(A64,TableHandbook[],9,FALSE),"")</f>
        <v/>
      </c>
      <c r="K64" s="172" t="str">
        <f>IFERROR(VLOOKUP(A64,TableHandbook[],10,FALSE),"")</f>
        <v/>
      </c>
      <c r="L64" s="128"/>
      <c r="M64" s="114">
        <v>6</v>
      </c>
      <c r="W64" s="17"/>
    </row>
    <row r="65" spans="1:23" ht="19.5" customHeight="1" x14ac:dyDescent="0.25">
      <c r="A65" s="122" t="str">
        <f t="shared" si="4"/>
        <v/>
      </c>
      <c r="B65" s="112" t="str">
        <f>IFERROR(IF(VLOOKUP($A65,TableHandbook[],2,FALSE)=0,"",VLOOKUP($A65,TableHandbook[],2,FALSE)),"")</f>
        <v/>
      </c>
      <c r="C65" s="112" t="str">
        <f>IFERROR(IF(VLOOKUP($A65,TableHandbook[],3,FALSE)=0,"",VLOOKUP($A65,TableHandbook[],3,FALSE)),"")</f>
        <v/>
      </c>
      <c r="D65" s="97" t="str">
        <f>IFERROR(IF(VLOOKUP($A65,TableHandbook[],4,FALSE)=0,"",VLOOKUP($A65,TableHandbook[],4,FALSE)),"")</f>
        <v/>
      </c>
      <c r="E65" s="98"/>
      <c r="F65" s="75" t="str">
        <f>IFERROR(IF(VLOOKUP($A65,TableHandbook[],6,FALSE)=0,"",VLOOKUP($A65,TableHandbook[],6,FALSE)),"")</f>
        <v/>
      </c>
      <c r="G65" s="98" t="str">
        <f>IFERROR(IF(VLOOKUP($A65,TableHandbook[],5,FALSE)=0,"",VLOOKUP($A65,TableHandbook[],5,FALSE)),"")</f>
        <v/>
      </c>
      <c r="H65" s="170" t="str">
        <f>IFERROR(VLOOKUP(A65,TableHandbook[],7,FALSE),"")</f>
        <v/>
      </c>
      <c r="I65" s="171" t="str">
        <f>IFERROR(VLOOKUP(A65,TableHandbook[],8,FALSE),"")</f>
        <v/>
      </c>
      <c r="J65" s="171" t="str">
        <f>IFERROR(VLOOKUP(A65,TableHandbook[],9,FALSE),"")</f>
        <v/>
      </c>
      <c r="K65" s="172" t="str">
        <f>IFERROR(VLOOKUP(A65,TableHandbook[],10,FALSE),"")</f>
        <v/>
      </c>
      <c r="L65" s="128"/>
      <c r="M65" s="114">
        <v>7</v>
      </c>
      <c r="W65" s="17"/>
    </row>
    <row r="66" spans="1:23" ht="19.5" customHeight="1" x14ac:dyDescent="0.25">
      <c r="A66" s="122" t="str">
        <f t="shared" si="4"/>
        <v/>
      </c>
      <c r="B66" s="112" t="str">
        <f>IFERROR(IF(VLOOKUP($A66,TableHandbook[],2,FALSE)=0,"",VLOOKUP($A66,TableHandbook[],2,FALSE)),"")</f>
        <v/>
      </c>
      <c r="C66" s="112" t="str">
        <f>IFERROR(IF(VLOOKUP($A66,TableHandbook[],3,FALSE)=0,"",VLOOKUP($A66,TableHandbook[],3,FALSE)),"")</f>
        <v/>
      </c>
      <c r="D66" s="97" t="str">
        <f>IFERROR(IF(VLOOKUP($A66,TableHandbook[],4,FALSE)=0,"",VLOOKUP($A66,TableHandbook[],4,FALSE)),"")</f>
        <v/>
      </c>
      <c r="E66" s="98"/>
      <c r="F66" s="75" t="str">
        <f>IFERROR(IF(VLOOKUP($A66,TableHandbook[],6,FALSE)=0,"",VLOOKUP($A66,TableHandbook[],6,FALSE)),"")</f>
        <v/>
      </c>
      <c r="G66" s="98" t="str">
        <f>IFERROR(IF(VLOOKUP($A66,TableHandbook[],5,FALSE)=0,"",VLOOKUP($A66,TableHandbook[],5,FALSE)),"")</f>
        <v/>
      </c>
      <c r="H66" s="170" t="str">
        <f>IFERROR(VLOOKUP(A66,TableHandbook[],7,FALSE),"")</f>
        <v/>
      </c>
      <c r="I66" s="171" t="str">
        <f>IFERROR(VLOOKUP(A66,TableHandbook[],8,FALSE),"")</f>
        <v/>
      </c>
      <c r="J66" s="171" t="str">
        <f>IFERROR(VLOOKUP(A66,TableHandbook[],9,FALSE),"")</f>
        <v/>
      </c>
      <c r="K66" s="172" t="str">
        <f>IFERROR(VLOOKUP(A66,TableHandbook[],10,FALSE),"")</f>
        <v/>
      </c>
      <c r="L66" s="128"/>
      <c r="M66" s="114">
        <v>8</v>
      </c>
      <c r="W66" s="17"/>
    </row>
    <row r="67" spans="1:23" ht="19.5" customHeight="1" x14ac:dyDescent="0.25">
      <c r="A67" s="122" t="str">
        <f t="shared" si="4"/>
        <v/>
      </c>
      <c r="B67" s="112" t="str">
        <f>IFERROR(IF(VLOOKUP($A67,TableHandbook[],2,FALSE)=0,"",VLOOKUP($A67,TableHandbook[],2,FALSE)),"")</f>
        <v/>
      </c>
      <c r="C67" s="112" t="str">
        <f>IFERROR(IF(VLOOKUP($A67,TableHandbook[],3,FALSE)=0,"",VLOOKUP($A67,TableHandbook[],3,FALSE)),"")</f>
        <v/>
      </c>
      <c r="D67" s="97" t="str">
        <f>IFERROR(IF(VLOOKUP($A67,TableHandbook[],4,FALSE)=0,"",VLOOKUP($A67,TableHandbook[],4,FALSE)),"")</f>
        <v/>
      </c>
      <c r="E67" s="98"/>
      <c r="F67" s="75" t="str">
        <f>IFERROR(IF(VLOOKUP($A67,TableHandbook[],6,FALSE)=0,"",VLOOKUP($A67,TableHandbook[],6,FALSE)),"")</f>
        <v/>
      </c>
      <c r="G67" s="98" t="str">
        <f>IFERROR(IF(VLOOKUP($A67,TableHandbook[],5,FALSE)=0,"",VLOOKUP($A67,TableHandbook[],5,FALSE)),"")</f>
        <v/>
      </c>
      <c r="H67" s="170" t="str">
        <f>IFERROR(VLOOKUP(A67,TableHandbook[],7,FALSE),"")</f>
        <v/>
      </c>
      <c r="I67" s="171" t="str">
        <f>IFERROR(VLOOKUP(A67,TableHandbook[],8,FALSE),"")</f>
        <v/>
      </c>
      <c r="J67" s="171" t="str">
        <f>IFERROR(VLOOKUP(A67,TableHandbook[],9,FALSE),"")</f>
        <v/>
      </c>
      <c r="K67" s="172" t="str">
        <f>IFERROR(VLOOKUP(A67,TableHandbook[],10,FALSE),"")</f>
        <v/>
      </c>
      <c r="L67" s="128"/>
      <c r="M67" s="114">
        <v>9</v>
      </c>
      <c r="W67" s="17"/>
    </row>
    <row r="68" spans="1:23" ht="19.5" customHeight="1" x14ac:dyDescent="0.25">
      <c r="A68" s="122" t="str">
        <f t="shared" ref="A68" si="5">IFERROR(IF(HLOOKUP($L$58,RangeSpecSets,M68,FALSE)=0,"",HLOOKUP($L$58,RangeSpecSets,M68,FALSE)),"")</f>
        <v/>
      </c>
      <c r="B68" s="112" t="str">
        <f>IFERROR(IF(VLOOKUP($A68,TableHandbook[],2,FALSE)=0,"",VLOOKUP($A68,TableHandbook[],2,FALSE)),"")</f>
        <v/>
      </c>
      <c r="C68" s="112" t="str">
        <f>IFERROR(IF(VLOOKUP($A68,TableHandbook[],3,FALSE)=0,"",VLOOKUP($A68,TableHandbook[],3,FALSE)),"")</f>
        <v/>
      </c>
      <c r="D68" s="97" t="str">
        <f>IFERROR(IF(VLOOKUP($A68,TableHandbook[],4,FALSE)=0,"",VLOOKUP($A68,TableHandbook[],4,FALSE)),"")</f>
        <v/>
      </c>
      <c r="E68" s="98"/>
      <c r="F68" s="75" t="str">
        <f>IFERROR(IF(VLOOKUP($A68,TableHandbook[],6,FALSE)=0,"",VLOOKUP($A68,TableHandbook[],6,FALSE)),"")</f>
        <v/>
      </c>
      <c r="G68" s="98" t="str">
        <f>IFERROR(IF(VLOOKUP($A68,TableHandbook[],5,FALSE)=0,"",VLOOKUP($A68,TableHandbook[],5,FALSE)),"")</f>
        <v/>
      </c>
      <c r="H68" s="170" t="str">
        <f>IFERROR(VLOOKUP(A68,TableHandbook[],7,FALSE),"")</f>
        <v/>
      </c>
      <c r="I68" s="171" t="str">
        <f>IFERROR(VLOOKUP(A68,TableHandbook[],8,FALSE),"")</f>
        <v/>
      </c>
      <c r="J68" s="171" t="str">
        <f>IFERROR(VLOOKUP(A68,TableHandbook[],9,FALSE),"")</f>
        <v/>
      </c>
      <c r="K68" s="172" t="str">
        <f>IFERROR(VLOOKUP(A68,TableHandbook[],10,FALSE),"")</f>
        <v/>
      </c>
      <c r="L68" s="128"/>
      <c r="M68" s="114">
        <v>10</v>
      </c>
      <c r="W68" s="17"/>
    </row>
    <row r="69" spans="1:23" ht="19.5" customHeight="1" x14ac:dyDescent="0.25">
      <c r="A69" s="122" t="str">
        <f t="shared" si="4"/>
        <v/>
      </c>
      <c r="B69" s="112" t="str">
        <f>IFERROR(IF(VLOOKUP($A69,TableHandbook[],2,FALSE)=0,"",VLOOKUP($A69,TableHandbook[],2,FALSE)),"")</f>
        <v/>
      </c>
      <c r="C69" s="112" t="str">
        <f>IFERROR(IF(VLOOKUP($A69,TableHandbook[],3,FALSE)=0,"",VLOOKUP($A69,TableHandbook[],3,FALSE)),"")</f>
        <v/>
      </c>
      <c r="D69" s="97" t="str">
        <f>IFERROR(IF(VLOOKUP($A69,TableHandbook[],4,FALSE)=0,"",VLOOKUP($A69,TableHandbook[],4,FALSE)),"")</f>
        <v/>
      </c>
      <c r="E69" s="98"/>
      <c r="F69" s="75" t="str">
        <f>IFERROR(IF(VLOOKUP($A69,TableHandbook[],6,FALSE)=0,"",VLOOKUP($A69,TableHandbook[],6,FALSE)),"")</f>
        <v/>
      </c>
      <c r="G69" s="98" t="str">
        <f>IFERROR(IF(VLOOKUP($A69,TableHandbook[],5,FALSE)=0,"",VLOOKUP($A69,TableHandbook[],5,FALSE)),"")</f>
        <v/>
      </c>
      <c r="H69" s="170" t="str">
        <f>IFERROR(VLOOKUP(A69,TableHandbook[],7,FALSE),"")</f>
        <v/>
      </c>
      <c r="I69" s="171" t="str">
        <f>IFERROR(VLOOKUP(A69,TableHandbook[],8,FALSE),"")</f>
        <v/>
      </c>
      <c r="J69" s="171" t="str">
        <f>IFERROR(VLOOKUP(A69,TableHandbook[],9,FALSE),"")</f>
        <v/>
      </c>
      <c r="K69" s="172" t="str">
        <f>IFERROR(VLOOKUP(A69,TableHandbook[],10,FALSE),"")</f>
        <v/>
      </c>
      <c r="L69" s="128"/>
      <c r="M69" s="114">
        <v>11</v>
      </c>
      <c r="W69" s="17"/>
    </row>
    <row r="70" spans="1:23" ht="19.5" customHeight="1" x14ac:dyDescent="0.25">
      <c r="A70"/>
      <c r="B70"/>
      <c r="C70"/>
      <c r="D70"/>
      <c r="E70"/>
      <c r="F70"/>
      <c r="G70"/>
      <c r="H70"/>
      <c r="I70"/>
      <c r="J70"/>
      <c r="K70"/>
      <c r="L70"/>
      <c r="M70" s="76"/>
      <c r="W70" s="17"/>
    </row>
    <row r="71" spans="1:23" s="17" customFormat="1" ht="32.25" customHeight="1" x14ac:dyDescent="0.25">
      <c r="A71" s="224" t="s">
        <v>34</v>
      </c>
      <c r="B71" s="224"/>
      <c r="C71" s="224"/>
      <c r="D71" s="224"/>
      <c r="E71" s="224"/>
      <c r="F71" s="224"/>
      <c r="G71" s="224"/>
      <c r="H71" s="224"/>
      <c r="I71" s="224"/>
      <c r="J71" s="224"/>
      <c r="K71" s="224"/>
      <c r="L71" s="224"/>
      <c r="M71" s="15"/>
      <c r="N71" s="15"/>
      <c r="O71" s="15"/>
      <c r="P71" s="15"/>
      <c r="Q71" s="15"/>
      <c r="R71" s="15"/>
      <c r="S71" s="15"/>
      <c r="T71" s="15"/>
      <c r="U71" s="15"/>
      <c r="V71" s="15"/>
    </row>
    <row r="72" spans="1:23" s="25" customFormat="1" ht="24.95" customHeight="1" x14ac:dyDescent="0.3">
      <c r="A72" s="52" t="s">
        <v>35</v>
      </c>
      <c r="B72" s="52"/>
      <c r="C72" s="52"/>
      <c r="D72" s="53"/>
      <c r="E72" s="54"/>
      <c r="F72" s="53"/>
      <c r="G72" s="53"/>
      <c r="H72" s="53"/>
      <c r="I72" s="53"/>
      <c r="J72" s="53"/>
      <c r="K72" s="53"/>
      <c r="L72" s="53"/>
      <c r="M72" s="99"/>
      <c r="N72" s="99"/>
      <c r="O72" s="99"/>
      <c r="W72" s="24"/>
    </row>
    <row r="73" spans="1:23" s="17" customFormat="1" ht="15" customHeight="1" x14ac:dyDescent="0.25">
      <c r="A73" s="100" t="s">
        <v>36</v>
      </c>
      <c r="B73" s="100"/>
      <c r="C73" s="100"/>
      <c r="D73" s="100"/>
      <c r="E73" s="101"/>
      <c r="F73" s="83"/>
      <c r="G73" s="102"/>
      <c r="H73" s="102"/>
      <c r="I73" s="102"/>
      <c r="J73" s="102"/>
      <c r="K73" s="102"/>
      <c r="L73" s="102" t="s">
        <v>37</v>
      </c>
      <c r="M73" s="15"/>
      <c r="N73" s="15"/>
      <c r="O73" s="15"/>
      <c r="P73" s="15"/>
      <c r="Q73" s="15"/>
      <c r="R73" s="15"/>
      <c r="S73" s="15"/>
      <c r="T73" s="15"/>
      <c r="U73" s="15"/>
      <c r="V73" s="15"/>
    </row>
  </sheetData>
  <sheetProtection formatCells="0"/>
  <mergeCells count="2">
    <mergeCell ref="A3:D3"/>
    <mergeCell ref="A71:L71"/>
  </mergeCells>
  <conditionalFormatting sqref="A10:L20 A22:L23 A25:L26 A28:L29 A31:L32 A34:L35 A37:L38 A40:L41 A43:L44 A46:L47 A49:L50 A52:L53 A55:L56 A21:B21 L21 A33:B33 L33 A45:B45 L45">
    <cfRule type="expression" dxfId="65" priority="22">
      <formula>$A10="Spec"</formula>
    </cfRule>
  </conditionalFormatting>
  <conditionalFormatting sqref="A24:L24">
    <cfRule type="expression" dxfId="64" priority="18">
      <formula>$A24="Spec"</formula>
    </cfRule>
  </conditionalFormatting>
  <conditionalFormatting sqref="A27:L27">
    <cfRule type="expression" dxfId="63" priority="16">
      <formula>$A27="Spec"</formula>
    </cfRule>
  </conditionalFormatting>
  <conditionalFormatting sqref="A30:L30">
    <cfRule type="expression" dxfId="62" priority="14">
      <formula>$A30="Spec"</formula>
    </cfRule>
  </conditionalFormatting>
  <conditionalFormatting sqref="A36:L36">
    <cfRule type="expression" dxfId="61" priority="12">
      <formula>$A36="Spec"</formula>
    </cfRule>
  </conditionalFormatting>
  <conditionalFormatting sqref="A39:L39">
    <cfRule type="expression" dxfId="60" priority="10">
      <formula>$A39="Spec"</formula>
    </cfRule>
  </conditionalFormatting>
  <conditionalFormatting sqref="A42:L42">
    <cfRule type="expression" dxfId="59" priority="8">
      <formula>$A42="Spec"</formula>
    </cfRule>
  </conditionalFormatting>
  <conditionalFormatting sqref="A48:L48">
    <cfRule type="expression" dxfId="58" priority="6">
      <formula>$A48="Spec"</formula>
    </cfRule>
  </conditionalFormatting>
  <conditionalFormatting sqref="A51:L51">
    <cfRule type="expression" dxfId="57" priority="4">
      <formula>$A51="Spec"</formula>
    </cfRule>
  </conditionalFormatting>
  <conditionalFormatting sqref="A54:L54">
    <cfRule type="expression" dxfId="56" priority="2">
      <formula>$A54="Spec"</formula>
    </cfRule>
  </conditionalFormatting>
  <conditionalFormatting sqref="A60:L69">
    <cfRule type="expression" dxfId="55" priority="21">
      <formula>$A60=""</formula>
    </cfRule>
    <cfRule type="expression" dxfId="54" priority="24">
      <formula>OR(LEFT($D60,5)="Study",LEFT($D60,3)="and")</formula>
    </cfRule>
  </conditionalFormatting>
  <conditionalFormatting sqref="D5:D7">
    <cfRule type="containsText" dxfId="53" priority="27" operator="containsText" text="Choose">
      <formula>NOT(ISERROR(SEARCH("Choose",D5)))</formula>
    </cfRule>
  </conditionalFormatting>
  <conditionalFormatting sqref="H10:K56">
    <cfRule type="expression" dxfId="52" priority="19">
      <formula>$E10=H$9</formula>
    </cfRule>
  </conditionalFormatting>
  <conditionalFormatting sqref="H24:K24">
    <cfRule type="expression" dxfId="51" priority="17">
      <formula>$E24=H$9</formula>
    </cfRule>
  </conditionalFormatting>
  <conditionalFormatting sqref="H27:K27">
    <cfRule type="expression" dxfId="50" priority="15">
      <formula>$E27=H$9</formula>
    </cfRule>
  </conditionalFormatting>
  <conditionalFormatting sqref="H30:K30">
    <cfRule type="expression" dxfId="49" priority="13">
      <formula>$E30=H$9</formula>
    </cfRule>
  </conditionalFormatting>
  <conditionalFormatting sqref="H36:K36">
    <cfRule type="expression" dxfId="48" priority="11">
      <formula>$E36=H$9</formula>
    </cfRule>
  </conditionalFormatting>
  <conditionalFormatting sqref="H39:K39">
    <cfRule type="expression" dxfId="47" priority="9">
      <formula>$E39=H$9</formula>
    </cfRule>
  </conditionalFormatting>
  <conditionalFormatting sqref="H42:K42">
    <cfRule type="expression" dxfId="46" priority="7">
      <formula>$E42=H$9</formula>
    </cfRule>
  </conditionalFormatting>
  <conditionalFormatting sqref="H48:K48">
    <cfRule type="expression" dxfId="45" priority="5">
      <formula>$E48=H$9</formula>
    </cfRule>
  </conditionalFormatting>
  <conditionalFormatting sqref="H51:K51">
    <cfRule type="expression" dxfId="44" priority="3">
      <formula>$E51=H$9</formula>
    </cfRule>
  </conditionalFormatting>
  <conditionalFormatting sqref="H54:K54">
    <cfRule type="expression" dxfId="43" priority="1">
      <formula>$E54=H$9</formula>
    </cfRule>
  </conditionalFormatting>
  <conditionalFormatting sqref="L59">
    <cfRule type="expression" dxfId="42" priority="20">
      <formula>$A59="Spec"</formula>
    </cfRule>
  </conditionalFormatting>
  <dataValidations count="1">
    <dataValidation type="list" allowBlank="1" showInputMessage="1" showErrorMessage="1" sqref="L15 L12 L18 L24 L27 L30 L36 L39 L42 L48 L51 L54" xr:uid="{00000000-0002-0000-0000-000000000000}"/>
  </dataValidations>
  <hyperlinks>
    <hyperlink ref="A72:L72"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1" orientation="portrait" r:id="rId2"/>
  <rowBreaks count="1" manualBreakCount="1">
    <brk id="56" max="10"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CourseDetails!$A$11:$A$15</xm:f>
          </x14:formula1>
          <xm:sqref>D7</xm:sqref>
        </x14:dataValidation>
        <x14:dataValidation type="list" showInputMessage="1" showErrorMessage="1" xr:uid="{00000000-0002-0000-0000-000002000000}">
          <x14:formula1>
            <xm:f>CourseDetails!$A$18:$A$23</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0"/>
  <sheetViews>
    <sheetView showGridLines="0" tabSelected="1" topLeftCell="A3" zoomScaleNormal="100" workbookViewId="0">
      <selection activeCell="D6" sqref="D6"/>
    </sheetView>
  </sheetViews>
  <sheetFormatPr defaultColWidth="9" defaultRowHeight="15" x14ac:dyDescent="0.25"/>
  <cols>
    <col min="1" max="1" width="9.75" style="241" customWidth="1"/>
    <col min="2" max="2" width="3.25" style="241" customWidth="1"/>
    <col min="3" max="3" width="8" style="241" customWidth="1"/>
    <col min="4" max="4" width="55.5" style="229" customWidth="1"/>
    <col min="5" max="5" width="7.5" style="229" customWidth="1"/>
    <col min="6" max="6" width="22.625" style="229" customWidth="1"/>
    <col min="7" max="7" width="5.625" style="229" customWidth="1"/>
    <col min="8" max="11" width="4.625" style="229" customWidth="1"/>
    <col min="12" max="12" width="18.625" style="229" customWidth="1"/>
    <col min="13" max="13" width="2.5" style="229" hidden="1" customWidth="1"/>
    <col min="14" max="16384" width="9" style="229"/>
  </cols>
  <sheetData>
    <row r="1" spans="1:16" hidden="1" x14ac:dyDescent="0.25">
      <c r="A1" s="225" t="s">
        <v>0</v>
      </c>
      <c r="B1" s="226" t="s">
        <v>1</v>
      </c>
      <c r="C1" s="226" t="s">
        <v>2</v>
      </c>
      <c r="D1" s="227" t="s">
        <v>3</v>
      </c>
      <c r="E1" s="227"/>
      <c r="F1" s="227" t="s">
        <v>4</v>
      </c>
      <c r="G1" s="227" t="s">
        <v>5</v>
      </c>
      <c r="H1" s="228" t="s">
        <v>6</v>
      </c>
      <c r="I1" s="227"/>
      <c r="J1" s="227"/>
      <c r="K1" s="227"/>
      <c r="L1" s="227" t="s">
        <v>7</v>
      </c>
    </row>
    <row r="2" spans="1:16" hidden="1" x14ac:dyDescent="0.25">
      <c r="A2" s="230"/>
      <c r="B2" s="231">
        <v>2</v>
      </c>
      <c r="C2" s="231">
        <v>3</v>
      </c>
      <c r="D2" s="231">
        <v>4</v>
      </c>
      <c r="E2" s="231"/>
      <c r="F2" s="231">
        <v>6</v>
      </c>
      <c r="G2" s="231">
        <v>5</v>
      </c>
      <c r="H2" s="231">
        <v>7</v>
      </c>
      <c r="I2" s="231">
        <v>8</v>
      </c>
      <c r="J2" s="231">
        <v>9</v>
      </c>
      <c r="K2" s="231">
        <v>10</v>
      </c>
      <c r="L2" s="232"/>
    </row>
    <row r="3" spans="1:16" ht="39.950000000000003" customHeight="1" x14ac:dyDescent="0.25">
      <c r="A3" s="233" t="s">
        <v>8</v>
      </c>
      <c r="B3" s="233"/>
      <c r="C3" s="233"/>
      <c r="D3" s="233"/>
      <c r="E3" s="234"/>
      <c r="F3" s="234"/>
      <c r="G3" s="234"/>
      <c r="H3" s="234"/>
      <c r="I3" s="234"/>
      <c r="J3" s="234"/>
      <c r="K3" s="234"/>
      <c r="L3" s="234"/>
    </row>
    <row r="4" spans="1:16" ht="25.5" x14ac:dyDescent="0.25">
      <c r="A4" s="235"/>
      <c r="B4" s="236"/>
      <c r="C4" s="236"/>
      <c r="D4" s="237"/>
      <c r="E4" s="238" t="s">
        <v>9</v>
      </c>
      <c r="F4" s="236"/>
      <c r="G4" s="239"/>
      <c r="H4" s="239"/>
      <c r="I4" s="239"/>
      <c r="J4" s="239"/>
      <c r="K4" s="239"/>
      <c r="L4" s="240"/>
    </row>
    <row r="5" spans="1:16" ht="20.100000000000001" customHeight="1" x14ac:dyDescent="0.25">
      <c r="B5" s="242"/>
      <c r="C5" s="243" t="s">
        <v>10</v>
      </c>
      <c r="D5" s="244" t="s">
        <v>38</v>
      </c>
      <c r="E5" s="245"/>
      <c r="F5" s="243" t="s">
        <v>12</v>
      </c>
      <c r="G5" s="245" t="str">
        <f>IFERROR(CONCATENATE(VLOOKUP(D5,TableCourses[],2,FALSE)," ",VLOOKUP(D5,TableCourses[],3,FALSE)),"")</f>
        <v>OB-INDSGN v.2</v>
      </c>
      <c r="H5" s="245"/>
      <c r="I5" s="245"/>
      <c r="J5" s="246"/>
      <c r="K5" s="246"/>
      <c r="L5" s="247" t="e">
        <f>CONCATENATE(VLOOKUP(D5,TableCourses[],2,FALSE),VLOOKUP(D7,TableStudyPeriod[],2,FALSE))</f>
        <v>#N/A</v>
      </c>
    </row>
    <row r="6" spans="1:16" ht="20.100000000000001" customHeight="1" x14ac:dyDescent="0.25">
      <c r="B6" s="242"/>
      <c r="C6" s="243" t="s">
        <v>13</v>
      </c>
      <c r="D6" s="55" t="s">
        <v>14</v>
      </c>
      <c r="E6" s="245"/>
      <c r="F6" s="243" t="s">
        <v>15</v>
      </c>
      <c r="G6" s="245" t="str">
        <f>IFERROR(CONCATENATE(VLOOKUP(D6,TableSpecialisations[],2,FALSE)," ",VLOOKUP(D6,TableSpecialisations[],3,FALSE)),"")</f>
        <v/>
      </c>
      <c r="H6" s="245"/>
      <c r="I6" s="245"/>
      <c r="J6" s="246"/>
      <c r="K6" s="246"/>
      <c r="L6" s="247" t="e">
        <f>CONCATENATE(VLOOKUP(D6,TableSpecialisations[],2,FALSE),VLOOKUP(D7,TableStudyPeriod[],2,FALSE))</f>
        <v>#N/A</v>
      </c>
    </row>
    <row r="7" spans="1:16" ht="20.100000000000001" customHeight="1" x14ac:dyDescent="0.25">
      <c r="A7" s="248"/>
      <c r="B7" s="249"/>
      <c r="C7" s="243" t="s">
        <v>16</v>
      </c>
      <c r="D7" s="56" t="s">
        <v>17</v>
      </c>
      <c r="E7" s="250"/>
      <c r="F7" s="243" t="s">
        <v>18</v>
      </c>
      <c r="G7" s="245" t="str">
        <f>IFERROR(VLOOKUP($D$5,TableCourses[],7,FALSE),"")</f>
        <v>600 credit points required</v>
      </c>
      <c r="H7" s="251"/>
      <c r="I7" s="251"/>
      <c r="J7" s="252"/>
      <c r="K7" s="252"/>
      <c r="L7" s="253"/>
    </row>
    <row r="8" spans="1:16" s="261" customFormat="1" ht="14.1" customHeight="1" x14ac:dyDescent="0.25">
      <c r="A8" s="254"/>
      <c r="B8" s="254"/>
      <c r="C8" s="254"/>
      <c r="D8" s="255"/>
      <c r="E8" s="256"/>
      <c r="F8" s="254"/>
      <c r="G8" s="254"/>
      <c r="H8" s="257" t="s">
        <v>19</v>
      </c>
      <c r="I8" s="258"/>
      <c r="J8" s="258"/>
      <c r="K8" s="259"/>
      <c r="L8" s="256"/>
      <c r="M8" s="260"/>
      <c r="N8" s="260"/>
      <c r="O8" s="260"/>
    </row>
    <row r="9" spans="1:16" s="261" customFormat="1" ht="21" x14ac:dyDescent="0.25">
      <c r="A9" s="254" t="s">
        <v>20</v>
      </c>
      <c r="B9" s="254"/>
      <c r="C9" s="254" t="s">
        <v>21</v>
      </c>
      <c r="D9" s="255" t="s">
        <v>3</v>
      </c>
      <c r="E9" s="262" t="s">
        <v>22</v>
      </c>
      <c r="F9" s="254" t="s">
        <v>23</v>
      </c>
      <c r="G9" s="254" t="s">
        <v>24</v>
      </c>
      <c r="H9" s="263" t="s">
        <v>25</v>
      </c>
      <c r="I9" s="264" t="s">
        <v>26</v>
      </c>
      <c r="J9" s="264" t="s">
        <v>27</v>
      </c>
      <c r="K9" s="265" t="s">
        <v>28</v>
      </c>
      <c r="L9" s="254" t="s">
        <v>29</v>
      </c>
      <c r="M9" s="260"/>
      <c r="N9" s="260"/>
      <c r="O9" s="260"/>
    </row>
    <row r="10" spans="1:16" s="275" customFormat="1" ht="20.100000000000001" customHeight="1" x14ac:dyDescent="0.15">
      <c r="A10" s="266" t="str">
        <f>IFERROR(IF(HLOOKUP($L$5,RangeUnitsets,M10,FALSE)=0,"",HLOOKUP($L$5,RangeUnitsets,M10,FALSE)),"")</f>
        <v/>
      </c>
      <c r="B10" s="267" t="str">
        <f>IFERROR(IF(VLOOKUP($A10,TableHandbook[],2,FALSE)=0,"",VLOOKUP($A10,TableHandbook[],2,FALSE)),"")</f>
        <v/>
      </c>
      <c r="C10" s="267" t="str">
        <f>IFERROR(IF(VLOOKUP($A10,TableHandbook[],3,FALSE)=0,"",VLOOKUP($A10,TableHandbook[],3,FALSE)),"")</f>
        <v/>
      </c>
      <c r="D10" s="268" t="str">
        <f>IFERROR(IF(VLOOKUP($A10,TableHandbook[],4,FALSE)=0,"",VLOOKUP($A10,TableHandbook[],4,FALSE)),"")</f>
        <v/>
      </c>
      <c r="E10" s="267" t="str">
        <f>IF(A10="","",VLOOKUP($D$7,TableStudyPeriod[],2,FALSE))</f>
        <v/>
      </c>
      <c r="F10" s="269" t="str">
        <f>IFERROR(IF(VLOOKUP($A10,TableHandbook[],6,FALSE)=0,"",VLOOKUP($A10,TableHandbook[],6,FALSE)),"")</f>
        <v/>
      </c>
      <c r="G10" s="267" t="str">
        <f>IFERROR(IF(VLOOKUP($A10,TableHandbook[],5,FALSE)=0,"",VLOOKUP($A10,TableHandbook[],5,FALSE)),"")</f>
        <v/>
      </c>
      <c r="H10" s="270" t="str">
        <f>IFERROR(VLOOKUP($A10,TableHandbook[],H$2,FALSE),"")</f>
        <v/>
      </c>
      <c r="I10" s="271" t="str">
        <f>IFERROR(VLOOKUP($A10,TableHandbook[],I$2,FALSE),"")</f>
        <v/>
      </c>
      <c r="J10" s="271" t="str">
        <f>IFERROR(VLOOKUP($A10,TableHandbook[],J$2,FALSE),"")</f>
        <v/>
      </c>
      <c r="K10" s="272" t="str">
        <f>IFERROR(VLOOKUP($A10,TableHandbook[],K$2,FALSE),"")</f>
        <v/>
      </c>
      <c r="L10" s="126"/>
      <c r="M10" s="273">
        <v>2</v>
      </c>
      <c r="N10" s="274"/>
      <c r="O10" s="274"/>
    </row>
    <row r="11" spans="1:16" s="275" customFormat="1" ht="20.100000000000001" customHeight="1" x14ac:dyDescent="0.15">
      <c r="A11" s="266" t="str">
        <f>IFERROR(IF(HLOOKUP($L$5,RangeUnitsets,M11,FALSE)=0,"",HLOOKUP($L$5,RangeUnitsets,M11,FALSE)),"")</f>
        <v/>
      </c>
      <c r="B11" s="267" t="str">
        <f>IFERROR(IF(VLOOKUP($A11,TableHandbook[],2,FALSE)=0,"",VLOOKUP($A11,TableHandbook[],2,FALSE)),"")</f>
        <v/>
      </c>
      <c r="C11" s="267" t="str">
        <f>IFERROR(IF(VLOOKUP($A11,TableHandbook[],3,FALSE)=0,"",VLOOKUP($A11,TableHandbook[],3,FALSE)),"")</f>
        <v/>
      </c>
      <c r="D11" s="268" t="str">
        <f>IFERROR(IF(VLOOKUP($A11,TableHandbook[],4,FALSE)=0,"",VLOOKUP($A11,TableHandbook[],4,FALSE)),"")</f>
        <v/>
      </c>
      <c r="E11" s="267" t="str">
        <f>IF(A11="","",E10)</f>
        <v/>
      </c>
      <c r="F11" s="269" t="str">
        <f>IFERROR(IF(VLOOKUP($A11,TableHandbook[],6,FALSE)=0,"",VLOOKUP($A11,TableHandbook[],6,FALSE)),"")</f>
        <v/>
      </c>
      <c r="G11" s="267" t="str">
        <f>IFERROR(IF(VLOOKUP($A11,TableHandbook[],5,FALSE)=0,"",VLOOKUP($A11,TableHandbook[],5,FALSE)),"")</f>
        <v/>
      </c>
      <c r="H11" s="270" t="str">
        <f>IFERROR(VLOOKUP(A11,TableHandbook[],7,FALSE),"")</f>
        <v/>
      </c>
      <c r="I11" s="271" t="str">
        <f>IFERROR(VLOOKUP(A11,TableHandbook[],8,FALSE),"")</f>
        <v/>
      </c>
      <c r="J11" s="271" t="str">
        <f>IFERROR(VLOOKUP(A11,TableHandbook[],9,FALSE),"")</f>
        <v/>
      </c>
      <c r="K11" s="272" t="str">
        <f>IFERROR(VLOOKUP(A11,TableHandbook[],10,FALSE),"")</f>
        <v/>
      </c>
      <c r="L11" s="126"/>
      <c r="M11" s="273">
        <v>3</v>
      </c>
      <c r="N11" s="274"/>
      <c r="O11" s="274"/>
    </row>
    <row r="12" spans="1:16" s="275" customFormat="1" ht="5.0999999999999996" customHeight="1" x14ac:dyDescent="0.15">
      <c r="A12" s="276"/>
      <c r="B12" s="277"/>
      <c r="C12" s="277"/>
      <c r="D12" s="278"/>
      <c r="E12" s="277"/>
      <c r="F12" s="279"/>
      <c r="G12" s="277"/>
      <c r="H12" s="280"/>
      <c r="I12" s="281"/>
      <c r="J12" s="281"/>
      <c r="K12" s="282"/>
      <c r="L12" s="127"/>
      <c r="M12" s="273"/>
      <c r="N12" s="274"/>
      <c r="O12" s="274"/>
      <c r="P12" s="274"/>
    </row>
    <row r="13" spans="1:16" s="275" customFormat="1" ht="20.100000000000001" customHeight="1" x14ac:dyDescent="0.15">
      <c r="A13" s="266" t="str">
        <f>IFERROR(IF(HLOOKUP($L$5,RangeUnitsets,M13,FALSE)=0,"",HLOOKUP($L$5,RangeUnitsets,M13,FALSE)),"")</f>
        <v/>
      </c>
      <c r="B13" s="267" t="str">
        <f>IFERROR(IF(VLOOKUP($A13,TableHandbook[],2,FALSE)=0,"",VLOOKUP($A13,TableHandbook[],2,FALSE)),"")</f>
        <v/>
      </c>
      <c r="C13" s="267" t="str">
        <f>IFERROR(IF(VLOOKUP($A13,TableHandbook[],3,FALSE)=0,"",VLOOKUP($A13,TableHandbook[],3,FALSE)),"")</f>
        <v/>
      </c>
      <c r="D13" s="268" t="str">
        <f>IFERROR(IF(VLOOKUP($A13,TableHandbook[],4,FALSE)=0,"",VLOOKUP($A13,TableHandbook[],4,FALSE)),"")</f>
        <v/>
      </c>
      <c r="E13" s="267" t="str">
        <f>IF(A13="","",VLOOKUP($D$7,TableStudyPeriod[],3,FALSE))</f>
        <v/>
      </c>
      <c r="F13" s="269" t="str">
        <f>IFERROR(IF(VLOOKUP($A13,TableHandbook[],6,FALSE)=0,"",VLOOKUP($A13,TableHandbook[],6,FALSE)),"")</f>
        <v/>
      </c>
      <c r="G13" s="267" t="str">
        <f>IFERROR(IF(VLOOKUP($A13,TableHandbook[],5,FALSE)=0,"",VLOOKUP($A13,TableHandbook[],5,FALSE)),"")</f>
        <v/>
      </c>
      <c r="H13" s="270" t="str">
        <f>IFERROR(VLOOKUP(A13,TableHandbook[],7,FALSE),"")</f>
        <v/>
      </c>
      <c r="I13" s="271" t="str">
        <f>IFERROR(VLOOKUP(A13,TableHandbook[],8,FALSE),"")</f>
        <v/>
      </c>
      <c r="J13" s="271" t="str">
        <f>IFERROR(VLOOKUP(A13,TableHandbook[],9,FALSE),"")</f>
        <v/>
      </c>
      <c r="K13" s="272" t="str">
        <f>IFERROR(VLOOKUP(A13,TableHandbook[],10,FALSE),"")</f>
        <v/>
      </c>
      <c r="L13" s="128"/>
      <c r="M13" s="273">
        <v>4</v>
      </c>
      <c r="N13" s="274"/>
      <c r="O13" s="274"/>
    </row>
    <row r="14" spans="1:16" s="275" customFormat="1" ht="20.100000000000001" customHeight="1" x14ac:dyDescent="0.15">
      <c r="A14" s="266" t="str">
        <f>IFERROR(IF(HLOOKUP($L$5,RangeUnitsets,M14,FALSE)=0,"",HLOOKUP($L$5,RangeUnitsets,M14,FALSE)),"")</f>
        <v/>
      </c>
      <c r="B14" s="267" t="str">
        <f>IFERROR(IF(VLOOKUP($A14,TableHandbook[],2,FALSE)=0,"",VLOOKUP($A14,TableHandbook[],2,FALSE)),"")</f>
        <v/>
      </c>
      <c r="C14" s="267" t="str">
        <f>IFERROR(IF(VLOOKUP($A14,TableHandbook[],3,FALSE)=0,"",VLOOKUP($A14,TableHandbook[],3,FALSE)),"")</f>
        <v/>
      </c>
      <c r="D14" s="268" t="str">
        <f>IFERROR(IF(VLOOKUP($A14,TableHandbook[],4,FALSE)=0,"",VLOOKUP($A14,TableHandbook[],4,FALSE)),"")</f>
        <v/>
      </c>
      <c r="E14" s="267" t="str">
        <f>IF(A14="","",E13)</f>
        <v/>
      </c>
      <c r="F14" s="269" t="str">
        <f>IFERROR(IF(VLOOKUP($A14,TableHandbook[],6,FALSE)=0,"",VLOOKUP($A14,TableHandbook[],6,FALSE)),"")</f>
        <v/>
      </c>
      <c r="G14" s="267" t="str">
        <f>IFERROR(IF(VLOOKUP($A14,TableHandbook[],5,FALSE)=0,"",VLOOKUP($A14,TableHandbook[],5,FALSE)),"")</f>
        <v/>
      </c>
      <c r="H14" s="270" t="str">
        <f>IFERROR(VLOOKUP(A14,TableHandbook[],7,FALSE),"")</f>
        <v/>
      </c>
      <c r="I14" s="271" t="str">
        <f>IFERROR(VLOOKUP(A14,TableHandbook[],8,FALSE),"")</f>
        <v/>
      </c>
      <c r="J14" s="271" t="str">
        <f>IFERROR(VLOOKUP(A14,TableHandbook[],9,FALSE),"")</f>
        <v/>
      </c>
      <c r="K14" s="272" t="str">
        <f>IFERROR(VLOOKUP(A14,TableHandbook[],10,FALSE),"")</f>
        <v/>
      </c>
      <c r="L14" s="126"/>
      <c r="M14" s="273">
        <v>5</v>
      </c>
      <c r="N14" s="274"/>
      <c r="O14" s="274"/>
    </row>
    <row r="15" spans="1:16" s="275" customFormat="1" ht="5.0999999999999996" customHeight="1" x14ac:dyDescent="0.15">
      <c r="A15" s="276"/>
      <c r="B15" s="277"/>
      <c r="C15" s="277"/>
      <c r="D15" s="278"/>
      <c r="E15" s="277"/>
      <c r="F15" s="279"/>
      <c r="G15" s="277"/>
      <c r="H15" s="280"/>
      <c r="I15" s="281"/>
      <c r="J15" s="281"/>
      <c r="K15" s="282"/>
      <c r="L15" s="127"/>
      <c r="M15" s="273"/>
      <c r="N15" s="274"/>
      <c r="O15" s="274"/>
      <c r="P15" s="274"/>
    </row>
    <row r="16" spans="1:16" s="275" customFormat="1" ht="20.100000000000001" customHeight="1" x14ac:dyDescent="0.15">
      <c r="A16" s="266" t="str">
        <f>IFERROR(IF(HLOOKUP($L$5,RangeUnitsets,M16,FALSE)=0,"",HLOOKUP($L$5,RangeUnitsets,M16,FALSE)),"")</f>
        <v/>
      </c>
      <c r="B16" s="283" t="str">
        <f>IFERROR(IF(VLOOKUP($A16,TableHandbook[],2,FALSE)=0,"",VLOOKUP($A16,TableHandbook[],2,FALSE)),"")</f>
        <v/>
      </c>
      <c r="C16" s="283" t="str">
        <f>IFERROR(IF(VLOOKUP($A16,TableHandbook[],3,FALSE)=0,"",VLOOKUP($A16,TableHandbook[],3,FALSE)),"")</f>
        <v/>
      </c>
      <c r="D16" s="268" t="str">
        <f>IFERROR(IF(VLOOKUP($A16,TableHandbook[],4,FALSE)=0,"",VLOOKUP($A16,TableHandbook[],4,FALSE)),"")</f>
        <v/>
      </c>
      <c r="E16" s="267" t="str">
        <f>IF(A16="","",VLOOKUP($D$7,TableStudyPeriod[],4,FALSE))</f>
        <v/>
      </c>
      <c r="F16" s="269" t="str">
        <f>IFERROR(IF(VLOOKUP($A16,TableHandbook[],6,FALSE)=0,"",VLOOKUP($A16,TableHandbook[],6,FALSE)),"")</f>
        <v/>
      </c>
      <c r="G16" s="283" t="str">
        <f>IFERROR(IF(VLOOKUP($A16,TableHandbook[],5,FALSE)=0,"",VLOOKUP($A16,TableHandbook[],5,FALSE)),"")</f>
        <v/>
      </c>
      <c r="H16" s="284" t="str">
        <f>IFERROR(VLOOKUP(A16,TableHandbook[],7,FALSE),"")</f>
        <v/>
      </c>
      <c r="I16" s="285" t="str">
        <f>IFERROR(VLOOKUP(A16,TableHandbook[],8,FALSE),"")</f>
        <v/>
      </c>
      <c r="J16" s="285" t="str">
        <f>IFERROR(VLOOKUP(A16,TableHandbook[],9,FALSE),"")</f>
        <v/>
      </c>
      <c r="K16" s="286" t="str">
        <f>IFERROR(VLOOKUP(A16,TableHandbook[],10,FALSE),"")</f>
        <v/>
      </c>
      <c r="L16" s="128"/>
      <c r="M16" s="273">
        <v>6</v>
      </c>
      <c r="N16" s="274"/>
      <c r="O16" s="274"/>
    </row>
    <row r="17" spans="1:16" s="288" customFormat="1" ht="20.100000000000001" customHeight="1" x14ac:dyDescent="0.15">
      <c r="A17" s="266" t="str">
        <f>IFERROR(IF(HLOOKUP($L$5,RangeUnitsets,M17,FALSE)=0,"",HLOOKUP($L$5,RangeUnitsets,M17,FALSE)),"")</f>
        <v/>
      </c>
      <c r="B17" s="283" t="str">
        <f>IFERROR(IF(VLOOKUP($A17,TableHandbook[],2,FALSE)=0,"",VLOOKUP($A17,TableHandbook[],2,FALSE)),"")</f>
        <v/>
      </c>
      <c r="C17" s="283" t="str">
        <f>IFERROR(IF(VLOOKUP($A17,TableHandbook[],3,FALSE)=0,"",VLOOKUP($A17,TableHandbook[],3,FALSE)),"")</f>
        <v/>
      </c>
      <c r="D17" s="268" t="str">
        <f>IFERROR(IF(VLOOKUP($A17,TableHandbook[],4,FALSE)=0,"",VLOOKUP($A17,TableHandbook[],4,FALSE)),"")</f>
        <v/>
      </c>
      <c r="E17" s="267" t="str">
        <f>IF(A17="","",E16)</f>
        <v/>
      </c>
      <c r="F17" s="269" t="str">
        <f>IFERROR(IF(VLOOKUP($A17,TableHandbook[],6,FALSE)=0,"",VLOOKUP($A17,TableHandbook[],6,FALSE)),"")</f>
        <v/>
      </c>
      <c r="G17" s="283" t="str">
        <f>IFERROR(IF(VLOOKUP($A17,TableHandbook[],5,FALSE)=0,"",VLOOKUP($A17,TableHandbook[],5,FALSE)),"")</f>
        <v/>
      </c>
      <c r="H17" s="284" t="str">
        <f>IFERROR(VLOOKUP(A17,TableHandbook[],7,FALSE),"")</f>
        <v/>
      </c>
      <c r="I17" s="285" t="str">
        <f>IFERROR(VLOOKUP(A17,TableHandbook[],8,FALSE),"")</f>
        <v/>
      </c>
      <c r="J17" s="285" t="str">
        <f>IFERROR(VLOOKUP(A17,TableHandbook[],9,FALSE),"")</f>
        <v/>
      </c>
      <c r="K17" s="286" t="str">
        <f>IFERROR(VLOOKUP(A17,TableHandbook[],10,FALSE),"")</f>
        <v/>
      </c>
      <c r="L17" s="128"/>
      <c r="M17" s="273">
        <v>7</v>
      </c>
      <c r="N17" s="287"/>
      <c r="O17" s="287"/>
    </row>
    <row r="18" spans="1:16" s="275" customFormat="1" ht="5.0999999999999996" customHeight="1" x14ac:dyDescent="0.15">
      <c r="A18" s="276"/>
      <c r="B18" s="277"/>
      <c r="C18" s="277"/>
      <c r="D18" s="278"/>
      <c r="E18" s="277"/>
      <c r="F18" s="279"/>
      <c r="G18" s="277"/>
      <c r="H18" s="280"/>
      <c r="I18" s="281"/>
      <c r="J18" s="281"/>
      <c r="K18" s="282"/>
      <c r="L18" s="127"/>
      <c r="M18" s="273"/>
      <c r="N18" s="274"/>
      <c r="O18" s="274"/>
      <c r="P18" s="274"/>
    </row>
    <row r="19" spans="1:16" s="288" customFormat="1" ht="20.100000000000001" customHeight="1" x14ac:dyDescent="0.15">
      <c r="A19" s="266" t="str">
        <f>IFERROR(IF(HLOOKUP($L$5,RangeUnitsets,M19,FALSE)=0,"",HLOOKUP($L$5,RangeUnitsets,M19,FALSE)),"")</f>
        <v/>
      </c>
      <c r="B19" s="283" t="str">
        <f>IFERROR(IF(VLOOKUP($A19,TableHandbook[],2,FALSE)=0,"",VLOOKUP($A19,TableHandbook[],2,FALSE)),"")</f>
        <v/>
      </c>
      <c r="C19" s="283" t="str">
        <f>IFERROR(IF(VLOOKUP($A19,TableHandbook[],3,FALSE)=0,"",VLOOKUP($A19,TableHandbook[],3,FALSE)),"")</f>
        <v/>
      </c>
      <c r="D19" s="268" t="str">
        <f>IFERROR(IF(VLOOKUP($A19,TableHandbook[],4,FALSE)=0,"",VLOOKUP($A19,TableHandbook[],4,FALSE)),"")</f>
        <v/>
      </c>
      <c r="E19" s="267" t="str">
        <f>IF(A19="","",VLOOKUP($D$7,TableStudyPeriod[],5,FALSE))</f>
        <v/>
      </c>
      <c r="F19" s="269" t="str">
        <f>IFERROR(IF(VLOOKUP($A19,TableHandbook[],6,FALSE)=0,"",VLOOKUP($A19,TableHandbook[],6,FALSE)),"")</f>
        <v/>
      </c>
      <c r="G19" s="283" t="str">
        <f>IFERROR(IF(VLOOKUP($A19,TableHandbook[],5,FALSE)=0,"",VLOOKUP($A19,TableHandbook[],5,FALSE)),"")</f>
        <v/>
      </c>
      <c r="H19" s="284" t="str">
        <f>IFERROR(VLOOKUP(A19,TableHandbook[],7,FALSE),"")</f>
        <v/>
      </c>
      <c r="I19" s="285" t="str">
        <f>IFERROR(VLOOKUP(A19,TableHandbook[],8,FALSE),"")</f>
        <v/>
      </c>
      <c r="J19" s="285" t="str">
        <f>IFERROR(VLOOKUP(A19,TableHandbook[],9,FALSE),"")</f>
        <v/>
      </c>
      <c r="K19" s="286" t="str">
        <f>IFERROR(VLOOKUP(A19,TableHandbook[],10,FALSE),"")</f>
        <v/>
      </c>
      <c r="L19" s="128"/>
      <c r="M19" s="273">
        <v>8</v>
      </c>
      <c r="N19" s="287"/>
      <c r="O19" s="287"/>
    </row>
    <row r="20" spans="1:16" s="288" customFormat="1" ht="20.100000000000001" customHeight="1" x14ac:dyDescent="0.15">
      <c r="A20" s="266" t="str">
        <f>IFERROR(IF(HLOOKUP($L$5,RangeUnitsets,M20,FALSE)=0,"",HLOOKUP($L$5,RangeUnitsets,M20,FALSE)),"")</f>
        <v/>
      </c>
      <c r="B20" s="283" t="str">
        <f>IFERROR(IF(VLOOKUP($A20,TableHandbook[],2,FALSE)=0,"",VLOOKUP($A20,TableHandbook[],2,FALSE)),"")</f>
        <v/>
      </c>
      <c r="C20" s="283" t="str">
        <f>IFERROR(IF(VLOOKUP($A20,TableHandbook[],3,FALSE)=0,"",VLOOKUP($A20,TableHandbook[],3,FALSE)),"")</f>
        <v/>
      </c>
      <c r="D20" s="289" t="str">
        <f>IFERROR(IF(VLOOKUP($A20,TableHandbook[],4,FALSE)=0,"",VLOOKUP($A20,TableHandbook[],4,FALSE)),"")</f>
        <v/>
      </c>
      <c r="E20" s="283" t="str">
        <f>IF(A20="","",E19)</f>
        <v/>
      </c>
      <c r="F20" s="269" t="str">
        <f>IFERROR(IF(VLOOKUP($A20,TableHandbook[],6,FALSE)=0,"",VLOOKUP($A20,TableHandbook[],6,FALSE)),"")</f>
        <v/>
      </c>
      <c r="G20" s="283" t="str">
        <f>IFERROR(IF(VLOOKUP($A20,TableHandbook[],5,FALSE)=0,"",VLOOKUP($A20,TableHandbook[],5,FALSE)),"")</f>
        <v/>
      </c>
      <c r="H20" s="284" t="str">
        <f>IFERROR(VLOOKUP(A20,TableHandbook[],7,FALSE),"")</f>
        <v/>
      </c>
      <c r="I20" s="285" t="str">
        <f>IFERROR(VLOOKUP(A20,TableHandbook[],8,FALSE),"")</f>
        <v/>
      </c>
      <c r="J20" s="285" t="str">
        <f>IFERROR(VLOOKUP(A20,TableHandbook[],9,FALSE),"")</f>
        <v/>
      </c>
      <c r="K20" s="286" t="str">
        <f>IFERROR(VLOOKUP(A20,TableHandbook[],10,FALSE),"")</f>
        <v/>
      </c>
      <c r="L20" s="128"/>
      <c r="M20" s="273">
        <v>9</v>
      </c>
      <c r="N20" s="287"/>
      <c r="O20" s="287"/>
    </row>
    <row r="21" spans="1:16" s="261" customFormat="1" ht="21" x14ac:dyDescent="0.25">
      <c r="A21" s="254" t="s">
        <v>30</v>
      </c>
      <c r="B21" s="254"/>
      <c r="C21" s="254" t="s">
        <v>21</v>
      </c>
      <c r="D21" s="290" t="s">
        <v>3</v>
      </c>
      <c r="E21" s="262" t="s">
        <v>22</v>
      </c>
      <c r="F21" s="254" t="s">
        <v>23</v>
      </c>
      <c r="G21" s="254" t="s">
        <v>24</v>
      </c>
      <c r="H21" s="263" t="str">
        <f>H$9</f>
        <v>SP1</v>
      </c>
      <c r="I21" s="264" t="str">
        <f t="shared" ref="I21:L21" si="0">I$9</f>
        <v>SP2</v>
      </c>
      <c r="J21" s="264" t="str">
        <f t="shared" si="0"/>
        <v>SP3</v>
      </c>
      <c r="K21" s="265" t="str">
        <f t="shared" si="0"/>
        <v>SP4</v>
      </c>
      <c r="L21" s="254" t="str">
        <f t="shared" si="0"/>
        <v>Notes / Progress</v>
      </c>
      <c r="M21" s="291"/>
      <c r="N21" s="260"/>
      <c r="O21" s="260"/>
    </row>
    <row r="22" spans="1:16" s="275" customFormat="1" ht="20.100000000000001" customHeight="1" x14ac:dyDescent="0.15">
      <c r="A22" s="292" t="str">
        <f>IFERROR(IF(HLOOKUP($L$5,RangeUnitsets,M22,FALSE)=0,"",HLOOKUP($L$5,RangeUnitsets,M22,FALSE)),"")</f>
        <v/>
      </c>
      <c r="B22" s="293" t="str">
        <f>IFERROR(IF(VLOOKUP($A22,TableHandbook[],2,FALSE)=0,"",VLOOKUP($A22,TableHandbook[],2,FALSE)),"")</f>
        <v/>
      </c>
      <c r="C22" s="293" t="str">
        <f>IFERROR(IF(VLOOKUP($A22,TableHandbook[],3,FALSE)=0,"",VLOOKUP($A22,TableHandbook[],3,FALSE)),"")</f>
        <v/>
      </c>
      <c r="D22" s="294" t="str">
        <f>IFERROR(IF(VLOOKUP($A22,TableHandbook[],4,FALSE)=0,"",VLOOKUP($A22,TableHandbook[],4,FALSE)),"")</f>
        <v/>
      </c>
      <c r="E22" s="293" t="str">
        <f>IF(A22="","",VLOOKUP($D$7,TableStudyPeriod[],2,FALSE))</f>
        <v/>
      </c>
      <c r="F22" s="295" t="str">
        <f>IFERROR(IF(VLOOKUP($A22,TableHandbook[],6,FALSE)=0,"",VLOOKUP($A22,TableHandbook[],6,FALSE)),"")</f>
        <v/>
      </c>
      <c r="G22" s="296" t="str">
        <f>IFERROR(IF(VLOOKUP($A22,TableHandbook[],5,FALSE)=0,"",VLOOKUP($A22,TableHandbook[],5,FALSE)),"")</f>
        <v/>
      </c>
      <c r="H22" s="270" t="str">
        <f>IFERROR(VLOOKUP(A22,TableHandbook[],7,FALSE),"")</f>
        <v/>
      </c>
      <c r="I22" s="271" t="str">
        <f>IFERROR(VLOOKUP(A22,TableHandbook[],8,FALSE),"")</f>
        <v/>
      </c>
      <c r="J22" s="271" t="str">
        <f>IFERROR(VLOOKUP(A22,TableHandbook[],9,FALSE),"")</f>
        <v/>
      </c>
      <c r="K22" s="272" t="str">
        <f>IFERROR(VLOOKUP(A22,TableHandbook[],10,FALSE),"")</f>
        <v/>
      </c>
      <c r="L22" s="129"/>
      <c r="M22" s="273">
        <v>10</v>
      </c>
      <c r="N22" s="274"/>
      <c r="O22" s="274"/>
    </row>
    <row r="23" spans="1:16" s="275" customFormat="1" ht="20.100000000000001" customHeight="1" x14ac:dyDescent="0.15">
      <c r="A23" s="292" t="str">
        <f>IFERROR(IF(HLOOKUP($L$5,RangeUnitsets,M23,FALSE)=0,"",HLOOKUP($L$5,RangeUnitsets,M23,FALSE)),"")</f>
        <v/>
      </c>
      <c r="B23" s="293" t="str">
        <f>IFERROR(IF(VLOOKUP($A23,TableHandbook[],2,FALSE)=0,"",VLOOKUP($A23,TableHandbook[],2,FALSE)),"")</f>
        <v/>
      </c>
      <c r="C23" s="293" t="str">
        <f>IFERROR(IF(VLOOKUP($A23,TableHandbook[],3,FALSE)=0,"",VLOOKUP($A23,TableHandbook[],3,FALSE)),"")</f>
        <v/>
      </c>
      <c r="D23" s="297" t="str">
        <f>IFERROR(IF(VLOOKUP($A23,TableHandbook[],4,FALSE)=0,"",VLOOKUP($A23,TableHandbook[],4,FALSE)),"")</f>
        <v/>
      </c>
      <c r="E23" s="293" t="str">
        <f>IF(A23="","",E22)</f>
        <v/>
      </c>
      <c r="F23" s="295" t="str">
        <f>IFERROR(IF(VLOOKUP($A23,TableHandbook[],6,FALSE)=0,"",VLOOKUP($A23,TableHandbook[],6,FALSE)),"")</f>
        <v/>
      </c>
      <c r="G23" s="296" t="str">
        <f>IFERROR(IF(VLOOKUP($A23,TableHandbook[],5,FALSE)=0,"",VLOOKUP($A23,TableHandbook[],5,FALSE)),"")</f>
        <v/>
      </c>
      <c r="H23" s="270" t="str">
        <f>IFERROR(VLOOKUP(A23,TableHandbook[],7,FALSE),"")</f>
        <v/>
      </c>
      <c r="I23" s="271" t="str">
        <f>IFERROR(VLOOKUP(A23,TableHandbook[],8,FALSE),"")</f>
        <v/>
      </c>
      <c r="J23" s="271" t="str">
        <f>IFERROR(VLOOKUP(A23,TableHandbook[],9,FALSE),"")</f>
        <v/>
      </c>
      <c r="K23" s="272" t="str">
        <f>IFERROR(VLOOKUP(A23,TableHandbook[],10,FALSE),"")</f>
        <v/>
      </c>
      <c r="L23" s="129"/>
      <c r="M23" s="273">
        <v>11</v>
      </c>
      <c r="N23" s="274"/>
      <c r="O23" s="274"/>
    </row>
    <row r="24" spans="1:16" s="275" customFormat="1" ht="5.0999999999999996" customHeight="1" x14ac:dyDescent="0.15">
      <c r="A24" s="276"/>
      <c r="B24" s="277"/>
      <c r="C24" s="277"/>
      <c r="D24" s="278"/>
      <c r="E24" s="277"/>
      <c r="F24" s="279"/>
      <c r="G24" s="277"/>
      <c r="H24" s="280"/>
      <c r="I24" s="281"/>
      <c r="J24" s="281"/>
      <c r="K24" s="282"/>
      <c r="L24" s="127"/>
      <c r="M24" s="273"/>
      <c r="N24" s="274"/>
      <c r="O24" s="274"/>
      <c r="P24" s="274"/>
    </row>
    <row r="25" spans="1:16" s="275" customFormat="1" ht="20.100000000000001" customHeight="1" x14ac:dyDescent="0.15">
      <c r="A25" s="292" t="str">
        <f>IFERROR(IF(HLOOKUP($L$5,RangeUnitsets,M25,FALSE)=0,"",HLOOKUP($L$5,RangeUnitsets,M25,FALSE)),"")</f>
        <v/>
      </c>
      <c r="B25" s="293" t="str">
        <f>IFERROR(IF(VLOOKUP($A25,TableHandbook[],2,FALSE)=0,"",VLOOKUP($A25,TableHandbook[],2,FALSE)),"")</f>
        <v/>
      </c>
      <c r="C25" s="293" t="str">
        <f>IFERROR(IF(VLOOKUP($A25,TableHandbook[],3,FALSE)=0,"",VLOOKUP($A25,TableHandbook[],3,FALSE)),"")</f>
        <v/>
      </c>
      <c r="D25" s="297" t="str">
        <f>IFERROR(IF(VLOOKUP($A25,TableHandbook[],4,FALSE)=0,"",VLOOKUP($A25,TableHandbook[],4,FALSE)),"")</f>
        <v/>
      </c>
      <c r="E25" s="293" t="str">
        <f>IF(A25="","",VLOOKUP($D$7,TableStudyPeriod[],3,FALSE))</f>
        <v/>
      </c>
      <c r="F25" s="295" t="str">
        <f>IFERROR(IF(VLOOKUP($A25,TableHandbook[],6,FALSE)=0,"",VLOOKUP($A25,TableHandbook[],6,FALSE)),"")</f>
        <v/>
      </c>
      <c r="G25" s="296" t="str">
        <f>IFERROR(IF(VLOOKUP($A25,TableHandbook[],5,FALSE)=0,"",VLOOKUP($A25,TableHandbook[],5,FALSE)),"")</f>
        <v/>
      </c>
      <c r="H25" s="270" t="str">
        <f>IFERROR(VLOOKUP(A25,TableHandbook[],7,FALSE),"")</f>
        <v/>
      </c>
      <c r="I25" s="271" t="str">
        <f>IFERROR(VLOOKUP(A25,TableHandbook[],8,FALSE),"")</f>
        <v/>
      </c>
      <c r="J25" s="271" t="str">
        <f>IFERROR(VLOOKUP(A25,TableHandbook[],9,FALSE),"")</f>
        <v/>
      </c>
      <c r="K25" s="272" t="str">
        <f>IFERROR(VLOOKUP(A25,TableHandbook[],10,FALSE),"")</f>
        <v/>
      </c>
      <c r="L25" s="129"/>
      <c r="M25" s="273">
        <v>12</v>
      </c>
      <c r="N25" s="274"/>
      <c r="O25" s="274"/>
    </row>
    <row r="26" spans="1:16" s="275" customFormat="1" ht="20.100000000000001" customHeight="1" x14ac:dyDescent="0.15">
      <c r="A26" s="292" t="str">
        <f>IFERROR(IF(HLOOKUP($L$5,RangeUnitsets,M26,FALSE)=0,"",HLOOKUP($L$5,RangeUnitsets,M26,FALSE)),"")</f>
        <v/>
      </c>
      <c r="B26" s="293" t="str">
        <f>IFERROR(IF(VLOOKUP($A26,TableHandbook[],2,FALSE)=0,"",VLOOKUP($A26,TableHandbook[],2,FALSE)),"")</f>
        <v/>
      </c>
      <c r="C26" s="293" t="str">
        <f>IFERROR(IF(VLOOKUP($A26,TableHandbook[],3,FALSE)=0,"",VLOOKUP($A26,TableHandbook[],3,FALSE)),"")</f>
        <v/>
      </c>
      <c r="D26" s="297" t="str">
        <f>IFERROR(IF(VLOOKUP($A26,TableHandbook[],4,FALSE)=0,"",VLOOKUP($A26,TableHandbook[],4,FALSE)),"")</f>
        <v/>
      </c>
      <c r="E26" s="293" t="str">
        <f>IF(A26="","",E25)</f>
        <v/>
      </c>
      <c r="F26" s="295" t="str">
        <f>IFERROR(IF(VLOOKUP($A26,TableHandbook[],6,FALSE)=0,"",VLOOKUP($A26,TableHandbook[],6,FALSE)),"")</f>
        <v/>
      </c>
      <c r="G26" s="296" t="str">
        <f>IFERROR(IF(VLOOKUP($A26,TableHandbook[],5,FALSE)=0,"",VLOOKUP($A26,TableHandbook[],5,FALSE)),"")</f>
        <v/>
      </c>
      <c r="H26" s="270" t="str">
        <f>IFERROR(VLOOKUP(A26,TableHandbook[],7,FALSE),"")</f>
        <v/>
      </c>
      <c r="I26" s="271" t="str">
        <f>IFERROR(VLOOKUP(A26,TableHandbook[],8,FALSE),"")</f>
        <v/>
      </c>
      <c r="J26" s="271" t="str">
        <f>IFERROR(VLOOKUP(A26,TableHandbook[],9,FALSE),"")</f>
        <v/>
      </c>
      <c r="K26" s="272" t="str">
        <f>IFERROR(VLOOKUP(A26,TableHandbook[],10,FALSE),"")</f>
        <v/>
      </c>
      <c r="L26" s="129"/>
      <c r="M26" s="273">
        <v>13</v>
      </c>
      <c r="N26" s="274"/>
      <c r="O26" s="274"/>
    </row>
    <row r="27" spans="1:16" s="275" customFormat="1" ht="5.0999999999999996" customHeight="1" x14ac:dyDescent="0.15">
      <c r="A27" s="276"/>
      <c r="B27" s="277"/>
      <c r="C27" s="277"/>
      <c r="D27" s="278"/>
      <c r="E27" s="277"/>
      <c r="F27" s="279"/>
      <c r="G27" s="277"/>
      <c r="H27" s="280"/>
      <c r="I27" s="281"/>
      <c r="J27" s="281"/>
      <c r="K27" s="282"/>
      <c r="L27" s="127"/>
      <c r="M27" s="273"/>
      <c r="N27" s="274"/>
      <c r="O27" s="274"/>
      <c r="P27" s="274"/>
    </row>
    <row r="28" spans="1:16" s="275" customFormat="1" ht="20.100000000000001" customHeight="1" x14ac:dyDescent="0.15">
      <c r="A28" s="292" t="str">
        <f>IFERROR(IF(HLOOKUP($L$5,RangeUnitsets,M28,FALSE)=0,"",HLOOKUP($L$5,RangeUnitsets,M28,FALSE)),"")</f>
        <v/>
      </c>
      <c r="B28" s="293" t="str">
        <f>IFERROR(IF(VLOOKUP($A28,TableHandbook[],2,FALSE)=0,"",VLOOKUP($A28,TableHandbook[],2,FALSE)),"")</f>
        <v/>
      </c>
      <c r="C28" s="293" t="str">
        <f>IFERROR(IF(VLOOKUP($A28,TableHandbook[],3,FALSE)=0,"",VLOOKUP($A28,TableHandbook[],3,FALSE)),"")</f>
        <v/>
      </c>
      <c r="D28" s="297" t="str">
        <f>IFERROR(IF(VLOOKUP($A28,TableHandbook[],4,FALSE)=0,"",VLOOKUP($A28,TableHandbook[],4,FALSE)),"")</f>
        <v/>
      </c>
      <c r="E28" s="293" t="str">
        <f>IF(A28="","",VLOOKUP($D$7,TableStudyPeriod[],4,FALSE))</f>
        <v/>
      </c>
      <c r="F28" s="295" t="str">
        <f>IFERROR(IF(VLOOKUP($A28,TableHandbook[],6,FALSE)=0,"",VLOOKUP($A28,TableHandbook[],6,FALSE)),"")</f>
        <v/>
      </c>
      <c r="G28" s="296" t="str">
        <f>IFERROR(IF(VLOOKUP($A28,TableHandbook[],5,FALSE)=0,"",VLOOKUP($A28,TableHandbook[],5,FALSE)),"")</f>
        <v/>
      </c>
      <c r="H28" s="270" t="str">
        <f>IFERROR(VLOOKUP(A28,TableHandbook[],7,FALSE),"")</f>
        <v/>
      </c>
      <c r="I28" s="271" t="str">
        <f>IFERROR(VLOOKUP(A28,TableHandbook[],8,FALSE),"")</f>
        <v/>
      </c>
      <c r="J28" s="271" t="str">
        <f>IFERROR(VLOOKUP(A28,TableHandbook[],9,FALSE),"")</f>
        <v/>
      </c>
      <c r="K28" s="272" t="str">
        <f>IFERROR(VLOOKUP(A28,TableHandbook[],10,FALSE),"")</f>
        <v/>
      </c>
      <c r="L28" s="129"/>
      <c r="M28" s="273">
        <v>14</v>
      </c>
      <c r="N28" s="274"/>
      <c r="O28" s="274"/>
    </row>
    <row r="29" spans="1:16" s="275" customFormat="1" ht="20.100000000000001" customHeight="1" x14ac:dyDescent="0.15">
      <c r="A29" s="292" t="str">
        <f>IFERROR(IF(HLOOKUP($L$5,RangeUnitsets,M29,FALSE)=0,"",HLOOKUP($L$5,RangeUnitsets,M29,FALSE)),"")</f>
        <v/>
      </c>
      <c r="B29" s="293" t="str">
        <f>IFERROR(IF(VLOOKUP($A29,TableHandbook[],2,FALSE)=0,"",VLOOKUP($A29,TableHandbook[],2,FALSE)),"")</f>
        <v/>
      </c>
      <c r="C29" s="293" t="str">
        <f>IFERROR(IF(VLOOKUP($A29,TableHandbook[],3,FALSE)=0,"",VLOOKUP($A29,TableHandbook[],3,FALSE)),"")</f>
        <v/>
      </c>
      <c r="D29" s="297" t="str">
        <f>IFERROR(IF(VLOOKUP($A29,TableHandbook[],4,FALSE)=0,"",VLOOKUP($A29,TableHandbook[],4,FALSE)),"")</f>
        <v/>
      </c>
      <c r="E29" s="293" t="str">
        <f>IF(A29="","",E28)</f>
        <v/>
      </c>
      <c r="F29" s="295" t="str">
        <f>IFERROR(IF(VLOOKUP($A29,TableHandbook[],6,FALSE)=0,"",VLOOKUP($A29,TableHandbook[],6,FALSE)),"")</f>
        <v/>
      </c>
      <c r="G29" s="296" t="str">
        <f>IFERROR(IF(VLOOKUP($A29,TableHandbook[],5,FALSE)=0,"",VLOOKUP($A29,TableHandbook[],5,FALSE)),"")</f>
        <v/>
      </c>
      <c r="H29" s="270" t="str">
        <f>IFERROR(VLOOKUP(A29,TableHandbook[],7,FALSE),"")</f>
        <v/>
      </c>
      <c r="I29" s="271" t="str">
        <f>IFERROR(VLOOKUP(A29,TableHandbook[],8,FALSE),"")</f>
        <v/>
      </c>
      <c r="J29" s="271" t="str">
        <f>IFERROR(VLOOKUP(A29,TableHandbook[],9,FALSE),"")</f>
        <v/>
      </c>
      <c r="K29" s="272" t="str">
        <f>IFERROR(VLOOKUP(A29,TableHandbook[],10,FALSE),"")</f>
        <v/>
      </c>
      <c r="L29" s="129"/>
      <c r="M29" s="273">
        <v>15</v>
      </c>
      <c r="N29" s="274"/>
      <c r="O29" s="274"/>
    </row>
    <row r="30" spans="1:16" s="275" customFormat="1" ht="5.0999999999999996" customHeight="1" x14ac:dyDescent="0.15">
      <c r="A30" s="276"/>
      <c r="B30" s="277"/>
      <c r="C30" s="277"/>
      <c r="D30" s="278"/>
      <c r="E30" s="277"/>
      <c r="F30" s="279"/>
      <c r="G30" s="277"/>
      <c r="H30" s="280"/>
      <c r="I30" s="281"/>
      <c r="J30" s="281"/>
      <c r="K30" s="282"/>
      <c r="L30" s="127"/>
      <c r="M30" s="273"/>
      <c r="N30" s="274"/>
      <c r="O30" s="274"/>
      <c r="P30" s="274"/>
    </row>
    <row r="31" spans="1:16" s="288" customFormat="1" ht="20.100000000000001" customHeight="1" x14ac:dyDescent="0.15">
      <c r="A31" s="292" t="str">
        <f>IFERROR(IF(HLOOKUP($L$5,RangeUnitsets,M31,FALSE)=0,"",HLOOKUP($L$5,RangeUnitsets,M31,FALSE)),"")</f>
        <v/>
      </c>
      <c r="B31" s="293" t="str">
        <f>IFERROR(IF(VLOOKUP($A31,TableHandbook[],2,FALSE)=0,"",VLOOKUP($A31,TableHandbook[],2,FALSE)),"")</f>
        <v/>
      </c>
      <c r="C31" s="293" t="str">
        <f>IFERROR(IF(VLOOKUP($A31,TableHandbook[],3,FALSE)=0,"",VLOOKUP($A31,TableHandbook[],3,FALSE)),"")</f>
        <v/>
      </c>
      <c r="D31" s="297" t="str">
        <f>IFERROR(IF(VLOOKUP($A31,TableHandbook[],4,FALSE)=0,"",VLOOKUP($A31,TableHandbook[],4,FALSE)),"")</f>
        <v/>
      </c>
      <c r="E31" s="293" t="str">
        <f>IF(A31="","",VLOOKUP($D$7,TableStudyPeriod[],5,FALSE))</f>
        <v/>
      </c>
      <c r="F31" s="295" t="str">
        <f>IFERROR(IF(VLOOKUP($A31,TableHandbook[],6,FALSE)=0,"",VLOOKUP($A31,TableHandbook[],6,FALSE)),"")</f>
        <v/>
      </c>
      <c r="G31" s="296" t="str">
        <f>IFERROR(IF(VLOOKUP($A31,TableHandbook[],5,FALSE)=0,"",VLOOKUP($A31,TableHandbook[],5,FALSE)),"")</f>
        <v/>
      </c>
      <c r="H31" s="270" t="str">
        <f>IFERROR(VLOOKUP(A31,TableHandbook[],7,FALSE),"")</f>
        <v/>
      </c>
      <c r="I31" s="271" t="str">
        <f>IFERROR(VLOOKUP(A31,TableHandbook[],8,FALSE),"")</f>
        <v/>
      </c>
      <c r="J31" s="271" t="str">
        <f>IFERROR(VLOOKUP(A31,TableHandbook[],9,FALSE),"")</f>
        <v/>
      </c>
      <c r="K31" s="272" t="str">
        <f>IFERROR(VLOOKUP(A31,TableHandbook[],10,FALSE),"")</f>
        <v/>
      </c>
      <c r="L31" s="129"/>
      <c r="M31" s="273">
        <v>16</v>
      </c>
      <c r="N31" s="287"/>
      <c r="O31" s="287"/>
    </row>
    <row r="32" spans="1:16" s="288" customFormat="1" ht="20.100000000000001" customHeight="1" x14ac:dyDescent="0.15">
      <c r="A32" s="292" t="str">
        <f>IFERROR(IF(HLOOKUP($L$5,RangeUnitsets,M32,FALSE)=0,"",HLOOKUP($L$5,RangeUnitsets,M32,FALSE)),"")</f>
        <v/>
      </c>
      <c r="B32" s="293" t="str">
        <f>IFERROR(IF(VLOOKUP($A32,TableHandbook[],2,FALSE)=0,"",VLOOKUP($A32,TableHandbook[],2,FALSE)),"")</f>
        <v/>
      </c>
      <c r="C32" s="293" t="str">
        <f>IFERROR(IF(VLOOKUP($A32,TableHandbook[],3,FALSE)=0,"",VLOOKUP($A32,TableHandbook[],3,FALSE)),"")</f>
        <v/>
      </c>
      <c r="D32" s="297" t="str">
        <f>IFERROR(IF(VLOOKUP($A32,TableHandbook[],4,FALSE)=0,"",VLOOKUP($A32,TableHandbook[],4,FALSE)),"")</f>
        <v/>
      </c>
      <c r="E32" s="296" t="str">
        <f>IF(A32="","",E31)</f>
        <v/>
      </c>
      <c r="F32" s="295" t="str">
        <f>IFERROR(IF(VLOOKUP($A32,TableHandbook[],6,FALSE)=0,"",VLOOKUP($A32,TableHandbook[],6,FALSE)),"")</f>
        <v/>
      </c>
      <c r="G32" s="296" t="str">
        <f>IFERROR(IF(VLOOKUP($A32,TableHandbook[],5,FALSE)=0,"",VLOOKUP($A32,TableHandbook[],5,FALSE)),"")</f>
        <v/>
      </c>
      <c r="H32" s="270" t="str">
        <f>IFERROR(VLOOKUP(A32,TableHandbook[],7,FALSE),"")</f>
        <v/>
      </c>
      <c r="I32" s="271" t="str">
        <f>IFERROR(VLOOKUP(A32,TableHandbook[],8,FALSE),"")</f>
        <v/>
      </c>
      <c r="J32" s="271" t="str">
        <f>IFERROR(VLOOKUP(A32,TableHandbook[],9,FALSE),"")</f>
        <v/>
      </c>
      <c r="K32" s="272" t="str">
        <f>IFERROR(VLOOKUP(A32,TableHandbook[],10,FALSE),"")</f>
        <v/>
      </c>
      <c r="L32" s="129"/>
      <c r="M32" s="273">
        <v>17</v>
      </c>
      <c r="N32" s="287"/>
      <c r="O32" s="287"/>
    </row>
    <row r="33" spans="1:16" s="261" customFormat="1" ht="21" x14ac:dyDescent="0.25">
      <c r="A33" s="254" t="s">
        <v>31</v>
      </c>
      <c r="B33" s="254"/>
      <c r="C33" s="254" t="s">
        <v>21</v>
      </c>
      <c r="D33" s="290" t="s">
        <v>3</v>
      </c>
      <c r="E33" s="262" t="s">
        <v>22</v>
      </c>
      <c r="F33" s="254" t="s">
        <v>23</v>
      </c>
      <c r="G33" s="254" t="s">
        <v>24</v>
      </c>
      <c r="H33" s="263" t="str">
        <f>H$9</f>
        <v>SP1</v>
      </c>
      <c r="I33" s="264" t="str">
        <f t="shared" ref="I33:L33" si="1">I$9</f>
        <v>SP2</v>
      </c>
      <c r="J33" s="264" t="str">
        <f t="shared" si="1"/>
        <v>SP3</v>
      </c>
      <c r="K33" s="265" t="str">
        <f t="shared" si="1"/>
        <v>SP4</v>
      </c>
      <c r="L33" s="254" t="str">
        <f t="shared" si="1"/>
        <v>Notes / Progress</v>
      </c>
      <c r="M33" s="291"/>
      <c r="N33" s="260"/>
      <c r="O33" s="260"/>
    </row>
    <row r="34" spans="1:16" s="275" customFormat="1" ht="20.100000000000001" customHeight="1" x14ac:dyDescent="0.15">
      <c r="A34" s="292" t="str">
        <f>IFERROR(IF(HLOOKUP($L$5,RangeUnitsets,M34,FALSE)=0,"",HLOOKUP($L$5,RangeUnitsets,M34,FALSE)),"")</f>
        <v/>
      </c>
      <c r="B34" s="293" t="str">
        <f>IFERROR(IF(VLOOKUP($A34,TableHandbook[],2,FALSE)=0,"",VLOOKUP($A34,TableHandbook[],2,FALSE)),"")</f>
        <v/>
      </c>
      <c r="C34" s="293" t="str">
        <f>IFERROR(IF(VLOOKUP($A34,TableHandbook[],3,FALSE)=0,"",VLOOKUP($A34,TableHandbook[],3,FALSE)),"")</f>
        <v/>
      </c>
      <c r="D34" s="294" t="str">
        <f>IFERROR(IF(VLOOKUP($A34,TableHandbook[],4,FALSE)=0,"",VLOOKUP($A34,TableHandbook[],4,FALSE)),"")</f>
        <v/>
      </c>
      <c r="E34" s="293" t="str">
        <f>IF(A34="","",VLOOKUP($D$7,TableStudyPeriod[],2,FALSE))</f>
        <v/>
      </c>
      <c r="F34" s="295" t="str">
        <f>IFERROR(IF(VLOOKUP($A34,TableHandbook[],6,FALSE)=0,"",VLOOKUP($A34,TableHandbook[],6,FALSE)),"")</f>
        <v/>
      </c>
      <c r="G34" s="296" t="str">
        <f>IFERROR(IF(VLOOKUP($A34,TableHandbook[],5,FALSE)=0,"",VLOOKUP($A34,TableHandbook[],5,FALSE)),"")</f>
        <v/>
      </c>
      <c r="H34" s="270" t="str">
        <f>IFERROR(VLOOKUP($A34,TableHandbook[],H$2,FALSE),"")</f>
        <v/>
      </c>
      <c r="I34" s="271" t="str">
        <f>IFERROR(VLOOKUP($A34,TableHandbook[],I$2,FALSE),"")</f>
        <v/>
      </c>
      <c r="J34" s="271" t="str">
        <f>IFERROR(VLOOKUP($A34,TableHandbook[],J$2,FALSE),"")</f>
        <v/>
      </c>
      <c r="K34" s="272" t="str">
        <f>IFERROR(VLOOKUP($A34,TableHandbook[],K$2,FALSE),"")</f>
        <v/>
      </c>
      <c r="L34" s="129"/>
      <c r="M34" s="273">
        <v>18</v>
      </c>
      <c r="N34" s="274"/>
      <c r="O34" s="274"/>
    </row>
    <row r="35" spans="1:16" s="275" customFormat="1" ht="20.100000000000001" customHeight="1" x14ac:dyDescent="0.15">
      <c r="A35" s="292" t="str">
        <f>IFERROR(IF(HLOOKUP($L$5,RangeUnitsets,M35,FALSE)=0,"",HLOOKUP($L$5,RangeUnitsets,M35,FALSE)),"")</f>
        <v/>
      </c>
      <c r="B35" s="293" t="str">
        <f>IFERROR(IF(VLOOKUP($A35,TableHandbook[],2,FALSE)=0,"",VLOOKUP($A35,TableHandbook[],2,FALSE)),"")</f>
        <v/>
      </c>
      <c r="C35" s="293" t="str">
        <f>IFERROR(IF(VLOOKUP($A35,TableHandbook[],3,FALSE)=0,"",VLOOKUP($A35,TableHandbook[],3,FALSE)),"")</f>
        <v/>
      </c>
      <c r="D35" s="297" t="str">
        <f>IFERROR(IF(VLOOKUP($A35,TableHandbook[],4,FALSE)=0,"",VLOOKUP($A35,TableHandbook[],4,FALSE)),"")</f>
        <v/>
      </c>
      <c r="E35" s="293" t="str">
        <f>IF(A35="","",E34)</f>
        <v/>
      </c>
      <c r="F35" s="295" t="str">
        <f>IFERROR(IF(VLOOKUP($A35,TableHandbook[],6,FALSE)=0,"",VLOOKUP($A35,TableHandbook[],6,FALSE)),"")</f>
        <v/>
      </c>
      <c r="G35" s="296" t="str">
        <f>IFERROR(IF(VLOOKUP($A35,TableHandbook[],5,FALSE)=0,"",VLOOKUP($A35,TableHandbook[],5,FALSE)),"")</f>
        <v/>
      </c>
      <c r="H35" s="270" t="str">
        <f>IFERROR(VLOOKUP($A35,TableHandbook[],H$2,FALSE),"")</f>
        <v/>
      </c>
      <c r="I35" s="271" t="str">
        <f>IFERROR(VLOOKUP($A35,TableHandbook[],I$2,FALSE),"")</f>
        <v/>
      </c>
      <c r="J35" s="271" t="str">
        <f>IFERROR(VLOOKUP($A35,TableHandbook[],J$2,FALSE),"")</f>
        <v/>
      </c>
      <c r="K35" s="272" t="str">
        <f>IFERROR(VLOOKUP($A35,TableHandbook[],K$2,FALSE),"")</f>
        <v/>
      </c>
      <c r="L35" s="129"/>
      <c r="M35" s="273">
        <v>19</v>
      </c>
      <c r="N35" s="274"/>
      <c r="O35" s="274"/>
    </row>
    <row r="36" spans="1:16" s="275" customFormat="1" ht="5.0999999999999996" customHeight="1" x14ac:dyDescent="0.15">
      <c r="A36" s="276"/>
      <c r="B36" s="277"/>
      <c r="C36" s="277"/>
      <c r="D36" s="278"/>
      <c r="E36" s="277"/>
      <c r="F36" s="279"/>
      <c r="G36" s="277"/>
      <c r="H36" s="280"/>
      <c r="I36" s="281"/>
      <c r="J36" s="281"/>
      <c r="K36" s="282"/>
      <c r="L36" s="127"/>
      <c r="M36" s="273"/>
      <c r="N36" s="274"/>
      <c r="O36" s="274"/>
      <c r="P36" s="274"/>
    </row>
    <row r="37" spans="1:16" s="275" customFormat="1" ht="20.100000000000001" customHeight="1" x14ac:dyDescent="0.15">
      <c r="A37" s="292" t="str">
        <f>IFERROR(IF(HLOOKUP($L$5,RangeUnitsets,M37,FALSE)=0,"",HLOOKUP($L$5,RangeUnitsets,M37,FALSE)),"")</f>
        <v/>
      </c>
      <c r="B37" s="293" t="str">
        <f>IFERROR(IF(VLOOKUP($A37,TableHandbook[],2,FALSE)=0,"",VLOOKUP($A37,TableHandbook[],2,FALSE)),"")</f>
        <v/>
      </c>
      <c r="C37" s="293" t="str">
        <f>IFERROR(IF(VLOOKUP($A37,TableHandbook[],3,FALSE)=0,"",VLOOKUP($A37,TableHandbook[],3,FALSE)),"")</f>
        <v/>
      </c>
      <c r="D37" s="297" t="str">
        <f>IFERROR(IF(VLOOKUP($A37,TableHandbook[],4,FALSE)=0,"",VLOOKUP($A37,TableHandbook[],4,FALSE)),"")</f>
        <v/>
      </c>
      <c r="E37" s="293" t="str">
        <f>IF(A37="","",VLOOKUP($D$7,TableStudyPeriod[],3,FALSE))</f>
        <v/>
      </c>
      <c r="F37" s="295" t="str">
        <f>IFERROR(IF(VLOOKUP($A37,TableHandbook[],6,FALSE)=0,"",VLOOKUP($A37,TableHandbook[],6,FALSE)),"")</f>
        <v/>
      </c>
      <c r="G37" s="296" t="str">
        <f>IFERROR(IF(VLOOKUP($A37,TableHandbook[],5,FALSE)=0,"",VLOOKUP($A37,TableHandbook[],5,FALSE)),"")</f>
        <v/>
      </c>
      <c r="H37" s="270" t="str">
        <f>IFERROR(VLOOKUP($A37,TableHandbook[],H$2,FALSE),"")</f>
        <v/>
      </c>
      <c r="I37" s="271" t="str">
        <f>IFERROR(VLOOKUP($A37,TableHandbook[],I$2,FALSE),"")</f>
        <v/>
      </c>
      <c r="J37" s="271" t="str">
        <f>IFERROR(VLOOKUP($A37,TableHandbook[],J$2,FALSE),"")</f>
        <v/>
      </c>
      <c r="K37" s="272" t="str">
        <f>IFERROR(VLOOKUP($A37,TableHandbook[],K$2,FALSE),"")</f>
        <v/>
      </c>
      <c r="L37" s="129"/>
      <c r="M37" s="273">
        <v>20</v>
      </c>
      <c r="N37" s="274"/>
      <c r="O37" s="274"/>
    </row>
    <row r="38" spans="1:16" s="275" customFormat="1" ht="20.100000000000001" customHeight="1" x14ac:dyDescent="0.15">
      <c r="A38" s="292" t="str">
        <f>IFERROR(IF(HLOOKUP($L$5,RangeUnitsets,M38,FALSE)=0,"",HLOOKUP($L$5,RangeUnitsets,M38,FALSE)),"")</f>
        <v/>
      </c>
      <c r="B38" s="293" t="str">
        <f>IFERROR(IF(VLOOKUP($A38,TableHandbook[],2,FALSE)=0,"",VLOOKUP($A38,TableHandbook[],2,FALSE)),"")</f>
        <v/>
      </c>
      <c r="C38" s="293" t="str">
        <f>IFERROR(IF(VLOOKUP($A38,TableHandbook[],3,FALSE)=0,"",VLOOKUP($A38,TableHandbook[],3,FALSE)),"")</f>
        <v/>
      </c>
      <c r="D38" s="297" t="str">
        <f>IFERROR(IF(VLOOKUP($A38,TableHandbook[],4,FALSE)=0,"",VLOOKUP($A38,TableHandbook[],4,FALSE)),"")</f>
        <v/>
      </c>
      <c r="E38" s="293" t="str">
        <f>IF(A38="","",E37)</f>
        <v/>
      </c>
      <c r="F38" s="295" t="str">
        <f>IFERROR(IF(VLOOKUP($A38,TableHandbook[],6,FALSE)=0,"",VLOOKUP($A38,TableHandbook[],6,FALSE)),"")</f>
        <v/>
      </c>
      <c r="G38" s="296" t="str">
        <f>IFERROR(IF(VLOOKUP($A38,TableHandbook[],5,FALSE)=0,"",VLOOKUP($A38,TableHandbook[],5,FALSE)),"")</f>
        <v/>
      </c>
      <c r="H38" s="270" t="str">
        <f>IFERROR(VLOOKUP($A38,TableHandbook[],H$2,FALSE),"")</f>
        <v/>
      </c>
      <c r="I38" s="271" t="str">
        <f>IFERROR(VLOOKUP($A38,TableHandbook[],I$2,FALSE),"")</f>
        <v/>
      </c>
      <c r="J38" s="271" t="str">
        <f>IFERROR(VLOOKUP($A38,TableHandbook[],J$2,FALSE),"")</f>
        <v/>
      </c>
      <c r="K38" s="272" t="str">
        <f>IFERROR(VLOOKUP($A38,TableHandbook[],K$2,FALSE),"")</f>
        <v/>
      </c>
      <c r="L38" s="129"/>
      <c r="M38" s="273">
        <v>21</v>
      </c>
      <c r="N38" s="274"/>
      <c r="O38" s="274"/>
    </row>
    <row r="39" spans="1:16" s="275" customFormat="1" ht="5.0999999999999996" customHeight="1" x14ac:dyDescent="0.15">
      <c r="A39" s="276"/>
      <c r="B39" s="277"/>
      <c r="C39" s="277"/>
      <c r="D39" s="278"/>
      <c r="E39" s="277"/>
      <c r="F39" s="279"/>
      <c r="G39" s="277"/>
      <c r="H39" s="280"/>
      <c r="I39" s="281"/>
      <c r="J39" s="281"/>
      <c r="K39" s="282"/>
      <c r="L39" s="127"/>
      <c r="M39" s="273"/>
      <c r="N39" s="274"/>
      <c r="O39" s="274"/>
      <c r="P39" s="274"/>
    </row>
    <row r="40" spans="1:16" s="275" customFormat="1" ht="20.100000000000001" customHeight="1" x14ac:dyDescent="0.15">
      <c r="A40" s="292" t="str">
        <f>IFERROR(IF(HLOOKUP($L$5,RangeUnitsets,M40,FALSE)=0,"",HLOOKUP($L$5,RangeUnitsets,M40,FALSE)),"")</f>
        <v/>
      </c>
      <c r="B40" s="293" t="str">
        <f>IFERROR(IF(VLOOKUP($A40,TableHandbook[],2,FALSE)=0,"",VLOOKUP($A40,TableHandbook[],2,FALSE)),"")</f>
        <v/>
      </c>
      <c r="C40" s="293" t="str">
        <f>IFERROR(IF(VLOOKUP($A40,TableHandbook[],3,FALSE)=0,"",VLOOKUP($A40,TableHandbook[],3,FALSE)),"")</f>
        <v/>
      </c>
      <c r="D40" s="297" t="str">
        <f>IFERROR(IF(VLOOKUP($A40,TableHandbook[],4,FALSE)=0,"",VLOOKUP($A40,TableHandbook[],4,FALSE)),"")</f>
        <v/>
      </c>
      <c r="E40" s="293" t="str">
        <f>IF(A40="","",VLOOKUP($D$7,TableStudyPeriod[],4,FALSE))</f>
        <v/>
      </c>
      <c r="F40" s="295" t="str">
        <f>IFERROR(IF(VLOOKUP($A40,TableHandbook[],6,FALSE)=0,"",VLOOKUP($A40,TableHandbook[],6,FALSE)),"")</f>
        <v/>
      </c>
      <c r="G40" s="296" t="str">
        <f>IFERROR(IF(VLOOKUP($A40,TableHandbook[],5,FALSE)=0,"",VLOOKUP($A40,TableHandbook[],5,FALSE)),"")</f>
        <v/>
      </c>
      <c r="H40" s="270" t="str">
        <f>IFERROR(VLOOKUP($A40,TableHandbook[],H$2,FALSE),"")</f>
        <v/>
      </c>
      <c r="I40" s="271" t="str">
        <f>IFERROR(VLOOKUP($A40,TableHandbook[],I$2,FALSE),"")</f>
        <v/>
      </c>
      <c r="J40" s="271" t="str">
        <f>IFERROR(VLOOKUP($A40,TableHandbook[],J$2,FALSE),"")</f>
        <v/>
      </c>
      <c r="K40" s="272" t="str">
        <f>IFERROR(VLOOKUP($A40,TableHandbook[],K$2,FALSE),"")</f>
        <v/>
      </c>
      <c r="L40" s="129"/>
      <c r="M40" s="273">
        <v>22</v>
      </c>
      <c r="N40" s="274"/>
      <c r="O40" s="274"/>
    </row>
    <row r="41" spans="1:16" s="275" customFormat="1" ht="20.100000000000001" customHeight="1" x14ac:dyDescent="0.15">
      <c r="A41" s="292" t="str">
        <f>IFERROR(IF(HLOOKUP($L$5,RangeUnitsets,M41,FALSE)=0,"",HLOOKUP($L$5,RangeUnitsets,M41,FALSE)),"")</f>
        <v/>
      </c>
      <c r="B41" s="293" t="str">
        <f>IFERROR(IF(VLOOKUP($A41,TableHandbook[],2,FALSE)=0,"",VLOOKUP($A41,TableHandbook[],2,FALSE)),"")</f>
        <v/>
      </c>
      <c r="C41" s="293" t="str">
        <f>IFERROR(IF(VLOOKUP($A41,TableHandbook[],3,FALSE)=0,"",VLOOKUP($A41,TableHandbook[],3,FALSE)),"")</f>
        <v/>
      </c>
      <c r="D41" s="297" t="str">
        <f>IFERROR(IF(VLOOKUP($A41,TableHandbook[],4,FALSE)=0,"",VLOOKUP($A41,TableHandbook[],4,FALSE)),"")</f>
        <v/>
      </c>
      <c r="E41" s="293" t="str">
        <f>IF(A41="","",E40)</f>
        <v/>
      </c>
      <c r="F41" s="295" t="str">
        <f>IFERROR(IF(VLOOKUP($A41,TableHandbook[],6,FALSE)=0,"",VLOOKUP($A41,TableHandbook[],6,FALSE)),"")</f>
        <v/>
      </c>
      <c r="G41" s="296" t="str">
        <f>IFERROR(IF(VLOOKUP($A41,TableHandbook[],5,FALSE)=0,"",VLOOKUP($A41,TableHandbook[],5,FALSE)),"")</f>
        <v/>
      </c>
      <c r="H41" s="270" t="str">
        <f>IFERROR(VLOOKUP($A41,TableHandbook[],H$2,FALSE),"")</f>
        <v/>
      </c>
      <c r="I41" s="271" t="str">
        <f>IFERROR(VLOOKUP($A41,TableHandbook[],I$2,FALSE),"")</f>
        <v/>
      </c>
      <c r="J41" s="271" t="str">
        <f>IFERROR(VLOOKUP($A41,TableHandbook[],J$2,FALSE),"")</f>
        <v/>
      </c>
      <c r="K41" s="272" t="str">
        <f>IFERROR(VLOOKUP($A41,TableHandbook[],K$2,FALSE),"")</f>
        <v/>
      </c>
      <c r="L41" s="129"/>
      <c r="M41" s="273">
        <v>23</v>
      </c>
      <c r="N41" s="274"/>
      <c r="O41" s="274"/>
    </row>
    <row r="42" spans="1:16" s="275" customFormat="1" ht="5.0999999999999996" customHeight="1" x14ac:dyDescent="0.15">
      <c r="A42" s="276"/>
      <c r="B42" s="277"/>
      <c r="C42" s="277"/>
      <c r="D42" s="278"/>
      <c r="E42" s="277"/>
      <c r="F42" s="279"/>
      <c r="G42" s="277"/>
      <c r="H42" s="280"/>
      <c r="I42" s="281"/>
      <c r="J42" s="281"/>
      <c r="K42" s="282"/>
      <c r="L42" s="127"/>
      <c r="M42" s="273"/>
      <c r="N42" s="274"/>
      <c r="O42" s="274"/>
      <c r="P42" s="274"/>
    </row>
    <row r="43" spans="1:16" s="288" customFormat="1" ht="20.100000000000001" customHeight="1" x14ac:dyDescent="0.15">
      <c r="A43" s="292" t="str">
        <f>IFERROR(IF(HLOOKUP($L$5,RangeUnitsets,M43,FALSE)=0,"",HLOOKUP($L$5,RangeUnitsets,M43,FALSE)),"")</f>
        <v/>
      </c>
      <c r="B43" s="293" t="str">
        <f>IFERROR(IF(VLOOKUP($A43,TableHandbook[],2,FALSE)=0,"",VLOOKUP($A43,TableHandbook[],2,FALSE)),"")</f>
        <v/>
      </c>
      <c r="C43" s="293" t="str">
        <f>IFERROR(IF(VLOOKUP($A43,TableHandbook[],3,FALSE)=0,"",VLOOKUP($A43,TableHandbook[],3,FALSE)),"")</f>
        <v/>
      </c>
      <c r="D43" s="297" t="str">
        <f>IFERROR(IF(VLOOKUP($A43,TableHandbook[],4,FALSE)=0,"",VLOOKUP($A43,TableHandbook[],4,FALSE)),"")</f>
        <v/>
      </c>
      <c r="E43" s="293" t="str">
        <f>IF(A43="","",VLOOKUP($D$7,TableStudyPeriod[],5,FALSE))</f>
        <v/>
      </c>
      <c r="F43" s="295" t="str">
        <f>IFERROR(IF(VLOOKUP($A43,TableHandbook[],6,FALSE)=0,"",VLOOKUP($A43,TableHandbook[],6,FALSE)),"")</f>
        <v/>
      </c>
      <c r="G43" s="296" t="str">
        <f>IFERROR(IF(VLOOKUP($A43,TableHandbook[],5,FALSE)=0,"",VLOOKUP($A43,TableHandbook[],5,FALSE)),"")</f>
        <v/>
      </c>
      <c r="H43" s="270" t="str">
        <f>IFERROR(VLOOKUP($A43,TableHandbook[],H$2,FALSE),"")</f>
        <v/>
      </c>
      <c r="I43" s="271" t="str">
        <f>IFERROR(VLOOKUP($A43,TableHandbook[],I$2,FALSE),"")</f>
        <v/>
      </c>
      <c r="J43" s="271" t="str">
        <f>IFERROR(VLOOKUP($A43,TableHandbook[],J$2,FALSE),"")</f>
        <v/>
      </c>
      <c r="K43" s="272" t="str">
        <f>IFERROR(VLOOKUP($A43,TableHandbook[],K$2,FALSE),"")</f>
        <v/>
      </c>
      <c r="L43" s="129"/>
      <c r="M43" s="273">
        <v>24</v>
      </c>
      <c r="N43" s="287"/>
      <c r="O43" s="287"/>
    </row>
    <row r="44" spans="1:16" s="288" customFormat="1" ht="20.100000000000001" customHeight="1" x14ac:dyDescent="0.15">
      <c r="A44" s="292" t="str">
        <f>IFERROR(IF(HLOOKUP($L$5,RangeUnitsets,M44,FALSE)=0,"",HLOOKUP($L$5,RangeUnitsets,M44,FALSE)),"")</f>
        <v/>
      </c>
      <c r="B44" s="293" t="str">
        <f>IFERROR(IF(VLOOKUP($A44,TableHandbook[],2,FALSE)=0,"",VLOOKUP($A44,TableHandbook[],2,FALSE)),"")</f>
        <v/>
      </c>
      <c r="C44" s="293" t="str">
        <f>IFERROR(IF(VLOOKUP($A44,TableHandbook[],3,FALSE)=0,"",VLOOKUP($A44,TableHandbook[],3,FALSE)),"")</f>
        <v/>
      </c>
      <c r="D44" s="297" t="str">
        <f>IFERROR(IF(VLOOKUP($A44,TableHandbook[],4,FALSE)=0,"",VLOOKUP($A44,TableHandbook[],4,FALSE)),"")</f>
        <v/>
      </c>
      <c r="E44" s="296" t="str">
        <f>IF(A44="","",E43)</f>
        <v/>
      </c>
      <c r="F44" s="295" t="str">
        <f>IFERROR(IF(VLOOKUP($A44,TableHandbook[],6,FALSE)=0,"",VLOOKUP($A44,TableHandbook[],6,FALSE)),"")</f>
        <v/>
      </c>
      <c r="G44" s="296" t="str">
        <f>IFERROR(IF(VLOOKUP($A44,TableHandbook[],5,FALSE)=0,"",VLOOKUP($A44,TableHandbook[],5,FALSE)),"")</f>
        <v/>
      </c>
      <c r="H44" s="270" t="str">
        <f>IFERROR(VLOOKUP($A44,TableHandbook[],H$2,FALSE),"")</f>
        <v/>
      </c>
      <c r="I44" s="271" t="str">
        <f>IFERROR(VLOOKUP($A44,TableHandbook[],I$2,FALSE),"")</f>
        <v/>
      </c>
      <c r="J44" s="271" t="str">
        <f>IFERROR(VLOOKUP($A44,TableHandbook[],J$2,FALSE),"")</f>
        <v/>
      </c>
      <c r="K44" s="272" t="str">
        <f>IFERROR(VLOOKUP($A44,TableHandbook[],K$2,FALSE),"")</f>
        <v/>
      </c>
      <c r="L44" s="129"/>
      <c r="M44" s="273">
        <v>25</v>
      </c>
      <c r="N44" s="287"/>
      <c r="O44" s="287"/>
    </row>
    <row r="45" spans="1:16" s="304" customFormat="1" ht="13.9" customHeight="1" x14ac:dyDescent="0.2">
      <c r="A45" s="298"/>
      <c r="B45" s="298"/>
      <c r="C45" s="298"/>
      <c r="D45" s="299"/>
      <c r="E45" s="300"/>
      <c r="F45" s="301"/>
      <c r="G45" s="301"/>
      <c r="H45" s="301"/>
      <c r="I45" s="301"/>
      <c r="J45" s="301"/>
      <c r="K45" s="301"/>
      <c r="L45" s="301"/>
      <c r="M45" s="302"/>
      <c r="N45" s="303"/>
      <c r="O45" s="303"/>
    </row>
    <row r="46" spans="1:16" ht="17.25" x14ac:dyDescent="0.25">
      <c r="A46" s="305" t="str">
        <f>D6</f>
        <v>Choose your Specialisation (drop-down list)</v>
      </c>
      <c r="B46" s="306"/>
      <c r="C46" s="306"/>
      <c r="D46" s="307"/>
      <c r="E46" s="308"/>
      <c r="F46" s="309"/>
      <c r="G46" s="309"/>
      <c r="H46" s="310" t="str">
        <f>H8</f>
        <v>2026 Availabilities</v>
      </c>
      <c r="I46" s="311"/>
      <c r="J46" s="312"/>
      <c r="K46" s="313"/>
      <c r="L46" s="314" t="e">
        <f>VLOOKUP(D6,TableSpecialisations[],2,FALSE)</f>
        <v>#N/A</v>
      </c>
      <c r="M46" s="315"/>
    </row>
    <row r="47" spans="1:16" s="320" customFormat="1" x14ac:dyDescent="0.25">
      <c r="A47" s="316"/>
      <c r="B47" s="317"/>
      <c r="C47" s="254" t="s">
        <v>21</v>
      </c>
      <c r="D47" s="258" t="s">
        <v>3</v>
      </c>
      <c r="E47" s="318"/>
      <c r="F47" s="254" t="s">
        <v>23</v>
      </c>
      <c r="G47" s="318" t="s">
        <v>24</v>
      </c>
      <c r="H47" s="263" t="str">
        <f>H$9</f>
        <v>SP1</v>
      </c>
      <c r="I47" s="264" t="str">
        <f t="shared" ref="I47:L47" si="2">I$9</f>
        <v>SP2</v>
      </c>
      <c r="J47" s="264" t="str">
        <f t="shared" si="2"/>
        <v>SP3</v>
      </c>
      <c r="K47" s="319" t="str">
        <f t="shared" si="2"/>
        <v>SP4</v>
      </c>
      <c r="L47" s="254" t="str">
        <f t="shared" si="2"/>
        <v>Notes / Progress</v>
      </c>
      <c r="M47" s="315"/>
    </row>
    <row r="48" spans="1:16" x14ac:dyDescent="0.25">
      <c r="A48" s="321" t="str">
        <f t="shared" ref="A48:A56" si="3">IFERROR(IF(HLOOKUP($L$46,RangeSpecSets,M48,FALSE)=0,"",HLOOKUP($L$46,RangeSpecSets,M48,FALSE)),"")</f>
        <v/>
      </c>
      <c r="B48" s="322" t="str">
        <f>IFERROR(IF(VLOOKUP($A48,TableHandbook[],2,FALSE)=0,"",VLOOKUP($A48,TableHandbook[],2,FALSE)),"")</f>
        <v/>
      </c>
      <c r="C48" s="322" t="str">
        <f>IFERROR(IF(VLOOKUP($A48,TableHandbook[],3,FALSE)=0,"",VLOOKUP($A48,TableHandbook[],3,FALSE)),"")</f>
        <v/>
      </c>
      <c r="D48" s="323" t="str">
        <f>IFERROR(IF(VLOOKUP($A48,TableHandbook[],4,FALSE)=0,"",VLOOKUP($A48,TableHandbook[],4,FALSE)),"")</f>
        <v/>
      </c>
      <c r="E48" s="324"/>
      <c r="F48" s="269" t="str">
        <f>IFERROR(IF(VLOOKUP($A48,TableHandbook[],6,FALSE)=0,"",VLOOKUP($A48,TableHandbook[],6,FALSE)),"")</f>
        <v/>
      </c>
      <c r="G48" s="324" t="str">
        <f>IFERROR(IF(VLOOKUP($A48,TableHandbook[],5,FALSE)=0,"",VLOOKUP($A48,TableHandbook[],5,FALSE)),"")</f>
        <v/>
      </c>
      <c r="H48" s="325" t="str">
        <f>IFERROR(VLOOKUP(A48,TableHandbook[],7,FALSE),"")</f>
        <v/>
      </c>
      <c r="I48" s="326" t="str">
        <f>IFERROR(VLOOKUP(A48,TableHandbook[],8,FALSE),"")</f>
        <v/>
      </c>
      <c r="J48" s="326" t="str">
        <f>IFERROR(VLOOKUP(A48,TableHandbook[],9,FALSE),"")</f>
        <v/>
      </c>
      <c r="K48" s="327" t="str">
        <f>IFERROR(VLOOKUP(A48,TableHandbook[],10,FALSE),"")</f>
        <v/>
      </c>
      <c r="L48" s="128"/>
      <c r="M48" s="273">
        <v>2</v>
      </c>
    </row>
    <row r="49" spans="1:15" ht="19.5" customHeight="1" x14ac:dyDescent="0.25">
      <c r="A49" s="321" t="str">
        <f t="shared" si="3"/>
        <v/>
      </c>
      <c r="B49" s="322" t="str">
        <f>IFERROR(IF(VLOOKUP($A49,TableHandbook[],2,FALSE)=0,"",VLOOKUP($A49,TableHandbook[],2,FALSE)),"")</f>
        <v/>
      </c>
      <c r="C49" s="322" t="str">
        <f>IFERROR(IF(VLOOKUP($A49,TableHandbook[],3,FALSE)=0,"",VLOOKUP($A49,TableHandbook[],3,FALSE)),"")</f>
        <v/>
      </c>
      <c r="D49" s="323" t="str">
        <f>IFERROR(IF(VLOOKUP($A49,TableHandbook[],4,FALSE)=0,"",VLOOKUP($A49,TableHandbook[],4,FALSE)),"")</f>
        <v/>
      </c>
      <c r="E49" s="324"/>
      <c r="F49" s="269" t="str">
        <f>IFERROR(IF(VLOOKUP($A49,TableHandbook[],6,FALSE)=0,"",VLOOKUP($A49,TableHandbook[],6,FALSE)),"")</f>
        <v/>
      </c>
      <c r="G49" s="324" t="str">
        <f>IFERROR(IF(VLOOKUP($A49,TableHandbook[],5,FALSE)=0,"",VLOOKUP($A49,TableHandbook[],5,FALSE)),"")</f>
        <v/>
      </c>
      <c r="H49" s="325" t="str">
        <f>IFERROR(VLOOKUP(A49,TableHandbook[],7,FALSE),"")</f>
        <v/>
      </c>
      <c r="I49" s="326" t="str">
        <f>IFERROR(VLOOKUP(A49,TableHandbook[],8,FALSE),"")</f>
        <v/>
      </c>
      <c r="J49" s="326" t="str">
        <f>IFERROR(VLOOKUP(A49,TableHandbook[],9,FALSE),"")</f>
        <v/>
      </c>
      <c r="K49" s="327" t="str">
        <f>IFERROR(VLOOKUP(A49,TableHandbook[],10,FALSE),"")</f>
        <v/>
      </c>
      <c r="L49" s="128"/>
      <c r="M49" s="273">
        <v>3</v>
      </c>
    </row>
    <row r="50" spans="1:15" ht="19.5" customHeight="1" x14ac:dyDescent="0.25">
      <c r="A50" s="321" t="str">
        <f t="shared" si="3"/>
        <v/>
      </c>
      <c r="B50" s="322" t="str">
        <f>IFERROR(IF(VLOOKUP($A50,TableHandbook[],2,FALSE)=0,"",VLOOKUP($A50,TableHandbook[],2,FALSE)),"")</f>
        <v/>
      </c>
      <c r="C50" s="322" t="str">
        <f>IFERROR(IF(VLOOKUP($A50,TableHandbook[],3,FALSE)=0,"",VLOOKUP($A50,TableHandbook[],3,FALSE)),"")</f>
        <v/>
      </c>
      <c r="D50" s="323" t="str">
        <f>IFERROR(IF(VLOOKUP($A50,TableHandbook[],4,FALSE)=0,"",VLOOKUP($A50,TableHandbook[],4,FALSE)),"")</f>
        <v/>
      </c>
      <c r="E50" s="324"/>
      <c r="F50" s="269" t="str">
        <f>IFERROR(IF(VLOOKUP($A50,TableHandbook[],6,FALSE)=0,"",VLOOKUP($A50,TableHandbook[],6,FALSE)),"")</f>
        <v/>
      </c>
      <c r="G50" s="324" t="str">
        <f>IFERROR(IF(VLOOKUP($A50,TableHandbook[],5,FALSE)=0,"",VLOOKUP($A50,TableHandbook[],5,FALSE)),"")</f>
        <v/>
      </c>
      <c r="H50" s="325" t="str">
        <f>IFERROR(VLOOKUP(A50,TableHandbook[],7,FALSE),"")</f>
        <v/>
      </c>
      <c r="I50" s="326" t="str">
        <f>IFERROR(VLOOKUP(A50,TableHandbook[],8,FALSE),"")</f>
        <v/>
      </c>
      <c r="J50" s="326" t="str">
        <f>IFERROR(VLOOKUP(A50,TableHandbook[],9,FALSE),"")</f>
        <v/>
      </c>
      <c r="K50" s="327" t="str">
        <f>IFERROR(VLOOKUP(A50,TableHandbook[],10,FALSE),"")</f>
        <v/>
      </c>
      <c r="L50" s="128"/>
      <c r="M50" s="273">
        <v>4</v>
      </c>
    </row>
    <row r="51" spans="1:15" ht="19.5" customHeight="1" x14ac:dyDescent="0.25">
      <c r="A51" s="321" t="str">
        <f t="shared" si="3"/>
        <v/>
      </c>
      <c r="B51" s="322" t="str">
        <f>IFERROR(IF(VLOOKUP($A51,TableHandbook[],2,FALSE)=0,"",VLOOKUP($A51,TableHandbook[],2,FALSE)),"")</f>
        <v/>
      </c>
      <c r="C51" s="322" t="str">
        <f>IFERROR(IF(VLOOKUP($A51,TableHandbook[],3,FALSE)=0,"",VLOOKUP($A51,TableHandbook[],3,FALSE)),"")</f>
        <v/>
      </c>
      <c r="D51" s="323" t="str">
        <f>IFERROR(IF(VLOOKUP($A51,TableHandbook[],4,FALSE)=0,"",VLOOKUP($A51,TableHandbook[],4,FALSE)),"")</f>
        <v/>
      </c>
      <c r="E51" s="324"/>
      <c r="F51" s="269" t="str">
        <f>IFERROR(IF(VLOOKUP($A51,TableHandbook[],6,FALSE)=0,"",VLOOKUP($A51,TableHandbook[],6,FALSE)),"")</f>
        <v/>
      </c>
      <c r="G51" s="324" t="str">
        <f>IFERROR(IF(VLOOKUP($A51,TableHandbook[],5,FALSE)=0,"",VLOOKUP($A51,TableHandbook[],5,FALSE)),"")</f>
        <v/>
      </c>
      <c r="H51" s="325" t="str">
        <f>IFERROR(VLOOKUP(A51,TableHandbook[],7,FALSE),"")</f>
        <v/>
      </c>
      <c r="I51" s="326" t="str">
        <f>IFERROR(VLOOKUP(A51,TableHandbook[],8,FALSE),"")</f>
        <v/>
      </c>
      <c r="J51" s="326" t="str">
        <f>IFERROR(VLOOKUP(A51,TableHandbook[],9,FALSE),"")</f>
        <v/>
      </c>
      <c r="K51" s="327" t="str">
        <f>IFERROR(VLOOKUP(A51,TableHandbook[],10,FALSE),"")</f>
        <v/>
      </c>
      <c r="L51" s="128"/>
      <c r="M51" s="273">
        <v>5</v>
      </c>
    </row>
    <row r="52" spans="1:15" ht="19.5" customHeight="1" x14ac:dyDescent="0.25">
      <c r="A52" s="321" t="str">
        <f t="shared" si="3"/>
        <v/>
      </c>
      <c r="B52" s="322" t="str">
        <f>IFERROR(IF(VLOOKUP($A52,TableHandbook[],2,FALSE)=0,"",VLOOKUP($A52,TableHandbook[],2,FALSE)),"")</f>
        <v/>
      </c>
      <c r="C52" s="322" t="str">
        <f>IFERROR(IF(VLOOKUP($A52,TableHandbook[],3,FALSE)=0,"",VLOOKUP($A52,TableHandbook[],3,FALSE)),"")</f>
        <v/>
      </c>
      <c r="D52" s="323" t="str">
        <f>IFERROR(IF(VLOOKUP($A52,TableHandbook[],4,FALSE)=0,"",VLOOKUP($A52,TableHandbook[],4,FALSE)),"")</f>
        <v/>
      </c>
      <c r="E52" s="324"/>
      <c r="F52" s="269" t="str">
        <f>IFERROR(IF(VLOOKUP($A52,TableHandbook[],6,FALSE)=0,"",VLOOKUP($A52,TableHandbook[],6,FALSE)),"")</f>
        <v/>
      </c>
      <c r="G52" s="324" t="str">
        <f>IFERROR(IF(VLOOKUP($A52,TableHandbook[],5,FALSE)=0,"",VLOOKUP($A52,TableHandbook[],5,FALSE)),"")</f>
        <v/>
      </c>
      <c r="H52" s="325" t="str">
        <f>IFERROR(VLOOKUP(A52,TableHandbook[],7,FALSE),"")</f>
        <v/>
      </c>
      <c r="I52" s="326" t="str">
        <f>IFERROR(VLOOKUP(A52,TableHandbook[],8,FALSE),"")</f>
        <v/>
      </c>
      <c r="J52" s="326" t="str">
        <f>IFERROR(VLOOKUP(A52,TableHandbook[],9,FALSE),"")</f>
        <v/>
      </c>
      <c r="K52" s="327" t="str">
        <f>IFERROR(VLOOKUP(A52,TableHandbook[],10,FALSE),"")</f>
        <v/>
      </c>
      <c r="L52" s="128"/>
      <c r="M52" s="273">
        <v>6</v>
      </c>
    </row>
    <row r="53" spans="1:15" ht="19.5" customHeight="1" x14ac:dyDescent="0.25">
      <c r="A53" s="321" t="str">
        <f t="shared" si="3"/>
        <v/>
      </c>
      <c r="B53" s="322" t="str">
        <f>IFERROR(IF(VLOOKUP($A53,TableHandbook[],2,FALSE)=0,"",VLOOKUP($A53,TableHandbook[],2,FALSE)),"")</f>
        <v/>
      </c>
      <c r="C53" s="322" t="str">
        <f>IFERROR(IF(VLOOKUP($A53,TableHandbook[],3,FALSE)=0,"",VLOOKUP($A53,TableHandbook[],3,FALSE)),"")</f>
        <v/>
      </c>
      <c r="D53" s="323" t="str">
        <f>IFERROR(IF(VLOOKUP($A53,TableHandbook[],4,FALSE)=0,"",VLOOKUP($A53,TableHandbook[],4,FALSE)),"")</f>
        <v/>
      </c>
      <c r="E53" s="324"/>
      <c r="F53" s="269" t="str">
        <f>IFERROR(IF(VLOOKUP($A53,TableHandbook[],6,FALSE)=0,"",VLOOKUP($A53,TableHandbook[],6,FALSE)),"")</f>
        <v/>
      </c>
      <c r="G53" s="324" t="str">
        <f>IFERROR(IF(VLOOKUP($A53,TableHandbook[],5,FALSE)=0,"",VLOOKUP($A53,TableHandbook[],5,FALSE)),"")</f>
        <v/>
      </c>
      <c r="H53" s="325" t="str">
        <f>IFERROR(VLOOKUP(A53,TableHandbook[],7,FALSE),"")</f>
        <v/>
      </c>
      <c r="I53" s="326" t="str">
        <f>IFERROR(VLOOKUP(A53,TableHandbook[],8,FALSE),"")</f>
        <v/>
      </c>
      <c r="J53" s="326" t="str">
        <f>IFERROR(VLOOKUP(A53,TableHandbook[],9,FALSE),"")</f>
        <v/>
      </c>
      <c r="K53" s="327" t="str">
        <f>IFERROR(VLOOKUP(A53,TableHandbook[],10,FALSE),"")</f>
        <v/>
      </c>
      <c r="L53" s="128"/>
      <c r="M53" s="273">
        <v>7</v>
      </c>
    </row>
    <row r="54" spans="1:15" ht="19.5" customHeight="1" x14ac:dyDescent="0.25">
      <c r="A54" s="321" t="str">
        <f t="shared" si="3"/>
        <v/>
      </c>
      <c r="B54" s="322" t="str">
        <f>IFERROR(IF(VLOOKUP($A54,TableHandbook[],2,FALSE)=0,"",VLOOKUP($A54,TableHandbook[],2,FALSE)),"")</f>
        <v/>
      </c>
      <c r="C54" s="322" t="str">
        <f>IFERROR(IF(VLOOKUP($A54,TableHandbook[],3,FALSE)=0,"",VLOOKUP($A54,TableHandbook[],3,FALSE)),"")</f>
        <v/>
      </c>
      <c r="D54" s="323" t="str">
        <f>IFERROR(IF(VLOOKUP($A54,TableHandbook[],4,FALSE)=0,"",VLOOKUP($A54,TableHandbook[],4,FALSE)),"")</f>
        <v/>
      </c>
      <c r="E54" s="324"/>
      <c r="F54" s="269" t="str">
        <f>IFERROR(IF(VLOOKUP($A54,TableHandbook[],6,FALSE)=0,"",VLOOKUP($A54,TableHandbook[],6,FALSE)),"")</f>
        <v/>
      </c>
      <c r="G54" s="324" t="str">
        <f>IFERROR(IF(VLOOKUP($A54,TableHandbook[],5,FALSE)=0,"",VLOOKUP($A54,TableHandbook[],5,FALSE)),"")</f>
        <v/>
      </c>
      <c r="H54" s="325" t="str">
        <f>IFERROR(VLOOKUP(A54,TableHandbook[],7,FALSE),"")</f>
        <v/>
      </c>
      <c r="I54" s="326" t="str">
        <f>IFERROR(VLOOKUP(A54,TableHandbook[],8,FALSE),"")</f>
        <v/>
      </c>
      <c r="J54" s="326" t="str">
        <f>IFERROR(VLOOKUP(A54,TableHandbook[],9,FALSE),"")</f>
        <v/>
      </c>
      <c r="K54" s="327" t="str">
        <f>IFERROR(VLOOKUP(A54,TableHandbook[],10,FALSE),"")</f>
        <v/>
      </c>
      <c r="L54" s="128"/>
      <c r="M54" s="273">
        <v>8</v>
      </c>
    </row>
    <row r="55" spans="1:15" ht="19.5" customHeight="1" x14ac:dyDescent="0.25">
      <c r="A55" s="321" t="str">
        <f t="shared" si="3"/>
        <v/>
      </c>
      <c r="B55" s="322" t="str">
        <f>IFERROR(IF(VLOOKUP($A55,TableHandbook[],2,FALSE)=0,"",VLOOKUP($A55,TableHandbook[],2,FALSE)),"")</f>
        <v/>
      </c>
      <c r="C55" s="322" t="str">
        <f>IFERROR(IF(VLOOKUP($A55,TableHandbook[],3,FALSE)=0,"",VLOOKUP($A55,TableHandbook[],3,FALSE)),"")</f>
        <v/>
      </c>
      <c r="D55" s="323" t="str">
        <f>IFERROR(IF(VLOOKUP($A55,TableHandbook[],4,FALSE)=0,"",VLOOKUP($A55,TableHandbook[],4,FALSE)),"")</f>
        <v/>
      </c>
      <c r="E55" s="324"/>
      <c r="F55" s="269" t="str">
        <f>IFERROR(IF(VLOOKUP($A55,TableHandbook[],6,FALSE)=0,"",VLOOKUP($A55,TableHandbook[],6,FALSE)),"")</f>
        <v/>
      </c>
      <c r="G55" s="324" t="str">
        <f>IFERROR(IF(VLOOKUP($A55,TableHandbook[],5,FALSE)=0,"",VLOOKUP($A55,TableHandbook[],5,FALSE)),"")</f>
        <v/>
      </c>
      <c r="H55" s="325" t="str">
        <f>IFERROR(VLOOKUP(A55,TableHandbook[],7,FALSE),"")</f>
        <v/>
      </c>
      <c r="I55" s="326" t="str">
        <f>IFERROR(VLOOKUP(A55,TableHandbook[],8,FALSE),"")</f>
        <v/>
      </c>
      <c r="J55" s="326" t="str">
        <f>IFERROR(VLOOKUP(A55,TableHandbook[],9,FALSE),"")</f>
        <v/>
      </c>
      <c r="K55" s="327" t="str">
        <f>IFERROR(VLOOKUP(A55,TableHandbook[],10,FALSE),"")</f>
        <v/>
      </c>
      <c r="L55" s="128"/>
      <c r="M55" s="273">
        <v>9</v>
      </c>
    </row>
    <row r="56" spans="1:15" ht="19.5" customHeight="1" x14ac:dyDescent="0.25">
      <c r="A56" s="321" t="str">
        <f t="shared" si="3"/>
        <v/>
      </c>
      <c r="B56" s="322" t="str">
        <f>IFERROR(IF(VLOOKUP($A56,TableHandbook[],2,FALSE)=0,"",VLOOKUP($A56,TableHandbook[],2,FALSE)),"")</f>
        <v/>
      </c>
      <c r="C56" s="322" t="str">
        <f>IFERROR(IF(VLOOKUP($A56,TableHandbook[],3,FALSE)=0,"",VLOOKUP($A56,TableHandbook[],3,FALSE)),"")</f>
        <v/>
      </c>
      <c r="D56" s="323" t="str">
        <f>IFERROR(IF(VLOOKUP($A56,TableHandbook[],4,FALSE)=0,"",VLOOKUP($A56,TableHandbook[],4,FALSE)),"")</f>
        <v/>
      </c>
      <c r="E56" s="324"/>
      <c r="F56" s="269" t="str">
        <f>IFERROR(IF(VLOOKUP($A56,TableHandbook[],6,FALSE)=0,"",VLOOKUP($A56,TableHandbook[],6,FALSE)),"")</f>
        <v/>
      </c>
      <c r="G56" s="324" t="str">
        <f>IFERROR(IF(VLOOKUP($A56,TableHandbook[],5,FALSE)=0,"",VLOOKUP($A56,TableHandbook[],5,FALSE)),"")</f>
        <v/>
      </c>
      <c r="H56" s="325" t="str">
        <f>IFERROR(VLOOKUP(A56,TableHandbook[],7,FALSE),"")</f>
        <v/>
      </c>
      <c r="I56" s="326" t="str">
        <f>IFERROR(VLOOKUP(A56,TableHandbook[],8,FALSE),"")</f>
        <v/>
      </c>
      <c r="J56" s="326" t="str">
        <f>IFERROR(VLOOKUP(A56,TableHandbook[],9,FALSE),"")</f>
        <v/>
      </c>
      <c r="K56" s="327" t="str">
        <f>IFERROR(VLOOKUP(A56,TableHandbook[],10,FALSE),"")</f>
        <v/>
      </c>
      <c r="L56" s="128"/>
      <c r="M56" s="273">
        <v>10</v>
      </c>
    </row>
    <row r="57" spans="1:15" ht="19.5" customHeight="1" x14ac:dyDescent="0.25">
      <c r="A57" s="328"/>
      <c r="B57" s="328"/>
      <c r="C57" s="328"/>
      <c r="D57" s="328"/>
      <c r="E57" s="328"/>
      <c r="F57" s="328"/>
      <c r="G57" s="328"/>
      <c r="H57" s="328"/>
      <c r="I57" s="328"/>
      <c r="J57" s="328"/>
      <c r="K57" s="328"/>
      <c r="L57" s="328"/>
      <c r="M57" s="329"/>
    </row>
    <row r="58" spans="1:15" ht="32.25" customHeight="1" x14ac:dyDescent="0.25">
      <c r="A58" s="330" t="s">
        <v>34</v>
      </c>
      <c r="B58" s="330"/>
      <c r="C58" s="330"/>
      <c r="D58" s="330"/>
      <c r="E58" s="330"/>
      <c r="F58" s="330"/>
      <c r="G58" s="330"/>
      <c r="H58" s="330"/>
      <c r="I58" s="330"/>
      <c r="J58" s="330"/>
      <c r="K58" s="330"/>
      <c r="L58" s="330"/>
    </row>
    <row r="59" spans="1:15" s="332" customFormat="1" ht="24.95" customHeight="1" x14ac:dyDescent="0.3">
      <c r="A59" s="52" t="s">
        <v>35</v>
      </c>
      <c r="B59" s="52"/>
      <c r="C59" s="52"/>
      <c r="D59" s="53"/>
      <c r="E59" s="54"/>
      <c r="F59" s="53"/>
      <c r="G59" s="53"/>
      <c r="H59" s="53"/>
      <c r="I59" s="53"/>
      <c r="J59" s="53"/>
      <c r="K59" s="53"/>
      <c r="L59" s="53"/>
      <c r="M59" s="331"/>
      <c r="N59" s="331"/>
      <c r="O59" s="331"/>
    </row>
    <row r="60" spans="1:15" ht="15" customHeight="1" x14ac:dyDescent="0.25">
      <c r="A60" s="333" t="s">
        <v>36</v>
      </c>
      <c r="B60" s="333"/>
      <c r="C60" s="333"/>
      <c r="D60" s="333"/>
      <c r="E60" s="334"/>
      <c r="F60" s="301"/>
      <c r="G60" s="335"/>
      <c r="H60" s="335"/>
      <c r="I60" s="335"/>
      <c r="J60" s="335"/>
      <c r="K60" s="335"/>
      <c r="L60" s="335" t="s">
        <v>37</v>
      </c>
    </row>
  </sheetData>
  <sheetProtection algorithmName="SHA-512" hashValue="seLvv7N9iHVOaMjgyE5jaW1fixpLKBK6KI7aVfcPBo8QjZpNu75GMMm+Unvw3Fe0FAYRI4O3D/2MaMrbeW3VPQ==" saltValue="wvpMQEHNpQKlZ00Tzd45Nw==" spinCount="100000" sheet="1" objects="1" scenarios="1" formatCells="0"/>
  <mergeCells count="2">
    <mergeCell ref="A3:D3"/>
    <mergeCell ref="A58:L58"/>
  </mergeCells>
  <conditionalFormatting sqref="A10:L20 A22:L32 A34:L44 A21:B21 L21 A33:B33 L33">
    <cfRule type="expression" dxfId="41" priority="5">
      <formula>$A10="Spec"</formula>
    </cfRule>
  </conditionalFormatting>
  <conditionalFormatting sqref="A48:L56">
    <cfRule type="expression" dxfId="40" priority="4">
      <formula>$A48=""</formula>
    </cfRule>
    <cfRule type="expression" dxfId="39" priority="6">
      <formula>OR(LEFT($D48,5)="Study",LEFT($D48,3)="and")</formula>
    </cfRule>
  </conditionalFormatting>
  <conditionalFormatting sqref="D5:D7">
    <cfRule type="containsText" dxfId="38" priority="1" operator="containsText" text="Choose">
      <formula>NOT(ISERROR(SEARCH("Choose",D5)))</formula>
    </cfRule>
  </conditionalFormatting>
  <conditionalFormatting sqref="H10:K20 H22:K32 H34:K44">
    <cfRule type="expression" dxfId="37" priority="3">
      <formula>$E10=H$9</formula>
    </cfRule>
  </conditionalFormatting>
  <conditionalFormatting sqref="L47">
    <cfRule type="expression" dxfId="36" priority="2">
      <formula>$A47="Spec"</formula>
    </cfRule>
  </conditionalFormatting>
  <dataValidations count="1">
    <dataValidation type="list" allowBlank="1" showInputMessage="1" showErrorMessage="1" sqref="L15 L12 L18 L24 L27 L30 L36 L39 L42" xr:uid="{00000000-0002-0000-0100-000000000000}"/>
  </dataValidations>
  <hyperlinks>
    <hyperlink ref="A59:L59"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59" orientation="portrait" r:id="rId2"/>
  <rowBreaks count="1" manualBreakCount="1">
    <brk id="44" max="10"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100-000001000000}">
          <x14:formula1>
            <xm:f>CourseDetails!$A$18:$A$23</xm:f>
          </x14:formula1>
          <xm:sqref>D6</xm:sqref>
        </x14:dataValidation>
        <x14:dataValidation type="list" allowBlank="1" showInputMessage="1" showErrorMessage="1" xr:uid="{00000000-0002-0000-0100-000002000000}">
          <x14:formula1>
            <xm:f>CourseDetails!$A$11:$A$15</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E997-4F32-46AD-BFC0-F575EB1105E8}">
  <dimension ref="A1:I58"/>
  <sheetViews>
    <sheetView zoomScale="85" zoomScaleNormal="85" workbookViewId="0">
      <selection activeCell="B34" sqref="B34"/>
    </sheetView>
  </sheetViews>
  <sheetFormatPr defaultRowHeight="15.75" x14ac:dyDescent="0.25"/>
  <cols>
    <col min="1" max="1" width="78.75" style="4" customWidth="1"/>
    <col min="2" max="2" width="12" style="3" bestFit="1" customWidth="1"/>
    <col min="3" max="3" width="11.875" style="3" bestFit="1" customWidth="1"/>
    <col min="4" max="4" width="16.875" style="3" bestFit="1" customWidth="1"/>
    <col min="5" max="5" width="14.125" style="3" bestFit="1" customWidth="1"/>
    <col min="6" max="6" width="18.5" style="3" bestFit="1" customWidth="1"/>
    <col min="7" max="7" width="19.375" style="3" bestFit="1" customWidth="1"/>
    <col min="8" max="8" width="16.5" style="3" bestFit="1" customWidth="1"/>
    <col min="9" max="9" width="23.25" customWidth="1"/>
  </cols>
  <sheetData>
    <row r="1" spans="1:9" x14ac:dyDescent="0.25">
      <c r="A1" s="6" t="s">
        <v>11</v>
      </c>
      <c r="B1" s="7"/>
      <c r="C1" s="7"/>
      <c r="D1" s="7"/>
    </row>
    <row r="2" spans="1:9" x14ac:dyDescent="0.25">
      <c r="B2"/>
      <c r="C2"/>
      <c r="D2"/>
      <c r="E2"/>
      <c r="F2"/>
      <c r="G2"/>
      <c r="H2"/>
    </row>
    <row r="3" spans="1:9" x14ac:dyDescent="0.25">
      <c r="A3" s="104" t="s">
        <v>39</v>
      </c>
      <c r="C3"/>
    </row>
    <row r="4" spans="1:9" x14ac:dyDescent="0.25">
      <c r="A4" s="3" t="s">
        <v>40</v>
      </c>
      <c r="B4" s="4" t="s">
        <v>0</v>
      </c>
      <c r="C4" s="3" t="s">
        <v>41</v>
      </c>
      <c r="D4" s="3" t="s">
        <v>42</v>
      </c>
      <c r="E4" s="3" t="s">
        <v>43</v>
      </c>
      <c r="F4" s="3" t="s">
        <v>44</v>
      </c>
      <c r="G4" s="3" t="s">
        <v>45</v>
      </c>
      <c r="H4" s="3" t="s">
        <v>46</v>
      </c>
      <c r="I4" s="3" t="s">
        <v>177</v>
      </c>
    </row>
    <row r="5" spans="1:9" x14ac:dyDescent="0.25">
      <c r="A5" s="3" t="s">
        <v>47</v>
      </c>
      <c r="B5" s="198" t="s">
        <v>48</v>
      </c>
      <c r="C5" s="194" t="s">
        <v>72</v>
      </c>
      <c r="D5" s="195">
        <v>46023</v>
      </c>
      <c r="E5" s="194">
        <v>3</v>
      </c>
      <c r="F5" s="195">
        <v>46023</v>
      </c>
      <c r="G5" s="193" t="s">
        <v>50</v>
      </c>
      <c r="H5" s="199" t="s">
        <v>51</v>
      </c>
      <c r="I5" s="196"/>
    </row>
    <row r="6" spans="1:9" x14ac:dyDescent="0.25">
      <c r="A6" s="3" t="s">
        <v>11</v>
      </c>
      <c r="B6" s="199" t="s">
        <v>52</v>
      </c>
      <c r="C6" s="194" t="s">
        <v>72</v>
      </c>
      <c r="D6" s="195">
        <v>46023</v>
      </c>
      <c r="E6" s="194">
        <v>3</v>
      </c>
      <c r="F6" s="195">
        <v>46023</v>
      </c>
      <c r="G6" s="193" t="s">
        <v>50</v>
      </c>
      <c r="H6" s="199" t="s">
        <v>51</v>
      </c>
      <c r="I6" s="196"/>
    </row>
    <row r="7" spans="1:9" x14ac:dyDescent="0.25">
      <c r="A7" s="3" t="s">
        <v>53</v>
      </c>
      <c r="B7" s="194" t="s">
        <v>373</v>
      </c>
      <c r="C7" s="194" t="s">
        <v>72</v>
      </c>
      <c r="D7" s="195">
        <v>46023</v>
      </c>
      <c r="E7" s="194">
        <v>2</v>
      </c>
      <c r="F7" s="195">
        <v>46023</v>
      </c>
      <c r="G7" s="193" t="s">
        <v>54</v>
      </c>
      <c r="H7" s="199" t="s">
        <v>51</v>
      </c>
      <c r="I7" s="196"/>
    </row>
    <row r="8" spans="1:9" x14ac:dyDescent="0.25">
      <c r="A8" s="3" t="s">
        <v>38</v>
      </c>
      <c r="B8" s="199" t="s">
        <v>178</v>
      </c>
      <c r="C8" s="194" t="s">
        <v>72</v>
      </c>
      <c r="D8" s="195">
        <v>46023</v>
      </c>
      <c r="E8" s="194">
        <v>5</v>
      </c>
      <c r="F8" s="195">
        <v>46023</v>
      </c>
      <c r="G8" s="193" t="s">
        <v>54</v>
      </c>
      <c r="H8" s="199" t="s">
        <v>51</v>
      </c>
      <c r="I8" s="196"/>
    </row>
    <row r="10" spans="1:9" x14ac:dyDescent="0.25">
      <c r="A10" s="104" t="s">
        <v>55</v>
      </c>
    </row>
    <row r="11" spans="1:9" x14ac:dyDescent="0.25">
      <c r="A11" s="5" t="s">
        <v>17</v>
      </c>
      <c r="B11" s="8" t="s">
        <v>56</v>
      </c>
      <c r="C11" s="3" t="s">
        <v>57</v>
      </c>
      <c r="D11" s="3" t="s">
        <v>58</v>
      </c>
      <c r="E11" s="3" t="s">
        <v>59</v>
      </c>
    </row>
    <row r="12" spans="1:9" x14ac:dyDescent="0.25">
      <c r="A12" s="3" t="s">
        <v>60</v>
      </c>
      <c r="B12" s="37" t="s">
        <v>25</v>
      </c>
      <c r="C12" s="37" t="s">
        <v>26</v>
      </c>
      <c r="D12" s="37" t="s">
        <v>27</v>
      </c>
      <c r="E12" s="37" t="s">
        <v>28</v>
      </c>
    </row>
    <row r="13" spans="1:9" x14ac:dyDescent="0.25">
      <c r="A13" s="3" t="s">
        <v>61</v>
      </c>
      <c r="B13" s="37" t="s">
        <v>26</v>
      </c>
      <c r="C13" s="37" t="s">
        <v>27</v>
      </c>
      <c r="D13" s="37" t="s">
        <v>28</v>
      </c>
      <c r="E13" s="37" t="s">
        <v>25</v>
      </c>
    </row>
    <row r="14" spans="1:9" x14ac:dyDescent="0.25">
      <c r="A14" s="3" t="s">
        <v>62</v>
      </c>
      <c r="B14" s="37" t="s">
        <v>27</v>
      </c>
      <c r="C14" s="37" t="s">
        <v>28</v>
      </c>
      <c r="D14" s="37" t="s">
        <v>25</v>
      </c>
      <c r="E14" s="37" t="s">
        <v>26</v>
      </c>
    </row>
    <row r="15" spans="1:9" x14ac:dyDescent="0.25">
      <c r="A15" s="3" t="s">
        <v>63</v>
      </c>
      <c r="B15" s="37" t="s">
        <v>28</v>
      </c>
      <c r="C15" s="37" t="s">
        <v>25</v>
      </c>
      <c r="D15" s="37" t="s">
        <v>26</v>
      </c>
      <c r="E15" s="37" t="s">
        <v>27</v>
      </c>
    </row>
    <row r="16" spans="1:9" x14ac:dyDescent="0.25">
      <c r="A16" s="3"/>
      <c r="F16" s="9"/>
      <c r="G16" s="9"/>
      <c r="H16" s="9"/>
    </row>
    <row r="17" spans="1:8" x14ac:dyDescent="0.25">
      <c r="A17" s="104" t="s">
        <v>64</v>
      </c>
      <c r="E17" s="9"/>
    </row>
    <row r="18" spans="1:8" x14ac:dyDescent="0.25">
      <c r="A18" s="3" t="s">
        <v>14</v>
      </c>
      <c r="B18" s="4" t="s">
        <v>0</v>
      </c>
      <c r="C18" s="3" t="s">
        <v>41</v>
      </c>
      <c r="D18" s="3" t="s">
        <v>42</v>
      </c>
      <c r="E18" s="3" t="s">
        <v>43</v>
      </c>
      <c r="F18" s="3" t="s">
        <v>44</v>
      </c>
      <c r="G18" s="3" t="s">
        <v>45</v>
      </c>
    </row>
    <row r="19" spans="1:8" x14ac:dyDescent="0.25">
      <c r="A19" s="3" t="s">
        <v>65</v>
      </c>
      <c r="B19" s="199" t="s">
        <v>66</v>
      </c>
      <c r="C19" s="194" t="s">
        <v>72</v>
      </c>
      <c r="D19" s="195">
        <v>46023</v>
      </c>
      <c r="E19" s="194">
        <v>2</v>
      </c>
      <c r="F19" s="195">
        <v>46023</v>
      </c>
      <c r="G19" s="193" t="s">
        <v>67</v>
      </c>
    </row>
    <row r="20" spans="1:8" x14ac:dyDescent="0.25">
      <c r="A20" s="124" t="s">
        <v>68</v>
      </c>
      <c r="B20" s="199" t="s">
        <v>69</v>
      </c>
      <c r="C20" s="199" t="s">
        <v>49</v>
      </c>
      <c r="D20" s="200">
        <v>45292</v>
      </c>
      <c r="E20" s="199">
        <v>2</v>
      </c>
      <c r="F20" s="200">
        <v>45658</v>
      </c>
      <c r="G20" s="193" t="s">
        <v>67</v>
      </c>
      <c r="H20"/>
    </row>
    <row r="21" spans="1:8" x14ac:dyDescent="0.25">
      <c r="A21" s="3" t="s">
        <v>70</v>
      </c>
      <c r="B21" s="199" t="s">
        <v>71</v>
      </c>
      <c r="C21" s="199" t="s">
        <v>72</v>
      </c>
      <c r="D21" s="200">
        <v>45658</v>
      </c>
      <c r="E21" s="199">
        <v>3</v>
      </c>
      <c r="F21" s="200">
        <v>45658</v>
      </c>
      <c r="G21" s="193" t="s">
        <v>67</v>
      </c>
      <c r="H21"/>
    </row>
    <row r="22" spans="1:8" x14ac:dyDescent="0.25">
      <c r="A22" s="3" t="s">
        <v>73</v>
      </c>
      <c r="B22" s="199" t="s">
        <v>74</v>
      </c>
      <c r="C22" s="194" t="s">
        <v>72</v>
      </c>
      <c r="D22" s="195">
        <v>46023</v>
      </c>
      <c r="E22" s="194">
        <v>2</v>
      </c>
      <c r="F22" s="195">
        <v>46023</v>
      </c>
      <c r="G22" s="193" t="s">
        <v>67</v>
      </c>
      <c r="H22"/>
    </row>
    <row r="23" spans="1:8" x14ac:dyDescent="0.25">
      <c r="A23" s="125" t="s">
        <v>75</v>
      </c>
      <c r="B23" s="199" t="s">
        <v>76</v>
      </c>
      <c r="C23" s="199" t="s">
        <v>49</v>
      </c>
      <c r="D23" s="200">
        <v>44743</v>
      </c>
      <c r="E23" s="199">
        <v>1</v>
      </c>
      <c r="F23" s="200">
        <v>44743</v>
      </c>
      <c r="G23" s="193" t="s">
        <v>67</v>
      </c>
      <c r="H23"/>
    </row>
    <row r="24" spans="1:8" x14ac:dyDescent="0.25">
      <c r="A24"/>
      <c r="B24"/>
      <c r="C24"/>
      <c r="D24"/>
      <c r="E24"/>
      <c r="F24"/>
      <c r="G24"/>
      <c r="H24"/>
    </row>
    <row r="25" spans="1:8" x14ac:dyDescent="0.25">
      <c r="A25" t="s">
        <v>77</v>
      </c>
      <c r="B25" s="201">
        <v>46031</v>
      </c>
      <c r="C25"/>
      <c r="D25"/>
      <c r="E25"/>
      <c r="F25"/>
      <c r="G25"/>
      <c r="H25"/>
    </row>
    <row r="26" spans="1:8" x14ac:dyDescent="0.25">
      <c r="A26" t="s">
        <v>78</v>
      </c>
      <c r="B26" s="201">
        <v>45968</v>
      </c>
      <c r="C26"/>
      <c r="D26"/>
      <c r="E26"/>
      <c r="F26"/>
      <c r="G26"/>
      <c r="H26"/>
    </row>
    <row r="27" spans="1:8" x14ac:dyDescent="0.25">
      <c r="A27" t="s">
        <v>79</v>
      </c>
      <c r="B27" s="201">
        <v>46031</v>
      </c>
      <c r="C27"/>
      <c r="D27"/>
      <c r="E27"/>
      <c r="F27"/>
      <c r="G27"/>
      <c r="H27"/>
    </row>
    <row r="28" spans="1:8" x14ac:dyDescent="0.25">
      <c r="A28" t="s">
        <v>80</v>
      </c>
      <c r="B28" s="201">
        <v>45968</v>
      </c>
      <c r="C28"/>
      <c r="D28"/>
      <c r="E28"/>
      <c r="F28"/>
      <c r="G28"/>
      <c r="H28"/>
    </row>
    <row r="29" spans="1:8" x14ac:dyDescent="0.25">
      <c r="A29" t="s">
        <v>81</v>
      </c>
      <c r="B29" s="201">
        <v>46031</v>
      </c>
      <c r="C29"/>
      <c r="D29"/>
      <c r="E29"/>
      <c r="F29"/>
      <c r="G29"/>
      <c r="H29"/>
    </row>
    <row r="30" spans="1:8" x14ac:dyDescent="0.25">
      <c r="A30" t="s">
        <v>82</v>
      </c>
      <c r="B30" s="201">
        <v>45968</v>
      </c>
      <c r="C30"/>
      <c r="D30"/>
      <c r="E30"/>
      <c r="F30"/>
      <c r="G30"/>
      <c r="H30"/>
    </row>
    <row r="31" spans="1:8" x14ac:dyDescent="0.25">
      <c r="A31" t="s">
        <v>83</v>
      </c>
      <c r="B31" s="201">
        <v>45982</v>
      </c>
      <c r="C31" t="s">
        <v>437</v>
      </c>
      <c r="D31"/>
      <c r="E31"/>
      <c r="F31"/>
      <c r="G31"/>
      <c r="H31"/>
    </row>
    <row r="32" spans="1:8" x14ac:dyDescent="0.25">
      <c r="A32" t="s">
        <v>84</v>
      </c>
      <c r="B32" s="201">
        <v>45982</v>
      </c>
      <c r="C32"/>
      <c r="D32"/>
      <c r="E32"/>
      <c r="F32"/>
      <c r="G32"/>
      <c r="H32"/>
    </row>
    <row r="33" spans="1:8" x14ac:dyDescent="0.25">
      <c r="A33" t="s">
        <v>85</v>
      </c>
      <c r="B33" s="201">
        <v>45982</v>
      </c>
      <c r="C33"/>
      <c r="D33"/>
      <c r="E33"/>
      <c r="F33"/>
      <c r="G33"/>
      <c r="H33"/>
    </row>
    <row r="34" spans="1:8" x14ac:dyDescent="0.25">
      <c r="A34" s="221" t="s">
        <v>438</v>
      </c>
      <c r="B34" s="201">
        <v>46031</v>
      </c>
      <c r="C34"/>
      <c r="D34"/>
      <c r="E34"/>
      <c r="F34"/>
      <c r="G34"/>
      <c r="H34"/>
    </row>
    <row r="35" spans="1:8" x14ac:dyDescent="0.25">
      <c r="A35"/>
      <c r="B35"/>
      <c r="C35"/>
      <c r="D35"/>
      <c r="E35"/>
    </row>
    <row r="36" spans="1:8" ht="39" x14ac:dyDescent="0.25">
      <c r="A36" s="173" t="s">
        <v>86</v>
      </c>
      <c r="B36"/>
      <c r="C36"/>
      <c r="D36"/>
      <c r="E36"/>
    </row>
    <row r="37" spans="1:8" ht="26.25" x14ac:dyDescent="0.25">
      <c r="A37" s="173" t="s">
        <v>87</v>
      </c>
      <c r="B37"/>
      <c r="C37"/>
      <c r="D37"/>
      <c r="E37"/>
    </row>
    <row r="38" spans="1:8" ht="31.5" x14ac:dyDescent="0.25">
      <c r="A38" s="222" t="s">
        <v>380</v>
      </c>
      <c r="B38"/>
      <c r="C38"/>
    </row>
    <row r="39" spans="1:8" x14ac:dyDescent="0.25">
      <c r="A39"/>
      <c r="B39"/>
      <c r="C39"/>
      <c r="F39"/>
    </row>
    <row r="40" spans="1:8" x14ac:dyDescent="0.25">
      <c r="A40"/>
      <c r="B40"/>
      <c r="C40"/>
      <c r="F40"/>
    </row>
    <row r="41" spans="1:8" x14ac:dyDescent="0.25">
      <c r="A41"/>
      <c r="B41"/>
      <c r="C41"/>
      <c r="F41"/>
    </row>
    <row r="42" spans="1:8" x14ac:dyDescent="0.25">
      <c r="A42"/>
      <c r="B42"/>
      <c r="C42"/>
      <c r="F42"/>
    </row>
    <row r="43" spans="1:8" x14ac:dyDescent="0.25">
      <c r="A43"/>
      <c r="B43"/>
      <c r="C43"/>
    </row>
    <row r="44" spans="1:8" x14ac:dyDescent="0.25">
      <c r="A44"/>
      <c r="B44"/>
      <c r="C44"/>
    </row>
    <row r="45" spans="1:8" x14ac:dyDescent="0.25">
      <c r="A45"/>
      <c r="B45"/>
      <c r="C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sheetData>
  <pageMargins left="0.7" right="0.7" top="0.75" bottom="0.75" header="0.3" footer="0.3"/>
  <ignoredErrors>
    <ignoredError sqref="C19:C23" calculatedColumn="1"/>
  </ignoredErrors>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T80"/>
  <sheetViews>
    <sheetView zoomScale="80" zoomScaleNormal="80" workbookViewId="0">
      <pane ySplit="2" topLeftCell="A3" activePane="bottomLeft" state="frozen"/>
      <selection activeCell="B34" sqref="B34"/>
      <selection pane="bottomLeft" activeCell="B34" sqref="B34"/>
    </sheetView>
  </sheetViews>
  <sheetFormatPr defaultRowHeight="15.75" x14ac:dyDescent="0.25"/>
  <cols>
    <col min="1" max="1" width="15" bestFit="1" customWidth="1"/>
    <col min="2" max="2" width="7.5" style="2" bestFit="1" customWidth="1"/>
    <col min="3" max="3" width="11.5" bestFit="1" customWidth="1"/>
    <col min="4" max="4" width="70.875" bestFit="1" customWidth="1"/>
    <col min="5" max="5" width="11" style="2" bestFit="1" customWidth="1"/>
    <col min="6" max="6" width="36.5" customWidth="1"/>
    <col min="7" max="10" width="7.125" bestFit="1" customWidth="1"/>
    <col min="11" max="11" width="42.5" bestFit="1" customWidth="1"/>
    <col min="12" max="12" width="7.125" bestFit="1" customWidth="1"/>
    <col min="13" max="18" width="7.125" style="2" bestFit="1" customWidth="1"/>
    <col min="19" max="20" width="7.125" bestFit="1" customWidth="1"/>
    <col min="21" max="22" width="5.375" bestFit="1" customWidth="1"/>
    <col min="23" max="23" width="6.5" bestFit="1" customWidth="1"/>
    <col min="24" max="24" width="6" bestFit="1" customWidth="1"/>
    <col min="25" max="25" width="6.5" bestFit="1" customWidth="1"/>
  </cols>
  <sheetData>
    <row r="1" spans="1:20" x14ac:dyDescent="0.25">
      <c r="A1" s="30">
        <f>COLUMN()</f>
        <v>1</v>
      </c>
      <c r="B1" s="30">
        <f>COLUMN()</f>
        <v>2</v>
      </c>
      <c r="C1" s="30">
        <f>COLUMN()</f>
        <v>3</v>
      </c>
      <c r="D1" s="30">
        <f>COLUMN()</f>
        <v>4</v>
      </c>
      <c r="E1" s="30">
        <f>COLUMN()</f>
        <v>5</v>
      </c>
      <c r="F1" s="30">
        <f>COLUMN()</f>
        <v>6</v>
      </c>
      <c r="G1" s="30">
        <f>COLUMN()</f>
        <v>7</v>
      </c>
      <c r="H1" s="30">
        <f>COLUMN()</f>
        <v>8</v>
      </c>
      <c r="I1" s="30">
        <f>COLUMN()</f>
        <v>9</v>
      </c>
      <c r="J1" s="30">
        <f>COLUMN()</f>
        <v>10</v>
      </c>
      <c r="K1" s="30">
        <f>COLUMN()</f>
        <v>11</v>
      </c>
      <c r="L1" s="30">
        <f>COLUMN()</f>
        <v>12</v>
      </c>
      <c r="M1" s="30">
        <f>COLUMN()</f>
        <v>13</v>
      </c>
      <c r="N1" s="30">
        <f>COLUMN()</f>
        <v>14</v>
      </c>
      <c r="O1" s="30">
        <f>COLUMN()</f>
        <v>15</v>
      </c>
      <c r="P1" s="30">
        <f>COLUMN()</f>
        <v>16</v>
      </c>
      <c r="Q1" s="30">
        <f>COLUMN()</f>
        <v>17</v>
      </c>
      <c r="R1" s="30">
        <f>COLUMN()</f>
        <v>18</v>
      </c>
      <c r="S1" s="30">
        <f>COLUMN()</f>
        <v>19</v>
      </c>
      <c r="T1" s="30">
        <f>COLUMN()</f>
        <v>20</v>
      </c>
    </row>
    <row r="2" spans="1:20" ht="72.75" x14ac:dyDescent="0.25">
      <c r="A2" s="4" t="s">
        <v>0</v>
      </c>
      <c r="B2" s="4" t="s">
        <v>1</v>
      </c>
      <c r="C2" s="4" t="s">
        <v>2</v>
      </c>
      <c r="D2" s="4" t="s">
        <v>176</v>
      </c>
      <c r="E2" s="4" t="s">
        <v>5</v>
      </c>
      <c r="F2" s="143" t="s">
        <v>420</v>
      </c>
      <c r="G2" s="134" t="s">
        <v>25</v>
      </c>
      <c r="H2" s="134" t="s">
        <v>26</v>
      </c>
      <c r="I2" s="134" t="s">
        <v>27</v>
      </c>
      <c r="J2" s="134" t="s">
        <v>28</v>
      </c>
      <c r="K2" s="4" t="s">
        <v>177</v>
      </c>
      <c r="L2" s="134" t="s">
        <v>48</v>
      </c>
      <c r="M2" s="134" t="s">
        <v>52</v>
      </c>
      <c r="N2" s="134" t="s">
        <v>373</v>
      </c>
      <c r="O2" s="134" t="s">
        <v>178</v>
      </c>
      <c r="P2" s="134" t="s">
        <v>66</v>
      </c>
      <c r="Q2" s="134" t="s">
        <v>71</v>
      </c>
      <c r="R2" s="134" t="s">
        <v>74</v>
      </c>
      <c r="S2" s="134" t="s">
        <v>76</v>
      </c>
      <c r="T2" s="134" t="s">
        <v>69</v>
      </c>
    </row>
    <row r="3" spans="1:20" x14ac:dyDescent="0.25">
      <c r="A3" s="3" t="s">
        <v>132</v>
      </c>
      <c r="B3" s="37"/>
      <c r="C3" s="37"/>
      <c r="D3" s="3" t="s">
        <v>179</v>
      </c>
      <c r="E3" s="37"/>
      <c r="F3" s="213"/>
      <c r="G3" s="133" t="str">
        <f>IFERROR(IF(VLOOKUP(TableHandbook[[#This Row],[UDC]],TableAvailabilities[],2,FALSE)&gt;0,"Y",""),"")</f>
        <v/>
      </c>
      <c r="H3" s="133" t="str">
        <f>IFERROR(IF(VLOOKUP(TableHandbook[[#This Row],[UDC]],TableAvailabilities[],3,FALSE)&gt;0,"Y",""),"")</f>
        <v/>
      </c>
      <c r="I3" s="133" t="str">
        <f>IFERROR(IF(VLOOKUP(TableHandbook[[#This Row],[UDC]],TableAvailabilities[],4,FALSE)&gt;0,"Y",""),"")</f>
        <v/>
      </c>
      <c r="J3" s="133" t="str">
        <f>IFERROR(IF(VLOOKUP(TableHandbook[[#This Row],[UDC]],TableAvailabilities[],5,FALSE)&gt;0,"Y",""),"")</f>
        <v/>
      </c>
      <c r="K3" s="3"/>
      <c r="L3" s="135" t="str">
        <f>IFERROR(VLOOKUP(TableHandbook[[#This Row],[UDC]],TableEOINARCH[],7,FALSE),"")</f>
        <v/>
      </c>
      <c r="M3" s="136" t="str">
        <f>IFERROR(VLOOKUP(TableHandbook[[#This Row],[UDC]],TableEOINARCH1[],7,FALSE),"")</f>
        <v/>
      </c>
      <c r="N3" s="135" t="str">
        <f>IFERROR(VLOOKUP(TableHandbook[[#This Row],[UDC]],TableOUINDSGN1[],7,FALSE),"")</f>
        <v/>
      </c>
      <c r="O3" s="136" t="str">
        <f>IFERROR(VLOOKUP(TableHandbook[[#This Row],[UDC]],TableOBINDSGN[],7,FALSE),"")</f>
        <v/>
      </c>
      <c r="P3" s="135" t="str">
        <f>IFERROR(VLOOKUP(TableHandbook[[#This Row],[UDC]],TableOSCUANGAD[],7,FALSE),"")</f>
        <v/>
      </c>
      <c r="Q3" s="137" t="str">
        <f>IFERROR(VLOOKUP(TableHandbook[[#This Row],[UDC]],TableOSCUCONMS[],7,FALSE),"")</f>
        <v/>
      </c>
      <c r="R3" s="137" t="str">
        <f>IFERROR(VLOOKUP(TableHandbook[[#This Row],[UDC]],TableOSCUDIGDE[],7,FALSE),"")</f>
        <v/>
      </c>
      <c r="S3" s="137" t="str">
        <f>IFERROR(VLOOKUP(TableHandbook[[#This Row],[UDC]],TableOSCUPLGEO[],7,FALSE),"")</f>
        <v/>
      </c>
      <c r="T3" s="136" t="str">
        <f>IFERROR(VLOOKUP(TableHandbook[[#This Row],[UDC]],TableOSEUARCHT[],7,FALSE),"")</f>
        <v/>
      </c>
    </row>
    <row r="4" spans="1:20" x14ac:dyDescent="0.25">
      <c r="A4" s="3" t="s">
        <v>180</v>
      </c>
      <c r="B4" s="37"/>
      <c r="C4" s="37"/>
      <c r="D4" s="3" t="s">
        <v>181</v>
      </c>
      <c r="E4" s="37"/>
      <c r="F4" s="213"/>
      <c r="G4" s="133" t="str">
        <f>IFERROR(IF(VLOOKUP(TableHandbook[[#This Row],[UDC]],TableAvailabilities[],2,FALSE)&gt;0,"Y",""),"")</f>
        <v/>
      </c>
      <c r="H4" s="133" t="str">
        <f>IFERROR(IF(VLOOKUP(TableHandbook[[#This Row],[UDC]],TableAvailabilities[],3,FALSE)&gt;0,"Y",""),"")</f>
        <v/>
      </c>
      <c r="I4" s="133" t="str">
        <f>IFERROR(IF(VLOOKUP(TableHandbook[[#This Row],[UDC]],TableAvailabilities[],4,FALSE)&gt;0,"Y",""),"")</f>
        <v/>
      </c>
      <c r="J4" s="133" t="str">
        <f>IFERROR(IF(VLOOKUP(TableHandbook[[#This Row],[UDC]],TableAvailabilities[],5,FALSE)&gt;0,"Y",""),"")</f>
        <v/>
      </c>
      <c r="K4" s="3"/>
      <c r="L4" s="135" t="str">
        <f>IFERROR(VLOOKUP(TableHandbook[[#This Row],[UDC]],TableEOINARCH[],7,FALSE),"")</f>
        <v/>
      </c>
      <c r="M4" s="136" t="str">
        <f>IFERROR(VLOOKUP(TableHandbook[[#This Row],[UDC]],TableEOINARCH1[],7,FALSE),"")</f>
        <v/>
      </c>
      <c r="N4" s="135" t="str">
        <f>IFERROR(VLOOKUP(TableHandbook[[#This Row],[UDC]],TableOUINDSGN1[],7,FALSE),"")</f>
        <v/>
      </c>
      <c r="O4" s="136" t="str">
        <f>IFERROR(VLOOKUP(TableHandbook[[#This Row],[UDC]],TableOBINDSGN[],7,FALSE),"")</f>
        <v/>
      </c>
      <c r="P4" s="135" t="str">
        <f>IFERROR(VLOOKUP(TableHandbook[[#This Row],[UDC]],TableOSCUANGAD[],7,FALSE),"")</f>
        <v/>
      </c>
      <c r="Q4" s="137" t="str">
        <f>IFERROR(VLOOKUP(TableHandbook[[#This Row],[UDC]],TableOSCUCONMS[],7,FALSE),"")</f>
        <v/>
      </c>
      <c r="R4" s="137" t="str">
        <f>IFERROR(VLOOKUP(TableHandbook[[#This Row],[UDC]],TableOSCUDIGDE[],7,FALSE),"")</f>
        <v/>
      </c>
      <c r="S4" s="137" t="str">
        <f>IFERROR(VLOOKUP(TableHandbook[[#This Row],[UDC]],TableOSCUPLGEO[],7,FALSE),"")</f>
        <v/>
      </c>
      <c r="T4" s="136" t="str">
        <f>IFERROR(VLOOKUP(TableHandbook[[#This Row],[UDC]],TableOSEUARCHT[],7,FALSE),"")</f>
        <v/>
      </c>
    </row>
    <row r="5" spans="1:20" x14ac:dyDescent="0.25">
      <c r="A5" s="3" t="s">
        <v>140</v>
      </c>
      <c r="B5" s="37"/>
      <c r="C5" s="37"/>
      <c r="D5" s="3" t="s">
        <v>182</v>
      </c>
      <c r="E5" s="37">
        <v>75</v>
      </c>
      <c r="F5" s="213"/>
      <c r="G5" s="133" t="str">
        <f>IFERROR(IF(VLOOKUP(TableHandbook[[#This Row],[UDC]],TableAvailabilities[],2,FALSE)&gt;0,"Y",""),"")</f>
        <v/>
      </c>
      <c r="H5" s="133" t="str">
        <f>IFERROR(IF(VLOOKUP(TableHandbook[[#This Row],[UDC]],TableAvailabilities[],3,FALSE)&gt;0,"Y",""),"")</f>
        <v/>
      </c>
      <c r="I5" s="133" t="str">
        <f>IFERROR(IF(VLOOKUP(TableHandbook[[#This Row],[UDC]],TableAvailabilities[],4,FALSE)&gt;0,"Y",""),"")</f>
        <v/>
      </c>
      <c r="J5" s="133" t="str">
        <f>IFERROR(IF(VLOOKUP(TableHandbook[[#This Row],[UDC]],TableAvailabilities[],5,FALSE)&gt;0,"Y",""),"")</f>
        <v/>
      </c>
      <c r="K5" s="3"/>
      <c r="L5" s="135" t="str">
        <f>IFERROR(VLOOKUP(TableHandbook[[#This Row],[UDC]],TableEOINARCH[],7,FALSE),"")</f>
        <v/>
      </c>
      <c r="M5" s="136" t="str">
        <f>IFERROR(VLOOKUP(TableHandbook[[#This Row],[UDC]],TableEOINARCH1[],7,FALSE),"")</f>
        <v/>
      </c>
      <c r="N5" s="135" t="str">
        <f>IFERROR(VLOOKUP(TableHandbook[[#This Row],[UDC]],TableOUINDSGN1[],7,FALSE),"")</f>
        <v/>
      </c>
      <c r="O5" s="136" t="str">
        <f>IFERROR(VLOOKUP(TableHandbook[[#This Row],[UDC]],TableOBINDSGN[],7,FALSE),"")</f>
        <v/>
      </c>
      <c r="P5" s="135" t="str">
        <f>IFERROR(VLOOKUP(TableHandbook[[#This Row],[UDC]],TableOSCUANGAD[],7,FALSE),"")</f>
        <v/>
      </c>
      <c r="Q5" s="137" t="str">
        <f>IFERROR(VLOOKUP(TableHandbook[[#This Row],[UDC]],TableOSCUCONMS[],7,FALSE),"")</f>
        <v/>
      </c>
      <c r="R5" s="137" t="str">
        <f>IFERROR(VLOOKUP(TableHandbook[[#This Row],[UDC]],TableOSCUDIGDE[],7,FALSE),"")</f>
        <v/>
      </c>
      <c r="S5" s="137" t="str">
        <f>IFERROR(VLOOKUP(TableHandbook[[#This Row],[UDC]],TableOSCUPLGEO[],7,FALSE),"")</f>
        <v/>
      </c>
      <c r="T5" s="136" t="str">
        <f>IFERROR(VLOOKUP(TableHandbook[[#This Row],[UDC]],TableOSEUARCHT[],7,FALSE),"")</f>
        <v/>
      </c>
    </row>
    <row r="6" spans="1:20" x14ac:dyDescent="0.25">
      <c r="A6" s="3" t="s">
        <v>141</v>
      </c>
      <c r="B6" s="37"/>
      <c r="C6" s="37"/>
      <c r="D6" s="3" t="s">
        <v>183</v>
      </c>
      <c r="E6" s="37">
        <v>100</v>
      </c>
      <c r="F6" s="213"/>
      <c r="G6" s="133" t="str">
        <f>IFERROR(IF(VLOOKUP(TableHandbook[[#This Row],[UDC]],TableAvailabilities[],2,FALSE)&gt;0,"Y",""),"")</f>
        <v/>
      </c>
      <c r="H6" s="133" t="str">
        <f>IFERROR(IF(VLOOKUP(TableHandbook[[#This Row],[UDC]],TableAvailabilities[],3,FALSE)&gt;0,"Y",""),"")</f>
        <v/>
      </c>
      <c r="I6" s="133" t="str">
        <f>IFERROR(IF(VLOOKUP(TableHandbook[[#This Row],[UDC]],TableAvailabilities[],4,FALSE)&gt;0,"Y",""),"")</f>
        <v/>
      </c>
      <c r="J6" s="133" t="str">
        <f>IFERROR(IF(VLOOKUP(TableHandbook[[#This Row],[UDC]],TableAvailabilities[],5,FALSE)&gt;0,"Y",""),"")</f>
        <v/>
      </c>
      <c r="K6" s="3"/>
      <c r="L6" s="135" t="str">
        <f>IFERROR(VLOOKUP(TableHandbook[[#This Row],[UDC]],TableEOINARCH[],7,FALSE),"")</f>
        <v/>
      </c>
      <c r="M6" s="136" t="str">
        <f>IFERROR(VLOOKUP(TableHandbook[[#This Row],[UDC]],TableEOINARCH1[],7,FALSE),"")</f>
        <v/>
      </c>
      <c r="N6" s="135" t="str">
        <f>IFERROR(VLOOKUP(TableHandbook[[#This Row],[UDC]],TableOUINDSGN1[],7,FALSE),"")</f>
        <v/>
      </c>
      <c r="O6" s="136" t="str">
        <f>IFERROR(VLOOKUP(TableHandbook[[#This Row],[UDC]],TableOBINDSGN[],7,FALSE),"")</f>
        <v/>
      </c>
      <c r="P6" s="135" t="str">
        <f>IFERROR(VLOOKUP(TableHandbook[[#This Row],[UDC]],TableOSCUANGAD[],7,FALSE),"")</f>
        <v/>
      </c>
      <c r="Q6" s="137" t="str">
        <f>IFERROR(VLOOKUP(TableHandbook[[#This Row],[UDC]],TableOSCUCONMS[],7,FALSE),"")</f>
        <v/>
      </c>
      <c r="R6" s="137" t="str">
        <f>IFERROR(VLOOKUP(TableHandbook[[#This Row],[UDC]],TableOSCUDIGDE[],7,FALSE),"")</f>
        <v/>
      </c>
      <c r="S6" s="137" t="str">
        <f>IFERROR(VLOOKUP(TableHandbook[[#This Row],[UDC]],TableOSCUPLGEO[],7,FALSE),"")</f>
        <v/>
      </c>
      <c r="T6" s="136" t="str">
        <f>IFERROR(VLOOKUP(TableHandbook[[#This Row],[UDC]],TableOSEUARCHT[],7,FALSE),"")</f>
        <v/>
      </c>
    </row>
    <row r="7" spans="1:20" x14ac:dyDescent="0.25">
      <c r="A7" s="3" t="s">
        <v>161</v>
      </c>
      <c r="B7" s="37"/>
      <c r="C7" s="37"/>
      <c r="D7" s="3" t="s">
        <v>184</v>
      </c>
      <c r="E7" s="37">
        <v>25</v>
      </c>
      <c r="F7" s="213" t="s">
        <v>185</v>
      </c>
      <c r="G7" s="133" t="str">
        <f>IFERROR(IF(VLOOKUP(TableHandbook[[#This Row],[UDC]],TableAvailabilities[],2,FALSE)&gt;0,"Y",""),"")</f>
        <v/>
      </c>
      <c r="H7" s="133" t="str">
        <f>IFERROR(IF(VLOOKUP(TableHandbook[[#This Row],[UDC]],TableAvailabilities[],3,FALSE)&gt;0,"Y",""),"")</f>
        <v/>
      </c>
      <c r="I7" s="133" t="str">
        <f>IFERROR(IF(VLOOKUP(TableHandbook[[#This Row],[UDC]],TableAvailabilities[],4,FALSE)&gt;0,"Y",""),"")</f>
        <v/>
      </c>
      <c r="J7" s="133" t="str">
        <f>IFERROR(IF(VLOOKUP(TableHandbook[[#This Row],[UDC]],TableAvailabilities[],5,FALSE)&gt;0,"Y",""),"")</f>
        <v/>
      </c>
      <c r="K7" s="3"/>
      <c r="L7" s="135" t="str">
        <f>IFERROR(VLOOKUP(TableHandbook[[#This Row],[UDC]],TableEOINARCH[],7,FALSE),"")</f>
        <v/>
      </c>
      <c r="M7" s="136" t="str">
        <f>IFERROR(VLOOKUP(TableHandbook[[#This Row],[UDC]],TableEOINARCH1[],7,FALSE),"")</f>
        <v/>
      </c>
      <c r="N7" s="135" t="str">
        <f>IFERROR(VLOOKUP(TableHandbook[[#This Row],[UDC]],TableOUINDSGN1[],7,FALSE),"")</f>
        <v/>
      </c>
      <c r="O7" s="136" t="str">
        <f>IFERROR(VLOOKUP(TableHandbook[[#This Row],[UDC]],TableOBINDSGN[],7,FALSE),"")</f>
        <v/>
      </c>
      <c r="P7" s="135" t="str">
        <f>IFERROR(VLOOKUP(TableHandbook[[#This Row],[UDC]],TableOSCUANGAD[],7,FALSE),"")</f>
        <v>AltCore</v>
      </c>
      <c r="Q7" s="137" t="str">
        <f>IFERROR(VLOOKUP(TableHandbook[[#This Row],[UDC]],TableOSCUCONMS[],7,FALSE),"")</f>
        <v/>
      </c>
      <c r="R7" s="137" t="str">
        <f>IFERROR(VLOOKUP(TableHandbook[[#This Row],[UDC]],TableOSCUDIGDE[],7,FALSE),"")</f>
        <v/>
      </c>
      <c r="S7" s="137" t="str">
        <f>IFERROR(VLOOKUP(TableHandbook[[#This Row],[UDC]],TableOSCUPLGEO[],7,FALSE),"")</f>
        <v/>
      </c>
      <c r="T7" s="136" t="str">
        <f>IFERROR(VLOOKUP(TableHandbook[[#This Row],[UDC]],TableOSEUARCHT[],7,FALSE),"")</f>
        <v/>
      </c>
    </row>
    <row r="8" spans="1:20" x14ac:dyDescent="0.25">
      <c r="A8" s="3" t="s">
        <v>163</v>
      </c>
      <c r="B8" s="37"/>
      <c r="C8" s="37"/>
      <c r="D8" s="3" t="s">
        <v>186</v>
      </c>
      <c r="E8" s="37">
        <v>25</v>
      </c>
      <c r="F8" s="213" t="s">
        <v>185</v>
      </c>
      <c r="G8" s="133" t="str">
        <f>IFERROR(IF(VLOOKUP(TableHandbook[[#This Row],[UDC]],TableAvailabilities[],2,FALSE)&gt;0,"Y",""),"")</f>
        <v/>
      </c>
      <c r="H8" s="133" t="str">
        <f>IFERROR(IF(VLOOKUP(TableHandbook[[#This Row],[UDC]],TableAvailabilities[],3,FALSE)&gt;0,"Y",""),"")</f>
        <v/>
      </c>
      <c r="I8" s="133" t="str">
        <f>IFERROR(IF(VLOOKUP(TableHandbook[[#This Row],[UDC]],TableAvailabilities[],4,FALSE)&gt;0,"Y",""),"")</f>
        <v/>
      </c>
      <c r="J8" s="133" t="str">
        <f>IFERROR(IF(VLOOKUP(TableHandbook[[#This Row],[UDC]],TableAvailabilities[],5,FALSE)&gt;0,"Y",""),"")</f>
        <v/>
      </c>
      <c r="K8" s="3"/>
      <c r="L8" s="135" t="str">
        <f>IFERROR(VLOOKUP(TableHandbook[[#This Row],[UDC]],TableEOINARCH[],7,FALSE),"")</f>
        <v/>
      </c>
      <c r="M8" s="136" t="str">
        <f>IFERROR(VLOOKUP(TableHandbook[[#This Row],[UDC]],TableEOINARCH1[],7,FALSE),"")</f>
        <v/>
      </c>
      <c r="N8" s="135" t="str">
        <f>IFERROR(VLOOKUP(TableHandbook[[#This Row],[UDC]],TableOUINDSGN1[],7,FALSE),"")</f>
        <v/>
      </c>
      <c r="O8" s="136" t="str">
        <f>IFERROR(VLOOKUP(TableHandbook[[#This Row],[UDC]],TableOBINDSGN[],7,FALSE),"")</f>
        <v/>
      </c>
      <c r="P8" s="135" t="str">
        <f>IFERROR(VLOOKUP(TableHandbook[[#This Row],[UDC]],TableOSCUANGAD[],7,FALSE),"")</f>
        <v/>
      </c>
      <c r="Q8" s="137" t="str">
        <f>IFERROR(VLOOKUP(TableHandbook[[#This Row],[UDC]],TableOSCUCONMS[],7,FALSE),"")</f>
        <v>AltCore</v>
      </c>
      <c r="R8" s="137" t="str">
        <f>IFERROR(VLOOKUP(TableHandbook[[#This Row],[UDC]],TableOSCUDIGDE[],7,FALSE),"")</f>
        <v/>
      </c>
      <c r="S8" s="137" t="str">
        <f>IFERROR(VLOOKUP(TableHandbook[[#This Row],[UDC]],TableOSCUPLGEO[],7,FALSE),"")</f>
        <v/>
      </c>
      <c r="T8" s="136" t="str">
        <f>IFERROR(VLOOKUP(TableHandbook[[#This Row],[UDC]],TableOSEUARCHT[],7,FALSE),"")</f>
        <v/>
      </c>
    </row>
    <row r="9" spans="1:20" x14ac:dyDescent="0.25">
      <c r="A9" s="3" t="s">
        <v>164</v>
      </c>
      <c r="B9" s="37"/>
      <c r="C9" s="37"/>
      <c r="D9" s="3" t="s">
        <v>187</v>
      </c>
      <c r="E9" s="37">
        <v>25</v>
      </c>
      <c r="F9" s="213" t="s">
        <v>185</v>
      </c>
      <c r="G9" s="133" t="str">
        <f>IFERROR(IF(VLOOKUP(TableHandbook[[#This Row],[UDC]],TableAvailabilities[],2,FALSE)&gt;0,"Y",""),"")</f>
        <v/>
      </c>
      <c r="H9" s="133" t="str">
        <f>IFERROR(IF(VLOOKUP(TableHandbook[[#This Row],[UDC]],TableAvailabilities[],3,FALSE)&gt;0,"Y",""),"")</f>
        <v/>
      </c>
      <c r="I9" s="133" t="str">
        <f>IFERROR(IF(VLOOKUP(TableHandbook[[#This Row],[UDC]],TableAvailabilities[],4,FALSE)&gt;0,"Y",""),"")</f>
        <v/>
      </c>
      <c r="J9" s="133" t="str">
        <f>IFERROR(IF(VLOOKUP(TableHandbook[[#This Row],[UDC]],TableAvailabilities[],5,FALSE)&gt;0,"Y",""),"")</f>
        <v/>
      </c>
      <c r="K9" s="3"/>
      <c r="L9" s="135" t="str">
        <f>IFERROR(VLOOKUP(TableHandbook[[#This Row],[UDC]],TableEOINARCH[],7,FALSE),"")</f>
        <v/>
      </c>
      <c r="M9" s="136" t="str">
        <f>IFERROR(VLOOKUP(TableHandbook[[#This Row],[UDC]],TableEOINARCH1[],7,FALSE),"")</f>
        <v/>
      </c>
      <c r="N9" s="135" t="str">
        <f>IFERROR(VLOOKUP(TableHandbook[[#This Row],[UDC]],TableOUINDSGN1[],7,FALSE),"")</f>
        <v/>
      </c>
      <c r="O9" s="136" t="str">
        <f>IFERROR(VLOOKUP(TableHandbook[[#This Row],[UDC]],TableOBINDSGN[],7,FALSE),"")</f>
        <v/>
      </c>
      <c r="P9" s="135" t="str">
        <f>IFERROR(VLOOKUP(TableHandbook[[#This Row],[UDC]],TableOSCUANGAD[],7,FALSE),"")</f>
        <v/>
      </c>
      <c r="Q9" s="137" t="str">
        <f>IFERROR(VLOOKUP(TableHandbook[[#This Row],[UDC]],TableOSCUCONMS[],7,FALSE),"")</f>
        <v/>
      </c>
      <c r="R9" s="137" t="str">
        <f>IFERROR(VLOOKUP(TableHandbook[[#This Row],[UDC]],TableOSCUDIGDE[],7,FALSE),"")</f>
        <v/>
      </c>
      <c r="S9" s="137" t="str">
        <f>IFERROR(VLOOKUP(TableHandbook[[#This Row],[UDC]],TableOSCUPLGEO[],7,FALSE),"")</f>
        <v>AltCore</v>
      </c>
      <c r="T9" s="136" t="str">
        <f>IFERROR(VLOOKUP(TableHandbook[[#This Row],[UDC]],TableOSEUARCHT[],7,FALSE),"")</f>
        <v/>
      </c>
    </row>
    <row r="10" spans="1:20" x14ac:dyDescent="0.25">
      <c r="A10" s="3" t="s">
        <v>149</v>
      </c>
      <c r="B10" s="37">
        <v>2</v>
      </c>
      <c r="C10" s="37" t="s">
        <v>188</v>
      </c>
      <c r="D10" s="3" t="s">
        <v>189</v>
      </c>
      <c r="E10" s="37">
        <v>25</v>
      </c>
      <c r="F10" s="142" t="s">
        <v>190</v>
      </c>
      <c r="G10" s="133" t="str">
        <f>IFERROR(IF(VLOOKUP(TableHandbook[[#This Row],[UDC]],TableAvailabilities[],2,FALSE)&gt;0,"Y",""),"")</f>
        <v/>
      </c>
      <c r="H10" s="133" t="str">
        <f>IFERROR(IF(VLOOKUP(TableHandbook[[#This Row],[UDC]],TableAvailabilities[],3,FALSE)&gt;0,"Y",""),"")</f>
        <v>Y</v>
      </c>
      <c r="I10" s="133" t="str">
        <f>IFERROR(IF(VLOOKUP(TableHandbook[[#This Row],[UDC]],TableAvailabilities[],4,FALSE)&gt;0,"Y",""),"")</f>
        <v/>
      </c>
      <c r="J10" s="133" t="str">
        <f>IFERROR(IF(VLOOKUP(TableHandbook[[#This Row],[UDC]],TableAvailabilities[],5,FALSE)&gt;0,"Y",""),"")</f>
        <v>Y</v>
      </c>
      <c r="K10" s="3"/>
      <c r="L10" s="135" t="str">
        <f>IFERROR(VLOOKUP(TableHandbook[[#This Row],[UDC]],TableEOINARCH[],7,FALSE),"")</f>
        <v/>
      </c>
      <c r="M10" s="136" t="str">
        <f>IFERROR(VLOOKUP(TableHandbook[[#This Row],[UDC]],TableEOINARCH1[],7,FALSE),"")</f>
        <v/>
      </c>
      <c r="N10" s="135" t="str">
        <f>IFERROR(VLOOKUP(TableHandbook[[#This Row],[UDC]],TableOUINDSGN1[],7,FALSE),"")</f>
        <v/>
      </c>
      <c r="O10" s="136" t="str">
        <f>IFERROR(VLOOKUP(TableHandbook[[#This Row],[UDC]],TableOBINDSGN[],7,FALSE),"")</f>
        <v/>
      </c>
      <c r="P10" s="135" t="str">
        <f>IFERROR(VLOOKUP(TableHandbook[[#This Row],[UDC]],TableOSCUANGAD[],7,FALSE),"")</f>
        <v/>
      </c>
      <c r="Q10" s="137" t="str">
        <f>IFERROR(VLOOKUP(TableHandbook[[#This Row],[UDC]],TableOSCUCONMS[],7,FALSE),"")</f>
        <v/>
      </c>
      <c r="R10" s="137" t="str">
        <f>IFERROR(VLOOKUP(TableHandbook[[#This Row],[UDC]],TableOSCUDIGDE[],7,FALSE),"")</f>
        <v/>
      </c>
      <c r="S10" s="137" t="str">
        <f>IFERROR(VLOOKUP(TableHandbook[[#This Row],[UDC]],TableOSCUPLGEO[],7,FALSE),"")</f>
        <v/>
      </c>
      <c r="T10" s="136" t="str">
        <f>IFERROR(VLOOKUP(TableHandbook[[#This Row],[UDC]],TableOSEUARCHT[],7,FALSE),"")</f>
        <v>Core</v>
      </c>
    </row>
    <row r="11" spans="1:20" x14ac:dyDescent="0.25">
      <c r="A11" s="3" t="s">
        <v>90</v>
      </c>
      <c r="B11" s="37">
        <v>3</v>
      </c>
      <c r="C11" s="37" t="s">
        <v>191</v>
      </c>
      <c r="D11" s="3" t="s">
        <v>192</v>
      </c>
      <c r="E11" s="37">
        <v>25</v>
      </c>
      <c r="F11" s="142" t="s">
        <v>190</v>
      </c>
      <c r="G11" s="133" t="str">
        <f>IFERROR(IF(VLOOKUP(TableHandbook[[#This Row],[UDC]],TableAvailabilities[],2,FALSE)&gt;0,"Y",""),"")</f>
        <v>Y</v>
      </c>
      <c r="H11" s="133" t="str">
        <f>IFERROR(IF(VLOOKUP(TableHandbook[[#This Row],[UDC]],TableAvailabilities[],3,FALSE)&gt;0,"Y",""),"")</f>
        <v/>
      </c>
      <c r="I11" s="133" t="str">
        <f>IFERROR(IF(VLOOKUP(TableHandbook[[#This Row],[UDC]],TableAvailabilities[],4,FALSE)&gt;0,"Y",""),"")</f>
        <v>Y</v>
      </c>
      <c r="J11" s="133" t="str">
        <f>IFERROR(IF(VLOOKUP(TableHandbook[[#This Row],[UDC]],TableAvailabilities[],5,FALSE)&gt;0,"Y",""),"")</f>
        <v/>
      </c>
      <c r="K11" s="3"/>
      <c r="L11" s="135" t="str">
        <f>IFERROR(VLOOKUP(TableHandbook[[#This Row],[UDC]],TableEOINARCH[],7,FALSE),"")</f>
        <v>Core</v>
      </c>
      <c r="M11" s="136" t="str">
        <f>IFERROR(VLOOKUP(TableHandbook[[#This Row],[UDC]],TableEOINARCH1[],7,FALSE),"")</f>
        <v>Core</v>
      </c>
      <c r="N11" s="135" t="str">
        <f>IFERROR(VLOOKUP(TableHandbook[[#This Row],[UDC]],TableOUINDSGN1[],7,FALSE),"")</f>
        <v>Core</v>
      </c>
      <c r="O11" s="136" t="str">
        <f>IFERROR(VLOOKUP(TableHandbook[[#This Row],[UDC]],TableOBINDSGN[],7,FALSE),"")</f>
        <v>Core</v>
      </c>
      <c r="P11" s="135" t="str">
        <f>IFERROR(VLOOKUP(TableHandbook[[#This Row],[UDC]],TableOSCUANGAD[],7,FALSE),"")</f>
        <v/>
      </c>
      <c r="Q11" s="137" t="str">
        <f>IFERROR(VLOOKUP(TableHandbook[[#This Row],[UDC]],TableOSCUCONMS[],7,FALSE),"")</f>
        <v/>
      </c>
      <c r="R11" s="137" t="str">
        <f>IFERROR(VLOOKUP(TableHandbook[[#This Row],[UDC]],TableOSCUDIGDE[],7,FALSE),"")</f>
        <v/>
      </c>
      <c r="S11" s="137" t="str">
        <f>IFERROR(VLOOKUP(TableHandbook[[#This Row],[UDC]],TableOSCUPLGEO[],7,FALSE),"")</f>
        <v/>
      </c>
      <c r="T11" s="136" t="str">
        <f>IFERROR(VLOOKUP(TableHandbook[[#This Row],[UDC]],TableOSEUARCHT[],7,FALSE),"")</f>
        <v/>
      </c>
    </row>
    <row r="12" spans="1:20" x14ac:dyDescent="0.25">
      <c r="A12" s="3" t="s">
        <v>92</v>
      </c>
      <c r="B12" s="37">
        <v>3</v>
      </c>
      <c r="C12" s="37" t="s">
        <v>193</v>
      </c>
      <c r="D12" s="3" t="s">
        <v>194</v>
      </c>
      <c r="E12" s="37">
        <v>25</v>
      </c>
      <c r="F12" s="142" t="s">
        <v>190</v>
      </c>
      <c r="G12" s="133" t="str">
        <f>IFERROR(IF(VLOOKUP(TableHandbook[[#This Row],[UDC]],TableAvailabilities[],2,FALSE)&gt;0,"Y",""),"")</f>
        <v/>
      </c>
      <c r="H12" s="133" t="str">
        <f>IFERROR(IF(VLOOKUP(TableHandbook[[#This Row],[UDC]],TableAvailabilities[],3,FALSE)&gt;0,"Y",""),"")</f>
        <v>Y</v>
      </c>
      <c r="I12" s="133" t="str">
        <f>IFERROR(IF(VLOOKUP(TableHandbook[[#This Row],[UDC]],TableAvailabilities[],4,FALSE)&gt;0,"Y",""),"")</f>
        <v/>
      </c>
      <c r="J12" s="133" t="str">
        <f>IFERROR(IF(VLOOKUP(TableHandbook[[#This Row],[UDC]],TableAvailabilities[],5,FALSE)&gt;0,"Y",""),"")</f>
        <v>Y</v>
      </c>
      <c r="K12" s="3"/>
      <c r="L12" s="135" t="str">
        <f>IFERROR(VLOOKUP(TableHandbook[[#This Row],[UDC]],TableEOINARCH[],7,FALSE),"")</f>
        <v>Core</v>
      </c>
      <c r="M12" s="136" t="str">
        <f>IFERROR(VLOOKUP(TableHandbook[[#This Row],[UDC]],TableEOINARCH1[],7,FALSE),"")</f>
        <v>Core</v>
      </c>
      <c r="N12" s="135" t="str">
        <f>IFERROR(VLOOKUP(TableHandbook[[#This Row],[UDC]],TableOUINDSGN1[],7,FALSE),"")</f>
        <v>Core</v>
      </c>
      <c r="O12" s="136" t="str">
        <f>IFERROR(VLOOKUP(TableHandbook[[#This Row],[UDC]],TableOBINDSGN[],7,FALSE),"")</f>
        <v>Core</v>
      </c>
      <c r="P12" s="135" t="str">
        <f>IFERROR(VLOOKUP(TableHandbook[[#This Row],[UDC]],TableOSCUANGAD[],7,FALSE),"")</f>
        <v/>
      </c>
      <c r="Q12" s="137" t="str">
        <f>IFERROR(VLOOKUP(TableHandbook[[#This Row],[UDC]],TableOSCUCONMS[],7,FALSE),"")</f>
        <v/>
      </c>
      <c r="R12" s="137" t="str">
        <f>IFERROR(VLOOKUP(TableHandbook[[#This Row],[UDC]],TableOSCUDIGDE[],7,FALSE),"")</f>
        <v/>
      </c>
      <c r="S12" s="137" t="str">
        <f>IFERROR(VLOOKUP(TableHandbook[[#This Row],[UDC]],TableOSCUPLGEO[],7,FALSE),"")</f>
        <v/>
      </c>
      <c r="T12" s="136" t="str">
        <f>IFERROR(VLOOKUP(TableHandbook[[#This Row],[UDC]],TableOSEUARCHT[],7,FALSE),"")</f>
        <v/>
      </c>
    </row>
    <row r="13" spans="1:20" x14ac:dyDescent="0.25">
      <c r="A13" s="3" t="s">
        <v>99</v>
      </c>
      <c r="B13" s="37">
        <v>3</v>
      </c>
      <c r="C13" s="37" t="s">
        <v>195</v>
      </c>
      <c r="D13" s="3" t="s">
        <v>196</v>
      </c>
      <c r="E13" s="37">
        <v>25</v>
      </c>
      <c r="F13" s="142" t="s">
        <v>197</v>
      </c>
      <c r="G13" s="133" t="str">
        <f>IFERROR(IF(VLOOKUP(TableHandbook[[#This Row],[UDC]],TableAvailabilities[],2,FALSE)&gt;0,"Y",""),"")</f>
        <v/>
      </c>
      <c r="H13" s="133" t="str">
        <f>IFERROR(IF(VLOOKUP(TableHandbook[[#This Row],[UDC]],TableAvailabilities[],3,FALSE)&gt;0,"Y",""),"")</f>
        <v>Y</v>
      </c>
      <c r="I13" s="133" t="str">
        <f>IFERROR(IF(VLOOKUP(TableHandbook[[#This Row],[UDC]],TableAvailabilities[],4,FALSE)&gt;0,"Y",""),"")</f>
        <v/>
      </c>
      <c r="J13" s="133" t="str">
        <f>IFERROR(IF(VLOOKUP(TableHandbook[[#This Row],[UDC]],TableAvailabilities[],5,FALSE)&gt;0,"Y",""),"")</f>
        <v>Y</v>
      </c>
      <c r="K13" s="3"/>
      <c r="L13" s="135" t="str">
        <f>IFERROR(VLOOKUP(TableHandbook[[#This Row],[UDC]],TableEOINARCH[],7,FALSE),"")</f>
        <v>Core</v>
      </c>
      <c r="M13" s="136" t="str">
        <f>IFERROR(VLOOKUP(TableHandbook[[#This Row],[UDC]],TableEOINARCH1[],7,FALSE),"")</f>
        <v>Core</v>
      </c>
      <c r="N13" s="135" t="str">
        <f>IFERROR(VLOOKUP(TableHandbook[[#This Row],[UDC]],TableOUINDSGN1[],7,FALSE),"")</f>
        <v>Core</v>
      </c>
      <c r="O13" s="136" t="str">
        <f>IFERROR(VLOOKUP(TableHandbook[[#This Row],[UDC]],TableOBINDSGN[],7,FALSE),"")</f>
        <v>Core</v>
      </c>
      <c r="P13" s="135" t="str">
        <f>IFERROR(VLOOKUP(TableHandbook[[#This Row],[UDC]],TableOSCUANGAD[],7,FALSE),"")</f>
        <v/>
      </c>
      <c r="Q13" s="137" t="str">
        <f>IFERROR(VLOOKUP(TableHandbook[[#This Row],[UDC]],TableOSCUCONMS[],7,FALSE),"")</f>
        <v/>
      </c>
      <c r="R13" s="137" t="str">
        <f>IFERROR(VLOOKUP(TableHandbook[[#This Row],[UDC]],TableOSCUDIGDE[],7,FALSE),"")</f>
        <v/>
      </c>
      <c r="S13" s="137" t="str">
        <f>IFERROR(VLOOKUP(TableHandbook[[#This Row],[UDC]],TableOSCUPLGEO[],7,FALSE),"")</f>
        <v/>
      </c>
      <c r="T13" s="136" t="str">
        <f>IFERROR(VLOOKUP(TableHandbook[[#This Row],[UDC]],TableOSEUARCHT[],7,FALSE),"")</f>
        <v/>
      </c>
    </row>
    <row r="14" spans="1:20" x14ac:dyDescent="0.25">
      <c r="A14" s="3" t="s">
        <v>144</v>
      </c>
      <c r="B14" s="37">
        <v>2</v>
      </c>
      <c r="C14" s="37" t="s">
        <v>198</v>
      </c>
      <c r="D14" s="3" t="s">
        <v>199</v>
      </c>
      <c r="E14" s="37">
        <v>25</v>
      </c>
      <c r="F14" s="142" t="s">
        <v>190</v>
      </c>
      <c r="G14" s="133" t="str">
        <f>IFERROR(IF(VLOOKUP(TableHandbook[[#This Row],[UDC]],TableAvailabilities[],2,FALSE)&gt;0,"Y",""),"")</f>
        <v>Y</v>
      </c>
      <c r="H14" s="133" t="str">
        <f>IFERROR(IF(VLOOKUP(TableHandbook[[#This Row],[UDC]],TableAvailabilities[],3,FALSE)&gt;0,"Y",""),"")</f>
        <v/>
      </c>
      <c r="I14" s="133" t="str">
        <f>IFERROR(IF(VLOOKUP(TableHandbook[[#This Row],[UDC]],TableAvailabilities[],4,FALSE)&gt;0,"Y",""),"")</f>
        <v>Y</v>
      </c>
      <c r="J14" s="133" t="str">
        <f>IFERROR(IF(VLOOKUP(TableHandbook[[#This Row],[UDC]],TableAvailabilities[],5,FALSE)&gt;0,"Y",""),"")</f>
        <v/>
      </c>
      <c r="K14" s="3"/>
      <c r="L14" s="135" t="str">
        <f>IFERROR(VLOOKUP(TableHandbook[[#This Row],[UDC]],TableEOINARCH[],7,FALSE),"")</f>
        <v/>
      </c>
      <c r="M14" s="136" t="str">
        <f>IFERROR(VLOOKUP(TableHandbook[[#This Row],[UDC]],TableEOINARCH1[],7,FALSE),"")</f>
        <v/>
      </c>
      <c r="N14" s="135" t="str">
        <f>IFERROR(VLOOKUP(TableHandbook[[#This Row],[UDC]],TableOUINDSGN1[],7,FALSE),"")</f>
        <v/>
      </c>
      <c r="O14" s="136" t="str">
        <f>IFERROR(VLOOKUP(TableHandbook[[#This Row],[UDC]],TableOBINDSGN[],7,FALSE),"")</f>
        <v/>
      </c>
      <c r="P14" s="135" t="str">
        <f>IFERROR(VLOOKUP(TableHandbook[[#This Row],[UDC]],TableOSCUANGAD[],7,FALSE),"")</f>
        <v/>
      </c>
      <c r="Q14" s="137" t="str">
        <f>IFERROR(VLOOKUP(TableHandbook[[#This Row],[UDC]],TableOSCUCONMS[],7,FALSE),"")</f>
        <v/>
      </c>
      <c r="R14" s="137" t="str">
        <f>IFERROR(VLOOKUP(TableHandbook[[#This Row],[UDC]],TableOSCUDIGDE[],7,FALSE),"")</f>
        <v/>
      </c>
      <c r="S14" s="137" t="str">
        <f>IFERROR(VLOOKUP(TableHandbook[[#This Row],[UDC]],TableOSCUPLGEO[],7,FALSE),"")</f>
        <v/>
      </c>
      <c r="T14" s="136" t="str">
        <f>IFERROR(VLOOKUP(TableHandbook[[#This Row],[UDC]],TableOSEUARCHT[],7,FALSE),"")</f>
        <v>Core</v>
      </c>
    </row>
    <row r="15" spans="1:20" x14ac:dyDescent="0.25">
      <c r="A15" s="3" t="s">
        <v>167</v>
      </c>
      <c r="B15" s="37">
        <v>2</v>
      </c>
      <c r="C15" s="37" t="s">
        <v>200</v>
      </c>
      <c r="D15" s="3" t="s">
        <v>201</v>
      </c>
      <c r="E15" s="37">
        <v>25</v>
      </c>
      <c r="F15" s="142" t="s">
        <v>188</v>
      </c>
      <c r="G15" s="133" t="str">
        <f>IFERROR(IF(VLOOKUP(TableHandbook[[#This Row],[UDC]],TableAvailabilities[],2,FALSE)&gt;0,"Y",""),"")</f>
        <v>Y</v>
      </c>
      <c r="H15" s="133" t="str">
        <f>IFERROR(IF(VLOOKUP(TableHandbook[[#This Row],[UDC]],TableAvailabilities[],3,FALSE)&gt;0,"Y",""),"")</f>
        <v/>
      </c>
      <c r="I15" s="133" t="str">
        <f>IFERROR(IF(VLOOKUP(TableHandbook[[#This Row],[UDC]],TableAvailabilities[],4,FALSE)&gt;0,"Y",""),"")</f>
        <v/>
      </c>
      <c r="J15" s="133" t="str">
        <f>IFERROR(IF(VLOOKUP(TableHandbook[[#This Row],[UDC]],TableAvailabilities[],5,FALSE)&gt;0,"Y",""),"")</f>
        <v/>
      </c>
      <c r="K15" s="3"/>
      <c r="L15" s="135" t="str">
        <f>IFERROR(VLOOKUP(TableHandbook[[#This Row],[UDC]],TableEOINARCH[],7,FALSE),"")</f>
        <v/>
      </c>
      <c r="M15" s="136" t="str">
        <f>IFERROR(VLOOKUP(TableHandbook[[#This Row],[UDC]],TableEOINARCH1[],7,FALSE),"")</f>
        <v/>
      </c>
      <c r="N15" s="135" t="str">
        <f>IFERROR(VLOOKUP(TableHandbook[[#This Row],[UDC]],TableOUINDSGN1[],7,FALSE),"")</f>
        <v/>
      </c>
      <c r="O15" s="136" t="str">
        <f>IFERROR(VLOOKUP(TableHandbook[[#This Row],[UDC]],TableOBINDSGN[],7,FALSE),"")</f>
        <v/>
      </c>
      <c r="P15" s="135" t="str">
        <f>IFERROR(VLOOKUP(TableHandbook[[#This Row],[UDC]],TableOSCUANGAD[],7,FALSE),"")</f>
        <v/>
      </c>
      <c r="Q15" s="137" t="str">
        <f>IFERROR(VLOOKUP(TableHandbook[[#This Row],[UDC]],TableOSCUCONMS[],7,FALSE),"")</f>
        <v/>
      </c>
      <c r="R15" s="137" t="str">
        <f>IFERROR(VLOOKUP(TableHandbook[[#This Row],[UDC]],TableOSCUDIGDE[],7,FALSE),"")</f>
        <v/>
      </c>
      <c r="S15" s="137" t="str">
        <f>IFERROR(VLOOKUP(TableHandbook[[#This Row],[UDC]],TableOSCUPLGEO[],7,FALSE),"")</f>
        <v/>
      </c>
      <c r="T15" s="136" t="str">
        <f>IFERROR(VLOOKUP(TableHandbook[[#This Row],[UDC]],TableOSEUARCHT[],7,FALSE),"")</f>
        <v>Option</v>
      </c>
    </row>
    <row r="16" spans="1:20" x14ac:dyDescent="0.25">
      <c r="A16" s="3" t="s">
        <v>172</v>
      </c>
      <c r="B16" s="37">
        <v>3</v>
      </c>
      <c r="C16" s="37" t="s">
        <v>202</v>
      </c>
      <c r="D16" s="3" t="s">
        <v>203</v>
      </c>
      <c r="E16" s="37">
        <v>25</v>
      </c>
      <c r="F16" s="142" t="s">
        <v>204</v>
      </c>
      <c r="G16" s="133" t="str">
        <f>IFERROR(IF(VLOOKUP(TableHandbook[[#This Row],[UDC]],TableAvailabilities[],2,FALSE)&gt;0,"Y",""),"")</f>
        <v/>
      </c>
      <c r="H16" s="133" t="str">
        <f>IFERROR(IF(VLOOKUP(TableHandbook[[#This Row],[UDC]],TableAvailabilities[],3,FALSE)&gt;0,"Y",""),"")</f>
        <v>Y</v>
      </c>
      <c r="I16" s="133" t="str">
        <f>IFERROR(IF(VLOOKUP(TableHandbook[[#This Row],[UDC]],TableAvailabilities[],4,FALSE)&gt;0,"Y",""),"")</f>
        <v/>
      </c>
      <c r="J16" s="133" t="str">
        <f>IFERROR(IF(VLOOKUP(TableHandbook[[#This Row],[UDC]],TableAvailabilities[],5,FALSE)&gt;0,"Y",""),"")</f>
        <v/>
      </c>
      <c r="K16" s="3"/>
      <c r="L16" s="135" t="str">
        <f>IFERROR(VLOOKUP(TableHandbook[[#This Row],[UDC]],TableEOINARCH[],7,FALSE),"")</f>
        <v/>
      </c>
      <c r="M16" s="136" t="str">
        <f>IFERROR(VLOOKUP(TableHandbook[[#This Row],[UDC]],TableEOINARCH1[],7,FALSE),"")</f>
        <v/>
      </c>
      <c r="N16" s="135" t="str">
        <f>IFERROR(VLOOKUP(TableHandbook[[#This Row],[UDC]],TableOUINDSGN1[],7,FALSE),"")</f>
        <v/>
      </c>
      <c r="O16" s="136" t="str">
        <f>IFERROR(VLOOKUP(TableHandbook[[#This Row],[UDC]],TableOBINDSGN[],7,FALSE),"")</f>
        <v/>
      </c>
      <c r="P16" s="135" t="str">
        <f>IFERROR(VLOOKUP(TableHandbook[[#This Row],[UDC]],TableOSCUANGAD[],7,FALSE),"")</f>
        <v/>
      </c>
      <c r="Q16" s="137" t="str">
        <f>IFERROR(VLOOKUP(TableHandbook[[#This Row],[UDC]],TableOSCUCONMS[],7,FALSE),"")</f>
        <v/>
      </c>
      <c r="R16" s="137" t="str">
        <f>IFERROR(VLOOKUP(TableHandbook[[#This Row],[UDC]],TableOSCUDIGDE[],7,FALSE),"")</f>
        <v/>
      </c>
      <c r="S16" s="137" t="str">
        <f>IFERROR(VLOOKUP(TableHandbook[[#This Row],[UDC]],TableOSCUPLGEO[],7,FALSE),"")</f>
        <v/>
      </c>
      <c r="T16" s="136" t="str">
        <f>IFERROR(VLOOKUP(TableHandbook[[#This Row],[UDC]],TableOSEUARCHT[],7,FALSE),"")</f>
        <v>Option</v>
      </c>
    </row>
    <row r="17" spans="1:20" x14ac:dyDescent="0.25">
      <c r="A17" s="3" t="s">
        <v>110</v>
      </c>
      <c r="B17" s="37">
        <v>3</v>
      </c>
      <c r="C17" s="37" t="s">
        <v>205</v>
      </c>
      <c r="D17" s="3" t="s">
        <v>206</v>
      </c>
      <c r="E17" s="37">
        <v>25</v>
      </c>
      <c r="F17" s="142" t="s">
        <v>204</v>
      </c>
      <c r="G17" s="133" t="str">
        <f>IFERROR(IF(VLOOKUP(TableHandbook[[#This Row],[UDC]],TableAvailabilities[],2,FALSE)&gt;0,"Y",""),"")</f>
        <v/>
      </c>
      <c r="H17" s="133" t="str">
        <f>IFERROR(IF(VLOOKUP(TableHandbook[[#This Row],[UDC]],TableAvailabilities[],3,FALSE)&gt;0,"Y",""),"")</f>
        <v/>
      </c>
      <c r="I17" s="133" t="str">
        <f>IFERROR(IF(VLOOKUP(TableHandbook[[#This Row],[UDC]],TableAvailabilities[],4,FALSE)&gt;0,"Y",""),"")</f>
        <v/>
      </c>
      <c r="J17" s="133" t="str">
        <f>IFERROR(IF(VLOOKUP(TableHandbook[[#This Row],[UDC]],TableAvailabilities[],5,FALSE)&gt;0,"Y",""),"")</f>
        <v>Y</v>
      </c>
      <c r="K17" s="3"/>
      <c r="L17" s="135" t="str">
        <f>IFERROR(VLOOKUP(TableHandbook[[#This Row],[UDC]],TableEOINARCH[],7,FALSE),"")</f>
        <v>Core</v>
      </c>
      <c r="M17" s="136" t="str">
        <f>IFERROR(VLOOKUP(TableHandbook[[#This Row],[UDC]],TableEOINARCH1[],7,FALSE),"")</f>
        <v>Core</v>
      </c>
      <c r="N17" s="135" t="str">
        <f>IFERROR(VLOOKUP(TableHandbook[[#This Row],[UDC]],TableOUINDSGN1[],7,FALSE),"")</f>
        <v>Core</v>
      </c>
      <c r="O17" s="136" t="str">
        <f>IFERROR(VLOOKUP(TableHandbook[[#This Row],[UDC]],TableOBINDSGN[],7,FALSE),"")</f>
        <v>Core</v>
      </c>
      <c r="P17" s="135" t="str">
        <f>IFERROR(VLOOKUP(TableHandbook[[#This Row],[UDC]],TableOSCUANGAD[],7,FALSE),"")</f>
        <v/>
      </c>
      <c r="Q17" s="137" t="str">
        <f>IFERROR(VLOOKUP(TableHandbook[[#This Row],[UDC]],TableOSCUCONMS[],7,FALSE),"")</f>
        <v/>
      </c>
      <c r="R17" s="137" t="str">
        <f>IFERROR(VLOOKUP(TableHandbook[[#This Row],[UDC]],TableOSCUDIGDE[],7,FALSE),"")</f>
        <v/>
      </c>
      <c r="S17" s="137" t="str">
        <f>IFERROR(VLOOKUP(TableHandbook[[#This Row],[UDC]],TableOSCUPLGEO[],7,FALSE),"")</f>
        <v/>
      </c>
      <c r="T17" s="136" t="str">
        <f>IFERROR(VLOOKUP(TableHandbook[[#This Row],[UDC]],TableOSEUARCHT[],7,FALSE),"")</f>
        <v/>
      </c>
    </row>
    <row r="18" spans="1:20" ht="26.25" x14ac:dyDescent="0.25">
      <c r="A18" s="3" t="s">
        <v>105</v>
      </c>
      <c r="B18" s="37">
        <v>3</v>
      </c>
      <c r="C18" s="37" t="s">
        <v>207</v>
      </c>
      <c r="D18" s="3" t="s">
        <v>208</v>
      </c>
      <c r="E18" s="37">
        <v>25</v>
      </c>
      <c r="F18" s="142" t="s">
        <v>209</v>
      </c>
      <c r="G18" s="133" t="str">
        <f>IFERROR(IF(VLOOKUP(TableHandbook[[#This Row],[UDC]],TableAvailabilities[],2,FALSE)&gt;0,"Y",""),"")</f>
        <v/>
      </c>
      <c r="H18" s="133" t="str">
        <f>IFERROR(IF(VLOOKUP(TableHandbook[[#This Row],[UDC]],TableAvailabilities[],3,FALSE)&gt;0,"Y",""),"")</f>
        <v/>
      </c>
      <c r="I18" s="133" t="str">
        <f>IFERROR(IF(VLOOKUP(TableHandbook[[#This Row],[UDC]],TableAvailabilities[],4,FALSE)&gt;0,"Y",""),"")</f>
        <v>Y</v>
      </c>
      <c r="J18" s="133" t="str">
        <f>IFERROR(IF(VLOOKUP(TableHandbook[[#This Row],[UDC]],TableAvailabilities[],5,FALSE)&gt;0,"Y",""),"")</f>
        <v/>
      </c>
      <c r="K18" s="3"/>
      <c r="L18" s="135" t="str">
        <f>IFERROR(VLOOKUP(TableHandbook[[#This Row],[UDC]],TableEOINARCH[],7,FALSE),"")</f>
        <v>Core</v>
      </c>
      <c r="M18" s="136" t="str">
        <f>IFERROR(VLOOKUP(TableHandbook[[#This Row],[UDC]],TableEOINARCH1[],7,FALSE),"")</f>
        <v>Core</v>
      </c>
      <c r="N18" s="135" t="str">
        <f>IFERROR(VLOOKUP(TableHandbook[[#This Row],[UDC]],TableOUINDSGN1[],7,FALSE),"")</f>
        <v>Core</v>
      </c>
      <c r="O18" s="136" t="str">
        <f>IFERROR(VLOOKUP(TableHandbook[[#This Row],[UDC]],TableOBINDSGN[],7,FALSE),"")</f>
        <v>Core</v>
      </c>
      <c r="P18" s="135" t="str">
        <f>IFERROR(VLOOKUP(TableHandbook[[#This Row],[UDC]],TableOSCUANGAD[],7,FALSE),"")</f>
        <v/>
      </c>
      <c r="Q18" s="137" t="str">
        <f>IFERROR(VLOOKUP(TableHandbook[[#This Row],[UDC]],TableOSCUCONMS[],7,FALSE),"")</f>
        <v/>
      </c>
      <c r="R18" s="137" t="str">
        <f>IFERROR(VLOOKUP(TableHandbook[[#This Row],[UDC]],TableOSCUDIGDE[],7,FALSE),"")</f>
        <v/>
      </c>
      <c r="S18" s="137" t="str">
        <f>IFERROR(VLOOKUP(TableHandbook[[#This Row],[UDC]],TableOSCUPLGEO[],7,FALSE),"")</f>
        <v/>
      </c>
      <c r="T18" s="136" t="str">
        <f>IFERROR(VLOOKUP(TableHandbook[[#This Row],[UDC]],TableOSEUARCHT[],7,FALSE),"")</f>
        <v/>
      </c>
    </row>
    <row r="19" spans="1:20" x14ac:dyDescent="0.25">
      <c r="A19" s="3" t="s">
        <v>155</v>
      </c>
      <c r="B19" s="37">
        <v>3</v>
      </c>
      <c r="C19" s="37" t="s">
        <v>210</v>
      </c>
      <c r="D19" s="3" t="s">
        <v>211</v>
      </c>
      <c r="E19" s="37">
        <v>25</v>
      </c>
      <c r="F19" s="142" t="s">
        <v>204</v>
      </c>
      <c r="G19" s="133" t="str">
        <f>IFERROR(IF(VLOOKUP(TableHandbook[[#This Row],[UDC]],TableAvailabilities[],2,FALSE)&gt;0,"Y",""),"")</f>
        <v>Y</v>
      </c>
      <c r="H19" s="133" t="str">
        <f>IFERROR(IF(VLOOKUP(TableHandbook[[#This Row],[UDC]],TableAvailabilities[],3,FALSE)&gt;0,"Y",""),"")</f>
        <v/>
      </c>
      <c r="I19" s="133" t="str">
        <f>IFERROR(IF(VLOOKUP(TableHandbook[[#This Row],[UDC]],TableAvailabilities[],4,FALSE)&gt;0,"Y",""),"")</f>
        <v/>
      </c>
      <c r="J19" s="133" t="str">
        <f>IFERROR(IF(VLOOKUP(TableHandbook[[#This Row],[UDC]],TableAvailabilities[],5,FALSE)&gt;0,"Y",""),"")</f>
        <v/>
      </c>
      <c r="K19" s="3"/>
      <c r="L19" s="135" t="str">
        <f>IFERROR(VLOOKUP(TableHandbook[[#This Row],[UDC]],TableEOINARCH[],7,FALSE),"")</f>
        <v/>
      </c>
      <c r="M19" s="136" t="str">
        <f>IFERROR(VLOOKUP(TableHandbook[[#This Row],[UDC]],TableEOINARCH1[],7,FALSE),"")</f>
        <v/>
      </c>
      <c r="N19" s="135" t="str">
        <f>IFERROR(VLOOKUP(TableHandbook[[#This Row],[UDC]],TableOUINDSGN1[],7,FALSE),"")</f>
        <v/>
      </c>
      <c r="O19" s="136" t="str">
        <f>IFERROR(VLOOKUP(TableHandbook[[#This Row],[UDC]],TableOBINDSGN[],7,FALSE),"")</f>
        <v/>
      </c>
      <c r="P19" s="135" t="str">
        <f>IFERROR(VLOOKUP(TableHandbook[[#This Row],[UDC]],TableOSCUANGAD[],7,FALSE),"")</f>
        <v/>
      </c>
      <c r="Q19" s="137" t="str">
        <f>IFERROR(VLOOKUP(TableHandbook[[#This Row],[UDC]],TableOSCUCONMS[],7,FALSE),"")</f>
        <v/>
      </c>
      <c r="R19" s="137" t="str">
        <f>IFERROR(VLOOKUP(TableHandbook[[#This Row],[UDC]],TableOSCUDIGDE[],7,FALSE),"")</f>
        <v/>
      </c>
      <c r="S19" s="137" t="str">
        <f>IFERROR(VLOOKUP(TableHandbook[[#This Row],[UDC]],TableOSCUPLGEO[],7,FALSE),"")</f>
        <v/>
      </c>
      <c r="T19" s="136" t="str">
        <f>IFERROR(VLOOKUP(TableHandbook[[#This Row],[UDC]],TableOSEUARCHT[],7,FALSE),"")</f>
        <v>Core</v>
      </c>
    </row>
    <row r="20" spans="1:20" x14ac:dyDescent="0.25">
      <c r="A20" s="3" t="s">
        <v>113</v>
      </c>
      <c r="B20" s="37">
        <v>4</v>
      </c>
      <c r="C20" s="37" t="s">
        <v>212</v>
      </c>
      <c r="D20" s="3" t="s">
        <v>213</v>
      </c>
      <c r="E20" s="37">
        <v>25</v>
      </c>
      <c r="F20" s="142" t="s">
        <v>214</v>
      </c>
      <c r="G20" s="133" t="str">
        <f>IFERROR(IF(VLOOKUP(TableHandbook[[#This Row],[UDC]],TableAvailabilities[],2,FALSE)&gt;0,"Y",""),"")</f>
        <v/>
      </c>
      <c r="H20" s="133" t="str">
        <f>IFERROR(IF(VLOOKUP(TableHandbook[[#This Row],[UDC]],TableAvailabilities[],3,FALSE)&gt;0,"Y",""),"")</f>
        <v>Y</v>
      </c>
      <c r="I20" s="133" t="str">
        <f>IFERROR(IF(VLOOKUP(TableHandbook[[#This Row],[UDC]],TableAvailabilities[],4,FALSE)&gt;0,"Y",""),"")</f>
        <v/>
      </c>
      <c r="J20" s="133" t="str">
        <f>IFERROR(IF(VLOOKUP(TableHandbook[[#This Row],[UDC]],TableAvailabilities[],5,FALSE)&gt;0,"Y",""),"")</f>
        <v/>
      </c>
      <c r="K20" s="3"/>
      <c r="L20" s="135" t="str">
        <f>IFERROR(VLOOKUP(TableHandbook[[#This Row],[UDC]],TableEOINARCH[],7,FALSE),"")</f>
        <v>Core</v>
      </c>
      <c r="M20" s="136" t="str">
        <f>IFERROR(VLOOKUP(TableHandbook[[#This Row],[UDC]],TableEOINARCH1[],7,FALSE),"")</f>
        <v>Core</v>
      </c>
      <c r="N20" s="135" t="str">
        <f>IFERROR(VLOOKUP(TableHandbook[[#This Row],[UDC]],TableOUINDSGN1[],7,FALSE),"")</f>
        <v>Core</v>
      </c>
      <c r="O20" s="136" t="str">
        <f>IFERROR(VLOOKUP(TableHandbook[[#This Row],[UDC]],TableOBINDSGN[],7,FALSE),"")</f>
        <v>Core</v>
      </c>
      <c r="P20" s="135" t="str">
        <f>IFERROR(VLOOKUP(TableHandbook[[#This Row],[UDC]],TableOSCUANGAD[],7,FALSE),"")</f>
        <v/>
      </c>
      <c r="Q20" s="137" t="str">
        <f>IFERROR(VLOOKUP(TableHandbook[[#This Row],[UDC]],TableOSCUCONMS[],7,FALSE),"")</f>
        <v/>
      </c>
      <c r="R20" s="137" t="str">
        <f>IFERROR(VLOOKUP(TableHandbook[[#This Row],[UDC]],TableOSCUDIGDE[],7,FALSE),"")</f>
        <v/>
      </c>
      <c r="S20" s="137" t="str">
        <f>IFERROR(VLOOKUP(TableHandbook[[#This Row],[UDC]],TableOSCUPLGEO[],7,FALSE),"")</f>
        <v/>
      </c>
      <c r="T20" s="136" t="str">
        <f>IFERROR(VLOOKUP(TableHandbook[[#This Row],[UDC]],TableOSEUARCHT[],7,FALSE),"")</f>
        <v/>
      </c>
    </row>
    <row r="21" spans="1:20" x14ac:dyDescent="0.25">
      <c r="A21" s="3" t="s">
        <v>174</v>
      </c>
      <c r="B21" s="37">
        <v>1</v>
      </c>
      <c r="C21" s="37" t="s">
        <v>215</v>
      </c>
      <c r="D21" s="3" t="s">
        <v>216</v>
      </c>
      <c r="E21" s="37">
        <v>25</v>
      </c>
      <c r="F21" s="142" t="s">
        <v>217</v>
      </c>
      <c r="G21" s="133" t="str">
        <f>IFERROR(IF(VLOOKUP(TableHandbook[[#This Row],[UDC]],TableAvailabilities[],2,FALSE)&gt;0,"Y",""),"")</f>
        <v>Y</v>
      </c>
      <c r="H21" s="133" t="str">
        <f>IFERROR(IF(VLOOKUP(TableHandbook[[#This Row],[UDC]],TableAvailabilities[],3,FALSE)&gt;0,"Y",""),"")</f>
        <v/>
      </c>
      <c r="I21" s="133" t="str">
        <f>IFERROR(IF(VLOOKUP(TableHandbook[[#This Row],[UDC]],TableAvailabilities[],4,FALSE)&gt;0,"Y",""),"")</f>
        <v>Y</v>
      </c>
      <c r="J21" s="133" t="str">
        <f>IFERROR(IF(VLOOKUP(TableHandbook[[#This Row],[UDC]],TableAvailabilities[],5,FALSE)&gt;0,"Y",""),"")</f>
        <v/>
      </c>
      <c r="K21" s="3"/>
      <c r="L21" s="135" t="str">
        <f>IFERROR(VLOOKUP(TableHandbook[[#This Row],[UDC]],TableEOINARCH[],7,FALSE),"")</f>
        <v/>
      </c>
      <c r="M21" s="136" t="str">
        <f>IFERROR(VLOOKUP(TableHandbook[[#This Row],[UDC]],TableEOINARCH1[],7,FALSE),"")</f>
        <v/>
      </c>
      <c r="N21" s="135" t="str">
        <f>IFERROR(VLOOKUP(TableHandbook[[#This Row],[UDC]],TableOUINDSGN1[],7,FALSE),"")</f>
        <v/>
      </c>
      <c r="O21" s="136" t="str">
        <f>IFERROR(VLOOKUP(TableHandbook[[#This Row],[UDC]],TableOBINDSGN[],7,FALSE),"")</f>
        <v/>
      </c>
      <c r="P21" s="135" t="str">
        <f>IFERROR(VLOOKUP(TableHandbook[[#This Row],[UDC]],TableOSCUANGAD[],7,FALSE),"")</f>
        <v/>
      </c>
      <c r="Q21" s="137" t="str">
        <f>IFERROR(VLOOKUP(TableHandbook[[#This Row],[UDC]],TableOSCUCONMS[],7,FALSE),"")</f>
        <v/>
      </c>
      <c r="R21" s="137" t="str">
        <f>IFERROR(VLOOKUP(TableHandbook[[#This Row],[UDC]],TableOSCUDIGDE[],7,FALSE),"")</f>
        <v/>
      </c>
      <c r="S21" s="137" t="str">
        <f>IFERROR(VLOOKUP(TableHandbook[[#This Row],[UDC]],TableOSCUPLGEO[],7,FALSE),"")</f>
        <v/>
      </c>
      <c r="T21" s="136" t="str">
        <f>IFERROR(VLOOKUP(TableHandbook[[#This Row],[UDC]],TableOSEUARCHT[],7,FALSE),"")</f>
        <v>Option</v>
      </c>
    </row>
    <row r="22" spans="1:20" x14ac:dyDescent="0.25">
      <c r="A22" s="3" t="s">
        <v>145</v>
      </c>
      <c r="B22" s="37">
        <v>2</v>
      </c>
      <c r="C22" s="37" t="s">
        <v>218</v>
      </c>
      <c r="D22" s="3" t="s">
        <v>219</v>
      </c>
      <c r="E22" s="37">
        <v>25</v>
      </c>
      <c r="F22" s="142" t="s">
        <v>190</v>
      </c>
      <c r="G22" s="133" t="str">
        <f>IFERROR(IF(VLOOKUP(TableHandbook[[#This Row],[UDC]],TableAvailabilities[],2,FALSE)&gt;0,"Y",""),"")</f>
        <v>Y</v>
      </c>
      <c r="H22" s="133" t="str">
        <f>IFERROR(IF(VLOOKUP(TableHandbook[[#This Row],[UDC]],TableAvailabilities[],3,FALSE)&gt;0,"Y",""),"")</f>
        <v/>
      </c>
      <c r="I22" s="133" t="str">
        <f>IFERROR(IF(VLOOKUP(TableHandbook[[#This Row],[UDC]],TableAvailabilities[],4,FALSE)&gt;0,"Y",""),"")</f>
        <v>Y</v>
      </c>
      <c r="J22" s="133" t="str">
        <f>IFERROR(IF(VLOOKUP(TableHandbook[[#This Row],[UDC]],TableAvailabilities[],5,FALSE)&gt;0,"Y",""),"")</f>
        <v/>
      </c>
      <c r="K22" s="3"/>
      <c r="L22" s="135" t="str">
        <f>IFERROR(VLOOKUP(TableHandbook[[#This Row],[UDC]],TableEOINARCH[],7,FALSE),"")</f>
        <v/>
      </c>
      <c r="M22" s="136" t="str">
        <f>IFERROR(VLOOKUP(TableHandbook[[#This Row],[UDC]],TableEOINARCH1[],7,FALSE),"")</f>
        <v/>
      </c>
      <c r="N22" s="135" t="str">
        <f>IFERROR(VLOOKUP(TableHandbook[[#This Row],[UDC]],TableOUINDSGN1[],7,FALSE),"")</f>
        <v/>
      </c>
      <c r="O22" s="136" t="str">
        <f>IFERROR(VLOOKUP(TableHandbook[[#This Row],[UDC]],TableOBINDSGN[],7,FALSE),"")</f>
        <v/>
      </c>
      <c r="P22" s="135" t="str">
        <f>IFERROR(VLOOKUP(TableHandbook[[#This Row],[UDC]],TableOSCUANGAD[],7,FALSE),"")</f>
        <v/>
      </c>
      <c r="Q22" s="137" t="str">
        <f>IFERROR(VLOOKUP(TableHandbook[[#This Row],[UDC]],TableOSCUCONMS[],7,FALSE),"")</f>
        <v>Core</v>
      </c>
      <c r="R22" s="137" t="str">
        <f>IFERROR(VLOOKUP(TableHandbook[[#This Row],[UDC]],TableOSCUDIGDE[],7,FALSE),"")</f>
        <v/>
      </c>
      <c r="S22" s="137" t="str">
        <f>IFERROR(VLOOKUP(TableHandbook[[#This Row],[UDC]],TableOSCUPLGEO[],7,FALSE),"")</f>
        <v/>
      </c>
      <c r="T22" s="136" t="str">
        <f>IFERROR(VLOOKUP(TableHandbook[[#This Row],[UDC]],TableOSEUARCHT[],7,FALSE),"")</f>
        <v/>
      </c>
    </row>
    <row r="23" spans="1:20" x14ac:dyDescent="0.25">
      <c r="A23" s="3" t="s">
        <v>150</v>
      </c>
      <c r="B23" s="37">
        <v>3</v>
      </c>
      <c r="C23" s="37" t="s">
        <v>220</v>
      </c>
      <c r="D23" s="3" t="s">
        <v>221</v>
      </c>
      <c r="E23" s="37">
        <v>25</v>
      </c>
      <c r="F23" s="142" t="s">
        <v>218</v>
      </c>
      <c r="G23" s="133" t="str">
        <f>IFERROR(IF(VLOOKUP(TableHandbook[[#This Row],[UDC]],TableAvailabilities[],2,FALSE)&gt;0,"Y",""),"")</f>
        <v>Y</v>
      </c>
      <c r="H23" s="133" t="str">
        <f>IFERROR(IF(VLOOKUP(TableHandbook[[#This Row],[UDC]],TableAvailabilities[],3,FALSE)&gt;0,"Y",""),"")</f>
        <v/>
      </c>
      <c r="I23" s="133" t="str">
        <f>IFERROR(IF(VLOOKUP(TableHandbook[[#This Row],[UDC]],TableAvailabilities[],4,FALSE)&gt;0,"Y",""),"")</f>
        <v>Y</v>
      </c>
      <c r="J23" s="133" t="str">
        <f>IFERROR(IF(VLOOKUP(TableHandbook[[#This Row],[UDC]],TableAvailabilities[],5,FALSE)&gt;0,"Y",""),"")</f>
        <v/>
      </c>
      <c r="K23" s="3"/>
      <c r="L23" s="135" t="str">
        <f>IFERROR(VLOOKUP(TableHandbook[[#This Row],[UDC]],TableEOINARCH[],7,FALSE),"")</f>
        <v/>
      </c>
      <c r="M23" s="136" t="str">
        <f>IFERROR(VLOOKUP(TableHandbook[[#This Row],[UDC]],TableEOINARCH1[],7,FALSE),"")</f>
        <v/>
      </c>
      <c r="N23" s="135" t="str">
        <f>IFERROR(VLOOKUP(TableHandbook[[#This Row],[UDC]],TableOUINDSGN1[],7,FALSE),"")</f>
        <v/>
      </c>
      <c r="O23" s="136" t="str">
        <f>IFERROR(VLOOKUP(TableHandbook[[#This Row],[UDC]],TableOBINDSGN[],7,FALSE),"")</f>
        <v/>
      </c>
      <c r="P23" s="135" t="str">
        <f>IFERROR(VLOOKUP(TableHandbook[[#This Row],[UDC]],TableOSCUANGAD[],7,FALSE),"")</f>
        <v/>
      </c>
      <c r="Q23" s="137" t="str">
        <f>IFERROR(VLOOKUP(TableHandbook[[#This Row],[UDC]],TableOSCUCONMS[],7,FALSE),"")</f>
        <v>Core</v>
      </c>
      <c r="R23" s="137" t="str">
        <f>IFERROR(VLOOKUP(TableHandbook[[#This Row],[UDC]],TableOSCUDIGDE[],7,FALSE),"")</f>
        <v/>
      </c>
      <c r="S23" s="137" t="str">
        <f>IFERROR(VLOOKUP(TableHandbook[[#This Row],[UDC]],TableOSCUPLGEO[],7,FALSE),"")</f>
        <v/>
      </c>
      <c r="T23" s="136" t="str">
        <f>IFERROR(VLOOKUP(TableHandbook[[#This Row],[UDC]],TableOSEUARCHT[],7,FALSE),"")</f>
        <v/>
      </c>
    </row>
    <row r="24" spans="1:20" x14ac:dyDescent="0.25">
      <c r="A24" s="3" t="s">
        <v>168</v>
      </c>
      <c r="B24" s="37">
        <v>1</v>
      </c>
      <c r="C24" s="37" t="s">
        <v>222</v>
      </c>
      <c r="D24" s="3" t="s">
        <v>223</v>
      </c>
      <c r="E24" s="37">
        <v>25</v>
      </c>
      <c r="F24" s="142" t="s">
        <v>220</v>
      </c>
      <c r="G24" s="133" t="str">
        <f>IFERROR(IF(VLOOKUP(TableHandbook[[#This Row],[UDC]],TableAvailabilities[],2,FALSE)&gt;0,"Y",""),"")</f>
        <v/>
      </c>
      <c r="H24" s="133" t="str">
        <f>IFERROR(IF(VLOOKUP(TableHandbook[[#This Row],[UDC]],TableAvailabilities[],3,FALSE)&gt;0,"Y",""),"")</f>
        <v>Y</v>
      </c>
      <c r="I24" s="133" t="str">
        <f>IFERROR(IF(VLOOKUP(TableHandbook[[#This Row],[UDC]],TableAvailabilities[],4,FALSE)&gt;0,"Y",""),"")</f>
        <v/>
      </c>
      <c r="J24" s="133" t="str">
        <f>IFERROR(IF(VLOOKUP(TableHandbook[[#This Row],[UDC]],TableAvailabilities[],5,FALSE)&gt;0,"Y",""),"")</f>
        <v/>
      </c>
      <c r="K24" s="3"/>
      <c r="L24" s="135" t="str">
        <f>IFERROR(VLOOKUP(TableHandbook[[#This Row],[UDC]],TableEOINARCH[],7,FALSE),"")</f>
        <v/>
      </c>
      <c r="M24" s="136" t="str">
        <f>IFERROR(VLOOKUP(TableHandbook[[#This Row],[UDC]],TableEOINARCH1[],7,FALSE),"")</f>
        <v/>
      </c>
      <c r="N24" s="135" t="str">
        <f>IFERROR(VLOOKUP(TableHandbook[[#This Row],[UDC]],TableOUINDSGN1[],7,FALSE),"")</f>
        <v/>
      </c>
      <c r="O24" s="136" t="str">
        <f>IFERROR(VLOOKUP(TableHandbook[[#This Row],[UDC]],TableOBINDSGN[],7,FALSE),"")</f>
        <v/>
      </c>
      <c r="P24" s="135" t="str">
        <f>IFERROR(VLOOKUP(TableHandbook[[#This Row],[UDC]],TableOSCUANGAD[],7,FALSE),"")</f>
        <v/>
      </c>
      <c r="Q24" s="137" t="str">
        <f>IFERROR(VLOOKUP(TableHandbook[[#This Row],[UDC]],TableOSCUCONMS[],7,FALSE),"")</f>
        <v>AltCore</v>
      </c>
      <c r="R24" s="137" t="str">
        <f>IFERROR(VLOOKUP(TableHandbook[[#This Row],[UDC]],TableOSCUDIGDE[],7,FALSE),"")</f>
        <v/>
      </c>
      <c r="S24" s="137" t="str">
        <f>IFERROR(VLOOKUP(TableHandbook[[#This Row],[UDC]],TableOSCUPLGEO[],7,FALSE),"")</f>
        <v/>
      </c>
      <c r="T24" s="136" t="str">
        <f>IFERROR(VLOOKUP(TableHandbook[[#This Row],[UDC]],TableOSEUARCHT[],7,FALSE),"")</f>
        <v/>
      </c>
    </row>
    <row r="25" spans="1:20" x14ac:dyDescent="0.25">
      <c r="A25" s="3" t="s">
        <v>156</v>
      </c>
      <c r="B25" s="37">
        <v>3</v>
      </c>
      <c r="C25" s="37" t="s">
        <v>224</v>
      </c>
      <c r="D25" s="3" t="s">
        <v>225</v>
      </c>
      <c r="E25" s="37">
        <v>25</v>
      </c>
      <c r="F25" s="142" t="s">
        <v>226</v>
      </c>
      <c r="G25" s="133" t="str">
        <f>IFERROR(IF(VLOOKUP(TableHandbook[[#This Row],[UDC]],TableAvailabilities[],2,FALSE)&gt;0,"Y",""),"")</f>
        <v/>
      </c>
      <c r="H25" s="133" t="str">
        <f>IFERROR(IF(VLOOKUP(TableHandbook[[#This Row],[UDC]],TableAvailabilities[],3,FALSE)&gt;0,"Y",""),"")</f>
        <v/>
      </c>
      <c r="I25" s="133" t="str">
        <f>IFERROR(IF(VLOOKUP(TableHandbook[[#This Row],[UDC]],TableAvailabilities[],4,FALSE)&gt;0,"Y",""),"")</f>
        <v>Y</v>
      </c>
      <c r="J25" s="133" t="str">
        <f>IFERROR(IF(VLOOKUP(TableHandbook[[#This Row],[UDC]],TableAvailabilities[],5,FALSE)&gt;0,"Y",""),"")</f>
        <v/>
      </c>
      <c r="K25" s="3"/>
      <c r="L25" s="135" t="str">
        <f>IFERROR(VLOOKUP(TableHandbook[[#This Row],[UDC]],TableEOINARCH[],7,FALSE),"")</f>
        <v/>
      </c>
      <c r="M25" s="136" t="str">
        <f>IFERROR(VLOOKUP(TableHandbook[[#This Row],[UDC]],TableEOINARCH1[],7,FALSE),"")</f>
        <v/>
      </c>
      <c r="N25" s="135" t="str">
        <f>IFERROR(VLOOKUP(TableHandbook[[#This Row],[UDC]],TableOUINDSGN1[],7,FALSE),"")</f>
        <v/>
      </c>
      <c r="O25" s="136" t="str">
        <f>IFERROR(VLOOKUP(TableHandbook[[#This Row],[UDC]],TableOBINDSGN[],7,FALSE),"")</f>
        <v/>
      </c>
      <c r="P25" s="135" t="str">
        <f>IFERROR(VLOOKUP(TableHandbook[[#This Row],[UDC]],TableOSCUANGAD[],7,FALSE),"")</f>
        <v/>
      </c>
      <c r="Q25" s="137" t="str">
        <f>IFERROR(VLOOKUP(TableHandbook[[#This Row],[UDC]],TableOSCUCONMS[],7,FALSE),"")</f>
        <v>Core</v>
      </c>
      <c r="R25" s="137" t="str">
        <f>IFERROR(VLOOKUP(TableHandbook[[#This Row],[UDC]],TableOSCUDIGDE[],7,FALSE),"")</f>
        <v/>
      </c>
      <c r="S25" s="137" t="str">
        <f>IFERROR(VLOOKUP(TableHandbook[[#This Row],[UDC]],TableOSCUPLGEO[],7,FALSE),"")</f>
        <v/>
      </c>
      <c r="T25" s="136" t="str">
        <f>IFERROR(VLOOKUP(TableHandbook[[#This Row],[UDC]],TableOSEUARCHT[],7,FALSE),"")</f>
        <v/>
      </c>
    </row>
    <row r="26" spans="1:20" x14ac:dyDescent="0.25">
      <c r="A26" s="3" t="s">
        <v>173</v>
      </c>
      <c r="B26" s="37">
        <v>3</v>
      </c>
      <c r="C26" s="37" t="s">
        <v>227</v>
      </c>
      <c r="D26" s="3" t="s">
        <v>228</v>
      </c>
      <c r="E26" s="37">
        <v>25</v>
      </c>
      <c r="F26" s="142" t="s">
        <v>220</v>
      </c>
      <c r="G26" s="133" t="str">
        <f>IFERROR(IF(VLOOKUP(TableHandbook[[#This Row],[UDC]],TableAvailabilities[],2,FALSE)&gt;0,"Y",""),"")</f>
        <v/>
      </c>
      <c r="H26" s="133" t="str">
        <f>IFERROR(IF(VLOOKUP(TableHandbook[[#This Row],[UDC]],TableAvailabilities[],3,FALSE)&gt;0,"Y",""),"")</f>
        <v/>
      </c>
      <c r="I26" s="133" t="str">
        <f>IFERROR(IF(VLOOKUP(TableHandbook[[#This Row],[UDC]],TableAvailabilities[],4,FALSE)&gt;0,"Y",""),"")</f>
        <v>Y</v>
      </c>
      <c r="J26" s="133" t="str">
        <f>IFERROR(IF(VLOOKUP(TableHandbook[[#This Row],[UDC]],TableAvailabilities[],5,FALSE)&gt;0,"Y",""),"")</f>
        <v/>
      </c>
      <c r="K26" s="3"/>
      <c r="L26" s="135" t="str">
        <f>IFERROR(VLOOKUP(TableHandbook[[#This Row],[UDC]],TableEOINARCH[],7,FALSE),"")</f>
        <v/>
      </c>
      <c r="M26" s="136" t="str">
        <f>IFERROR(VLOOKUP(TableHandbook[[#This Row],[UDC]],TableEOINARCH1[],7,FALSE),"")</f>
        <v/>
      </c>
      <c r="N26" s="135" t="str">
        <f>IFERROR(VLOOKUP(TableHandbook[[#This Row],[UDC]],TableOUINDSGN1[],7,FALSE),"")</f>
        <v/>
      </c>
      <c r="O26" s="136" t="str">
        <f>IFERROR(VLOOKUP(TableHandbook[[#This Row],[UDC]],TableOBINDSGN[],7,FALSE),"")</f>
        <v/>
      </c>
      <c r="P26" s="135" t="str">
        <f>IFERROR(VLOOKUP(TableHandbook[[#This Row],[UDC]],TableOSCUANGAD[],7,FALSE),"")</f>
        <v/>
      </c>
      <c r="Q26" s="137" t="str">
        <f>IFERROR(VLOOKUP(TableHandbook[[#This Row],[UDC]],TableOSCUCONMS[],7,FALSE),"")</f>
        <v>AltCore</v>
      </c>
      <c r="R26" s="137" t="str">
        <f>IFERROR(VLOOKUP(TableHandbook[[#This Row],[UDC]],TableOSCUDIGDE[],7,FALSE),"")</f>
        <v/>
      </c>
      <c r="S26" s="137" t="str">
        <f>IFERROR(VLOOKUP(TableHandbook[[#This Row],[UDC]],TableOSCUPLGEO[],7,FALSE),"")</f>
        <v/>
      </c>
      <c r="T26" s="136" t="str">
        <f>IFERROR(VLOOKUP(TableHandbook[[#This Row],[UDC]],TableOSEUARCHT[],7,FALSE),"")</f>
        <v/>
      </c>
    </row>
    <row r="27" spans="1:20" x14ac:dyDescent="0.25">
      <c r="A27" s="3" t="s">
        <v>229</v>
      </c>
      <c r="B27" s="37"/>
      <c r="C27" s="37"/>
      <c r="D27" s="3" t="s">
        <v>230</v>
      </c>
      <c r="E27" s="37"/>
      <c r="F27" s="213"/>
      <c r="G27" s="133" t="str">
        <f>IFERROR(IF(VLOOKUP(TableHandbook[[#This Row],[UDC]],TableAvailabilities[],2,FALSE)&gt;0,"Y",""),"")</f>
        <v/>
      </c>
      <c r="H27" s="133" t="str">
        <f>IFERROR(IF(VLOOKUP(TableHandbook[[#This Row],[UDC]],TableAvailabilities[],3,FALSE)&gt;0,"Y",""),"")</f>
        <v/>
      </c>
      <c r="I27" s="133" t="str">
        <f>IFERROR(IF(VLOOKUP(TableHandbook[[#This Row],[UDC]],TableAvailabilities[],4,FALSE)&gt;0,"Y",""),"")</f>
        <v/>
      </c>
      <c r="J27" s="133" t="str">
        <f>IFERROR(IF(VLOOKUP(TableHandbook[[#This Row],[UDC]],TableAvailabilities[],5,FALSE)&gt;0,"Y",""),"")</f>
        <v/>
      </c>
      <c r="K27" s="3"/>
      <c r="L27" s="135" t="str">
        <f>IFERROR(VLOOKUP(TableHandbook[[#This Row],[UDC]],TableEOINARCH[],7,FALSE),"")</f>
        <v/>
      </c>
      <c r="M27" s="136" t="str">
        <f>IFERROR(VLOOKUP(TableHandbook[[#This Row],[UDC]],TableEOINARCH1[],7,FALSE),"")</f>
        <v/>
      </c>
      <c r="N27" s="135" t="str">
        <f>IFERROR(VLOOKUP(TableHandbook[[#This Row],[UDC]],TableOUINDSGN1[],7,FALSE),"")</f>
        <v/>
      </c>
      <c r="O27" s="136" t="str">
        <f>IFERROR(VLOOKUP(TableHandbook[[#This Row],[UDC]],TableOBINDSGN[],7,FALSE),"")</f>
        <v/>
      </c>
      <c r="P27" s="135" t="str">
        <f>IFERROR(VLOOKUP(TableHandbook[[#This Row],[UDC]],TableOSCUANGAD[],7,FALSE),"")</f>
        <v/>
      </c>
      <c r="Q27" s="137" t="str">
        <f>IFERROR(VLOOKUP(TableHandbook[[#This Row],[UDC]],TableOSCUCONMS[],7,FALSE),"")</f>
        <v/>
      </c>
      <c r="R27" s="137" t="str">
        <f>IFERROR(VLOOKUP(TableHandbook[[#This Row],[UDC]],TableOSCUDIGDE[],7,FALSE),"")</f>
        <v/>
      </c>
      <c r="S27" s="137" t="str">
        <f>IFERROR(VLOOKUP(TableHandbook[[#This Row],[UDC]],TableOSCUPLGEO[],7,FALSE),"")</f>
        <v/>
      </c>
      <c r="T27" s="136" t="str">
        <f>IFERROR(VLOOKUP(TableHandbook[[#This Row],[UDC]],TableOSEUARCHT[],7,FALSE),"")</f>
        <v/>
      </c>
    </row>
    <row r="28" spans="1:20" x14ac:dyDescent="0.25">
      <c r="A28" s="3" t="s">
        <v>405</v>
      </c>
      <c r="B28" s="37">
        <v>1</v>
      </c>
      <c r="C28" s="37" t="s">
        <v>231</v>
      </c>
      <c r="D28" s="3" t="s">
        <v>232</v>
      </c>
      <c r="E28" s="37">
        <v>25</v>
      </c>
      <c r="F28" s="213" t="s">
        <v>190</v>
      </c>
      <c r="G28" s="133" t="str">
        <f>IFERROR(IF(VLOOKUP(TableHandbook[[#This Row],[UDC]],TableAvailabilities[],2,FALSE)&gt;0,"Y",""),"")</f>
        <v/>
      </c>
      <c r="H28" s="133" t="str">
        <f>IFERROR(IF(VLOOKUP(TableHandbook[[#This Row],[UDC]],TableAvailabilities[],3,FALSE)&gt;0,"Y",""),"")</f>
        <v/>
      </c>
      <c r="I28" s="133" t="str">
        <f>IFERROR(IF(VLOOKUP(TableHandbook[[#This Row],[UDC]],TableAvailabilities[],4,FALSE)&gt;0,"Y",""),"")</f>
        <v/>
      </c>
      <c r="J28" s="133" t="str">
        <f>IFERROR(IF(VLOOKUP(TableHandbook[[#This Row],[UDC]],TableAvailabilities[],5,FALSE)&gt;0,"Y",""),"")</f>
        <v/>
      </c>
      <c r="K28" s="3" t="s">
        <v>406</v>
      </c>
      <c r="L28" s="135" t="str">
        <f>IFERROR(VLOOKUP(TableHandbook[[#This Row],[UDC]],TableEOINARCH[],7,FALSE),"")</f>
        <v/>
      </c>
      <c r="M28" s="136" t="str">
        <f>IFERROR(VLOOKUP(TableHandbook[[#This Row],[UDC]],TableEOINARCH1[],7,FALSE),"")</f>
        <v/>
      </c>
      <c r="N28" s="135" t="str">
        <f>IFERROR(VLOOKUP(TableHandbook[[#This Row],[UDC]],TableOUINDSGN1[],7,FALSE),"")</f>
        <v/>
      </c>
      <c r="O28" s="136" t="str">
        <f>IFERROR(VLOOKUP(TableHandbook[[#This Row],[UDC]],TableOBINDSGN[],7,FALSE),"")</f>
        <v/>
      </c>
      <c r="P28" s="135" t="str">
        <f>IFERROR(VLOOKUP(TableHandbook[[#This Row],[UDC]],TableOSCUANGAD[],7,FALSE),"")</f>
        <v/>
      </c>
      <c r="Q28" s="137" t="str">
        <f>IFERROR(VLOOKUP(TableHandbook[[#This Row],[UDC]],TableOSCUCONMS[],7,FALSE),"")</f>
        <v/>
      </c>
      <c r="R28" s="137" t="str">
        <f>IFERROR(VLOOKUP(TableHandbook[[#This Row],[UDC]],TableOSCUDIGDE[],7,FALSE),"")</f>
        <v/>
      </c>
      <c r="S28" s="137" t="str">
        <f>IFERROR(VLOOKUP(TableHandbook[[#This Row],[UDC]],TableOSCUPLGEO[],7,FALSE),"")</f>
        <v/>
      </c>
      <c r="T28" s="136" t="str">
        <f>IFERROR(VLOOKUP(TableHandbook[[#This Row],[UDC]],TableOSEUARCHT[],7,FALSE),"")</f>
        <v/>
      </c>
    </row>
    <row r="29" spans="1:20" x14ac:dyDescent="0.25">
      <c r="A29" s="211" t="s">
        <v>381</v>
      </c>
      <c r="B29" s="37">
        <v>1</v>
      </c>
      <c r="C29" s="37" t="s">
        <v>381</v>
      </c>
      <c r="D29" s="3" t="s">
        <v>383</v>
      </c>
      <c r="E29" s="37">
        <v>25</v>
      </c>
      <c r="F29" s="142" t="s">
        <v>190</v>
      </c>
      <c r="G29" s="133" t="str">
        <f>IFERROR(IF(VLOOKUP(TableHandbook[[#This Row],[UDC]],TableAvailabilities[],2,FALSE)&gt;0,"Y",""),"")</f>
        <v>Y</v>
      </c>
      <c r="H29" s="133" t="str">
        <f>IFERROR(IF(VLOOKUP(TableHandbook[[#This Row],[UDC]],TableAvailabilities[],3,FALSE)&gt;0,"Y",""),"")</f>
        <v>Y</v>
      </c>
      <c r="I29" s="133" t="str">
        <f>IFERROR(IF(VLOOKUP(TableHandbook[[#This Row],[UDC]],TableAvailabilities[],4,FALSE)&gt;0,"Y",""),"")</f>
        <v>Y</v>
      </c>
      <c r="J29" s="133" t="str">
        <f>IFERROR(IF(VLOOKUP(TableHandbook[[#This Row],[UDC]],TableAvailabilities[],5,FALSE)&gt;0,"Y",""),"")</f>
        <v>Y</v>
      </c>
      <c r="K29" s="3"/>
      <c r="L29" s="135" t="str">
        <f>IFERROR(VLOOKUP(TableHandbook[[#This Row],[UDC]],TableEOINARCH[],7,FALSE),"")</f>
        <v>Core</v>
      </c>
      <c r="M29" s="136" t="str">
        <f>IFERROR(VLOOKUP(TableHandbook[[#This Row],[UDC]],TableEOINARCH1[],7,FALSE),"")</f>
        <v>Core</v>
      </c>
      <c r="N29" s="135" t="str">
        <f>IFERROR(VLOOKUP(TableHandbook[[#This Row],[UDC]],TableOUINDSGN1[],7,FALSE),"")</f>
        <v>Core</v>
      </c>
      <c r="O29" s="136" t="str">
        <f>IFERROR(VLOOKUP(TableHandbook[[#This Row],[UDC]],TableOBINDSGN[],7,FALSE),"")</f>
        <v>Core</v>
      </c>
      <c r="P29" s="135" t="str">
        <f>IFERROR(VLOOKUP(TableHandbook[[#This Row],[UDC]],TableOSCUANGAD[],7,FALSE),"")</f>
        <v/>
      </c>
      <c r="Q29" s="137" t="str">
        <f>IFERROR(VLOOKUP(TableHandbook[[#This Row],[UDC]],TableOSCUCONMS[],7,FALSE),"")</f>
        <v/>
      </c>
      <c r="R29" s="137" t="str">
        <f>IFERROR(VLOOKUP(TableHandbook[[#This Row],[UDC]],TableOSCUDIGDE[],7,FALSE),"")</f>
        <v/>
      </c>
      <c r="S29" s="137" t="str">
        <f>IFERROR(VLOOKUP(TableHandbook[[#This Row],[UDC]],TableOSCUPLGEO[],7,FALSE),"")</f>
        <v/>
      </c>
      <c r="T29" s="136" t="str">
        <f>IFERROR(VLOOKUP(TableHandbook[[#This Row],[UDC]],TableOSEUARCHT[],7,FALSE),"")</f>
        <v/>
      </c>
    </row>
    <row r="30" spans="1:20" x14ac:dyDescent="0.25">
      <c r="A30" s="3" t="s">
        <v>169</v>
      </c>
      <c r="B30" s="37">
        <v>2</v>
      </c>
      <c r="C30" s="37" t="s">
        <v>233</v>
      </c>
      <c r="D30" s="3" t="s">
        <v>234</v>
      </c>
      <c r="E30" s="37">
        <v>25</v>
      </c>
      <c r="F30" s="142" t="s">
        <v>190</v>
      </c>
      <c r="G30" s="133" t="str">
        <f>IFERROR(IF(VLOOKUP(TableHandbook[[#This Row],[UDC]],TableAvailabilities[],2,FALSE)&gt;0,"Y",""),"")</f>
        <v>Y</v>
      </c>
      <c r="H30" s="133" t="str">
        <f>IFERROR(IF(VLOOKUP(TableHandbook[[#This Row],[UDC]],TableAvailabilities[],3,FALSE)&gt;0,"Y",""),"")</f>
        <v/>
      </c>
      <c r="I30" s="133" t="str">
        <f>IFERROR(IF(VLOOKUP(TableHandbook[[#This Row],[UDC]],TableAvailabilities[],4,FALSE)&gt;0,"Y",""),"")</f>
        <v/>
      </c>
      <c r="J30" s="133" t="str">
        <f>IFERROR(IF(VLOOKUP(TableHandbook[[#This Row],[UDC]],TableAvailabilities[],5,FALSE)&gt;0,"Y",""),"")</f>
        <v/>
      </c>
      <c r="K30" s="3"/>
      <c r="L30" s="135" t="str">
        <f>IFERROR(VLOOKUP(TableHandbook[[#This Row],[UDC]],TableEOINARCH[],7,FALSE),"")</f>
        <v/>
      </c>
      <c r="M30" s="136" t="str">
        <f>IFERROR(VLOOKUP(TableHandbook[[#This Row],[UDC]],TableEOINARCH1[],7,FALSE),"")</f>
        <v/>
      </c>
      <c r="N30" s="135" t="str">
        <f>IFERROR(VLOOKUP(TableHandbook[[#This Row],[UDC]],TableOUINDSGN1[],7,FALSE),"")</f>
        <v/>
      </c>
      <c r="O30" s="136" t="str">
        <f>IFERROR(VLOOKUP(TableHandbook[[#This Row],[UDC]],TableOBINDSGN[],7,FALSE),"")</f>
        <v/>
      </c>
      <c r="P30" s="135" t="str">
        <f>IFERROR(VLOOKUP(TableHandbook[[#This Row],[UDC]],TableOSCUANGAD[],7,FALSE),"")</f>
        <v/>
      </c>
      <c r="Q30" s="137" t="str">
        <f>IFERROR(VLOOKUP(TableHandbook[[#This Row],[UDC]],TableOSCUCONMS[],7,FALSE),"")</f>
        <v/>
      </c>
      <c r="R30" s="137" t="str">
        <f>IFERROR(VLOOKUP(TableHandbook[[#This Row],[UDC]],TableOSCUDIGDE[],7,FALSE),"")</f>
        <v/>
      </c>
      <c r="S30" s="137" t="str">
        <f>IFERROR(VLOOKUP(TableHandbook[[#This Row],[UDC]],TableOSCUPLGEO[],7,FALSE),"")</f>
        <v>AltCore</v>
      </c>
      <c r="T30" s="136" t="str">
        <f>IFERROR(VLOOKUP(TableHandbook[[#This Row],[UDC]],TableOSEUARCHT[],7,FALSE),"")</f>
        <v/>
      </c>
    </row>
    <row r="31" spans="1:20" x14ac:dyDescent="0.25">
      <c r="A31" s="3" t="s">
        <v>407</v>
      </c>
      <c r="B31" s="37">
        <v>2</v>
      </c>
      <c r="C31" s="37" t="s">
        <v>235</v>
      </c>
      <c r="D31" s="3" t="s">
        <v>236</v>
      </c>
      <c r="E31" s="37">
        <v>25</v>
      </c>
      <c r="F31" s="213" t="s">
        <v>190</v>
      </c>
      <c r="G31" s="133" t="str">
        <f>IFERROR(IF(VLOOKUP(TableHandbook[[#This Row],[UDC]],TableAvailabilities[],2,FALSE)&gt;0,"Y",""),"")</f>
        <v/>
      </c>
      <c r="H31" s="133" t="str">
        <f>IFERROR(IF(VLOOKUP(TableHandbook[[#This Row],[UDC]],TableAvailabilities[],3,FALSE)&gt;0,"Y",""),"")</f>
        <v/>
      </c>
      <c r="I31" s="133" t="str">
        <f>IFERROR(IF(VLOOKUP(TableHandbook[[#This Row],[UDC]],TableAvailabilities[],4,FALSE)&gt;0,"Y",""),"")</f>
        <v/>
      </c>
      <c r="J31" s="133" t="str">
        <f>IFERROR(IF(VLOOKUP(TableHandbook[[#This Row],[UDC]],TableAvailabilities[],5,FALSE)&gt;0,"Y",""),"")</f>
        <v/>
      </c>
      <c r="K31" s="3" t="s">
        <v>419</v>
      </c>
      <c r="L31" s="135" t="str">
        <f>IFERROR(VLOOKUP(TableHandbook[[#This Row],[UDC]],TableEOINARCH[],7,FALSE),"")</f>
        <v/>
      </c>
      <c r="M31" s="136" t="str">
        <f>IFERROR(VLOOKUP(TableHandbook[[#This Row],[UDC]],TableEOINARCH1[],7,FALSE),"")</f>
        <v/>
      </c>
      <c r="N31" s="135" t="str">
        <f>IFERROR(VLOOKUP(TableHandbook[[#This Row],[UDC]],TableOUINDSGN1[],7,FALSE),"")</f>
        <v/>
      </c>
      <c r="O31" s="136" t="str">
        <f>IFERROR(VLOOKUP(TableHandbook[[#This Row],[UDC]],TableOBINDSGN[],7,FALSE),"")</f>
        <v/>
      </c>
      <c r="P31" s="135" t="str">
        <f>IFERROR(VLOOKUP(TableHandbook[[#This Row],[UDC]],TableOSCUANGAD[],7,FALSE),"")</f>
        <v/>
      </c>
      <c r="Q31" s="137" t="str">
        <f>IFERROR(VLOOKUP(TableHandbook[[#This Row],[UDC]],TableOSCUCONMS[],7,FALSE),"")</f>
        <v/>
      </c>
      <c r="R31" s="137" t="str">
        <f>IFERROR(VLOOKUP(TableHandbook[[#This Row],[UDC]],TableOSCUDIGDE[],7,FALSE),"")</f>
        <v/>
      </c>
      <c r="S31" s="137" t="str">
        <f>IFERROR(VLOOKUP(TableHandbook[[#This Row],[UDC]],TableOSCUPLGEO[],7,FALSE),"")</f>
        <v/>
      </c>
      <c r="T31" s="136" t="str">
        <f>IFERROR(VLOOKUP(TableHandbook[[#This Row],[UDC]],TableOSEUARCHT[],7,FALSE),"")</f>
        <v/>
      </c>
    </row>
    <row r="32" spans="1:20" x14ac:dyDescent="0.25">
      <c r="A32" s="3" t="s">
        <v>402</v>
      </c>
      <c r="B32" s="37">
        <v>1</v>
      </c>
      <c r="C32" s="37" t="s">
        <v>237</v>
      </c>
      <c r="D32" s="3" t="s">
        <v>238</v>
      </c>
      <c r="E32" s="37">
        <v>25</v>
      </c>
      <c r="F32" s="213" t="s">
        <v>190</v>
      </c>
      <c r="G32" s="133" t="str">
        <f>IFERROR(IF(VLOOKUP(TableHandbook[[#This Row],[UDC]],TableAvailabilities[],2,FALSE)&gt;0,"Y",""),"")</f>
        <v/>
      </c>
      <c r="H32" s="133" t="str">
        <f>IFERROR(IF(VLOOKUP(TableHandbook[[#This Row],[UDC]],TableAvailabilities[],3,FALSE)&gt;0,"Y",""),"")</f>
        <v/>
      </c>
      <c r="I32" s="133" t="str">
        <f>IFERROR(IF(VLOOKUP(TableHandbook[[#This Row],[UDC]],TableAvailabilities[],4,FALSE)&gt;0,"Y",""),"")</f>
        <v/>
      </c>
      <c r="J32" s="133" t="str">
        <f>IFERROR(IF(VLOOKUP(TableHandbook[[#This Row],[UDC]],TableAvailabilities[],5,FALSE)&gt;0,"Y",""),"")</f>
        <v/>
      </c>
      <c r="K32" s="3" t="s">
        <v>419</v>
      </c>
      <c r="L32" s="135" t="str">
        <f>IFERROR(VLOOKUP(TableHandbook[[#This Row],[UDC]],TableEOINARCH[],7,FALSE),"")</f>
        <v/>
      </c>
      <c r="M32" s="136" t="str">
        <f>IFERROR(VLOOKUP(TableHandbook[[#This Row],[UDC]],TableEOINARCH1[],7,FALSE),"")</f>
        <v/>
      </c>
      <c r="N32" s="135" t="str">
        <f>IFERROR(VLOOKUP(TableHandbook[[#This Row],[UDC]],TableOUINDSGN1[],7,FALSE),"")</f>
        <v/>
      </c>
      <c r="O32" s="136" t="str">
        <f>IFERROR(VLOOKUP(TableHandbook[[#This Row],[UDC]],TableOBINDSGN[],7,FALSE),"")</f>
        <v/>
      </c>
      <c r="P32" s="135" t="str">
        <f>IFERROR(VLOOKUP(TableHandbook[[#This Row],[UDC]],TableOSCUANGAD[],7,FALSE),"")</f>
        <v/>
      </c>
      <c r="Q32" s="137" t="str">
        <f>IFERROR(VLOOKUP(TableHandbook[[#This Row],[UDC]],TableOSCUCONMS[],7,FALSE),"")</f>
        <v/>
      </c>
      <c r="R32" s="137" t="str">
        <f>IFERROR(VLOOKUP(TableHandbook[[#This Row],[UDC]],TableOSCUDIGDE[],7,FALSE),"")</f>
        <v/>
      </c>
      <c r="S32" s="137" t="str">
        <f>IFERROR(VLOOKUP(TableHandbook[[#This Row],[UDC]],TableOSCUPLGEO[],7,FALSE),"")</f>
        <v/>
      </c>
      <c r="T32" s="136" t="str">
        <f>IFERROR(VLOOKUP(TableHandbook[[#This Row],[UDC]],TableOSEUARCHT[],7,FALSE),"")</f>
        <v/>
      </c>
    </row>
    <row r="33" spans="1:20" x14ac:dyDescent="0.25">
      <c r="A33" s="211" t="s">
        <v>384</v>
      </c>
      <c r="B33" s="37">
        <v>1</v>
      </c>
      <c r="C33" s="37" t="s">
        <v>384</v>
      </c>
      <c r="D33" s="3" t="s">
        <v>391</v>
      </c>
      <c r="E33" s="37">
        <v>25</v>
      </c>
      <c r="F33" s="142" t="s">
        <v>190</v>
      </c>
      <c r="G33" s="133" t="str">
        <f>IFERROR(IF(VLOOKUP(TableHandbook[[#This Row],[UDC]],TableAvailabilities[],2,FALSE)&gt;0,"Y",""),"")</f>
        <v/>
      </c>
      <c r="H33" s="133" t="str">
        <f>IFERROR(IF(VLOOKUP(TableHandbook[[#This Row],[UDC]],TableAvailabilities[],3,FALSE)&gt;0,"Y",""),"")</f>
        <v>Y</v>
      </c>
      <c r="I33" s="133" t="str">
        <f>IFERROR(IF(VLOOKUP(TableHandbook[[#This Row],[UDC]],TableAvailabilities[],4,FALSE)&gt;0,"Y",""),"")</f>
        <v/>
      </c>
      <c r="J33" s="133" t="str">
        <f>IFERROR(IF(VLOOKUP(TableHandbook[[#This Row],[UDC]],TableAvailabilities[],5,FALSE)&gt;0,"Y",""),"")</f>
        <v>Y</v>
      </c>
      <c r="K33" s="3"/>
      <c r="L33" s="135" t="str">
        <f>IFERROR(VLOOKUP(TableHandbook[[#This Row],[UDC]],TableEOINARCH[],7,FALSE),"")</f>
        <v/>
      </c>
      <c r="M33" s="136" t="str">
        <f>IFERROR(VLOOKUP(TableHandbook[[#This Row],[UDC]],TableEOINARCH1[],7,FALSE),"")</f>
        <v/>
      </c>
      <c r="N33" s="135" t="str">
        <f>IFERROR(VLOOKUP(TableHandbook[[#This Row],[UDC]],TableOUINDSGN1[],7,FALSE),"")</f>
        <v/>
      </c>
      <c r="O33" s="136" t="str">
        <f>IFERROR(VLOOKUP(TableHandbook[[#This Row],[UDC]],TableOBINDSGN[],7,FALSE),"")</f>
        <v/>
      </c>
      <c r="P33" s="135" t="str">
        <f>IFERROR(VLOOKUP(TableHandbook[[#This Row],[UDC]],TableOSCUANGAD[],7,FALSE),"")</f>
        <v>Core</v>
      </c>
      <c r="Q33" s="137" t="str">
        <f>IFERROR(VLOOKUP(TableHandbook[[#This Row],[UDC]],TableOSCUCONMS[],7,FALSE),"")</f>
        <v/>
      </c>
      <c r="R33" s="137" t="str">
        <f>IFERROR(VLOOKUP(TableHandbook[[#This Row],[UDC]],TableOSCUDIGDE[],7,FALSE),"")</f>
        <v>Core</v>
      </c>
      <c r="S33" s="137" t="str">
        <f>IFERROR(VLOOKUP(TableHandbook[[#This Row],[UDC]],TableOSCUPLGEO[],7,FALSE),"")</f>
        <v/>
      </c>
      <c r="T33" s="136" t="str">
        <f>IFERROR(VLOOKUP(TableHandbook[[#This Row],[UDC]],TableOSEUARCHT[],7,FALSE),"")</f>
        <v/>
      </c>
    </row>
    <row r="34" spans="1:20" x14ac:dyDescent="0.25">
      <c r="A34" s="211" t="s">
        <v>386</v>
      </c>
      <c r="B34" s="37">
        <v>1</v>
      </c>
      <c r="C34" s="37" t="s">
        <v>386</v>
      </c>
      <c r="D34" s="3" t="s">
        <v>392</v>
      </c>
      <c r="E34" s="37">
        <v>25</v>
      </c>
      <c r="F34" s="142" t="s">
        <v>190</v>
      </c>
      <c r="G34" s="133" t="str">
        <f>IFERROR(IF(VLOOKUP(TableHandbook[[#This Row],[UDC]],TableAvailabilities[],2,FALSE)&gt;0,"Y",""),"")</f>
        <v>Y</v>
      </c>
      <c r="H34" s="133" t="str">
        <f>IFERROR(IF(VLOOKUP(TableHandbook[[#This Row],[UDC]],TableAvailabilities[],3,FALSE)&gt;0,"Y",""),"")</f>
        <v/>
      </c>
      <c r="I34" s="133" t="str">
        <f>IFERROR(IF(VLOOKUP(TableHandbook[[#This Row],[UDC]],TableAvailabilities[],4,FALSE)&gt;0,"Y",""),"")</f>
        <v>Y</v>
      </c>
      <c r="J34" s="133" t="str">
        <f>IFERROR(IF(VLOOKUP(TableHandbook[[#This Row],[UDC]],TableAvailabilities[],5,FALSE)&gt;0,"Y",""),"")</f>
        <v/>
      </c>
      <c r="K34" s="3"/>
      <c r="L34" s="135" t="str">
        <f>IFERROR(VLOOKUP(TableHandbook[[#This Row],[UDC]],TableEOINARCH[],7,FALSE),"")</f>
        <v/>
      </c>
      <c r="M34" s="136" t="str">
        <f>IFERROR(VLOOKUP(TableHandbook[[#This Row],[UDC]],TableEOINARCH1[],7,FALSE),"")</f>
        <v/>
      </c>
      <c r="N34" s="135" t="str">
        <f>IFERROR(VLOOKUP(TableHandbook[[#This Row],[UDC]],TableOUINDSGN1[],7,FALSE),"")</f>
        <v/>
      </c>
      <c r="O34" s="136" t="str">
        <f>IFERROR(VLOOKUP(TableHandbook[[#This Row],[UDC]],TableOBINDSGN[],7,FALSE),"")</f>
        <v/>
      </c>
      <c r="P34" s="135" t="str">
        <f>IFERROR(VLOOKUP(TableHandbook[[#This Row],[UDC]],TableOSCUANGAD[],7,FALSE),"")</f>
        <v>Core</v>
      </c>
      <c r="Q34" s="137" t="str">
        <f>IFERROR(VLOOKUP(TableHandbook[[#This Row],[UDC]],TableOSCUCONMS[],7,FALSE),"")</f>
        <v/>
      </c>
      <c r="R34" s="137" t="str">
        <f>IFERROR(VLOOKUP(TableHandbook[[#This Row],[UDC]],TableOSCUDIGDE[],7,FALSE),"")</f>
        <v/>
      </c>
      <c r="S34" s="137" t="str">
        <f>IFERROR(VLOOKUP(TableHandbook[[#This Row],[UDC]],TableOSCUPLGEO[],7,FALSE),"")</f>
        <v/>
      </c>
      <c r="T34" s="136" t="str">
        <f>IFERROR(VLOOKUP(TableHandbook[[#This Row],[UDC]],TableOSEUARCHT[],7,FALSE),"")</f>
        <v/>
      </c>
    </row>
    <row r="35" spans="1:20" x14ac:dyDescent="0.25">
      <c r="A35" s="211" t="s">
        <v>396</v>
      </c>
      <c r="B35" s="37">
        <v>1</v>
      </c>
      <c r="C35" s="37" t="s">
        <v>396</v>
      </c>
      <c r="D35" s="3" t="s">
        <v>431</v>
      </c>
      <c r="E35" s="37">
        <v>25</v>
      </c>
      <c r="F35" s="142" t="s">
        <v>190</v>
      </c>
      <c r="G35" s="133" t="str">
        <f>IFERROR(IF(VLOOKUP(TableHandbook[[#This Row],[UDC]],TableAvailabilities[],2,FALSE)&gt;0,"Y",""),"")</f>
        <v>Y</v>
      </c>
      <c r="H35" s="133" t="str">
        <f>IFERROR(IF(VLOOKUP(TableHandbook[[#This Row],[UDC]],TableAvailabilities[],3,FALSE)&gt;0,"Y",""),"")</f>
        <v/>
      </c>
      <c r="I35" s="133" t="str">
        <f>IFERROR(IF(VLOOKUP(TableHandbook[[#This Row],[UDC]],TableAvailabilities[],4,FALSE)&gt;0,"Y",""),"")</f>
        <v>Y</v>
      </c>
      <c r="J35" s="133" t="str">
        <f>IFERROR(IF(VLOOKUP(TableHandbook[[#This Row],[UDC]],TableAvailabilities[],5,FALSE)&gt;0,"Y",""),"")</f>
        <v/>
      </c>
      <c r="K35" s="3"/>
      <c r="L35" s="135" t="str">
        <f>IFERROR(VLOOKUP(TableHandbook[[#This Row],[UDC]],TableEOINARCH[],7,FALSE),"")</f>
        <v/>
      </c>
      <c r="M35" s="136" t="str">
        <f>IFERROR(VLOOKUP(TableHandbook[[#This Row],[UDC]],TableEOINARCH1[],7,FALSE),"")</f>
        <v/>
      </c>
      <c r="N35" s="135" t="str">
        <f>IFERROR(VLOOKUP(TableHandbook[[#This Row],[UDC]],TableOUINDSGN1[],7,FALSE),"")</f>
        <v/>
      </c>
      <c r="O35" s="136" t="str">
        <f>IFERROR(VLOOKUP(TableHandbook[[#This Row],[UDC]],TableOBINDSGN[],7,FALSE),"")</f>
        <v/>
      </c>
      <c r="P35" s="135" t="str">
        <f>IFERROR(VLOOKUP(TableHandbook[[#This Row],[UDC]],TableOSCUANGAD[],7,FALSE),"")</f>
        <v/>
      </c>
      <c r="Q35" s="137" t="str">
        <f>IFERROR(VLOOKUP(TableHandbook[[#This Row],[UDC]],TableOSCUCONMS[],7,FALSE),"")</f>
        <v/>
      </c>
      <c r="R35" s="137" t="str">
        <f>IFERROR(VLOOKUP(TableHandbook[[#This Row],[UDC]],TableOSCUDIGDE[],7,FALSE),"")</f>
        <v>Core</v>
      </c>
      <c r="S35" s="137" t="str">
        <f>IFERROR(VLOOKUP(TableHandbook[[#This Row],[UDC]],TableOSCUPLGEO[],7,FALSE),"")</f>
        <v/>
      </c>
      <c r="T35" s="136" t="str">
        <f>IFERROR(VLOOKUP(TableHandbook[[#This Row],[UDC]],TableOSEUARCHT[],7,FALSE),"")</f>
        <v/>
      </c>
    </row>
    <row r="36" spans="1:20" x14ac:dyDescent="0.25">
      <c r="A36" s="3" t="s">
        <v>409</v>
      </c>
      <c r="B36" s="37">
        <v>3</v>
      </c>
      <c r="C36" s="37" t="s">
        <v>239</v>
      </c>
      <c r="D36" s="3" t="s">
        <v>240</v>
      </c>
      <c r="E36" s="37">
        <v>25</v>
      </c>
      <c r="F36" s="213" t="s">
        <v>241</v>
      </c>
      <c r="G36" s="133" t="str">
        <f>IFERROR(IF(VLOOKUP(TableHandbook[[#This Row],[UDC]],TableAvailabilities[],2,FALSE)&gt;0,"Y",""),"")</f>
        <v/>
      </c>
      <c r="H36" s="133" t="str">
        <f>IFERROR(IF(VLOOKUP(TableHandbook[[#This Row],[UDC]],TableAvailabilities[],3,FALSE)&gt;0,"Y",""),"")</f>
        <v/>
      </c>
      <c r="I36" s="133" t="str">
        <f>IFERROR(IF(VLOOKUP(TableHandbook[[#This Row],[UDC]],TableAvailabilities[],4,FALSE)&gt;0,"Y",""),"")</f>
        <v/>
      </c>
      <c r="J36" s="133" t="str">
        <f>IFERROR(IF(VLOOKUP(TableHandbook[[#This Row],[UDC]],TableAvailabilities[],5,FALSE)&gt;0,"Y",""),"")</f>
        <v/>
      </c>
      <c r="K36" s="3" t="s">
        <v>419</v>
      </c>
      <c r="L36" s="135" t="str">
        <f>IFERROR(VLOOKUP(TableHandbook[[#This Row],[UDC]],TableEOINARCH[],7,FALSE),"")</f>
        <v/>
      </c>
      <c r="M36" s="136" t="str">
        <f>IFERROR(VLOOKUP(TableHandbook[[#This Row],[UDC]],TableEOINARCH1[],7,FALSE),"")</f>
        <v/>
      </c>
      <c r="N36" s="135" t="str">
        <f>IFERROR(VLOOKUP(TableHandbook[[#This Row],[UDC]],TableOUINDSGN1[],7,FALSE),"")</f>
        <v/>
      </c>
      <c r="O36" s="136" t="str">
        <f>IFERROR(VLOOKUP(TableHandbook[[#This Row],[UDC]],TableOBINDSGN[],7,FALSE),"")</f>
        <v/>
      </c>
      <c r="P36" s="135" t="str">
        <f>IFERROR(VLOOKUP(TableHandbook[[#This Row],[UDC]],TableOSCUANGAD[],7,FALSE),"")</f>
        <v/>
      </c>
      <c r="Q36" s="137" t="str">
        <f>IFERROR(VLOOKUP(TableHandbook[[#This Row],[UDC]],TableOSCUCONMS[],7,FALSE),"")</f>
        <v/>
      </c>
      <c r="R36" s="137" t="str">
        <f>IFERROR(VLOOKUP(TableHandbook[[#This Row],[UDC]],TableOSCUDIGDE[],7,FALSE),"")</f>
        <v/>
      </c>
      <c r="S36" s="137" t="str">
        <f>IFERROR(VLOOKUP(TableHandbook[[#This Row],[UDC]],TableOSCUPLGEO[],7,FALSE),"")</f>
        <v/>
      </c>
      <c r="T36" s="136" t="str">
        <f>IFERROR(VLOOKUP(TableHandbook[[#This Row],[UDC]],TableOSEUARCHT[],7,FALSE),"")</f>
        <v/>
      </c>
    </row>
    <row r="37" spans="1:20" x14ac:dyDescent="0.25">
      <c r="A37" s="3" t="s">
        <v>410</v>
      </c>
      <c r="B37" s="37">
        <v>3</v>
      </c>
      <c r="C37" s="37" t="s">
        <v>242</v>
      </c>
      <c r="D37" s="3" t="s">
        <v>243</v>
      </c>
      <c r="E37" s="37">
        <v>25</v>
      </c>
      <c r="F37" s="213" t="s">
        <v>239</v>
      </c>
      <c r="G37" s="133" t="str">
        <f>IFERROR(IF(VLOOKUP(TableHandbook[[#This Row],[UDC]],TableAvailabilities[],2,FALSE)&gt;0,"Y",""),"")</f>
        <v/>
      </c>
      <c r="H37" s="133" t="str">
        <f>IFERROR(IF(VLOOKUP(TableHandbook[[#This Row],[UDC]],TableAvailabilities[],3,FALSE)&gt;0,"Y",""),"")</f>
        <v/>
      </c>
      <c r="I37" s="133" t="str">
        <f>IFERROR(IF(VLOOKUP(TableHandbook[[#This Row],[UDC]],TableAvailabilities[],4,FALSE)&gt;0,"Y",""),"")</f>
        <v/>
      </c>
      <c r="J37" s="133" t="str">
        <f>IFERROR(IF(VLOOKUP(TableHandbook[[#This Row],[UDC]],TableAvailabilities[],5,FALSE)&gt;0,"Y",""),"")</f>
        <v/>
      </c>
      <c r="K37" s="3" t="s">
        <v>419</v>
      </c>
      <c r="L37" s="135" t="str">
        <f>IFERROR(VLOOKUP(TableHandbook[[#This Row],[UDC]],TableEOINARCH[],7,FALSE),"")</f>
        <v/>
      </c>
      <c r="M37" s="136" t="str">
        <f>IFERROR(VLOOKUP(TableHandbook[[#This Row],[UDC]],TableEOINARCH1[],7,FALSE),"")</f>
        <v/>
      </c>
      <c r="N37" s="135" t="str">
        <f>IFERROR(VLOOKUP(TableHandbook[[#This Row],[UDC]],TableOUINDSGN1[],7,FALSE),"")</f>
        <v/>
      </c>
      <c r="O37" s="136" t="str">
        <f>IFERROR(VLOOKUP(TableHandbook[[#This Row],[UDC]],TableOBINDSGN[],7,FALSE),"")</f>
        <v/>
      </c>
      <c r="P37" s="135" t="str">
        <f>IFERROR(VLOOKUP(TableHandbook[[#This Row],[UDC]],TableOSCUANGAD[],7,FALSE),"")</f>
        <v/>
      </c>
      <c r="Q37" s="137" t="str">
        <f>IFERROR(VLOOKUP(TableHandbook[[#This Row],[UDC]],TableOSCUCONMS[],7,FALSE),"")</f>
        <v/>
      </c>
      <c r="R37" s="137" t="str">
        <f>IFERROR(VLOOKUP(TableHandbook[[#This Row],[UDC]],TableOSCUDIGDE[],7,FALSE),"")</f>
        <v/>
      </c>
      <c r="S37" s="137" t="str">
        <f>IFERROR(VLOOKUP(TableHandbook[[#This Row],[UDC]],TableOSCUPLGEO[],7,FALSE),"")</f>
        <v/>
      </c>
      <c r="T37" s="136" t="str">
        <f>IFERROR(VLOOKUP(TableHandbook[[#This Row],[UDC]],TableOSEUARCHT[],7,FALSE),"")</f>
        <v/>
      </c>
    </row>
    <row r="38" spans="1:20" x14ac:dyDescent="0.25">
      <c r="A38" s="3" t="s">
        <v>403</v>
      </c>
      <c r="B38" s="37">
        <v>1</v>
      </c>
      <c r="C38" s="37" t="s">
        <v>244</v>
      </c>
      <c r="D38" s="3" t="s">
        <v>245</v>
      </c>
      <c r="E38" s="37">
        <v>25</v>
      </c>
      <c r="F38" s="213" t="s">
        <v>246</v>
      </c>
      <c r="G38" s="133" t="str">
        <f>IFERROR(IF(VLOOKUP(TableHandbook[[#This Row],[UDC]],TableAvailabilities[],2,FALSE)&gt;0,"Y",""),"")</f>
        <v/>
      </c>
      <c r="H38" s="133" t="str">
        <f>IFERROR(IF(VLOOKUP(TableHandbook[[#This Row],[UDC]],TableAvailabilities[],3,FALSE)&gt;0,"Y",""),"")</f>
        <v/>
      </c>
      <c r="I38" s="133" t="str">
        <f>IFERROR(IF(VLOOKUP(TableHandbook[[#This Row],[UDC]],TableAvailabilities[],4,FALSE)&gt;0,"Y",""),"")</f>
        <v/>
      </c>
      <c r="J38" s="133" t="str">
        <f>IFERROR(IF(VLOOKUP(TableHandbook[[#This Row],[UDC]],TableAvailabilities[],5,FALSE)&gt;0,"Y",""),"")</f>
        <v/>
      </c>
      <c r="K38" s="3" t="s">
        <v>419</v>
      </c>
      <c r="L38" s="135" t="str">
        <f>IFERROR(VLOOKUP(TableHandbook[[#This Row],[UDC]],TableEOINARCH[],7,FALSE),"")</f>
        <v/>
      </c>
      <c r="M38" s="136" t="str">
        <f>IFERROR(VLOOKUP(TableHandbook[[#This Row],[UDC]],TableEOINARCH1[],7,FALSE),"")</f>
        <v/>
      </c>
      <c r="N38" s="135" t="str">
        <f>IFERROR(VLOOKUP(TableHandbook[[#This Row],[UDC]],TableOUINDSGN1[],7,FALSE),"")</f>
        <v/>
      </c>
      <c r="O38" s="136" t="str">
        <f>IFERROR(VLOOKUP(TableHandbook[[#This Row],[UDC]],TableOBINDSGN[],7,FALSE),"")</f>
        <v/>
      </c>
      <c r="P38" s="135" t="str">
        <f>IFERROR(VLOOKUP(TableHandbook[[#This Row],[UDC]],TableOSCUANGAD[],7,FALSE),"")</f>
        <v/>
      </c>
      <c r="Q38" s="137" t="str">
        <f>IFERROR(VLOOKUP(TableHandbook[[#This Row],[UDC]],TableOSCUCONMS[],7,FALSE),"")</f>
        <v/>
      </c>
      <c r="R38" s="137" t="str">
        <f>IFERROR(VLOOKUP(TableHandbook[[#This Row],[UDC]],TableOSCUDIGDE[],7,FALSE),"")</f>
        <v/>
      </c>
      <c r="S38" s="137" t="str">
        <f>IFERROR(VLOOKUP(TableHandbook[[#This Row],[UDC]],TableOSCUPLGEO[],7,FALSE),"")</f>
        <v/>
      </c>
      <c r="T38" s="136" t="str">
        <f>IFERROR(VLOOKUP(TableHandbook[[#This Row],[UDC]],TableOSEUARCHT[],7,FALSE),"")</f>
        <v/>
      </c>
    </row>
    <row r="39" spans="1:20" x14ac:dyDescent="0.25">
      <c r="A39" s="3" t="s">
        <v>404</v>
      </c>
      <c r="B39" s="37">
        <v>1</v>
      </c>
      <c r="C39" s="37" t="s">
        <v>247</v>
      </c>
      <c r="D39" s="3" t="s">
        <v>248</v>
      </c>
      <c r="E39" s="37">
        <v>25</v>
      </c>
      <c r="F39" s="213" t="s">
        <v>190</v>
      </c>
      <c r="G39" s="133" t="str">
        <f>IFERROR(IF(VLOOKUP(TableHandbook[[#This Row],[UDC]],TableAvailabilities[],2,FALSE)&gt;0,"Y",""),"")</f>
        <v/>
      </c>
      <c r="H39" s="133" t="str">
        <f>IFERROR(IF(VLOOKUP(TableHandbook[[#This Row],[UDC]],TableAvailabilities[],3,FALSE)&gt;0,"Y",""),"")</f>
        <v/>
      </c>
      <c r="I39" s="133" t="str">
        <f>IFERROR(IF(VLOOKUP(TableHandbook[[#This Row],[UDC]],TableAvailabilities[],4,FALSE)&gt;0,"Y",""),"")</f>
        <v/>
      </c>
      <c r="J39" s="133" t="str">
        <f>IFERROR(IF(VLOOKUP(TableHandbook[[#This Row],[UDC]],TableAvailabilities[],5,FALSE)&gt;0,"Y",""),"")</f>
        <v/>
      </c>
      <c r="K39" s="3" t="s">
        <v>419</v>
      </c>
      <c r="L39" s="135" t="str">
        <f>IFERROR(VLOOKUP(TableHandbook[[#This Row],[UDC]],TableEOINARCH[],7,FALSE),"")</f>
        <v/>
      </c>
      <c r="M39" s="136" t="str">
        <f>IFERROR(VLOOKUP(TableHandbook[[#This Row],[UDC]],TableEOINARCH1[],7,FALSE),"")</f>
        <v/>
      </c>
      <c r="N39" s="135" t="str">
        <f>IFERROR(VLOOKUP(TableHandbook[[#This Row],[UDC]],TableOUINDSGN1[],7,FALSE),"")</f>
        <v/>
      </c>
      <c r="O39" s="136" t="str">
        <f>IFERROR(VLOOKUP(TableHandbook[[#This Row],[UDC]],TableOBINDSGN[],7,FALSE),"")</f>
        <v/>
      </c>
      <c r="P39" s="135" t="str">
        <f>IFERROR(VLOOKUP(TableHandbook[[#This Row],[UDC]],TableOSCUANGAD[],7,FALSE),"")</f>
        <v/>
      </c>
      <c r="Q39" s="137" t="str">
        <f>IFERROR(VLOOKUP(TableHandbook[[#This Row],[UDC]],TableOSCUCONMS[],7,FALSE),"")</f>
        <v/>
      </c>
      <c r="R39" s="137" t="str">
        <f>IFERROR(VLOOKUP(TableHandbook[[#This Row],[UDC]],TableOSCUDIGDE[],7,FALSE),"")</f>
        <v/>
      </c>
      <c r="S39" s="137" t="str">
        <f>IFERROR(VLOOKUP(TableHandbook[[#This Row],[UDC]],TableOSCUPLGEO[],7,FALSE),"")</f>
        <v/>
      </c>
      <c r="T39" s="136" t="str">
        <f>IFERROR(VLOOKUP(TableHandbook[[#This Row],[UDC]],TableOSEUARCHT[],7,FALSE),"")</f>
        <v/>
      </c>
    </row>
    <row r="40" spans="1:20" x14ac:dyDescent="0.25">
      <c r="A40" s="3" t="s">
        <v>101</v>
      </c>
      <c r="B40" s="37">
        <v>1</v>
      </c>
      <c r="C40" s="37" t="s">
        <v>249</v>
      </c>
      <c r="D40" s="3" t="s">
        <v>250</v>
      </c>
      <c r="E40" s="37">
        <v>25</v>
      </c>
      <c r="F40" s="142" t="s">
        <v>193</v>
      </c>
      <c r="G40" s="133" t="str">
        <f>IFERROR(IF(VLOOKUP(TableHandbook[[#This Row],[UDC]],TableAvailabilities[],2,FALSE)&gt;0,"Y",""),"")</f>
        <v/>
      </c>
      <c r="H40" s="133" t="str">
        <f>IFERROR(IF(VLOOKUP(TableHandbook[[#This Row],[UDC]],TableAvailabilities[],3,FALSE)&gt;0,"Y",""),"")</f>
        <v/>
      </c>
      <c r="I40" s="133" t="str">
        <f>IFERROR(IF(VLOOKUP(TableHandbook[[#This Row],[UDC]],TableAvailabilities[],4,FALSE)&gt;0,"Y",""),"")</f>
        <v/>
      </c>
      <c r="J40" s="133" t="str">
        <f>IFERROR(IF(VLOOKUP(TableHandbook[[#This Row],[UDC]],TableAvailabilities[],5,FALSE)&gt;0,"Y",""),"")</f>
        <v>Y</v>
      </c>
      <c r="K40" s="3"/>
      <c r="L40" s="135" t="str">
        <f>IFERROR(VLOOKUP(TableHandbook[[#This Row],[UDC]],TableEOINARCH[],7,FALSE),"")</f>
        <v>Core</v>
      </c>
      <c r="M40" s="136" t="str">
        <f>IFERROR(VLOOKUP(TableHandbook[[#This Row],[UDC]],TableEOINARCH1[],7,FALSE),"")</f>
        <v>Core</v>
      </c>
      <c r="N40" s="135" t="str">
        <f>IFERROR(VLOOKUP(TableHandbook[[#This Row],[UDC]],TableOUINDSGN1[],7,FALSE),"")</f>
        <v>Core</v>
      </c>
      <c r="O40" s="136" t="str">
        <f>IFERROR(VLOOKUP(TableHandbook[[#This Row],[UDC]],TableOBINDSGN[],7,FALSE),"")</f>
        <v>Core</v>
      </c>
      <c r="P40" s="135" t="str">
        <f>IFERROR(VLOOKUP(TableHandbook[[#This Row],[UDC]],TableOSCUANGAD[],7,FALSE),"")</f>
        <v/>
      </c>
      <c r="Q40" s="137" t="str">
        <f>IFERROR(VLOOKUP(TableHandbook[[#This Row],[UDC]],TableOSCUCONMS[],7,FALSE),"")</f>
        <v/>
      </c>
      <c r="R40" s="137" t="str">
        <f>IFERROR(VLOOKUP(TableHandbook[[#This Row],[UDC]],TableOSCUDIGDE[],7,FALSE),"")</f>
        <v/>
      </c>
      <c r="S40" s="137" t="str">
        <f>IFERROR(VLOOKUP(TableHandbook[[#This Row],[UDC]],TableOSCUPLGEO[],7,FALSE),"")</f>
        <v/>
      </c>
      <c r="T40" s="136" t="str">
        <f>IFERROR(VLOOKUP(TableHandbook[[#This Row],[UDC]],TableOSEUARCHT[],7,FALSE),"")</f>
        <v/>
      </c>
    </row>
    <row r="41" spans="1:20" x14ac:dyDescent="0.25">
      <c r="A41" s="211" t="s">
        <v>398</v>
      </c>
      <c r="B41" s="37">
        <v>1</v>
      </c>
      <c r="C41" s="37" t="s">
        <v>398</v>
      </c>
      <c r="D41" s="3" t="s">
        <v>432</v>
      </c>
      <c r="E41" s="37">
        <v>25</v>
      </c>
      <c r="F41" s="142" t="s">
        <v>434</v>
      </c>
      <c r="G41" s="133" t="str">
        <f>IFERROR(IF(VLOOKUP(TableHandbook[[#This Row],[UDC]],TableAvailabilities[],2,FALSE)&gt;0,"Y",""),"")</f>
        <v>Y</v>
      </c>
      <c r="H41" s="133" t="str">
        <f>IFERROR(IF(VLOOKUP(TableHandbook[[#This Row],[UDC]],TableAvailabilities[],3,FALSE)&gt;0,"Y",""),"")</f>
        <v/>
      </c>
      <c r="I41" s="133" t="str">
        <f>IFERROR(IF(VLOOKUP(TableHandbook[[#This Row],[UDC]],TableAvailabilities[],4,FALSE)&gt;0,"Y",""),"")</f>
        <v>Y</v>
      </c>
      <c r="J41" s="133" t="str">
        <f>IFERROR(IF(VLOOKUP(TableHandbook[[#This Row],[UDC]],TableAvailabilities[],5,FALSE)&gt;0,"Y",""),"")</f>
        <v/>
      </c>
      <c r="K41" s="3"/>
      <c r="L41" s="135" t="str">
        <f>IFERROR(VLOOKUP(TableHandbook[[#This Row],[UDC]],TableEOINARCH[],7,FALSE),"")</f>
        <v/>
      </c>
      <c r="M41" s="136" t="str">
        <f>IFERROR(VLOOKUP(TableHandbook[[#This Row],[UDC]],TableEOINARCH1[],7,FALSE),"")</f>
        <v/>
      </c>
      <c r="N41" s="135" t="str">
        <f>IFERROR(VLOOKUP(TableHandbook[[#This Row],[UDC]],TableOUINDSGN1[],7,FALSE),"")</f>
        <v/>
      </c>
      <c r="O41" s="136" t="str">
        <f>IFERROR(VLOOKUP(TableHandbook[[#This Row],[UDC]],TableOBINDSGN[],7,FALSE),"")</f>
        <v/>
      </c>
      <c r="P41" s="135" t="str">
        <f>IFERROR(VLOOKUP(TableHandbook[[#This Row],[UDC]],TableOSCUANGAD[],7,FALSE),"")</f>
        <v/>
      </c>
      <c r="Q41" s="137" t="str">
        <f>IFERROR(VLOOKUP(TableHandbook[[#This Row],[UDC]],TableOSCUCONMS[],7,FALSE),"")</f>
        <v/>
      </c>
      <c r="R41" s="137" t="str">
        <f>IFERROR(VLOOKUP(TableHandbook[[#This Row],[UDC]],TableOSCUDIGDE[],7,FALSE),"")</f>
        <v>Core</v>
      </c>
      <c r="S41" s="137" t="str">
        <f>IFERROR(VLOOKUP(TableHandbook[[#This Row],[UDC]],TableOSCUPLGEO[],7,FALSE),"")</f>
        <v/>
      </c>
      <c r="T41" s="136" t="str">
        <f>IFERROR(VLOOKUP(TableHandbook[[#This Row],[UDC]],TableOSEUARCHT[],7,FALSE),"")</f>
        <v/>
      </c>
    </row>
    <row r="42" spans="1:20" x14ac:dyDescent="0.25">
      <c r="A42" s="211" t="s">
        <v>400</v>
      </c>
      <c r="B42" s="37">
        <v>1</v>
      </c>
      <c r="C42" s="37" t="s">
        <v>400</v>
      </c>
      <c r="D42" s="3" t="s">
        <v>433</v>
      </c>
      <c r="E42" s="37">
        <v>25</v>
      </c>
      <c r="F42" s="142" t="s">
        <v>435</v>
      </c>
      <c r="G42" s="133" t="str">
        <f>IFERROR(IF(VLOOKUP(TableHandbook[[#This Row],[UDC]],TableAvailabilities[],2,FALSE)&gt;0,"Y",""),"")</f>
        <v/>
      </c>
      <c r="H42" s="133" t="str">
        <f>IFERROR(IF(VLOOKUP(TableHandbook[[#This Row],[UDC]],TableAvailabilities[],3,FALSE)&gt;0,"Y",""),"")</f>
        <v>Y</v>
      </c>
      <c r="I42" s="133" t="str">
        <f>IFERROR(IF(VLOOKUP(TableHandbook[[#This Row],[UDC]],TableAvailabilities[],4,FALSE)&gt;0,"Y",""),"")</f>
        <v/>
      </c>
      <c r="J42" s="133" t="str">
        <f>IFERROR(IF(VLOOKUP(TableHandbook[[#This Row],[UDC]],TableAvailabilities[],5,FALSE)&gt;0,"Y",""),"")</f>
        <v>Y</v>
      </c>
      <c r="K42" s="3"/>
      <c r="L42" s="135" t="str">
        <f>IFERROR(VLOOKUP(TableHandbook[[#This Row],[UDC]],TableEOINARCH[],7,FALSE),"")</f>
        <v/>
      </c>
      <c r="M42" s="136" t="str">
        <f>IFERROR(VLOOKUP(TableHandbook[[#This Row],[UDC]],TableEOINARCH1[],7,FALSE),"")</f>
        <v/>
      </c>
      <c r="N42" s="135" t="str">
        <f>IFERROR(VLOOKUP(TableHandbook[[#This Row],[UDC]],TableOUINDSGN1[],7,FALSE),"")</f>
        <v/>
      </c>
      <c r="O42" s="136" t="str">
        <f>IFERROR(VLOOKUP(TableHandbook[[#This Row],[UDC]],TableOBINDSGN[],7,FALSE),"")</f>
        <v/>
      </c>
      <c r="P42" s="135" t="str">
        <f>IFERROR(VLOOKUP(TableHandbook[[#This Row],[UDC]],TableOSCUANGAD[],7,FALSE),"")</f>
        <v/>
      </c>
      <c r="Q42" s="137" t="str">
        <f>IFERROR(VLOOKUP(TableHandbook[[#This Row],[UDC]],TableOSCUCONMS[],7,FALSE),"")</f>
        <v/>
      </c>
      <c r="R42" s="137" t="str">
        <f>IFERROR(VLOOKUP(TableHandbook[[#This Row],[UDC]],TableOSCUDIGDE[],7,FALSE),"")</f>
        <v>Core</v>
      </c>
      <c r="S42" s="137" t="str">
        <f>IFERROR(VLOOKUP(TableHandbook[[#This Row],[UDC]],TableOSCUPLGEO[],7,FALSE),"")</f>
        <v/>
      </c>
      <c r="T42" s="136" t="str">
        <f>IFERROR(VLOOKUP(TableHandbook[[#This Row],[UDC]],TableOSEUARCHT[],7,FALSE),"")</f>
        <v/>
      </c>
    </row>
    <row r="43" spans="1:20" x14ac:dyDescent="0.25">
      <c r="A43" s="211" t="s">
        <v>388</v>
      </c>
      <c r="B43" s="37">
        <v>1</v>
      </c>
      <c r="C43" s="37" t="s">
        <v>388</v>
      </c>
      <c r="D43" s="3" t="s">
        <v>393</v>
      </c>
      <c r="E43" s="37">
        <v>25</v>
      </c>
      <c r="F43" s="142" t="s">
        <v>421</v>
      </c>
      <c r="G43" s="133" t="str">
        <f>IFERROR(IF(VLOOKUP(TableHandbook[[#This Row],[UDC]],TableAvailabilities[],2,FALSE)&gt;0,"Y",""),"")</f>
        <v/>
      </c>
      <c r="H43" s="133" t="str">
        <f>IFERROR(IF(VLOOKUP(TableHandbook[[#This Row],[UDC]],TableAvailabilities[],3,FALSE)&gt;0,"Y",""),"")</f>
        <v>Y</v>
      </c>
      <c r="I43" s="133" t="str">
        <f>IFERROR(IF(VLOOKUP(TableHandbook[[#This Row],[UDC]],TableAvailabilities[],4,FALSE)&gt;0,"Y",""),"")</f>
        <v/>
      </c>
      <c r="J43" s="133" t="str">
        <f>IFERROR(IF(VLOOKUP(TableHandbook[[#This Row],[UDC]],TableAvailabilities[],5,FALSE)&gt;0,"Y",""),"")</f>
        <v>Y</v>
      </c>
      <c r="K43" s="3"/>
      <c r="L43" s="135" t="str">
        <f>IFERROR(VLOOKUP(TableHandbook[[#This Row],[UDC]],TableEOINARCH[],7,FALSE),"")</f>
        <v/>
      </c>
      <c r="M43" s="136" t="str">
        <f>IFERROR(VLOOKUP(TableHandbook[[#This Row],[UDC]],TableEOINARCH1[],7,FALSE),"")</f>
        <v/>
      </c>
      <c r="N43" s="135" t="str">
        <f>IFERROR(VLOOKUP(TableHandbook[[#This Row],[UDC]],TableOUINDSGN1[],7,FALSE),"")</f>
        <v/>
      </c>
      <c r="O43" s="136" t="str">
        <f>IFERROR(VLOOKUP(TableHandbook[[#This Row],[UDC]],TableOBINDSGN[],7,FALSE),"")</f>
        <v/>
      </c>
      <c r="P43" s="135" t="str">
        <f>IFERROR(VLOOKUP(TableHandbook[[#This Row],[UDC]],TableOSCUANGAD[],7,FALSE),"")</f>
        <v>Core</v>
      </c>
      <c r="Q43" s="137" t="str">
        <f>IFERROR(VLOOKUP(TableHandbook[[#This Row],[UDC]],TableOSCUCONMS[],7,FALSE),"")</f>
        <v/>
      </c>
      <c r="R43" s="137" t="str">
        <f>IFERROR(VLOOKUP(TableHandbook[[#This Row],[UDC]],TableOSCUDIGDE[],7,FALSE),"")</f>
        <v/>
      </c>
      <c r="S43" s="137" t="str">
        <f>IFERROR(VLOOKUP(TableHandbook[[#This Row],[UDC]],TableOSCUPLGEO[],7,FALSE),"")</f>
        <v/>
      </c>
      <c r="T43" s="136" t="str">
        <f>IFERROR(VLOOKUP(TableHandbook[[#This Row],[UDC]],TableOSEUARCHT[],7,FALSE),"")</f>
        <v/>
      </c>
    </row>
    <row r="44" spans="1:20" x14ac:dyDescent="0.25">
      <c r="A44" s="211" t="s">
        <v>166</v>
      </c>
      <c r="B44" s="37">
        <v>3</v>
      </c>
      <c r="C44" s="37" t="s">
        <v>251</v>
      </c>
      <c r="D44" s="3" t="s">
        <v>394</v>
      </c>
      <c r="E44" s="37">
        <v>25</v>
      </c>
      <c r="F44" s="142" t="s">
        <v>217</v>
      </c>
      <c r="G44" s="133" t="str">
        <f>IFERROR(IF(VLOOKUP(TableHandbook[[#This Row],[UDC]],TableAvailabilities[],2,FALSE)&gt;0,"Y",""),"")</f>
        <v>Y</v>
      </c>
      <c r="H44" s="133" t="str">
        <f>IFERROR(IF(VLOOKUP(TableHandbook[[#This Row],[UDC]],TableAvailabilities[],3,FALSE)&gt;0,"Y",""),"")</f>
        <v/>
      </c>
      <c r="I44" s="133" t="str">
        <f>IFERROR(IF(VLOOKUP(TableHandbook[[#This Row],[UDC]],TableAvailabilities[],4,FALSE)&gt;0,"Y",""),"")</f>
        <v>Y</v>
      </c>
      <c r="J44" s="133" t="str">
        <f>IFERROR(IF(VLOOKUP(TableHandbook[[#This Row],[UDC]],TableAvailabilities[],5,FALSE)&gt;0,"Y",""),"")</f>
        <v/>
      </c>
      <c r="K44" s="3" t="s">
        <v>256</v>
      </c>
      <c r="L44" s="135" t="str">
        <f>IFERROR(VLOOKUP(TableHandbook[[#This Row],[UDC]],TableEOINARCH[],7,FALSE),"")</f>
        <v/>
      </c>
      <c r="M44" s="136" t="str">
        <f>IFERROR(VLOOKUP(TableHandbook[[#This Row],[UDC]],TableEOINARCH1[],7,FALSE),"")</f>
        <v/>
      </c>
      <c r="N44" s="135" t="str">
        <f>IFERROR(VLOOKUP(TableHandbook[[#This Row],[UDC]],TableOUINDSGN1[],7,FALSE),"")</f>
        <v/>
      </c>
      <c r="O44" s="136" t="str">
        <f>IFERROR(VLOOKUP(TableHandbook[[#This Row],[UDC]],TableOBINDSGN[],7,FALSE),"")</f>
        <v/>
      </c>
      <c r="P44" s="135" t="str">
        <f>IFERROR(VLOOKUP(TableHandbook[[#This Row],[UDC]],TableOSCUANGAD[],7,FALSE),"")</f>
        <v>AltCore</v>
      </c>
      <c r="Q44" s="137" t="str">
        <f>IFERROR(VLOOKUP(TableHandbook[[#This Row],[UDC]],TableOSCUCONMS[],7,FALSE),"")</f>
        <v/>
      </c>
      <c r="R44" s="137" t="str">
        <f>IFERROR(VLOOKUP(TableHandbook[[#This Row],[UDC]],TableOSCUDIGDE[],7,FALSE),"")</f>
        <v/>
      </c>
      <c r="S44" s="137" t="str">
        <f>IFERROR(VLOOKUP(TableHandbook[[#This Row],[UDC]],TableOSCUPLGEO[],7,FALSE),"")</f>
        <v/>
      </c>
      <c r="T44" s="136" t="str">
        <f>IFERROR(VLOOKUP(TableHandbook[[#This Row],[UDC]],TableOSEUARCHT[],7,FALSE),"")</f>
        <v/>
      </c>
    </row>
    <row r="45" spans="1:20" ht="26.25" x14ac:dyDescent="0.25">
      <c r="A45" s="3" t="s">
        <v>413</v>
      </c>
      <c r="B45" s="37">
        <v>2</v>
      </c>
      <c r="C45" s="37" t="s">
        <v>251</v>
      </c>
      <c r="D45" s="3" t="s">
        <v>252</v>
      </c>
      <c r="E45" s="37">
        <v>25</v>
      </c>
      <c r="F45" s="213" t="s">
        <v>253</v>
      </c>
      <c r="G45" s="133" t="str">
        <f>IFERROR(IF(VLOOKUP(TableHandbook[[#This Row],[UDC]],TableAvailabilities[],2,FALSE)&gt;0,"Y",""),"")</f>
        <v/>
      </c>
      <c r="H45" s="133" t="str">
        <f>IFERROR(IF(VLOOKUP(TableHandbook[[#This Row],[UDC]],TableAvailabilities[],3,FALSE)&gt;0,"Y",""),"")</f>
        <v/>
      </c>
      <c r="I45" s="133" t="str">
        <f>IFERROR(IF(VLOOKUP(TableHandbook[[#This Row],[UDC]],TableAvailabilities[],4,FALSE)&gt;0,"Y",""),"")</f>
        <v/>
      </c>
      <c r="J45" s="133" t="str">
        <f>IFERROR(IF(VLOOKUP(TableHandbook[[#This Row],[UDC]],TableAvailabilities[],5,FALSE)&gt;0,"Y",""),"")</f>
        <v/>
      </c>
      <c r="K45" s="214" t="s">
        <v>414</v>
      </c>
      <c r="L45" s="135" t="str">
        <f>IFERROR(VLOOKUP(TableHandbook[[#This Row],[UDC]],TableEOINARCH[],7,FALSE),"")</f>
        <v/>
      </c>
      <c r="M45" s="136" t="str">
        <f>IFERROR(VLOOKUP(TableHandbook[[#This Row],[UDC]],TableEOINARCH1[],7,FALSE),"")</f>
        <v/>
      </c>
      <c r="N45" s="135" t="str">
        <f>IFERROR(VLOOKUP(TableHandbook[[#This Row],[UDC]],TableOUINDSGN1[],7,FALSE),"")</f>
        <v/>
      </c>
      <c r="O45" s="136" t="str">
        <f>IFERROR(VLOOKUP(TableHandbook[[#This Row],[UDC]],TableOBINDSGN[],7,FALSE),"")</f>
        <v/>
      </c>
      <c r="P45" s="135" t="str">
        <f>IFERROR(VLOOKUP(TableHandbook[[#This Row],[UDC]],TableOSCUANGAD[],7,FALSE),"")</f>
        <v/>
      </c>
      <c r="Q45" s="137" t="str">
        <f>IFERROR(VLOOKUP(TableHandbook[[#This Row],[UDC]],TableOSCUCONMS[],7,FALSE),"")</f>
        <v/>
      </c>
      <c r="R45" s="137" t="str">
        <f>IFERROR(VLOOKUP(TableHandbook[[#This Row],[UDC]],TableOSCUDIGDE[],7,FALSE),"")</f>
        <v/>
      </c>
      <c r="S45" s="137" t="str">
        <f>IFERROR(VLOOKUP(TableHandbook[[#This Row],[UDC]],TableOSCUPLGEO[],7,FALSE),"")</f>
        <v/>
      </c>
      <c r="T45" s="136" t="str">
        <f>IFERROR(VLOOKUP(TableHandbook[[#This Row],[UDC]],TableOSEUARCHT[],7,FALSE),"")</f>
        <v/>
      </c>
    </row>
    <row r="46" spans="1:20" x14ac:dyDescent="0.25">
      <c r="A46" s="3" t="s">
        <v>408</v>
      </c>
      <c r="B46" s="37">
        <v>3</v>
      </c>
      <c r="C46" s="37" t="s">
        <v>254</v>
      </c>
      <c r="D46" s="3" t="s">
        <v>255</v>
      </c>
      <c r="E46" s="37">
        <v>25</v>
      </c>
      <c r="F46" s="213" t="s">
        <v>241</v>
      </c>
      <c r="G46" s="133" t="str">
        <f>IFERROR(IF(VLOOKUP(TableHandbook[[#This Row],[UDC]],TableAvailabilities[],2,FALSE)&gt;0,"Y",""),"")</f>
        <v/>
      </c>
      <c r="H46" s="133" t="str">
        <f>IFERROR(IF(VLOOKUP(TableHandbook[[#This Row],[UDC]],TableAvailabilities[],3,FALSE)&gt;0,"Y",""),"")</f>
        <v/>
      </c>
      <c r="I46" s="133" t="str">
        <f>IFERROR(IF(VLOOKUP(TableHandbook[[#This Row],[UDC]],TableAvailabilities[],4,FALSE)&gt;0,"Y",""),"")</f>
        <v/>
      </c>
      <c r="J46" s="133" t="str">
        <f>IFERROR(IF(VLOOKUP(TableHandbook[[#This Row],[UDC]],TableAvailabilities[],5,FALSE)&gt;0,"Y",""),"")</f>
        <v/>
      </c>
      <c r="K46" s="3" t="s">
        <v>419</v>
      </c>
      <c r="L46" s="135" t="str">
        <f>IFERROR(VLOOKUP(TableHandbook[[#This Row],[UDC]],TableEOINARCH[],7,FALSE),"")</f>
        <v/>
      </c>
      <c r="M46" s="136" t="str">
        <f>IFERROR(VLOOKUP(TableHandbook[[#This Row],[UDC]],TableEOINARCH1[],7,FALSE),"")</f>
        <v/>
      </c>
      <c r="N46" s="135" t="str">
        <f>IFERROR(VLOOKUP(TableHandbook[[#This Row],[UDC]],TableOUINDSGN1[],7,FALSE),"")</f>
        <v/>
      </c>
      <c r="O46" s="136" t="str">
        <f>IFERROR(VLOOKUP(TableHandbook[[#This Row],[UDC]],TableOBINDSGN[],7,FALSE),"")</f>
        <v/>
      </c>
      <c r="P46" s="135" t="str">
        <f>IFERROR(VLOOKUP(TableHandbook[[#This Row],[UDC]],TableOSCUANGAD[],7,FALSE),"")</f>
        <v/>
      </c>
      <c r="Q46" s="137" t="str">
        <f>IFERROR(VLOOKUP(TableHandbook[[#This Row],[UDC]],TableOSCUCONMS[],7,FALSE),"")</f>
        <v/>
      </c>
      <c r="R46" s="137" t="str">
        <f>IFERROR(VLOOKUP(TableHandbook[[#This Row],[UDC]],TableOSCUDIGDE[],7,FALSE),"")</f>
        <v/>
      </c>
      <c r="S46" s="137" t="str">
        <f>IFERROR(VLOOKUP(TableHandbook[[#This Row],[UDC]],TableOSCUPLGEO[],7,FALSE),"")</f>
        <v/>
      </c>
      <c r="T46" s="136" t="str">
        <f>IFERROR(VLOOKUP(TableHandbook[[#This Row],[UDC]],TableOSEUARCHT[],7,FALSE),"")</f>
        <v/>
      </c>
    </row>
    <row r="47" spans="1:20" x14ac:dyDescent="0.25">
      <c r="A47" s="3" t="s">
        <v>97</v>
      </c>
      <c r="B47" s="37">
        <v>4</v>
      </c>
      <c r="C47" s="37" t="s">
        <v>258</v>
      </c>
      <c r="D47" s="3" t="s">
        <v>259</v>
      </c>
      <c r="E47" s="37">
        <v>25</v>
      </c>
      <c r="F47" s="142" t="s">
        <v>190</v>
      </c>
      <c r="G47" s="133" t="str">
        <f>IFERROR(IF(VLOOKUP(TableHandbook[[#This Row],[UDC]],TableAvailabilities[],2,FALSE)&gt;0,"Y",""),"")</f>
        <v>Y</v>
      </c>
      <c r="H47" s="133" t="str">
        <f>IFERROR(IF(VLOOKUP(TableHandbook[[#This Row],[UDC]],TableAvailabilities[],3,FALSE)&gt;0,"Y",""),"")</f>
        <v/>
      </c>
      <c r="I47" s="133" t="str">
        <f>IFERROR(IF(VLOOKUP(TableHandbook[[#This Row],[UDC]],TableAvailabilities[],4,FALSE)&gt;0,"Y",""),"")</f>
        <v/>
      </c>
      <c r="J47" s="133" t="str">
        <f>IFERROR(IF(VLOOKUP(TableHandbook[[#This Row],[UDC]],TableAvailabilities[],5,FALSE)&gt;0,"Y",""),"")</f>
        <v/>
      </c>
      <c r="K47" s="3"/>
      <c r="L47" s="135" t="str">
        <f>IFERROR(VLOOKUP(TableHandbook[[#This Row],[UDC]],TableEOINARCH[],7,FALSE),"")</f>
        <v>Core</v>
      </c>
      <c r="M47" s="136" t="str">
        <f>IFERROR(VLOOKUP(TableHandbook[[#This Row],[UDC]],TableEOINARCH1[],7,FALSE),"")</f>
        <v>Core</v>
      </c>
      <c r="N47" s="135" t="str">
        <f>IFERROR(VLOOKUP(TableHandbook[[#This Row],[UDC]],TableOUINDSGN1[],7,FALSE),"")</f>
        <v>Core</v>
      </c>
      <c r="O47" s="136" t="str">
        <f>IFERROR(VLOOKUP(TableHandbook[[#This Row],[UDC]],TableOBINDSGN[],7,FALSE),"")</f>
        <v>Core</v>
      </c>
      <c r="P47" s="135" t="str">
        <f>IFERROR(VLOOKUP(TableHandbook[[#This Row],[UDC]],TableOSCUANGAD[],7,FALSE),"")</f>
        <v/>
      </c>
      <c r="Q47" s="137" t="str">
        <f>IFERROR(VLOOKUP(TableHandbook[[#This Row],[UDC]],TableOSCUCONMS[],7,FALSE),"")</f>
        <v/>
      </c>
      <c r="R47" s="137" t="str">
        <f>IFERROR(VLOOKUP(TableHandbook[[#This Row],[UDC]],TableOSCUDIGDE[],7,FALSE),"")</f>
        <v/>
      </c>
      <c r="S47" s="137" t="str">
        <f>IFERROR(VLOOKUP(TableHandbook[[#This Row],[UDC]],TableOSCUPLGEO[],7,FALSE),"")</f>
        <v/>
      </c>
      <c r="T47" s="136" t="str">
        <f>IFERROR(VLOOKUP(TableHandbook[[#This Row],[UDC]],TableOSEUARCHT[],7,FALSE),"")</f>
        <v/>
      </c>
    </row>
    <row r="48" spans="1:20" x14ac:dyDescent="0.25">
      <c r="A48" s="3" t="s">
        <v>94</v>
      </c>
      <c r="B48" s="37">
        <v>1</v>
      </c>
      <c r="C48" s="37" t="s">
        <v>260</v>
      </c>
      <c r="D48" s="3" t="s">
        <v>261</v>
      </c>
      <c r="E48" s="37">
        <v>25</v>
      </c>
      <c r="F48" s="142" t="s">
        <v>190</v>
      </c>
      <c r="G48" s="133" t="str">
        <f>IFERROR(IF(VLOOKUP(TableHandbook[[#This Row],[UDC]],TableAvailabilities[],2,FALSE)&gt;0,"Y",""),"")</f>
        <v/>
      </c>
      <c r="H48" s="133" t="str">
        <f>IFERROR(IF(VLOOKUP(TableHandbook[[#This Row],[UDC]],TableAvailabilities[],3,FALSE)&gt;0,"Y",""),"")</f>
        <v/>
      </c>
      <c r="I48" s="133" t="str">
        <f>IFERROR(IF(VLOOKUP(TableHandbook[[#This Row],[UDC]],TableAvailabilities[],4,FALSE)&gt;0,"Y",""),"")</f>
        <v>Y</v>
      </c>
      <c r="J48" s="133" t="str">
        <f>IFERROR(IF(VLOOKUP(TableHandbook[[#This Row],[UDC]],TableAvailabilities[],5,FALSE)&gt;0,"Y",""),"")</f>
        <v/>
      </c>
      <c r="K48" s="3"/>
      <c r="L48" s="135" t="str">
        <f>IFERROR(VLOOKUP(TableHandbook[[#This Row],[UDC]],TableEOINARCH[],7,FALSE),"")</f>
        <v>Core</v>
      </c>
      <c r="M48" s="136" t="str">
        <f>IFERROR(VLOOKUP(TableHandbook[[#This Row],[UDC]],TableEOINARCH1[],7,FALSE),"")</f>
        <v>Core</v>
      </c>
      <c r="N48" s="135" t="str">
        <f>IFERROR(VLOOKUP(TableHandbook[[#This Row],[UDC]],TableOUINDSGN1[],7,FALSE),"")</f>
        <v>Core</v>
      </c>
      <c r="O48" s="136" t="str">
        <f>IFERROR(VLOOKUP(TableHandbook[[#This Row],[UDC]],TableOBINDSGN[],7,FALSE),"")</f>
        <v>Core</v>
      </c>
      <c r="P48" s="135" t="str">
        <f>IFERROR(VLOOKUP(TableHandbook[[#This Row],[UDC]],TableOSCUANGAD[],7,FALSE),"")</f>
        <v/>
      </c>
      <c r="Q48" s="137" t="str">
        <f>IFERROR(VLOOKUP(TableHandbook[[#This Row],[UDC]],TableOSCUCONMS[],7,FALSE),"")</f>
        <v/>
      </c>
      <c r="R48" s="137" t="str">
        <f>IFERROR(VLOOKUP(TableHandbook[[#This Row],[UDC]],TableOSCUDIGDE[],7,FALSE),"")</f>
        <v/>
      </c>
      <c r="S48" s="137" t="str">
        <f>IFERROR(VLOOKUP(TableHandbook[[#This Row],[UDC]],TableOSCUPLGEO[],7,FALSE),"")</f>
        <v/>
      </c>
      <c r="T48" s="136" t="str">
        <f>IFERROR(VLOOKUP(TableHandbook[[#This Row],[UDC]],TableOSEUARCHT[],7,FALSE),"")</f>
        <v/>
      </c>
    </row>
    <row r="49" spans="1:20" x14ac:dyDescent="0.25">
      <c r="A49" s="3" t="s">
        <v>108</v>
      </c>
      <c r="B49" s="37">
        <v>4</v>
      </c>
      <c r="C49" s="37" t="s">
        <v>262</v>
      </c>
      <c r="D49" s="3" t="s">
        <v>263</v>
      </c>
      <c r="E49" s="37">
        <v>25</v>
      </c>
      <c r="F49" s="142" t="s">
        <v>422</v>
      </c>
      <c r="G49" s="133" t="str">
        <f>IFERROR(IF(VLOOKUP(TableHandbook[[#This Row],[UDC]],TableAvailabilities[],2,FALSE)&gt;0,"Y",""),"")</f>
        <v/>
      </c>
      <c r="H49" s="133" t="str">
        <f>IFERROR(IF(VLOOKUP(TableHandbook[[#This Row],[UDC]],TableAvailabilities[],3,FALSE)&gt;0,"Y",""),"")</f>
        <v/>
      </c>
      <c r="I49" s="133" t="str">
        <f>IFERROR(IF(VLOOKUP(TableHandbook[[#This Row],[UDC]],TableAvailabilities[],4,FALSE)&gt;0,"Y",""),"")</f>
        <v>Y</v>
      </c>
      <c r="J49" s="133" t="str">
        <f>IFERROR(IF(VLOOKUP(TableHandbook[[#This Row],[UDC]],TableAvailabilities[],5,FALSE)&gt;0,"Y",""),"")</f>
        <v/>
      </c>
      <c r="K49" s="3"/>
      <c r="L49" s="135" t="str">
        <f>IFERROR(VLOOKUP(TableHandbook[[#This Row],[UDC]],TableEOINARCH[],7,FALSE),"")</f>
        <v>Core</v>
      </c>
      <c r="M49" s="136" t="str">
        <f>IFERROR(VLOOKUP(TableHandbook[[#This Row],[UDC]],TableEOINARCH1[],7,FALSE),"")</f>
        <v>Core</v>
      </c>
      <c r="N49" s="135" t="str">
        <f>IFERROR(VLOOKUP(TableHandbook[[#This Row],[UDC]],TableOUINDSGN1[],7,FALSE),"")</f>
        <v>Core</v>
      </c>
      <c r="O49" s="136" t="str">
        <f>IFERROR(VLOOKUP(TableHandbook[[#This Row],[UDC]],TableOBINDSGN[],7,FALSE),"")</f>
        <v>Core</v>
      </c>
      <c r="P49" s="135" t="str">
        <f>IFERROR(VLOOKUP(TableHandbook[[#This Row],[UDC]],TableOSCUANGAD[],7,FALSE),"")</f>
        <v/>
      </c>
      <c r="Q49" s="137" t="str">
        <f>IFERROR(VLOOKUP(TableHandbook[[#This Row],[UDC]],TableOSCUCONMS[],7,FALSE),"")</f>
        <v/>
      </c>
      <c r="R49" s="137" t="str">
        <f>IFERROR(VLOOKUP(TableHandbook[[#This Row],[UDC]],TableOSCUDIGDE[],7,FALSE),"")</f>
        <v/>
      </c>
      <c r="S49" s="137" t="str">
        <f>IFERROR(VLOOKUP(TableHandbook[[#This Row],[UDC]],TableOSCUPLGEO[],7,FALSE),"")</f>
        <v/>
      </c>
      <c r="T49" s="136" t="str">
        <f>IFERROR(VLOOKUP(TableHandbook[[#This Row],[UDC]],TableOSEUARCHT[],7,FALSE),"")</f>
        <v/>
      </c>
    </row>
    <row r="50" spans="1:20" x14ac:dyDescent="0.25">
      <c r="A50" s="3" t="s">
        <v>100</v>
      </c>
      <c r="B50" s="37">
        <v>2</v>
      </c>
      <c r="C50" s="37" t="s">
        <v>264</v>
      </c>
      <c r="D50" s="3" t="s">
        <v>265</v>
      </c>
      <c r="E50" s="37">
        <v>25</v>
      </c>
      <c r="F50" s="142" t="s">
        <v>193</v>
      </c>
      <c r="G50" s="133" t="str">
        <f>IFERROR(IF(VLOOKUP(TableHandbook[[#This Row],[UDC]],TableAvailabilities[],2,FALSE)&gt;0,"Y",""),"")</f>
        <v>Y</v>
      </c>
      <c r="H50" s="133" t="str">
        <f>IFERROR(IF(VLOOKUP(TableHandbook[[#This Row],[UDC]],TableAvailabilities[],3,FALSE)&gt;0,"Y",""),"")</f>
        <v/>
      </c>
      <c r="I50" s="133" t="str">
        <f>IFERROR(IF(VLOOKUP(TableHandbook[[#This Row],[UDC]],TableAvailabilities[],4,FALSE)&gt;0,"Y",""),"")</f>
        <v/>
      </c>
      <c r="J50" s="133" t="str">
        <f>IFERROR(IF(VLOOKUP(TableHandbook[[#This Row],[UDC]],TableAvailabilities[],5,FALSE)&gt;0,"Y",""),"")</f>
        <v/>
      </c>
      <c r="K50" s="3"/>
      <c r="L50" s="135" t="str">
        <f>IFERROR(VLOOKUP(TableHandbook[[#This Row],[UDC]],TableEOINARCH[],7,FALSE),"")</f>
        <v>Core</v>
      </c>
      <c r="M50" s="136" t="str">
        <f>IFERROR(VLOOKUP(TableHandbook[[#This Row],[UDC]],TableEOINARCH1[],7,FALSE),"")</f>
        <v>Core</v>
      </c>
      <c r="N50" s="135" t="str">
        <f>IFERROR(VLOOKUP(TableHandbook[[#This Row],[UDC]],TableOUINDSGN1[],7,FALSE),"")</f>
        <v>Core</v>
      </c>
      <c r="O50" s="136" t="str">
        <f>IFERROR(VLOOKUP(TableHandbook[[#This Row],[UDC]],TableOBINDSGN[],7,FALSE),"")</f>
        <v>Core</v>
      </c>
      <c r="P50" s="135" t="str">
        <f>IFERROR(VLOOKUP(TableHandbook[[#This Row],[UDC]],TableOSCUANGAD[],7,FALSE),"")</f>
        <v/>
      </c>
      <c r="Q50" s="137" t="str">
        <f>IFERROR(VLOOKUP(TableHandbook[[#This Row],[UDC]],TableOSCUCONMS[],7,FALSE),"")</f>
        <v/>
      </c>
      <c r="R50" s="137" t="str">
        <f>IFERROR(VLOOKUP(TableHandbook[[#This Row],[UDC]],TableOSCUDIGDE[],7,FALSE),"")</f>
        <v/>
      </c>
      <c r="S50" s="137" t="str">
        <f>IFERROR(VLOOKUP(TableHandbook[[#This Row],[UDC]],TableOSCUPLGEO[],7,FALSE),"")</f>
        <v/>
      </c>
      <c r="T50" s="136" t="str">
        <f>IFERROR(VLOOKUP(TableHandbook[[#This Row],[UDC]],TableOSEUARCHT[],7,FALSE),"")</f>
        <v/>
      </c>
    </row>
    <row r="51" spans="1:20" x14ac:dyDescent="0.25">
      <c r="A51" s="3" t="s">
        <v>102</v>
      </c>
      <c r="B51" s="37">
        <v>1</v>
      </c>
      <c r="C51" s="37" t="s">
        <v>266</v>
      </c>
      <c r="D51" s="3" t="s">
        <v>267</v>
      </c>
      <c r="E51" s="37">
        <v>25</v>
      </c>
      <c r="F51" s="142" t="s">
        <v>226</v>
      </c>
      <c r="G51" s="133" t="str">
        <f>IFERROR(IF(VLOOKUP(TableHandbook[[#This Row],[UDC]],TableAvailabilities[],2,FALSE)&gt;0,"Y",""),"")</f>
        <v/>
      </c>
      <c r="H51" s="133" t="str">
        <f>IFERROR(IF(VLOOKUP(TableHandbook[[#This Row],[UDC]],TableAvailabilities[],3,FALSE)&gt;0,"Y",""),"")</f>
        <v>Y</v>
      </c>
      <c r="I51" s="133" t="str">
        <f>IFERROR(IF(VLOOKUP(TableHandbook[[#This Row],[UDC]],TableAvailabilities[],4,FALSE)&gt;0,"Y",""),"")</f>
        <v/>
      </c>
      <c r="J51" s="133" t="str">
        <f>IFERROR(IF(VLOOKUP(TableHandbook[[#This Row],[UDC]],TableAvailabilities[],5,FALSE)&gt;0,"Y",""),"")</f>
        <v/>
      </c>
      <c r="K51" s="3"/>
      <c r="L51" s="135" t="str">
        <f>IFERROR(VLOOKUP(TableHandbook[[#This Row],[UDC]],TableEOINARCH[],7,FALSE),"")</f>
        <v>Core</v>
      </c>
      <c r="M51" s="136" t="str">
        <f>IFERROR(VLOOKUP(TableHandbook[[#This Row],[UDC]],TableEOINARCH1[],7,FALSE),"")</f>
        <v>Core</v>
      </c>
      <c r="N51" s="135" t="str">
        <f>IFERROR(VLOOKUP(TableHandbook[[#This Row],[UDC]],TableOUINDSGN1[],7,FALSE),"")</f>
        <v>Core</v>
      </c>
      <c r="O51" s="136" t="str">
        <f>IFERROR(VLOOKUP(TableHandbook[[#This Row],[UDC]],TableOBINDSGN[],7,FALSE),"")</f>
        <v>Core</v>
      </c>
      <c r="P51" s="135" t="str">
        <f>IFERROR(VLOOKUP(TableHandbook[[#This Row],[UDC]],TableOSCUANGAD[],7,FALSE),"")</f>
        <v/>
      </c>
      <c r="Q51" s="137" t="str">
        <f>IFERROR(VLOOKUP(TableHandbook[[#This Row],[UDC]],TableOSCUCONMS[],7,FALSE),"")</f>
        <v/>
      </c>
      <c r="R51" s="137" t="str">
        <f>IFERROR(VLOOKUP(TableHandbook[[#This Row],[UDC]],TableOSCUDIGDE[],7,FALSE),"")</f>
        <v/>
      </c>
      <c r="S51" s="137" t="str">
        <f>IFERROR(VLOOKUP(TableHandbook[[#This Row],[UDC]],TableOSCUPLGEO[],7,FALSE),"")</f>
        <v/>
      </c>
      <c r="T51" s="136" t="str">
        <f>IFERROR(VLOOKUP(TableHandbook[[#This Row],[UDC]],TableOSEUARCHT[],7,FALSE),"")</f>
        <v/>
      </c>
    </row>
    <row r="52" spans="1:20" x14ac:dyDescent="0.25">
      <c r="A52" s="3" t="s">
        <v>121</v>
      </c>
      <c r="B52" s="37">
        <v>1</v>
      </c>
      <c r="C52" s="37" t="s">
        <v>268</v>
      </c>
      <c r="D52" s="3" t="s">
        <v>269</v>
      </c>
      <c r="E52" s="37">
        <v>25</v>
      </c>
      <c r="F52" s="142" t="s">
        <v>226</v>
      </c>
      <c r="G52" s="133" t="str">
        <f>IFERROR(IF(VLOOKUP(TableHandbook[[#This Row],[UDC]],TableAvailabilities[],2,FALSE)&gt;0,"Y",""),"")</f>
        <v/>
      </c>
      <c r="H52" s="133" t="str">
        <f>IFERROR(IF(VLOOKUP(TableHandbook[[#This Row],[UDC]],TableAvailabilities[],3,FALSE)&gt;0,"Y",""),"")</f>
        <v/>
      </c>
      <c r="I52" s="133" t="str">
        <f>IFERROR(IF(VLOOKUP(TableHandbook[[#This Row],[UDC]],TableAvailabilities[],4,FALSE)&gt;0,"Y",""),"")</f>
        <v>Y</v>
      </c>
      <c r="J52" s="133" t="str">
        <f>IFERROR(IF(VLOOKUP(TableHandbook[[#This Row],[UDC]],TableAvailabilities[],5,FALSE)&gt;0,"Y",""),"")</f>
        <v/>
      </c>
      <c r="K52" s="3"/>
      <c r="L52" s="135" t="str">
        <f>IFERROR(VLOOKUP(TableHandbook[[#This Row],[UDC]],TableEOINARCH[],7,FALSE),"")</f>
        <v>Core</v>
      </c>
      <c r="M52" s="136" t="str">
        <f>IFERROR(VLOOKUP(TableHandbook[[#This Row],[UDC]],TableEOINARCH1[],7,FALSE),"")</f>
        <v>Core</v>
      </c>
      <c r="N52" s="135" t="str">
        <f>IFERROR(VLOOKUP(TableHandbook[[#This Row],[UDC]],TableOUINDSGN1[],7,FALSE),"")</f>
        <v>Core</v>
      </c>
      <c r="O52" s="136" t="str">
        <f>IFERROR(VLOOKUP(TableHandbook[[#This Row],[UDC]],TableOBINDSGN[],7,FALSE),"")</f>
        <v>Core</v>
      </c>
      <c r="P52" s="135" t="str">
        <f>IFERROR(VLOOKUP(TableHandbook[[#This Row],[UDC]],TableOSCUANGAD[],7,FALSE),"")</f>
        <v/>
      </c>
      <c r="Q52" s="137" t="str">
        <f>IFERROR(VLOOKUP(TableHandbook[[#This Row],[UDC]],TableOSCUCONMS[],7,FALSE),"")</f>
        <v/>
      </c>
      <c r="R52" s="137" t="str">
        <f>IFERROR(VLOOKUP(TableHandbook[[#This Row],[UDC]],TableOSCUDIGDE[],7,FALSE),"")</f>
        <v/>
      </c>
      <c r="S52" s="137" t="str">
        <f>IFERROR(VLOOKUP(TableHandbook[[#This Row],[UDC]],TableOSCUPLGEO[],7,FALSE),"")</f>
        <v/>
      </c>
      <c r="T52" s="136" t="str">
        <f>IFERROR(VLOOKUP(TableHandbook[[#This Row],[UDC]],TableOSEUARCHT[],7,FALSE),"")</f>
        <v/>
      </c>
    </row>
    <row r="53" spans="1:20" x14ac:dyDescent="0.25">
      <c r="A53" s="3" t="s">
        <v>117</v>
      </c>
      <c r="B53" s="37">
        <v>4</v>
      </c>
      <c r="C53" s="37" t="s">
        <v>270</v>
      </c>
      <c r="D53" s="3" t="s">
        <v>271</v>
      </c>
      <c r="E53" s="37">
        <v>25</v>
      </c>
      <c r="F53" s="142" t="s">
        <v>272</v>
      </c>
      <c r="G53" s="133" t="str">
        <f>IFERROR(IF(VLOOKUP(TableHandbook[[#This Row],[UDC]],TableAvailabilities[],2,FALSE)&gt;0,"Y",""),"")</f>
        <v>Y</v>
      </c>
      <c r="H53" s="133" t="str">
        <f>IFERROR(IF(VLOOKUP(TableHandbook[[#This Row],[UDC]],TableAvailabilities[],3,FALSE)&gt;0,"Y",""),"")</f>
        <v/>
      </c>
      <c r="I53" s="133" t="str">
        <f>IFERROR(IF(VLOOKUP(TableHandbook[[#This Row],[UDC]],TableAvailabilities[],4,FALSE)&gt;0,"Y",""),"")</f>
        <v/>
      </c>
      <c r="J53" s="133" t="str">
        <f>IFERROR(IF(VLOOKUP(TableHandbook[[#This Row],[UDC]],TableAvailabilities[],5,FALSE)&gt;0,"Y",""),"")</f>
        <v/>
      </c>
      <c r="K53" s="3"/>
      <c r="L53" s="135" t="str">
        <f>IFERROR(VLOOKUP(TableHandbook[[#This Row],[UDC]],TableEOINARCH[],7,FALSE),"")</f>
        <v>Core</v>
      </c>
      <c r="M53" s="136" t="str">
        <f>IFERROR(VLOOKUP(TableHandbook[[#This Row],[UDC]],TableEOINARCH1[],7,FALSE),"")</f>
        <v>Core</v>
      </c>
      <c r="N53" s="135" t="str">
        <f>IFERROR(VLOOKUP(TableHandbook[[#This Row],[UDC]],TableOUINDSGN1[],7,FALSE),"")</f>
        <v>Core</v>
      </c>
      <c r="O53" s="136" t="str">
        <f>IFERROR(VLOOKUP(TableHandbook[[#This Row],[UDC]],TableOBINDSGN[],7,FALSE),"")</f>
        <v>Core</v>
      </c>
      <c r="P53" s="135" t="str">
        <f>IFERROR(VLOOKUP(TableHandbook[[#This Row],[UDC]],TableOSCUANGAD[],7,FALSE),"")</f>
        <v/>
      </c>
      <c r="Q53" s="137" t="str">
        <f>IFERROR(VLOOKUP(TableHandbook[[#This Row],[UDC]],TableOSCUCONMS[],7,FALSE),"")</f>
        <v/>
      </c>
      <c r="R53" s="137" t="str">
        <f>IFERROR(VLOOKUP(TableHandbook[[#This Row],[UDC]],TableOSCUDIGDE[],7,FALSE),"")</f>
        <v/>
      </c>
      <c r="S53" s="137" t="str">
        <f>IFERROR(VLOOKUP(TableHandbook[[#This Row],[UDC]],TableOSCUPLGEO[],7,FALSE),"")</f>
        <v/>
      </c>
      <c r="T53" s="136" t="str">
        <f>IFERROR(VLOOKUP(TableHandbook[[#This Row],[UDC]],TableOSEUARCHT[],7,FALSE),"")</f>
        <v/>
      </c>
    </row>
    <row r="54" spans="1:20" x14ac:dyDescent="0.25">
      <c r="A54" s="3" t="s">
        <v>124</v>
      </c>
      <c r="B54" s="37">
        <v>3</v>
      </c>
      <c r="C54" s="37" t="s">
        <v>273</v>
      </c>
      <c r="D54" s="3" t="s">
        <v>274</v>
      </c>
      <c r="E54" s="37">
        <v>25</v>
      </c>
      <c r="F54" s="142" t="s">
        <v>272</v>
      </c>
      <c r="G54" s="133" t="str">
        <f>IFERROR(IF(VLOOKUP(TableHandbook[[#This Row],[UDC]],TableAvailabilities[],2,FALSE)&gt;0,"Y",""),"")</f>
        <v/>
      </c>
      <c r="H54" s="133" t="str">
        <f>IFERROR(IF(VLOOKUP(TableHandbook[[#This Row],[UDC]],TableAvailabilities[],3,FALSE)&gt;0,"Y",""),"")</f>
        <v/>
      </c>
      <c r="I54" s="133" t="str">
        <f>IFERROR(IF(VLOOKUP(TableHandbook[[#This Row],[UDC]],TableAvailabilities[],4,FALSE)&gt;0,"Y",""),"")</f>
        <v>Y</v>
      </c>
      <c r="J54" s="133" t="str">
        <f>IFERROR(IF(VLOOKUP(TableHandbook[[#This Row],[UDC]],TableAvailabilities[],5,FALSE)&gt;0,"Y",""),"")</f>
        <v/>
      </c>
      <c r="K54" s="3"/>
      <c r="L54" s="135" t="str">
        <f>IFERROR(VLOOKUP(TableHandbook[[#This Row],[UDC]],TableEOINARCH[],7,FALSE),"")</f>
        <v>Core</v>
      </c>
      <c r="M54" s="136" t="str">
        <f>IFERROR(VLOOKUP(TableHandbook[[#This Row],[UDC]],TableEOINARCH1[],7,FALSE),"")</f>
        <v>Core</v>
      </c>
      <c r="N54" s="135" t="str">
        <f>IFERROR(VLOOKUP(TableHandbook[[#This Row],[UDC]],TableOUINDSGN1[],7,FALSE),"")</f>
        <v>Core</v>
      </c>
      <c r="O54" s="136" t="str">
        <f>IFERROR(VLOOKUP(TableHandbook[[#This Row],[UDC]],TableOBINDSGN[],7,FALSE),"")</f>
        <v>Core</v>
      </c>
      <c r="P54" s="135" t="str">
        <f>IFERROR(VLOOKUP(TableHandbook[[#This Row],[UDC]],TableOSCUANGAD[],7,FALSE),"")</f>
        <v/>
      </c>
      <c r="Q54" s="137" t="str">
        <f>IFERROR(VLOOKUP(TableHandbook[[#This Row],[UDC]],TableOSCUCONMS[],7,FALSE),"")</f>
        <v/>
      </c>
      <c r="R54" s="137" t="str">
        <f>IFERROR(VLOOKUP(TableHandbook[[#This Row],[UDC]],TableOSCUDIGDE[],7,FALSE),"")</f>
        <v/>
      </c>
      <c r="S54" s="137" t="str">
        <f>IFERROR(VLOOKUP(TableHandbook[[#This Row],[UDC]],TableOSCUPLGEO[],7,FALSE),"")</f>
        <v/>
      </c>
      <c r="T54" s="136" t="str">
        <f>IFERROR(VLOOKUP(TableHandbook[[#This Row],[UDC]],TableOSEUARCHT[],7,FALSE),"")</f>
        <v/>
      </c>
    </row>
    <row r="55" spans="1:20" x14ac:dyDescent="0.25">
      <c r="A55" s="3" t="s">
        <v>123</v>
      </c>
      <c r="B55" s="37">
        <v>1</v>
      </c>
      <c r="C55" s="37" t="s">
        <v>275</v>
      </c>
      <c r="D55" s="3" t="s">
        <v>276</v>
      </c>
      <c r="E55" s="37">
        <v>25</v>
      </c>
      <c r="F55" s="142" t="s">
        <v>277</v>
      </c>
      <c r="G55" s="133" t="str">
        <f>IFERROR(IF(VLOOKUP(TableHandbook[[#This Row],[UDC]],TableAvailabilities[],2,FALSE)&gt;0,"Y",""),"")</f>
        <v>Y</v>
      </c>
      <c r="H55" s="133" t="str">
        <f>IFERROR(IF(VLOOKUP(TableHandbook[[#This Row],[UDC]],TableAvailabilities[],3,FALSE)&gt;0,"Y",""),"")</f>
        <v/>
      </c>
      <c r="I55" s="133" t="str">
        <f>IFERROR(IF(VLOOKUP(TableHandbook[[#This Row],[UDC]],TableAvailabilities[],4,FALSE)&gt;0,"Y",""),"")</f>
        <v/>
      </c>
      <c r="J55" s="133" t="str">
        <f>IFERROR(IF(VLOOKUP(TableHandbook[[#This Row],[UDC]],TableAvailabilities[],5,FALSE)&gt;0,"Y",""),"")</f>
        <v/>
      </c>
      <c r="K55" s="3"/>
      <c r="L55" s="135" t="str">
        <f>IFERROR(VLOOKUP(TableHandbook[[#This Row],[UDC]],TableEOINARCH[],7,FALSE),"")</f>
        <v>Core</v>
      </c>
      <c r="M55" s="136" t="str">
        <f>IFERROR(VLOOKUP(TableHandbook[[#This Row],[UDC]],TableEOINARCH1[],7,FALSE),"")</f>
        <v>Core</v>
      </c>
      <c r="N55" s="135" t="str">
        <f>IFERROR(VLOOKUP(TableHandbook[[#This Row],[UDC]],TableOUINDSGN1[],7,FALSE),"")</f>
        <v>Core</v>
      </c>
      <c r="O55" s="136" t="str">
        <f>IFERROR(VLOOKUP(TableHandbook[[#This Row],[UDC]],TableOBINDSGN[],7,FALSE),"")</f>
        <v>Core</v>
      </c>
      <c r="P55" s="135" t="str">
        <f>IFERROR(VLOOKUP(TableHandbook[[#This Row],[UDC]],TableOSCUANGAD[],7,FALSE),"")</f>
        <v/>
      </c>
      <c r="Q55" s="137" t="str">
        <f>IFERROR(VLOOKUP(TableHandbook[[#This Row],[UDC]],TableOSCUCONMS[],7,FALSE),"")</f>
        <v/>
      </c>
      <c r="R55" s="137" t="str">
        <f>IFERROR(VLOOKUP(TableHandbook[[#This Row],[UDC]],TableOSCUDIGDE[],7,FALSE),"")</f>
        <v/>
      </c>
      <c r="S55" s="137" t="str">
        <f>IFERROR(VLOOKUP(TableHandbook[[#This Row],[UDC]],TableOSCUPLGEO[],7,FALSE),"")</f>
        <v/>
      </c>
      <c r="T55" s="136" t="str">
        <f>IFERROR(VLOOKUP(TableHandbook[[#This Row],[UDC]],TableOSEUARCHT[],7,FALSE),"")</f>
        <v/>
      </c>
    </row>
    <row r="56" spans="1:20" x14ac:dyDescent="0.25">
      <c r="A56" s="3" t="s">
        <v>112</v>
      </c>
      <c r="B56" s="37">
        <v>1</v>
      </c>
      <c r="C56" s="37" t="s">
        <v>278</v>
      </c>
      <c r="D56" s="3" t="s">
        <v>279</v>
      </c>
      <c r="E56" s="37">
        <v>25</v>
      </c>
      <c r="F56" s="142" t="s">
        <v>217</v>
      </c>
      <c r="G56" s="133" t="str">
        <f>IFERROR(IF(VLOOKUP(TableHandbook[[#This Row],[UDC]],TableAvailabilities[],2,FALSE)&gt;0,"Y",""),"")</f>
        <v/>
      </c>
      <c r="H56" s="133" t="str">
        <f>IFERROR(IF(VLOOKUP(TableHandbook[[#This Row],[UDC]],TableAvailabilities[],3,FALSE)&gt;0,"Y",""),"")</f>
        <v/>
      </c>
      <c r="I56" s="133" t="str">
        <f>IFERROR(IF(VLOOKUP(TableHandbook[[#This Row],[UDC]],TableAvailabilities[],4,FALSE)&gt;0,"Y",""),"")</f>
        <v/>
      </c>
      <c r="J56" s="133" t="str">
        <f>IFERROR(IF(VLOOKUP(TableHandbook[[#This Row],[UDC]],TableAvailabilities[],5,FALSE)&gt;0,"Y",""),"")</f>
        <v>Y</v>
      </c>
      <c r="K56" s="3"/>
      <c r="L56" s="135" t="str">
        <f>IFERROR(VLOOKUP(TableHandbook[[#This Row],[UDC]],TableEOINARCH[],7,FALSE),"")</f>
        <v>Core</v>
      </c>
      <c r="M56" s="136" t="str">
        <f>IFERROR(VLOOKUP(TableHandbook[[#This Row],[UDC]],TableEOINARCH1[],7,FALSE),"")</f>
        <v>Core</v>
      </c>
      <c r="N56" s="135" t="str">
        <f>IFERROR(VLOOKUP(TableHandbook[[#This Row],[UDC]],TableOUINDSGN1[],7,FALSE),"")</f>
        <v>Core</v>
      </c>
      <c r="O56" s="136" t="str">
        <f>IFERROR(VLOOKUP(TableHandbook[[#This Row],[UDC]],TableOBINDSGN[],7,FALSE),"")</f>
        <v>Core</v>
      </c>
      <c r="P56" s="135" t="str">
        <f>IFERROR(VLOOKUP(TableHandbook[[#This Row],[UDC]],TableOSCUANGAD[],7,FALSE),"")</f>
        <v/>
      </c>
      <c r="Q56" s="137" t="str">
        <f>IFERROR(VLOOKUP(TableHandbook[[#This Row],[UDC]],TableOSCUCONMS[],7,FALSE),"")</f>
        <v/>
      </c>
      <c r="R56" s="137" t="str">
        <f>IFERROR(VLOOKUP(TableHandbook[[#This Row],[UDC]],TableOSCUDIGDE[],7,FALSE),"")</f>
        <v/>
      </c>
      <c r="S56" s="137" t="str">
        <f>IFERROR(VLOOKUP(TableHandbook[[#This Row],[UDC]],TableOSCUPLGEO[],7,FALSE),"")</f>
        <v/>
      </c>
      <c r="T56" s="136" t="str">
        <f>IFERROR(VLOOKUP(TableHandbook[[#This Row],[UDC]],TableOSEUARCHT[],7,FALSE),"")</f>
        <v/>
      </c>
    </row>
    <row r="57" spans="1:20" x14ac:dyDescent="0.25">
      <c r="A57" s="3" t="s">
        <v>114</v>
      </c>
      <c r="B57" s="37">
        <v>1</v>
      </c>
      <c r="C57" s="37" t="s">
        <v>280</v>
      </c>
      <c r="D57" s="3" t="s">
        <v>281</v>
      </c>
      <c r="E57" s="37">
        <v>25</v>
      </c>
      <c r="F57" s="142" t="s">
        <v>217</v>
      </c>
      <c r="G57" s="133" t="str">
        <f>IFERROR(IF(VLOOKUP(TableHandbook[[#This Row],[UDC]],TableAvailabilities[],2,FALSE)&gt;0,"Y",""),"")</f>
        <v/>
      </c>
      <c r="H57" s="133" t="str">
        <f>IFERROR(IF(VLOOKUP(TableHandbook[[#This Row],[UDC]],TableAvailabilities[],3,FALSE)&gt;0,"Y",""),"")</f>
        <v/>
      </c>
      <c r="I57" s="133" t="str">
        <f>IFERROR(IF(VLOOKUP(TableHandbook[[#This Row],[UDC]],TableAvailabilities[],4,FALSE)&gt;0,"Y",""),"")</f>
        <v/>
      </c>
      <c r="J57" s="133" t="str">
        <f>IFERROR(IF(VLOOKUP(TableHandbook[[#This Row],[UDC]],TableAvailabilities[],5,FALSE)&gt;0,"Y",""),"")</f>
        <v>Y</v>
      </c>
      <c r="K57" s="3"/>
      <c r="L57" s="135" t="str">
        <f>IFERROR(VLOOKUP(TableHandbook[[#This Row],[UDC]],TableEOINARCH[],7,FALSE),"")</f>
        <v>Core</v>
      </c>
      <c r="M57" s="136" t="str">
        <f>IFERROR(VLOOKUP(TableHandbook[[#This Row],[UDC]],TableEOINARCH1[],7,FALSE),"")</f>
        <v>Core</v>
      </c>
      <c r="N57" s="135" t="str">
        <f>IFERROR(VLOOKUP(TableHandbook[[#This Row],[UDC]],TableOUINDSGN1[],7,FALSE),"")</f>
        <v>Core</v>
      </c>
      <c r="O57" s="136" t="str">
        <f>IFERROR(VLOOKUP(TableHandbook[[#This Row],[UDC]],TableOBINDSGN[],7,FALSE),"")</f>
        <v>Core</v>
      </c>
      <c r="P57" s="135" t="str">
        <f>IFERROR(VLOOKUP(TableHandbook[[#This Row],[UDC]],TableOSCUANGAD[],7,FALSE),"")</f>
        <v/>
      </c>
      <c r="Q57" s="137" t="str">
        <f>IFERROR(VLOOKUP(TableHandbook[[#This Row],[UDC]],TableOSCUCONMS[],7,FALSE),"")</f>
        <v/>
      </c>
      <c r="R57" s="137" t="str">
        <f>IFERROR(VLOOKUP(TableHandbook[[#This Row],[UDC]],TableOSCUDIGDE[],7,FALSE),"")</f>
        <v/>
      </c>
      <c r="S57" s="137" t="str">
        <f>IFERROR(VLOOKUP(TableHandbook[[#This Row],[UDC]],TableOSCUPLGEO[],7,FALSE),"")</f>
        <v/>
      </c>
      <c r="T57" s="136" t="str">
        <f>IFERROR(VLOOKUP(TableHandbook[[#This Row],[UDC]],TableOSEUARCHT[],7,FALSE),"")</f>
        <v/>
      </c>
    </row>
    <row r="58" spans="1:20" x14ac:dyDescent="0.25">
      <c r="A58" s="3" t="s">
        <v>128</v>
      </c>
      <c r="B58" s="37">
        <v>1</v>
      </c>
      <c r="C58" s="37" t="s">
        <v>282</v>
      </c>
      <c r="D58" s="3" t="s">
        <v>283</v>
      </c>
      <c r="E58" s="37">
        <v>25</v>
      </c>
      <c r="F58" s="142" t="s">
        <v>284</v>
      </c>
      <c r="G58" s="133" t="str">
        <f>IFERROR(IF(VLOOKUP(TableHandbook[[#This Row],[UDC]],TableAvailabilities[],2,FALSE)&gt;0,"Y",""),"")</f>
        <v/>
      </c>
      <c r="H58" s="133" t="str">
        <f>IFERROR(IF(VLOOKUP(TableHandbook[[#This Row],[UDC]],TableAvailabilities[],3,FALSE)&gt;0,"Y",""),"")</f>
        <v>Y</v>
      </c>
      <c r="I58" s="133" t="str">
        <f>IFERROR(IF(VLOOKUP(TableHandbook[[#This Row],[UDC]],TableAvailabilities[],4,FALSE)&gt;0,"Y",""),"")</f>
        <v/>
      </c>
      <c r="J58" s="133" t="str">
        <f>IFERROR(IF(VLOOKUP(TableHandbook[[#This Row],[UDC]],TableAvailabilities[],5,FALSE)&gt;0,"Y",""),"")</f>
        <v/>
      </c>
      <c r="K58" s="3"/>
      <c r="L58" s="135" t="str">
        <f>IFERROR(VLOOKUP(TableHandbook[[#This Row],[UDC]],TableEOINARCH[],7,FALSE),"")</f>
        <v>Core</v>
      </c>
      <c r="M58" s="136" t="str">
        <f>IFERROR(VLOOKUP(TableHandbook[[#This Row],[UDC]],TableEOINARCH1[],7,FALSE),"")</f>
        <v>Core</v>
      </c>
      <c r="N58" s="135" t="str">
        <f>IFERROR(VLOOKUP(TableHandbook[[#This Row],[UDC]],TableOUINDSGN1[],7,FALSE),"")</f>
        <v/>
      </c>
      <c r="O58" s="136" t="str">
        <f>IFERROR(VLOOKUP(TableHandbook[[#This Row],[UDC]],TableOBINDSGN[],7,FALSE),"")</f>
        <v/>
      </c>
      <c r="P58" s="135" t="str">
        <f>IFERROR(VLOOKUP(TableHandbook[[#This Row],[UDC]],TableOSCUANGAD[],7,FALSE),"")</f>
        <v/>
      </c>
      <c r="Q58" s="137" t="str">
        <f>IFERROR(VLOOKUP(TableHandbook[[#This Row],[UDC]],TableOSCUCONMS[],7,FALSE),"")</f>
        <v/>
      </c>
      <c r="R58" s="137" t="str">
        <f>IFERROR(VLOOKUP(TableHandbook[[#This Row],[UDC]],TableOSCUDIGDE[],7,FALSE),"")</f>
        <v/>
      </c>
      <c r="S58" s="137" t="str">
        <f>IFERROR(VLOOKUP(TableHandbook[[#This Row],[UDC]],TableOSCUPLGEO[],7,FALSE),"")</f>
        <v/>
      </c>
      <c r="T58" s="136" t="str">
        <f>IFERROR(VLOOKUP(TableHandbook[[#This Row],[UDC]],TableOSEUARCHT[],7,FALSE),"")</f>
        <v/>
      </c>
    </row>
    <row r="59" spans="1:20" x14ac:dyDescent="0.25">
      <c r="A59" s="3" t="s">
        <v>131</v>
      </c>
      <c r="B59" s="37">
        <v>1</v>
      </c>
      <c r="C59" s="37" t="s">
        <v>285</v>
      </c>
      <c r="D59" s="3" t="s">
        <v>286</v>
      </c>
      <c r="E59" s="37">
        <v>25</v>
      </c>
      <c r="F59" s="142" t="s">
        <v>212</v>
      </c>
      <c r="G59" s="133" t="str">
        <f>IFERROR(IF(VLOOKUP(TableHandbook[[#This Row],[UDC]],TableAvailabilities[],2,FALSE)&gt;0,"Y",""),"")</f>
        <v/>
      </c>
      <c r="H59" s="133" t="str">
        <f>IFERROR(IF(VLOOKUP(TableHandbook[[#This Row],[UDC]],TableAvailabilities[],3,FALSE)&gt;0,"Y",""),"")</f>
        <v/>
      </c>
      <c r="I59" s="133" t="str">
        <f>IFERROR(IF(VLOOKUP(TableHandbook[[#This Row],[UDC]],TableAvailabilities[],4,FALSE)&gt;0,"Y",""),"")</f>
        <v/>
      </c>
      <c r="J59" s="133" t="str">
        <f>IFERROR(IF(VLOOKUP(TableHandbook[[#This Row],[UDC]],TableAvailabilities[],5,FALSE)&gt;0,"Y",""),"")</f>
        <v>Y</v>
      </c>
      <c r="K59" s="3"/>
      <c r="L59" s="135" t="str">
        <f>IFERROR(VLOOKUP(TableHandbook[[#This Row],[UDC]],TableEOINARCH[],7,FALSE),"")</f>
        <v>Core</v>
      </c>
      <c r="M59" s="136" t="str">
        <f>IFERROR(VLOOKUP(TableHandbook[[#This Row],[UDC]],TableEOINARCH1[],7,FALSE),"")</f>
        <v>Core</v>
      </c>
      <c r="N59" s="135" t="str">
        <f>IFERROR(VLOOKUP(TableHandbook[[#This Row],[UDC]],TableOUINDSGN1[],7,FALSE),"")</f>
        <v/>
      </c>
      <c r="O59" s="136" t="str">
        <f>IFERROR(VLOOKUP(TableHandbook[[#This Row],[UDC]],TableOBINDSGN[],7,FALSE),"")</f>
        <v/>
      </c>
      <c r="P59" s="135" t="str">
        <f>IFERROR(VLOOKUP(TableHandbook[[#This Row],[UDC]],TableOSCUANGAD[],7,FALSE),"")</f>
        <v/>
      </c>
      <c r="Q59" s="137" t="str">
        <f>IFERROR(VLOOKUP(TableHandbook[[#This Row],[UDC]],TableOSCUCONMS[],7,FALSE),"")</f>
        <v/>
      </c>
      <c r="R59" s="137" t="str">
        <f>IFERROR(VLOOKUP(TableHandbook[[#This Row],[UDC]],TableOSCUDIGDE[],7,FALSE),"")</f>
        <v/>
      </c>
      <c r="S59" s="137" t="str">
        <f>IFERROR(VLOOKUP(TableHandbook[[#This Row],[UDC]],TableOSCUPLGEO[],7,FALSE),"")</f>
        <v/>
      </c>
      <c r="T59" s="136" t="str">
        <f>IFERROR(VLOOKUP(TableHandbook[[#This Row],[UDC]],TableOSEUARCHT[],7,FALSE),"")</f>
        <v/>
      </c>
    </row>
    <row r="60" spans="1:20" x14ac:dyDescent="0.25">
      <c r="A60" s="3" t="s">
        <v>133</v>
      </c>
      <c r="B60" s="37">
        <v>1</v>
      </c>
      <c r="C60" s="37" t="s">
        <v>287</v>
      </c>
      <c r="D60" s="3" t="s">
        <v>288</v>
      </c>
      <c r="E60" s="37">
        <v>25</v>
      </c>
      <c r="F60" s="142" t="s">
        <v>289</v>
      </c>
      <c r="G60" s="133" t="str">
        <f>IFERROR(IF(VLOOKUP(TableHandbook[[#This Row],[UDC]],TableAvailabilities[],2,FALSE)&gt;0,"Y",""),"")</f>
        <v/>
      </c>
      <c r="H60" s="133" t="str">
        <f>IFERROR(IF(VLOOKUP(TableHandbook[[#This Row],[UDC]],TableAvailabilities[],3,FALSE)&gt;0,"Y",""),"")</f>
        <v>Y</v>
      </c>
      <c r="I60" s="133" t="str">
        <f>IFERROR(IF(VLOOKUP(TableHandbook[[#This Row],[UDC]],TableAvailabilities[],4,FALSE)&gt;0,"Y",""),"")</f>
        <v/>
      </c>
      <c r="J60" s="133" t="str">
        <f>IFERROR(IF(VLOOKUP(TableHandbook[[#This Row],[UDC]],TableAvailabilities[],5,FALSE)&gt;0,"Y",""),"")</f>
        <v/>
      </c>
      <c r="K60" s="3"/>
      <c r="L60" s="135" t="str">
        <f>IFERROR(VLOOKUP(TableHandbook[[#This Row],[UDC]],TableEOINARCH[],7,FALSE),"")</f>
        <v>Core</v>
      </c>
      <c r="M60" s="136" t="str">
        <f>IFERROR(VLOOKUP(TableHandbook[[#This Row],[UDC]],TableEOINARCH1[],7,FALSE),"")</f>
        <v>Core</v>
      </c>
      <c r="N60" s="135" t="str">
        <f>IFERROR(VLOOKUP(TableHandbook[[#This Row],[UDC]],TableOUINDSGN1[],7,FALSE),"")</f>
        <v/>
      </c>
      <c r="O60" s="136" t="str">
        <f>IFERROR(VLOOKUP(TableHandbook[[#This Row],[UDC]],TableOBINDSGN[],7,FALSE),"")</f>
        <v/>
      </c>
      <c r="P60" s="135" t="str">
        <f>IFERROR(VLOOKUP(TableHandbook[[#This Row],[UDC]],TableOSCUANGAD[],7,FALSE),"")</f>
        <v/>
      </c>
      <c r="Q60" s="137" t="str">
        <f>IFERROR(VLOOKUP(TableHandbook[[#This Row],[UDC]],TableOSCUCONMS[],7,FALSE),"")</f>
        <v/>
      </c>
      <c r="R60" s="137" t="str">
        <f>IFERROR(VLOOKUP(TableHandbook[[#This Row],[UDC]],TableOSCUDIGDE[],7,FALSE),"")</f>
        <v/>
      </c>
      <c r="S60" s="137" t="str">
        <f>IFERROR(VLOOKUP(TableHandbook[[#This Row],[UDC]],TableOSCUPLGEO[],7,FALSE),"")</f>
        <v/>
      </c>
      <c r="T60" s="136" t="str">
        <f>IFERROR(VLOOKUP(TableHandbook[[#This Row],[UDC]],TableOSEUARCHT[],7,FALSE),"")</f>
        <v/>
      </c>
    </row>
    <row r="61" spans="1:20" x14ac:dyDescent="0.25">
      <c r="A61" s="3" t="s">
        <v>134</v>
      </c>
      <c r="B61" s="37">
        <v>1</v>
      </c>
      <c r="C61" s="37" t="s">
        <v>290</v>
      </c>
      <c r="D61" s="3" t="s">
        <v>291</v>
      </c>
      <c r="E61" s="37">
        <v>25</v>
      </c>
      <c r="F61" s="142" t="s">
        <v>284</v>
      </c>
      <c r="G61" s="133" t="str">
        <f>IFERROR(IF(VLOOKUP(TableHandbook[[#This Row],[UDC]],TableAvailabilities[],2,FALSE)&gt;0,"Y",""),"")</f>
        <v/>
      </c>
      <c r="H61" s="133" t="str">
        <f>IFERROR(IF(VLOOKUP(TableHandbook[[#This Row],[UDC]],TableAvailabilities[],3,FALSE)&gt;0,"Y",""),"")</f>
        <v/>
      </c>
      <c r="I61" s="133" t="str">
        <f>IFERROR(IF(VLOOKUP(TableHandbook[[#This Row],[UDC]],TableAvailabilities[],4,FALSE)&gt;0,"Y",""),"")</f>
        <v/>
      </c>
      <c r="J61" s="133" t="str">
        <f>IFERROR(IF(VLOOKUP(TableHandbook[[#This Row],[UDC]],TableAvailabilities[],5,FALSE)&gt;0,"Y",""),"")</f>
        <v>Y</v>
      </c>
      <c r="K61" s="3"/>
      <c r="L61" s="135" t="str">
        <f>IFERROR(VLOOKUP(TableHandbook[[#This Row],[UDC]],TableEOINARCH[],7,FALSE),"")</f>
        <v>Core</v>
      </c>
      <c r="M61" s="136" t="str">
        <f>IFERROR(VLOOKUP(TableHandbook[[#This Row],[UDC]],TableEOINARCH1[],7,FALSE),"")</f>
        <v>Core</v>
      </c>
      <c r="N61" s="135" t="str">
        <f>IFERROR(VLOOKUP(TableHandbook[[#This Row],[UDC]],TableOUINDSGN1[],7,FALSE),"")</f>
        <v/>
      </c>
      <c r="O61" s="136" t="str">
        <f>IFERROR(VLOOKUP(TableHandbook[[#This Row],[UDC]],TableOBINDSGN[],7,FALSE),"")</f>
        <v/>
      </c>
      <c r="P61" s="135" t="str">
        <f>IFERROR(VLOOKUP(TableHandbook[[#This Row],[UDC]],TableOSCUANGAD[],7,FALSE),"")</f>
        <v/>
      </c>
      <c r="Q61" s="137" t="str">
        <f>IFERROR(VLOOKUP(TableHandbook[[#This Row],[UDC]],TableOSCUCONMS[],7,FALSE),"")</f>
        <v/>
      </c>
      <c r="R61" s="137" t="str">
        <f>IFERROR(VLOOKUP(TableHandbook[[#This Row],[UDC]],TableOSCUDIGDE[],7,FALSE),"")</f>
        <v/>
      </c>
      <c r="S61" s="137" t="str">
        <f>IFERROR(VLOOKUP(TableHandbook[[#This Row],[UDC]],TableOSCUPLGEO[],7,FALSE),"")</f>
        <v/>
      </c>
      <c r="T61" s="136" t="str">
        <f>IFERROR(VLOOKUP(TableHandbook[[#This Row],[UDC]],TableOSEUARCHT[],7,FALSE),"")</f>
        <v/>
      </c>
    </row>
    <row r="62" spans="1:20" x14ac:dyDescent="0.25">
      <c r="A62" s="3" t="s">
        <v>126</v>
      </c>
      <c r="B62" s="37">
        <v>1</v>
      </c>
      <c r="C62" s="37" t="s">
        <v>292</v>
      </c>
      <c r="D62" s="3" t="s">
        <v>293</v>
      </c>
      <c r="E62" s="37">
        <v>50</v>
      </c>
      <c r="F62" s="142" t="s">
        <v>294</v>
      </c>
      <c r="G62" s="133" t="str">
        <f>IFERROR(IF(VLOOKUP(TableHandbook[[#This Row],[UDC]],TableAvailabilities[],2,FALSE)&gt;0,"Y",""),"")</f>
        <v>Y</v>
      </c>
      <c r="H62" s="133" t="str">
        <f>IFERROR(IF(VLOOKUP(TableHandbook[[#This Row],[UDC]],TableAvailabilities[],3,FALSE)&gt;0,"Y",""),"")</f>
        <v/>
      </c>
      <c r="I62" s="133" t="str">
        <f>IFERROR(IF(VLOOKUP(TableHandbook[[#This Row],[UDC]],TableAvailabilities[],4,FALSE)&gt;0,"Y",""),"")</f>
        <v>Y</v>
      </c>
      <c r="J62" s="133" t="str">
        <f>IFERROR(IF(VLOOKUP(TableHandbook[[#This Row],[UDC]],TableAvailabilities[],5,FALSE)&gt;0,"Y",""),"")</f>
        <v/>
      </c>
      <c r="K62" s="3"/>
      <c r="L62" s="135" t="str">
        <f>IFERROR(VLOOKUP(TableHandbook[[#This Row],[UDC]],TableEOINARCH[],7,FALSE),"")</f>
        <v>Core</v>
      </c>
      <c r="M62" s="136" t="str">
        <f>IFERROR(VLOOKUP(TableHandbook[[#This Row],[UDC]],TableEOINARCH1[],7,FALSE),"")</f>
        <v>Core</v>
      </c>
      <c r="N62" s="135" t="str">
        <f>IFERROR(VLOOKUP(TableHandbook[[#This Row],[UDC]],TableOUINDSGN1[],7,FALSE),"")</f>
        <v/>
      </c>
      <c r="O62" s="136" t="str">
        <f>IFERROR(VLOOKUP(TableHandbook[[#This Row],[UDC]],TableOBINDSGN[],7,FALSE),"")</f>
        <v/>
      </c>
      <c r="P62" s="135" t="str">
        <f>IFERROR(VLOOKUP(TableHandbook[[#This Row],[UDC]],TableOSCUANGAD[],7,FALSE),"")</f>
        <v/>
      </c>
      <c r="Q62" s="137" t="str">
        <f>IFERROR(VLOOKUP(TableHandbook[[#This Row],[UDC]],TableOSCUCONMS[],7,FALSE),"")</f>
        <v/>
      </c>
      <c r="R62" s="137" t="str">
        <f>IFERROR(VLOOKUP(TableHandbook[[#This Row],[UDC]],TableOSCUDIGDE[],7,FALSE),"")</f>
        <v/>
      </c>
      <c r="S62" s="137" t="str">
        <f>IFERROR(VLOOKUP(TableHandbook[[#This Row],[UDC]],TableOSCUPLGEO[],7,FALSE),"")</f>
        <v/>
      </c>
      <c r="T62" s="136" t="str">
        <f>IFERROR(VLOOKUP(TableHandbook[[#This Row],[UDC]],TableOSEUARCHT[],7,FALSE),"")</f>
        <v/>
      </c>
    </row>
    <row r="63" spans="1:20" x14ac:dyDescent="0.25">
      <c r="A63" s="3" t="s">
        <v>135</v>
      </c>
      <c r="B63" s="37">
        <v>1</v>
      </c>
      <c r="C63" s="37" t="s">
        <v>295</v>
      </c>
      <c r="D63" s="3" t="s">
        <v>296</v>
      </c>
      <c r="E63" s="37">
        <v>50</v>
      </c>
      <c r="F63" s="142" t="s">
        <v>297</v>
      </c>
      <c r="G63" s="133" t="str">
        <f>IFERROR(IF(VLOOKUP(TableHandbook[[#This Row],[UDC]],TableAvailabilities[],2,FALSE)&gt;0,"Y",""),"")</f>
        <v>Y</v>
      </c>
      <c r="H63" s="133" t="str">
        <f>IFERROR(IF(VLOOKUP(TableHandbook[[#This Row],[UDC]],TableAvailabilities[],3,FALSE)&gt;0,"Y",""),"")</f>
        <v/>
      </c>
      <c r="I63" s="133" t="str">
        <f>IFERROR(IF(VLOOKUP(TableHandbook[[#This Row],[UDC]],TableAvailabilities[],4,FALSE)&gt;0,"Y",""),"")</f>
        <v>Y</v>
      </c>
      <c r="J63" s="133" t="str">
        <f>IFERROR(IF(VLOOKUP(TableHandbook[[#This Row],[UDC]],TableAvailabilities[],5,FALSE)&gt;0,"Y",""),"")</f>
        <v/>
      </c>
      <c r="K63" s="3"/>
      <c r="L63" s="135" t="str">
        <f>IFERROR(VLOOKUP(TableHandbook[[#This Row],[UDC]],TableEOINARCH[],7,FALSE),"")</f>
        <v>Core</v>
      </c>
      <c r="M63" s="136" t="str">
        <f>IFERROR(VLOOKUP(TableHandbook[[#This Row],[UDC]],TableEOINARCH1[],7,FALSE),"")</f>
        <v>Core</v>
      </c>
      <c r="N63" s="135" t="str">
        <f>IFERROR(VLOOKUP(TableHandbook[[#This Row],[UDC]],TableOUINDSGN1[],7,FALSE),"")</f>
        <v/>
      </c>
      <c r="O63" s="136" t="str">
        <f>IFERROR(VLOOKUP(TableHandbook[[#This Row],[UDC]],TableOBINDSGN[],7,FALSE),"")</f>
        <v/>
      </c>
      <c r="P63" s="135" t="str">
        <f>IFERROR(VLOOKUP(TableHandbook[[#This Row],[UDC]],TableOSCUANGAD[],7,FALSE),"")</f>
        <v/>
      </c>
      <c r="Q63" s="137" t="str">
        <f>IFERROR(VLOOKUP(TableHandbook[[#This Row],[UDC]],TableOSCUCONMS[],7,FALSE),"")</f>
        <v/>
      </c>
      <c r="R63" s="137" t="str">
        <f>IFERROR(VLOOKUP(TableHandbook[[#This Row],[UDC]],TableOSCUDIGDE[],7,FALSE),"")</f>
        <v/>
      </c>
      <c r="S63" s="137" t="str">
        <f>IFERROR(VLOOKUP(TableHandbook[[#This Row],[UDC]],TableOSCUPLGEO[],7,FALSE),"")</f>
        <v/>
      </c>
      <c r="T63" s="136" t="str">
        <f>IFERROR(VLOOKUP(TableHandbook[[#This Row],[UDC]],TableOSEUARCHT[],7,FALSE),"")</f>
        <v/>
      </c>
    </row>
    <row r="64" spans="1:20" x14ac:dyDescent="0.25">
      <c r="A64" s="3" t="s">
        <v>162</v>
      </c>
      <c r="B64" s="37">
        <v>0</v>
      </c>
      <c r="C64" s="37"/>
      <c r="D64" s="3" t="s">
        <v>298</v>
      </c>
      <c r="E64" s="37">
        <v>25</v>
      </c>
      <c r="F64" s="213" t="s">
        <v>185</v>
      </c>
      <c r="G64" s="133" t="str">
        <f>IFERROR(IF(VLOOKUP(TableHandbook[[#This Row],[UDC]],TableAvailabilities[],2,FALSE)&gt;0,"Y",""),"")</f>
        <v/>
      </c>
      <c r="H64" s="133" t="str">
        <f>IFERROR(IF(VLOOKUP(TableHandbook[[#This Row],[UDC]],TableAvailabilities[],3,FALSE)&gt;0,"Y",""),"")</f>
        <v/>
      </c>
      <c r="I64" s="133" t="str">
        <f>IFERROR(IF(VLOOKUP(TableHandbook[[#This Row],[UDC]],TableAvailabilities[],4,FALSE)&gt;0,"Y",""),"")</f>
        <v/>
      </c>
      <c r="J64" s="133" t="str">
        <f>IFERROR(IF(VLOOKUP(TableHandbook[[#This Row],[UDC]],TableAvailabilities[],5,FALSE)&gt;0,"Y",""),"")</f>
        <v/>
      </c>
      <c r="K64" s="3"/>
      <c r="L64" s="135" t="str">
        <f>IFERROR(VLOOKUP(TableHandbook[[#This Row],[UDC]],TableEOINARCH[],7,FALSE),"")</f>
        <v/>
      </c>
      <c r="M64" s="136" t="str">
        <f>IFERROR(VLOOKUP(TableHandbook[[#This Row],[UDC]],TableEOINARCH1[],7,FALSE),"")</f>
        <v/>
      </c>
      <c r="N64" s="135" t="str">
        <f>IFERROR(VLOOKUP(TableHandbook[[#This Row],[UDC]],TableOUINDSGN1[],7,FALSE),"")</f>
        <v/>
      </c>
      <c r="O64" s="136" t="str">
        <f>IFERROR(VLOOKUP(TableHandbook[[#This Row],[UDC]],TableOBINDSGN[],7,FALSE),"")</f>
        <v/>
      </c>
      <c r="P64" s="135" t="str">
        <f>IFERROR(VLOOKUP(TableHandbook[[#This Row],[UDC]],TableOSCUANGAD[],7,FALSE),"")</f>
        <v/>
      </c>
      <c r="Q64" s="137" t="str">
        <f>IFERROR(VLOOKUP(TableHandbook[[#This Row],[UDC]],TableOSCUCONMS[],7,FALSE),"")</f>
        <v/>
      </c>
      <c r="R64" s="137" t="str">
        <f>IFERROR(VLOOKUP(TableHandbook[[#This Row],[UDC]],TableOSCUDIGDE[],7,FALSE),"")</f>
        <v/>
      </c>
      <c r="S64" s="137" t="str">
        <f>IFERROR(VLOOKUP(TableHandbook[[#This Row],[UDC]],TableOSCUPLGEO[],7,FALSE),"")</f>
        <v/>
      </c>
      <c r="T64" s="136" t="str">
        <f>IFERROR(VLOOKUP(TableHandbook[[#This Row],[UDC]],TableOSEUARCHT[],7,FALSE),"")</f>
        <v>Option</v>
      </c>
    </row>
    <row r="65" spans="1:20" x14ac:dyDescent="0.25">
      <c r="A65" s="211" t="s">
        <v>66</v>
      </c>
      <c r="B65" s="37">
        <v>2</v>
      </c>
      <c r="C65" s="37"/>
      <c r="D65" s="3" t="s">
        <v>65</v>
      </c>
      <c r="E65" s="37">
        <v>100</v>
      </c>
      <c r="F65" s="213"/>
      <c r="G65" s="133" t="str">
        <f>IFERROR(IF(VLOOKUP(TableHandbook[[#This Row],[UDC]],TableAvailabilities[],2,FALSE)&gt;0,"Y",""),"")</f>
        <v/>
      </c>
      <c r="H65" s="133" t="str">
        <f>IFERROR(IF(VLOOKUP(TableHandbook[[#This Row],[UDC]],TableAvailabilities[],3,FALSE)&gt;0,"Y",""),"")</f>
        <v/>
      </c>
      <c r="I65" s="133" t="str">
        <f>IFERROR(IF(VLOOKUP(TableHandbook[[#This Row],[UDC]],TableAvailabilities[],4,FALSE)&gt;0,"Y",""),"")</f>
        <v/>
      </c>
      <c r="J65" s="133" t="str">
        <f>IFERROR(IF(VLOOKUP(TableHandbook[[#This Row],[UDC]],TableAvailabilities[],5,FALSE)&gt;0,"Y",""),"")</f>
        <v/>
      </c>
      <c r="K65" s="3" t="s">
        <v>256</v>
      </c>
      <c r="L65" s="135" t="str">
        <f>IFERROR(VLOOKUP(TableHandbook[[#This Row],[UDC]],TableEOINARCH[],7,FALSE),"")</f>
        <v>Option</v>
      </c>
      <c r="M65" s="136" t="str">
        <f>IFERROR(VLOOKUP(TableHandbook[[#This Row],[UDC]],TableEOINARCH1[],7,FALSE),"")</f>
        <v>Option</v>
      </c>
      <c r="N65" s="135" t="str">
        <f>IFERROR(VLOOKUP(TableHandbook[[#This Row],[UDC]],TableOUINDSGN1[],7,FALSE),"")</f>
        <v>Option</v>
      </c>
      <c r="O65" s="136" t="str">
        <f>IFERROR(VLOOKUP(TableHandbook[[#This Row],[UDC]],TableOBINDSGN[],7,FALSE),"")</f>
        <v>Option</v>
      </c>
      <c r="P65" s="135" t="str">
        <f>IFERROR(VLOOKUP(TableHandbook[[#This Row],[UDC]],TableOSCUANGAD[],7,FALSE),"")</f>
        <v/>
      </c>
      <c r="Q65" s="137" t="str">
        <f>IFERROR(VLOOKUP(TableHandbook[[#This Row],[UDC]],TableOSCUCONMS[],7,FALSE),"")</f>
        <v/>
      </c>
      <c r="R65" s="137" t="str">
        <f>IFERROR(VLOOKUP(TableHandbook[[#This Row],[UDC]],TableOSCUDIGDE[],7,FALSE),"")</f>
        <v/>
      </c>
      <c r="S65" s="137" t="str">
        <f>IFERROR(VLOOKUP(TableHandbook[[#This Row],[UDC]],TableOSCUPLGEO[],7,FALSE),"")</f>
        <v/>
      </c>
      <c r="T65" s="136" t="str">
        <f>IFERROR(VLOOKUP(TableHandbook[[#This Row],[UDC]],TableOSEUARCHT[],7,FALSE),"")</f>
        <v/>
      </c>
    </row>
    <row r="66" spans="1:20" x14ac:dyDescent="0.25">
      <c r="A66" s="3" t="s">
        <v>415</v>
      </c>
      <c r="B66" s="37">
        <v>1</v>
      </c>
      <c r="C66" s="37"/>
      <c r="D66" s="3" t="s">
        <v>65</v>
      </c>
      <c r="E66" s="37">
        <v>100</v>
      </c>
      <c r="F66" s="213"/>
      <c r="G66" s="133" t="str">
        <f>IFERROR(IF(VLOOKUP(TableHandbook[[#This Row],[UDC]],TableAvailabilities[],2,FALSE)&gt;0,"Y",""),"")</f>
        <v/>
      </c>
      <c r="H66" s="133" t="str">
        <f>IFERROR(IF(VLOOKUP(TableHandbook[[#This Row],[UDC]],TableAvailabilities[],3,FALSE)&gt;0,"Y",""),"")</f>
        <v/>
      </c>
      <c r="I66" s="133" t="str">
        <f>IFERROR(IF(VLOOKUP(TableHandbook[[#This Row],[UDC]],TableAvailabilities[],4,FALSE)&gt;0,"Y",""),"")</f>
        <v/>
      </c>
      <c r="J66" s="133" t="str">
        <f>IFERROR(IF(VLOOKUP(TableHandbook[[#This Row],[UDC]],TableAvailabilities[],5,FALSE)&gt;0,"Y",""),"")</f>
        <v/>
      </c>
      <c r="K66" s="3" t="s">
        <v>257</v>
      </c>
      <c r="L66" s="135" t="str">
        <f>IFERROR(VLOOKUP(TableHandbook[[#This Row],[UDC]],TableEOINARCH[],7,FALSE),"")</f>
        <v/>
      </c>
      <c r="M66" s="136" t="str">
        <f>IFERROR(VLOOKUP(TableHandbook[[#This Row],[UDC]],TableEOINARCH1[],7,FALSE),"")</f>
        <v/>
      </c>
      <c r="N66" s="135" t="str">
        <f>IFERROR(VLOOKUP(TableHandbook[[#This Row],[UDC]],TableOUINDSGN1[],7,FALSE),"")</f>
        <v/>
      </c>
      <c r="O66" s="136" t="str">
        <f>IFERROR(VLOOKUP(TableHandbook[[#This Row],[UDC]],TableOBINDSGN[],7,FALSE),"")</f>
        <v/>
      </c>
      <c r="P66" s="135" t="str">
        <f>IFERROR(VLOOKUP(TableHandbook[[#This Row],[UDC]],TableOSCUANGAD[],7,FALSE),"")</f>
        <v/>
      </c>
      <c r="Q66" s="137" t="str">
        <f>IFERROR(VLOOKUP(TableHandbook[[#This Row],[UDC]],TableOSCUCONMS[],7,FALSE),"")</f>
        <v/>
      </c>
      <c r="R66" s="137" t="str">
        <f>IFERROR(VLOOKUP(TableHandbook[[#This Row],[UDC]],TableOSCUDIGDE[],7,FALSE),"")</f>
        <v/>
      </c>
      <c r="S66" s="137" t="str">
        <f>IFERROR(VLOOKUP(TableHandbook[[#This Row],[UDC]],TableOSCUPLGEO[],7,FALSE),"")</f>
        <v/>
      </c>
      <c r="T66" s="136" t="str">
        <f>IFERROR(VLOOKUP(TableHandbook[[#This Row],[UDC]],TableOSEUARCHT[],7,FALSE),"")</f>
        <v/>
      </c>
    </row>
    <row r="67" spans="1:20" x14ac:dyDescent="0.25">
      <c r="A67" s="211" t="s">
        <v>71</v>
      </c>
      <c r="B67" s="37">
        <v>2</v>
      </c>
      <c r="C67" s="37"/>
      <c r="D67" s="3" t="s">
        <v>70</v>
      </c>
      <c r="E67" s="37">
        <v>100</v>
      </c>
      <c r="F67" s="213"/>
      <c r="G67" s="133" t="str">
        <f>IFERROR(IF(VLOOKUP(TableHandbook[[#This Row],[UDC]],TableAvailabilities[],2,FALSE)&gt;0,"Y",""),"")</f>
        <v/>
      </c>
      <c r="H67" s="133" t="str">
        <f>IFERROR(IF(VLOOKUP(TableHandbook[[#This Row],[UDC]],TableAvailabilities[],3,FALSE)&gt;0,"Y",""),"")</f>
        <v/>
      </c>
      <c r="I67" s="133" t="str">
        <f>IFERROR(IF(VLOOKUP(TableHandbook[[#This Row],[UDC]],TableAvailabilities[],4,FALSE)&gt;0,"Y",""),"")</f>
        <v/>
      </c>
      <c r="J67" s="133" t="str">
        <f>IFERROR(IF(VLOOKUP(TableHandbook[[#This Row],[UDC]],TableAvailabilities[],5,FALSE)&gt;0,"Y",""),"")</f>
        <v/>
      </c>
      <c r="K67" s="3" t="s">
        <v>256</v>
      </c>
      <c r="L67" s="135" t="str">
        <f>IFERROR(VLOOKUP(TableHandbook[[#This Row],[UDC]],TableEOINARCH[],7,FALSE),"")</f>
        <v>Option</v>
      </c>
      <c r="M67" s="137" t="str">
        <f>IFERROR(VLOOKUP(TableHandbook[[#This Row],[UDC]],TableEOINARCH1[],7,FALSE),"")</f>
        <v>Option</v>
      </c>
      <c r="N67" s="135" t="str">
        <f>IFERROR(VLOOKUP(TableHandbook[[#This Row],[UDC]],TableOUINDSGN1[],7,FALSE),"")</f>
        <v>Option</v>
      </c>
      <c r="O67" s="136" t="str">
        <f>IFERROR(VLOOKUP(TableHandbook[[#This Row],[UDC]],TableOBINDSGN[],7,FALSE),"")</f>
        <v>Option</v>
      </c>
      <c r="P67" s="135" t="str">
        <f>IFERROR(VLOOKUP(TableHandbook[[#This Row],[UDC]],TableOSCUANGAD[],7,FALSE),"")</f>
        <v/>
      </c>
      <c r="Q67" s="137" t="str">
        <f>IFERROR(VLOOKUP(TableHandbook[[#This Row],[UDC]],TableOSCUCONMS[],7,FALSE),"")</f>
        <v/>
      </c>
      <c r="R67" s="137" t="str">
        <f>IFERROR(VLOOKUP(TableHandbook[[#This Row],[UDC]],TableOSCUDIGDE[],7,FALSE),"")</f>
        <v/>
      </c>
      <c r="S67" s="137" t="str">
        <f>IFERROR(VLOOKUP(TableHandbook[[#This Row],[UDC]],TableOSCUPLGEO[],7,FALSE),"")</f>
        <v/>
      </c>
      <c r="T67" s="136" t="str">
        <f>IFERROR(VLOOKUP(TableHandbook[[#This Row],[UDC]],TableOSEUARCHT[],7,FALSE),"")</f>
        <v/>
      </c>
    </row>
    <row r="68" spans="1:20" x14ac:dyDescent="0.25">
      <c r="A68" s="3" t="s">
        <v>416</v>
      </c>
      <c r="B68" s="37">
        <v>1</v>
      </c>
      <c r="C68" s="37"/>
      <c r="D68" s="3" t="s">
        <v>70</v>
      </c>
      <c r="E68" s="37">
        <v>100</v>
      </c>
      <c r="F68" s="213"/>
      <c r="G68" s="133" t="str">
        <f>IFERROR(IF(VLOOKUP(TableHandbook[[#This Row],[UDC]],TableAvailabilities[],2,FALSE)&gt;0,"Y",""),"")</f>
        <v/>
      </c>
      <c r="H68" s="133" t="str">
        <f>IFERROR(IF(VLOOKUP(TableHandbook[[#This Row],[UDC]],TableAvailabilities[],3,FALSE)&gt;0,"Y",""),"")</f>
        <v/>
      </c>
      <c r="I68" s="133" t="str">
        <f>IFERROR(IF(VLOOKUP(TableHandbook[[#This Row],[UDC]],TableAvailabilities[],4,FALSE)&gt;0,"Y",""),"")</f>
        <v/>
      </c>
      <c r="J68" s="133" t="str">
        <f>IFERROR(IF(VLOOKUP(TableHandbook[[#This Row],[UDC]],TableAvailabilities[],5,FALSE)&gt;0,"Y",""),"")</f>
        <v/>
      </c>
      <c r="K68" s="3" t="s">
        <v>257</v>
      </c>
      <c r="L68" s="135" t="str">
        <f>IFERROR(VLOOKUP(TableHandbook[[#This Row],[UDC]],TableEOINARCH[],7,FALSE),"")</f>
        <v/>
      </c>
      <c r="M68" s="137" t="str">
        <f>IFERROR(VLOOKUP(TableHandbook[[#This Row],[UDC]],TableEOINARCH1[],7,FALSE),"")</f>
        <v/>
      </c>
      <c r="N68" s="135" t="str">
        <f>IFERROR(VLOOKUP(TableHandbook[[#This Row],[UDC]],TableOUINDSGN1[],7,FALSE),"")</f>
        <v/>
      </c>
      <c r="O68" s="136" t="str">
        <f>IFERROR(VLOOKUP(TableHandbook[[#This Row],[UDC]],TableOBINDSGN[],7,FALSE),"")</f>
        <v/>
      </c>
      <c r="P68" s="135" t="str">
        <f>IFERROR(VLOOKUP(TableHandbook[[#This Row],[UDC]],TableOSCUANGAD[],7,FALSE),"")</f>
        <v/>
      </c>
      <c r="Q68" s="137" t="str">
        <f>IFERROR(VLOOKUP(TableHandbook[[#This Row],[UDC]],TableOSCUCONMS[],7,FALSE),"")</f>
        <v/>
      </c>
      <c r="R68" s="137" t="str">
        <f>IFERROR(VLOOKUP(TableHandbook[[#This Row],[UDC]],TableOSCUDIGDE[],7,FALSE),"")</f>
        <v/>
      </c>
      <c r="S68" s="137" t="str">
        <f>IFERROR(VLOOKUP(TableHandbook[[#This Row],[UDC]],TableOSCUPLGEO[],7,FALSE),"")</f>
        <v/>
      </c>
      <c r="T68" s="136" t="str">
        <f>IFERROR(VLOOKUP(TableHandbook[[#This Row],[UDC]],TableOSEUARCHT[],7,FALSE),"")</f>
        <v/>
      </c>
    </row>
    <row r="69" spans="1:20" x14ac:dyDescent="0.25">
      <c r="A69" s="211" t="s">
        <v>74</v>
      </c>
      <c r="B69" s="37">
        <v>2</v>
      </c>
      <c r="C69" s="37"/>
      <c r="D69" s="3" t="s">
        <v>73</v>
      </c>
      <c r="E69" s="37">
        <v>100</v>
      </c>
      <c r="F69" s="213"/>
      <c r="G69" s="133" t="str">
        <f>IFERROR(IF(VLOOKUP(TableHandbook[[#This Row],[UDC]],TableAvailabilities[],2,FALSE)&gt;0,"Y",""),"")</f>
        <v/>
      </c>
      <c r="H69" s="133" t="str">
        <f>IFERROR(IF(VLOOKUP(TableHandbook[[#This Row],[UDC]],TableAvailabilities[],3,FALSE)&gt;0,"Y",""),"")</f>
        <v/>
      </c>
      <c r="I69" s="133" t="str">
        <f>IFERROR(IF(VLOOKUP(TableHandbook[[#This Row],[UDC]],TableAvailabilities[],4,FALSE)&gt;0,"Y",""),"")</f>
        <v/>
      </c>
      <c r="J69" s="133" t="str">
        <f>IFERROR(IF(VLOOKUP(TableHandbook[[#This Row],[UDC]],TableAvailabilities[],5,FALSE)&gt;0,"Y",""),"")</f>
        <v/>
      </c>
      <c r="K69" s="3" t="s">
        <v>256</v>
      </c>
      <c r="L69" s="135" t="str">
        <f>IFERROR(VLOOKUP(TableHandbook[[#This Row],[UDC]],TableEOINARCH[],7,FALSE),"")</f>
        <v>Option</v>
      </c>
      <c r="M69" s="137" t="str">
        <f>IFERROR(VLOOKUP(TableHandbook[[#This Row],[UDC]],TableEOINARCH1[],7,FALSE),"")</f>
        <v>Option</v>
      </c>
      <c r="N69" s="135" t="str">
        <f>IFERROR(VLOOKUP(TableHandbook[[#This Row],[UDC]],TableOUINDSGN1[],7,FALSE),"")</f>
        <v>Option</v>
      </c>
      <c r="O69" s="136" t="str">
        <f>IFERROR(VLOOKUP(TableHandbook[[#This Row],[UDC]],TableOBINDSGN[],7,FALSE),"")</f>
        <v>Option</v>
      </c>
      <c r="P69" s="135" t="str">
        <f>IFERROR(VLOOKUP(TableHandbook[[#This Row],[UDC]],TableOSCUANGAD[],7,FALSE),"")</f>
        <v/>
      </c>
      <c r="Q69" s="137" t="str">
        <f>IFERROR(VLOOKUP(TableHandbook[[#This Row],[UDC]],TableOSCUCONMS[],7,FALSE),"")</f>
        <v/>
      </c>
      <c r="R69" s="137" t="str">
        <f>IFERROR(VLOOKUP(TableHandbook[[#This Row],[UDC]],TableOSCUDIGDE[],7,FALSE),"")</f>
        <v/>
      </c>
      <c r="S69" s="137" t="str">
        <f>IFERROR(VLOOKUP(TableHandbook[[#This Row],[UDC]],TableOSCUPLGEO[],7,FALSE),"")</f>
        <v/>
      </c>
      <c r="T69" s="136" t="str">
        <f>IFERROR(VLOOKUP(TableHandbook[[#This Row],[UDC]],TableOSEUARCHT[],7,FALSE),"")</f>
        <v/>
      </c>
    </row>
    <row r="70" spans="1:20" x14ac:dyDescent="0.25">
      <c r="A70" s="3" t="s">
        <v>417</v>
      </c>
      <c r="B70" s="37">
        <v>1</v>
      </c>
      <c r="C70" s="37"/>
      <c r="D70" s="3" t="s">
        <v>73</v>
      </c>
      <c r="E70" s="37">
        <v>100</v>
      </c>
      <c r="F70" s="213"/>
      <c r="G70" s="133" t="str">
        <f>IFERROR(IF(VLOOKUP(TableHandbook[[#This Row],[UDC]],TableAvailabilities[],2,FALSE)&gt;0,"Y",""),"")</f>
        <v/>
      </c>
      <c r="H70" s="133" t="str">
        <f>IFERROR(IF(VLOOKUP(TableHandbook[[#This Row],[UDC]],TableAvailabilities[],3,FALSE)&gt;0,"Y",""),"")</f>
        <v/>
      </c>
      <c r="I70" s="133" t="str">
        <f>IFERROR(IF(VLOOKUP(TableHandbook[[#This Row],[UDC]],TableAvailabilities[],4,FALSE)&gt;0,"Y",""),"")</f>
        <v/>
      </c>
      <c r="J70" s="133" t="str">
        <f>IFERROR(IF(VLOOKUP(TableHandbook[[#This Row],[UDC]],TableAvailabilities[],5,FALSE)&gt;0,"Y",""),"")</f>
        <v/>
      </c>
      <c r="K70" s="3" t="s">
        <v>257</v>
      </c>
      <c r="L70" s="135" t="str">
        <f>IFERROR(VLOOKUP(TableHandbook[[#This Row],[UDC]],TableEOINARCH[],7,FALSE),"")</f>
        <v/>
      </c>
      <c r="M70" s="137" t="str">
        <f>IFERROR(VLOOKUP(TableHandbook[[#This Row],[UDC]],TableEOINARCH1[],7,FALSE),"")</f>
        <v/>
      </c>
      <c r="N70" s="135" t="str">
        <f>IFERROR(VLOOKUP(TableHandbook[[#This Row],[UDC]],TableOUINDSGN1[],7,FALSE),"")</f>
        <v/>
      </c>
      <c r="O70" s="136" t="str">
        <f>IFERROR(VLOOKUP(TableHandbook[[#This Row],[UDC]],TableOBINDSGN[],7,FALSE),"")</f>
        <v/>
      </c>
      <c r="P70" s="135" t="str">
        <f>IFERROR(VLOOKUP(TableHandbook[[#This Row],[UDC]],TableOSCUANGAD[],7,FALSE),"")</f>
        <v/>
      </c>
      <c r="Q70" s="137" t="str">
        <f>IFERROR(VLOOKUP(TableHandbook[[#This Row],[UDC]],TableOSCUCONMS[],7,FALSE),"")</f>
        <v/>
      </c>
      <c r="R70" s="137" t="str">
        <f>IFERROR(VLOOKUP(TableHandbook[[#This Row],[UDC]],TableOSCUDIGDE[],7,FALSE),"")</f>
        <v/>
      </c>
      <c r="S70" s="137" t="str">
        <f>IFERROR(VLOOKUP(TableHandbook[[#This Row],[UDC]],TableOSCUPLGEO[],7,FALSE),"")</f>
        <v/>
      </c>
      <c r="T70" s="136" t="str">
        <f>IFERROR(VLOOKUP(TableHandbook[[#This Row],[UDC]],TableOSEUARCHT[],7,FALSE),"")</f>
        <v/>
      </c>
    </row>
    <row r="71" spans="1:20" x14ac:dyDescent="0.25">
      <c r="A71" s="3" t="s">
        <v>76</v>
      </c>
      <c r="B71" s="37">
        <v>1</v>
      </c>
      <c r="C71" s="37"/>
      <c r="D71" s="3" t="s">
        <v>75</v>
      </c>
      <c r="E71" s="37">
        <v>100</v>
      </c>
      <c r="F71" s="213"/>
      <c r="G71" s="133" t="str">
        <f>IFERROR(IF(VLOOKUP(TableHandbook[[#This Row],[UDC]],TableAvailabilities[],2,FALSE)&gt;0,"Y",""),"")</f>
        <v/>
      </c>
      <c r="H71" s="133" t="str">
        <f>IFERROR(IF(VLOOKUP(TableHandbook[[#This Row],[UDC]],TableAvailabilities[],3,FALSE)&gt;0,"Y",""),"")</f>
        <v/>
      </c>
      <c r="I71" s="133" t="str">
        <f>IFERROR(IF(VLOOKUP(TableHandbook[[#This Row],[UDC]],TableAvailabilities[],4,FALSE)&gt;0,"Y",""),"")</f>
        <v/>
      </c>
      <c r="J71" s="133" t="str">
        <f>IFERROR(IF(VLOOKUP(TableHandbook[[#This Row],[UDC]],TableAvailabilities[],5,FALSE)&gt;0,"Y",""),"")</f>
        <v/>
      </c>
      <c r="K71" s="3"/>
      <c r="L71" s="135" t="str">
        <f>IFERROR(VLOOKUP(TableHandbook[[#This Row],[UDC]],TableEOINARCH[],7,FALSE),"")</f>
        <v>Option</v>
      </c>
      <c r="M71" s="137" t="str">
        <f>IFERROR(VLOOKUP(TableHandbook[[#This Row],[UDC]],TableEOINARCH1[],7,FALSE),"")</f>
        <v>Option</v>
      </c>
      <c r="N71" s="135" t="str">
        <f>IFERROR(VLOOKUP(TableHandbook[[#This Row],[UDC]],TableOUINDSGN1[],7,FALSE),"")</f>
        <v>Option</v>
      </c>
      <c r="O71" s="136" t="str">
        <f>IFERROR(VLOOKUP(TableHandbook[[#This Row],[UDC]],TableOBINDSGN[],7,FALSE),"")</f>
        <v>Option</v>
      </c>
      <c r="P71" s="135" t="str">
        <f>IFERROR(VLOOKUP(TableHandbook[[#This Row],[UDC]],TableOSCUANGAD[],7,FALSE),"")</f>
        <v/>
      </c>
      <c r="Q71" s="137" t="str">
        <f>IFERROR(VLOOKUP(TableHandbook[[#This Row],[UDC]],TableOSCUCONMS[],7,FALSE),"")</f>
        <v/>
      </c>
      <c r="R71" s="137" t="str">
        <f>IFERROR(VLOOKUP(TableHandbook[[#This Row],[UDC]],TableOSCUDIGDE[],7,FALSE),"")</f>
        <v/>
      </c>
      <c r="S71" s="137" t="str">
        <f>IFERROR(VLOOKUP(TableHandbook[[#This Row],[UDC]],TableOSCUPLGEO[],7,FALSE),"")</f>
        <v/>
      </c>
      <c r="T71" s="136" t="str">
        <f>IFERROR(VLOOKUP(TableHandbook[[#This Row],[UDC]],TableOSEUARCHT[],7,FALSE),"")</f>
        <v/>
      </c>
    </row>
    <row r="72" spans="1:20" x14ac:dyDescent="0.25">
      <c r="A72" s="3" t="s">
        <v>69</v>
      </c>
      <c r="B72" s="37">
        <v>1</v>
      </c>
      <c r="C72" s="37"/>
      <c r="D72" s="3" t="s">
        <v>68</v>
      </c>
      <c r="E72" s="37">
        <v>100</v>
      </c>
      <c r="F72" s="213"/>
      <c r="G72" s="133" t="str">
        <f>IFERROR(IF(VLOOKUP(TableHandbook[[#This Row],[UDC]],TableAvailabilities[],2,FALSE)&gt;0,"Y",""),"")</f>
        <v/>
      </c>
      <c r="H72" s="133" t="str">
        <f>IFERROR(IF(VLOOKUP(TableHandbook[[#This Row],[UDC]],TableAvailabilities[],3,FALSE)&gt;0,"Y",""),"")</f>
        <v/>
      </c>
      <c r="I72" s="133" t="str">
        <f>IFERROR(IF(VLOOKUP(TableHandbook[[#This Row],[UDC]],TableAvailabilities[],4,FALSE)&gt;0,"Y",""),"")</f>
        <v/>
      </c>
      <c r="J72" s="133" t="str">
        <f>IFERROR(IF(VLOOKUP(TableHandbook[[#This Row],[UDC]],TableAvailabilities[],5,FALSE)&gt;0,"Y",""),"")</f>
        <v/>
      </c>
      <c r="K72" s="3"/>
      <c r="L72" s="135" t="str">
        <f>IFERROR(VLOOKUP(TableHandbook[[#This Row],[UDC]],TableEOINARCH[],7,FALSE),"")</f>
        <v>Option</v>
      </c>
      <c r="M72" s="137" t="str">
        <f>IFERROR(VLOOKUP(TableHandbook[[#This Row],[UDC]],TableEOINARCH1[],7,FALSE),"")</f>
        <v>Option</v>
      </c>
      <c r="N72" s="135" t="str">
        <f>IFERROR(VLOOKUP(TableHandbook[[#This Row],[UDC]],TableOUINDSGN1[],7,FALSE),"")</f>
        <v>Option</v>
      </c>
      <c r="O72" s="136" t="str">
        <f>IFERROR(VLOOKUP(TableHandbook[[#This Row],[UDC]],TableOBINDSGN[],7,FALSE),"")</f>
        <v>Option</v>
      </c>
      <c r="P72" s="135" t="str">
        <f>IFERROR(VLOOKUP(TableHandbook[[#This Row],[UDC]],TableOSCUANGAD[],7,FALSE),"")</f>
        <v/>
      </c>
      <c r="Q72" s="137" t="str">
        <f>IFERROR(VLOOKUP(TableHandbook[[#This Row],[UDC]],TableOSCUCONMS[],7,FALSE),"")</f>
        <v/>
      </c>
      <c r="R72" s="137" t="str">
        <f>IFERROR(VLOOKUP(TableHandbook[[#This Row],[UDC]],TableOSCUDIGDE[],7,FALSE),"")</f>
        <v/>
      </c>
      <c r="S72" s="137" t="str">
        <f>IFERROR(VLOOKUP(TableHandbook[[#This Row],[UDC]],TableOSCUPLGEO[],7,FALSE),"")</f>
        <v/>
      </c>
      <c r="T72" s="136" t="str">
        <f>IFERROR(VLOOKUP(TableHandbook[[#This Row],[UDC]],TableOSEUARCHT[],7,FALSE),"")</f>
        <v/>
      </c>
    </row>
    <row r="73" spans="1:20" x14ac:dyDescent="0.25">
      <c r="A73" s="211" t="s">
        <v>411</v>
      </c>
      <c r="B73" s="37">
        <v>1</v>
      </c>
      <c r="C73" s="37"/>
      <c r="D73" s="3" t="s">
        <v>412</v>
      </c>
      <c r="E73" s="37">
        <v>100</v>
      </c>
      <c r="F73" s="213"/>
      <c r="G73" s="133" t="str">
        <f>IFERROR(IF(VLOOKUP(TableHandbook[[#This Row],[UDC]],TableAvailabilities[],2,FALSE)&gt;0,"Y",""),"")</f>
        <v/>
      </c>
      <c r="H73" s="133" t="str">
        <f>IFERROR(IF(VLOOKUP(TableHandbook[[#This Row],[UDC]],TableAvailabilities[],3,FALSE)&gt;0,"Y",""),"")</f>
        <v/>
      </c>
      <c r="I73" s="133" t="str">
        <f>IFERROR(IF(VLOOKUP(TableHandbook[[#This Row],[UDC]],TableAvailabilities[],4,FALSE)&gt;0,"Y",""),"")</f>
        <v/>
      </c>
      <c r="J73" s="133" t="str">
        <f>IFERROR(IF(VLOOKUP(TableHandbook[[#This Row],[UDC]],TableAvailabilities[],5,FALSE)&gt;0,"Y",""),"")</f>
        <v/>
      </c>
      <c r="K73" s="3" t="s">
        <v>418</v>
      </c>
      <c r="L73" s="135" t="str">
        <f>IFERROR(VLOOKUP(TableHandbook[[#This Row],[UDC]],TableEOINARCH[],7,FALSE),"")</f>
        <v/>
      </c>
      <c r="M73" s="137" t="str">
        <f>IFERROR(VLOOKUP(TableHandbook[[#This Row],[UDC]],TableEOINARCH1[],7,FALSE),"")</f>
        <v/>
      </c>
      <c r="N73" s="135" t="str">
        <f>IFERROR(VLOOKUP(TableHandbook[[#This Row],[UDC]],TableOUINDSGN1[],7,FALSE),"")</f>
        <v>Option</v>
      </c>
      <c r="O73" s="136" t="str">
        <f>IFERROR(VLOOKUP(TableHandbook[[#This Row],[UDC]],TableOBINDSGN[],7,FALSE),"")</f>
        <v/>
      </c>
      <c r="P73" s="135" t="str">
        <f>IFERROR(VLOOKUP(TableHandbook[[#This Row],[UDC]],TableOSCUANGAD[],7,FALSE),"")</f>
        <v/>
      </c>
      <c r="Q73" s="137" t="str">
        <f>IFERROR(VLOOKUP(TableHandbook[[#This Row],[UDC]],TableOSCUCONMS[],7,FALSE),"")</f>
        <v/>
      </c>
      <c r="R73" s="137" t="str">
        <f>IFERROR(VLOOKUP(TableHandbook[[#This Row],[UDC]],TableOSCUDIGDE[],7,FALSE),"")</f>
        <v/>
      </c>
      <c r="S73" s="137" t="str">
        <f>IFERROR(VLOOKUP(TableHandbook[[#This Row],[UDC]],TableOSCUPLGEO[],7,FALSE),"")</f>
        <v/>
      </c>
      <c r="T73" s="136" t="str">
        <f>IFERROR(VLOOKUP(TableHandbook[[#This Row],[UDC]],TableOSEUARCHT[],7,FALSE),"")</f>
        <v/>
      </c>
    </row>
    <row r="74" spans="1:20" x14ac:dyDescent="0.25">
      <c r="A74" s="3" t="s">
        <v>157</v>
      </c>
      <c r="B74" s="37">
        <v>3</v>
      </c>
      <c r="C74" s="37" t="s">
        <v>299</v>
      </c>
      <c r="D74" s="3" t="s">
        <v>300</v>
      </c>
      <c r="E74" s="37">
        <v>25</v>
      </c>
      <c r="F74" s="213" t="s">
        <v>190</v>
      </c>
      <c r="G74" s="133" t="str">
        <f>IFERROR(IF(VLOOKUP(TableHandbook[[#This Row],[UDC]],TableAvailabilities[],2,FALSE)&gt;0,"Y",""),"")</f>
        <v/>
      </c>
      <c r="H74" s="133" t="str">
        <f>IFERROR(IF(VLOOKUP(TableHandbook[[#This Row],[UDC]],TableAvailabilities[],3,FALSE)&gt;0,"Y",""),"")</f>
        <v/>
      </c>
      <c r="I74" s="133" t="str">
        <f>IFERROR(IF(VLOOKUP(TableHandbook[[#This Row],[UDC]],TableAvailabilities[],4,FALSE)&gt;0,"Y",""),"")</f>
        <v>Y</v>
      </c>
      <c r="J74" s="133" t="str">
        <f>IFERROR(IF(VLOOKUP(TableHandbook[[#This Row],[UDC]],TableAvailabilities[],5,FALSE)&gt;0,"Y",""),"")</f>
        <v/>
      </c>
      <c r="K74" s="3"/>
      <c r="L74" s="135" t="str">
        <f>IFERROR(VLOOKUP(TableHandbook[[#This Row],[UDC]],TableEOINARCH[],7,FALSE),"")</f>
        <v/>
      </c>
      <c r="M74" s="137" t="str">
        <f>IFERROR(VLOOKUP(TableHandbook[[#This Row],[UDC]],TableEOINARCH1[],7,FALSE),"")</f>
        <v/>
      </c>
      <c r="N74" s="135" t="str">
        <f>IFERROR(VLOOKUP(TableHandbook[[#This Row],[UDC]],TableOUINDSGN1[],7,FALSE),"")</f>
        <v/>
      </c>
      <c r="O74" s="136" t="str">
        <f>IFERROR(VLOOKUP(TableHandbook[[#This Row],[UDC]],TableOBINDSGN[],7,FALSE),"")</f>
        <v/>
      </c>
      <c r="P74" s="135" t="str">
        <f>IFERROR(VLOOKUP(TableHandbook[[#This Row],[UDC]],TableOSCUANGAD[],7,FALSE),"")</f>
        <v/>
      </c>
      <c r="Q74" s="137" t="str">
        <f>IFERROR(VLOOKUP(TableHandbook[[#This Row],[UDC]],TableOSCUCONMS[],7,FALSE),"")</f>
        <v/>
      </c>
      <c r="R74" s="137" t="str">
        <f>IFERROR(VLOOKUP(TableHandbook[[#This Row],[UDC]],TableOSCUDIGDE[],7,FALSE),"")</f>
        <v/>
      </c>
      <c r="S74" s="137" t="str">
        <f>IFERROR(VLOOKUP(TableHandbook[[#This Row],[UDC]],TableOSCUPLGEO[],7,FALSE),"")</f>
        <v>Core</v>
      </c>
      <c r="T74" s="136" t="str">
        <f>IFERROR(VLOOKUP(TableHandbook[[#This Row],[UDC]],TableOSEUARCHT[],7,FALSE),"")</f>
        <v/>
      </c>
    </row>
    <row r="75" spans="1:20" x14ac:dyDescent="0.25">
      <c r="A75" s="3" t="s">
        <v>98</v>
      </c>
      <c r="B75" s="37"/>
      <c r="C75" s="37"/>
      <c r="D75" s="3" t="s">
        <v>301</v>
      </c>
      <c r="E75" s="37">
        <v>25</v>
      </c>
      <c r="F75" s="213" t="s">
        <v>185</v>
      </c>
      <c r="G75" s="133" t="str">
        <f>IFERROR(IF(VLOOKUP(TableHandbook[[#This Row],[UDC]],TableAvailabilities[],2,FALSE)&gt;0,"Y",""),"")</f>
        <v/>
      </c>
      <c r="H75" s="133" t="str">
        <f>IFERROR(IF(VLOOKUP(TableHandbook[[#This Row],[UDC]],TableAvailabilities[],3,FALSE)&gt;0,"Y",""),"")</f>
        <v/>
      </c>
      <c r="I75" s="133" t="str">
        <f>IFERROR(IF(VLOOKUP(TableHandbook[[#This Row],[UDC]],TableAvailabilities[],4,FALSE)&gt;0,"Y",""),"")</f>
        <v/>
      </c>
      <c r="J75" s="133" t="str">
        <f>IFERROR(IF(VLOOKUP(TableHandbook[[#This Row],[UDC]],TableAvailabilities[],5,FALSE)&gt;0,"Y",""),"")</f>
        <v/>
      </c>
      <c r="K75" s="3"/>
      <c r="L75" s="135" t="str">
        <f>IFERROR(VLOOKUP(TableHandbook[[#This Row],[UDC]],TableEOINARCH[],7,FALSE),"")</f>
        <v/>
      </c>
      <c r="M75" s="137" t="str">
        <f>IFERROR(VLOOKUP(TableHandbook[[#This Row],[UDC]],TableEOINARCH1[],7,FALSE),"")</f>
        <v/>
      </c>
      <c r="N75" s="135" t="str">
        <f>IFERROR(VLOOKUP(TableHandbook[[#This Row],[UDC]],TableOUINDSGN1[],7,FALSE),"")</f>
        <v/>
      </c>
      <c r="O75" s="136" t="str">
        <f>IFERROR(VLOOKUP(TableHandbook[[#This Row],[UDC]],TableOBINDSGN[],7,FALSE),"")</f>
        <v/>
      </c>
      <c r="P75" s="135" t="str">
        <f>IFERROR(VLOOKUP(TableHandbook[[#This Row],[UDC]],TableOSCUANGAD[],7,FALSE),"")</f>
        <v/>
      </c>
      <c r="Q75" s="137" t="str">
        <f>IFERROR(VLOOKUP(TableHandbook[[#This Row],[UDC]],TableOSCUCONMS[],7,FALSE),"")</f>
        <v/>
      </c>
      <c r="R75" s="137" t="str">
        <f>IFERROR(VLOOKUP(TableHandbook[[#This Row],[UDC]],TableOSCUDIGDE[],7,FALSE),"")</f>
        <v/>
      </c>
      <c r="S75" s="137" t="str">
        <f>IFERROR(VLOOKUP(TableHandbook[[#This Row],[UDC]],TableOSCUPLGEO[],7,FALSE),"")</f>
        <v/>
      </c>
      <c r="T75" s="136" t="str">
        <f>IFERROR(VLOOKUP(TableHandbook[[#This Row],[UDC]],TableOSEUARCHT[],7,FALSE),"")</f>
        <v/>
      </c>
    </row>
    <row r="76" spans="1:20" x14ac:dyDescent="0.25">
      <c r="A76" s="3" t="s">
        <v>302</v>
      </c>
      <c r="B76" s="37">
        <v>0</v>
      </c>
      <c r="C76" s="37"/>
      <c r="D76" s="3" t="s">
        <v>303</v>
      </c>
      <c r="E76" s="37">
        <v>100</v>
      </c>
      <c r="F76" s="213"/>
      <c r="G76" s="133" t="str">
        <f>IFERROR(IF(VLOOKUP(TableHandbook[[#This Row],[UDC]],TableAvailabilities[],2,FALSE)&gt;0,"Y",""),"")</f>
        <v/>
      </c>
      <c r="H76" s="133" t="str">
        <f>IFERROR(IF(VLOOKUP(TableHandbook[[#This Row],[UDC]],TableAvailabilities[],3,FALSE)&gt;0,"Y",""),"")</f>
        <v/>
      </c>
      <c r="I76" s="133" t="str">
        <f>IFERROR(IF(VLOOKUP(TableHandbook[[#This Row],[UDC]],TableAvailabilities[],4,FALSE)&gt;0,"Y",""),"")</f>
        <v/>
      </c>
      <c r="J76" s="133" t="str">
        <f>IFERROR(IF(VLOOKUP(TableHandbook[[#This Row],[UDC]],TableAvailabilities[],5,FALSE)&gt;0,"Y",""),"")</f>
        <v/>
      </c>
      <c r="K76" s="3"/>
      <c r="L76" s="135" t="str">
        <f>IFERROR(VLOOKUP(TableHandbook[[#This Row],[UDC]],TableEOINARCH[],7,FALSE),"")</f>
        <v>Option</v>
      </c>
      <c r="M76" s="137" t="str">
        <f>IFERROR(VLOOKUP(TableHandbook[[#This Row],[UDC]],TableEOINARCH1[],7,FALSE),"")</f>
        <v>Option</v>
      </c>
      <c r="N76" s="135" t="str">
        <f>IFERROR(VLOOKUP(TableHandbook[[#This Row],[UDC]],TableOUINDSGN1[],7,FALSE),"")</f>
        <v>Option</v>
      </c>
      <c r="O76" s="136" t="str">
        <f>IFERROR(VLOOKUP(TableHandbook[[#This Row],[UDC]],TableOBINDSGN[],7,FALSE),"")</f>
        <v>Option</v>
      </c>
      <c r="P76" s="135" t="str">
        <f>IFERROR(VLOOKUP(TableHandbook[[#This Row],[UDC]],TableOSCUANGAD[],7,FALSE),"")</f>
        <v/>
      </c>
      <c r="Q76" s="137" t="str">
        <f>IFERROR(VLOOKUP(TableHandbook[[#This Row],[UDC]],TableOSCUCONMS[],7,FALSE),"")</f>
        <v/>
      </c>
      <c r="R76" s="137" t="str">
        <f>IFERROR(VLOOKUP(TableHandbook[[#This Row],[UDC]],TableOSCUDIGDE[],7,FALSE),"")</f>
        <v/>
      </c>
      <c r="S76" s="137" t="str">
        <f>IFERROR(VLOOKUP(TableHandbook[[#This Row],[UDC]],TableOSCUPLGEO[],7,FALSE),"")</f>
        <v/>
      </c>
      <c r="T76" s="136" t="str">
        <f>IFERROR(VLOOKUP(TableHandbook[[#This Row],[UDC]],TableOSEUARCHT[],7,FALSE),"")</f>
        <v/>
      </c>
    </row>
    <row r="77" spans="1:20" x14ac:dyDescent="0.25">
      <c r="A77" s="3" t="s">
        <v>146</v>
      </c>
      <c r="B77" s="37">
        <v>1</v>
      </c>
      <c r="C77" s="37" t="s">
        <v>304</v>
      </c>
      <c r="D77" s="3" t="s">
        <v>305</v>
      </c>
      <c r="E77" s="37">
        <v>25</v>
      </c>
      <c r="F77" s="142" t="s">
        <v>190</v>
      </c>
      <c r="G77" s="133" t="str">
        <f>IFERROR(IF(VLOOKUP(TableHandbook[[#This Row],[UDC]],TableAvailabilities[],2,FALSE)&gt;0,"Y",""),"")</f>
        <v>Y</v>
      </c>
      <c r="H77" s="133" t="str">
        <f>IFERROR(IF(VLOOKUP(TableHandbook[[#This Row],[UDC]],TableAvailabilities[],3,FALSE)&gt;0,"Y",""),"")</f>
        <v/>
      </c>
      <c r="I77" s="133" t="str">
        <f>IFERROR(IF(VLOOKUP(TableHandbook[[#This Row],[UDC]],TableAvailabilities[],4,FALSE)&gt;0,"Y",""),"")</f>
        <v>Y</v>
      </c>
      <c r="J77" s="133" t="str">
        <f>IFERROR(IF(VLOOKUP(TableHandbook[[#This Row],[UDC]],TableAvailabilities[],5,FALSE)&gt;0,"Y",""),"")</f>
        <v/>
      </c>
      <c r="K77" s="3"/>
      <c r="L77" s="135" t="str">
        <f>IFERROR(VLOOKUP(TableHandbook[[#This Row],[UDC]],TableEOINARCH[],7,FALSE),"")</f>
        <v/>
      </c>
      <c r="M77" s="137" t="str">
        <f>IFERROR(VLOOKUP(TableHandbook[[#This Row],[UDC]],TableEOINARCH1[],7,FALSE),"")</f>
        <v/>
      </c>
      <c r="N77" s="135" t="str">
        <f>IFERROR(VLOOKUP(TableHandbook[[#This Row],[UDC]],TableOUINDSGN1[],7,FALSE),"")</f>
        <v/>
      </c>
      <c r="O77" s="136" t="str">
        <f>IFERROR(VLOOKUP(TableHandbook[[#This Row],[UDC]],TableOBINDSGN[],7,FALSE),"")</f>
        <v/>
      </c>
      <c r="P77" s="135" t="str">
        <f>IFERROR(VLOOKUP(TableHandbook[[#This Row],[UDC]],TableOSCUANGAD[],7,FALSE),"")</f>
        <v/>
      </c>
      <c r="Q77" s="137" t="str">
        <f>IFERROR(VLOOKUP(TableHandbook[[#This Row],[UDC]],TableOSCUCONMS[],7,FALSE),"")</f>
        <v/>
      </c>
      <c r="R77" s="137" t="str">
        <f>IFERROR(VLOOKUP(TableHandbook[[#This Row],[UDC]],TableOSCUDIGDE[],7,FALSE),"")</f>
        <v/>
      </c>
      <c r="S77" s="137" t="str">
        <f>IFERROR(VLOOKUP(TableHandbook[[#This Row],[UDC]],TableOSCUPLGEO[],7,FALSE),"")</f>
        <v>Core</v>
      </c>
      <c r="T77" s="136" t="str">
        <f>IFERROR(VLOOKUP(TableHandbook[[#This Row],[UDC]],TableOSEUARCHT[],7,FALSE),"")</f>
        <v/>
      </c>
    </row>
    <row r="78" spans="1:20" x14ac:dyDescent="0.25">
      <c r="A78" s="3" t="s">
        <v>152</v>
      </c>
      <c r="B78" s="37">
        <v>1</v>
      </c>
      <c r="C78" s="37" t="s">
        <v>306</v>
      </c>
      <c r="D78" s="3" t="s">
        <v>307</v>
      </c>
      <c r="E78" s="37">
        <v>25</v>
      </c>
      <c r="F78" s="142" t="s">
        <v>190</v>
      </c>
      <c r="G78" s="133" t="str">
        <f>IFERROR(IF(VLOOKUP(TableHandbook[[#This Row],[UDC]],TableAvailabilities[],2,FALSE)&gt;0,"Y",""),"")</f>
        <v/>
      </c>
      <c r="H78" s="133" t="str">
        <f>IFERROR(IF(VLOOKUP(TableHandbook[[#This Row],[UDC]],TableAvailabilities[],3,FALSE)&gt;0,"Y",""),"")</f>
        <v>Y</v>
      </c>
      <c r="I78" s="133" t="str">
        <f>IFERROR(IF(VLOOKUP(TableHandbook[[#This Row],[UDC]],TableAvailabilities[],4,FALSE)&gt;0,"Y",""),"")</f>
        <v/>
      </c>
      <c r="J78" s="133" t="str">
        <f>IFERROR(IF(VLOOKUP(TableHandbook[[#This Row],[UDC]],TableAvailabilities[],5,FALSE)&gt;0,"Y",""),"")</f>
        <v>Y</v>
      </c>
      <c r="K78" s="3"/>
      <c r="L78" s="135" t="str">
        <f>IFERROR(VLOOKUP(TableHandbook[[#This Row],[UDC]],TableEOINARCH[],7,FALSE),"")</f>
        <v/>
      </c>
      <c r="M78" s="137" t="str">
        <f>IFERROR(VLOOKUP(TableHandbook[[#This Row],[UDC]],TableEOINARCH1[],7,FALSE),"")</f>
        <v/>
      </c>
      <c r="N78" s="135" t="str">
        <f>IFERROR(VLOOKUP(TableHandbook[[#This Row],[UDC]],TableOUINDSGN1[],7,FALSE),"")</f>
        <v/>
      </c>
      <c r="O78" s="136" t="str">
        <f>IFERROR(VLOOKUP(TableHandbook[[#This Row],[UDC]],TableOBINDSGN[],7,FALSE),"")</f>
        <v/>
      </c>
      <c r="P78" s="135" t="str">
        <f>IFERROR(VLOOKUP(TableHandbook[[#This Row],[UDC]],TableOSCUANGAD[],7,FALSE),"")</f>
        <v/>
      </c>
      <c r="Q78" s="137" t="str">
        <f>IFERROR(VLOOKUP(TableHandbook[[#This Row],[UDC]],TableOSCUCONMS[],7,FALSE),"")</f>
        <v/>
      </c>
      <c r="R78" s="137" t="str">
        <f>IFERROR(VLOOKUP(TableHandbook[[#This Row],[UDC]],TableOSCUDIGDE[],7,FALSE),"")</f>
        <v/>
      </c>
      <c r="S78" s="137" t="str">
        <f>IFERROR(VLOOKUP(TableHandbook[[#This Row],[UDC]],TableOSCUPLGEO[],7,FALSE),"")</f>
        <v>Core</v>
      </c>
      <c r="T78" s="136" t="str">
        <f>IFERROR(VLOOKUP(TableHandbook[[#This Row],[UDC]],TableOSEUARCHT[],7,FALSE),"")</f>
        <v/>
      </c>
    </row>
    <row r="79" spans="1:20" x14ac:dyDescent="0.25">
      <c r="A79" s="3" t="s">
        <v>119</v>
      </c>
      <c r="B79" s="37">
        <v>1</v>
      </c>
      <c r="C79" s="37" t="s">
        <v>308</v>
      </c>
      <c r="D79" s="3" t="s">
        <v>309</v>
      </c>
      <c r="E79" s="37">
        <v>25</v>
      </c>
      <c r="F79" s="142" t="s">
        <v>277</v>
      </c>
      <c r="G79" s="133" t="str">
        <f>IFERROR(IF(VLOOKUP(TableHandbook[[#This Row],[UDC]],TableAvailabilities[],2,FALSE)&gt;0,"Y",""),"")</f>
        <v/>
      </c>
      <c r="H79" s="133" t="str">
        <f>IFERROR(IF(VLOOKUP(TableHandbook[[#This Row],[UDC]],TableAvailabilities[],3,FALSE)&gt;0,"Y",""),"")</f>
        <v>Y</v>
      </c>
      <c r="I79" s="133" t="str">
        <f>IFERROR(IF(VLOOKUP(TableHandbook[[#This Row],[UDC]],TableAvailabilities[],4,FALSE)&gt;0,"Y",""),"")</f>
        <v/>
      </c>
      <c r="J79" s="133" t="str">
        <f>IFERROR(IF(VLOOKUP(TableHandbook[[#This Row],[UDC]],TableAvailabilities[],5,FALSE)&gt;0,"Y",""),"")</f>
        <v>Y</v>
      </c>
      <c r="K79" s="3"/>
      <c r="L79" s="135" t="str">
        <f>IFERROR(VLOOKUP(TableHandbook[[#This Row],[UDC]],TableEOINARCH[],7,FALSE),"")</f>
        <v>Core</v>
      </c>
      <c r="M79" s="137" t="str">
        <f>IFERROR(VLOOKUP(TableHandbook[[#This Row],[UDC]],TableEOINARCH1[],7,FALSE),"")</f>
        <v>Core</v>
      </c>
      <c r="N79" s="135" t="str">
        <f>IFERROR(VLOOKUP(TableHandbook[[#This Row],[UDC]],TableOUINDSGN1[],7,FALSE),"")</f>
        <v>Core</v>
      </c>
      <c r="O79" s="136" t="str">
        <f>IFERROR(VLOOKUP(TableHandbook[[#This Row],[UDC]],TableOBINDSGN[],7,FALSE),"")</f>
        <v>Core</v>
      </c>
      <c r="P79" s="135" t="str">
        <f>IFERROR(VLOOKUP(TableHandbook[[#This Row],[UDC]],TableOSCUANGAD[],7,FALSE),"")</f>
        <v/>
      </c>
      <c r="Q79" s="137" t="str">
        <f>IFERROR(VLOOKUP(TableHandbook[[#This Row],[UDC]],TableOSCUCONMS[],7,FALSE),"")</f>
        <v/>
      </c>
      <c r="R79" s="137" t="str">
        <f>IFERROR(VLOOKUP(TableHandbook[[#This Row],[UDC]],TableOSCUDIGDE[],7,FALSE),"")</f>
        <v/>
      </c>
      <c r="S79" s="137" t="str">
        <f>IFERROR(VLOOKUP(TableHandbook[[#This Row],[UDC]],TableOSCUPLGEO[],7,FALSE),"")</f>
        <v/>
      </c>
      <c r="T79" s="136" t="str">
        <f>IFERROR(VLOOKUP(TableHandbook[[#This Row],[UDC]],TableOSEUARCHT[],7,FALSE),"")</f>
        <v/>
      </c>
    </row>
    <row r="80" spans="1:20" x14ac:dyDescent="0.25">
      <c r="A80" s="3" t="s">
        <v>171</v>
      </c>
      <c r="B80" s="37">
        <v>1</v>
      </c>
      <c r="C80" s="37" t="s">
        <v>310</v>
      </c>
      <c r="D80" s="3" t="s">
        <v>311</v>
      </c>
      <c r="E80" s="37">
        <v>25</v>
      </c>
      <c r="F80" s="213" t="s">
        <v>312</v>
      </c>
      <c r="G80" s="133" t="str">
        <f>IFERROR(IF(VLOOKUP(TableHandbook[[#This Row],[UDC]],TableAvailabilities[],2,FALSE)&gt;0,"Y",""),"")</f>
        <v/>
      </c>
      <c r="H80" s="133" t="str">
        <f>IFERROR(IF(VLOOKUP(TableHandbook[[#This Row],[UDC]],TableAvailabilities[],3,FALSE)&gt;0,"Y",""),"")</f>
        <v/>
      </c>
      <c r="I80" s="133" t="str">
        <f>IFERROR(IF(VLOOKUP(TableHandbook[[#This Row],[UDC]],TableAvailabilities[],4,FALSE)&gt;0,"Y",""),"")</f>
        <v/>
      </c>
      <c r="J80" s="133" t="str">
        <f>IFERROR(IF(VLOOKUP(TableHandbook[[#This Row],[UDC]],TableAvailabilities[],5,FALSE)&gt;0,"Y",""),"")</f>
        <v/>
      </c>
      <c r="K80" s="3"/>
      <c r="L80" s="135" t="str">
        <f>IFERROR(VLOOKUP(TableHandbook[[#This Row],[UDC]],TableEOINARCH[],7,FALSE),"")</f>
        <v/>
      </c>
      <c r="M80" s="137" t="str">
        <f>IFERROR(VLOOKUP(TableHandbook[[#This Row],[UDC]],TableEOINARCH1[],7,FALSE),"")</f>
        <v/>
      </c>
      <c r="N80" s="135" t="str">
        <f>IFERROR(VLOOKUP(TableHandbook[[#This Row],[UDC]],TableOUINDSGN1[],7,FALSE),"")</f>
        <v/>
      </c>
      <c r="O80" s="136" t="str">
        <f>IFERROR(VLOOKUP(TableHandbook[[#This Row],[UDC]],TableOBINDSGN[],7,FALSE),"")</f>
        <v/>
      </c>
      <c r="P80" s="135" t="str">
        <f>IFERROR(VLOOKUP(TableHandbook[[#This Row],[UDC]],TableOSCUANGAD[],7,FALSE),"")</f>
        <v>AltCore</v>
      </c>
      <c r="Q80" s="137" t="str">
        <f>IFERROR(VLOOKUP(TableHandbook[[#This Row],[UDC]],TableOSCUCONMS[],7,FALSE),"")</f>
        <v/>
      </c>
      <c r="R80" s="137" t="str">
        <f>IFERROR(VLOOKUP(TableHandbook[[#This Row],[UDC]],TableOSCUDIGDE[],7,FALSE),"")</f>
        <v/>
      </c>
      <c r="S80" s="137" t="str">
        <f>IFERROR(VLOOKUP(TableHandbook[[#This Row],[UDC]],TableOSCUPLGEO[],7,FALSE),"")</f>
        <v>AltCore</v>
      </c>
      <c r="T80" s="136" t="str">
        <f>IFERROR(VLOOKUP(TableHandbook[[#This Row],[UDC]],TableOSEUARCHT[],7,FALSE),"")</f>
        <v>Option</v>
      </c>
    </row>
  </sheetData>
  <sortState xmlns:xlrd2="http://schemas.microsoft.com/office/spreadsheetml/2017/richdata2" ref="A21:D30">
    <sortCondition ref="A21"/>
  </sortState>
  <conditionalFormatting sqref="A3:A80">
    <cfRule type="duplicateValues" dxfId="35" priority="132"/>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R66"/>
  <sheetViews>
    <sheetView zoomScale="85" zoomScaleNormal="85" workbookViewId="0">
      <selection activeCell="B34" sqref="B34"/>
    </sheetView>
  </sheetViews>
  <sheetFormatPr defaultRowHeight="15.75" x14ac:dyDescent="0.25"/>
  <cols>
    <col min="1" max="1" width="13.375" style="3" bestFit="1" customWidth="1"/>
    <col min="2" max="2" width="2.5" bestFit="1" customWidth="1"/>
    <col min="3" max="3" width="5.25" bestFit="1" customWidth="1"/>
    <col min="4" max="4" width="15.125" bestFit="1" customWidth="1"/>
    <col min="5" max="5" width="5.25" bestFit="1" customWidth="1"/>
    <col min="6" max="6" width="15.375" bestFit="1" customWidth="1"/>
    <col min="7" max="7" width="5.25" bestFit="1" customWidth="1"/>
    <col min="8" max="8" width="15.375" bestFit="1" customWidth="1"/>
    <col min="9" max="9" width="5.25" bestFit="1" customWidth="1"/>
    <col min="10" max="10" width="15.375" bestFit="1" customWidth="1"/>
    <col min="11" max="11" width="5.25" bestFit="1" customWidth="1"/>
    <col min="12" max="12" width="14.875" bestFit="1" customWidth="1"/>
    <col min="13" max="13" width="5.25" bestFit="1" customWidth="1"/>
    <col min="14" max="14" width="15.125" bestFit="1" customWidth="1"/>
    <col min="15" max="15" width="5.25" bestFit="1" customWidth="1"/>
    <col min="16" max="16" width="15.125" bestFit="1" customWidth="1"/>
    <col min="17" max="17" width="5.25" bestFit="1" customWidth="1"/>
    <col min="18" max="18" width="15.125" bestFit="1" customWidth="1"/>
    <col min="19" max="19" width="5.25" bestFit="1" customWidth="1"/>
    <col min="20" max="20" width="15.25" bestFit="1" customWidth="1"/>
    <col min="21" max="21" width="5.25" bestFit="1" customWidth="1"/>
    <col min="22" max="22" width="15.625" bestFit="1" customWidth="1"/>
    <col min="23" max="23" width="5.25" bestFit="1" customWidth="1"/>
    <col min="24" max="24" width="15.625" bestFit="1" customWidth="1"/>
    <col min="25" max="25" width="5.25" bestFit="1" customWidth="1"/>
    <col min="26" max="26" width="18.375" bestFit="1" customWidth="1"/>
    <col min="27" max="27" width="5.25" bestFit="1" customWidth="1"/>
    <col min="28" max="28" width="14.25" bestFit="1" customWidth="1"/>
    <col min="29" max="29" width="5.25" bestFit="1" customWidth="1"/>
    <col min="30" max="30" width="14.5" bestFit="1" customWidth="1"/>
    <col min="31" max="31" width="5.25" bestFit="1" customWidth="1"/>
    <col min="32" max="32" width="14.5" bestFit="1" customWidth="1"/>
    <col min="33" max="33" width="5.25" bestFit="1" customWidth="1"/>
    <col min="34" max="34" width="18.375" bestFit="1" customWidth="1"/>
    <col min="35" max="35" width="5.25" bestFit="1" customWidth="1"/>
    <col min="36" max="36" width="14.625" bestFit="1" customWidth="1"/>
    <col min="37" max="37" width="5.25" bestFit="1" customWidth="1"/>
    <col min="38" max="38" width="15" bestFit="1" customWidth="1"/>
    <col min="39" max="39" width="5.25" bestFit="1" customWidth="1"/>
    <col min="40" max="40" width="15" bestFit="1" customWidth="1"/>
    <col min="41" max="41" width="5.25" bestFit="1" customWidth="1"/>
    <col min="42" max="42" width="18.375" bestFit="1" customWidth="1"/>
    <col min="43" max="43" width="5.25" bestFit="1" customWidth="1"/>
    <col min="44" max="44" width="14.625" bestFit="1" customWidth="1"/>
    <col min="45" max="45" width="5.25" bestFit="1" customWidth="1"/>
    <col min="46" max="46" width="15" bestFit="1" customWidth="1"/>
    <col min="47" max="47" width="5.25" bestFit="1" customWidth="1"/>
    <col min="48" max="48" width="15" bestFit="1" customWidth="1"/>
    <col min="49" max="49" width="5.25" bestFit="1" customWidth="1"/>
    <col min="50" max="50" width="15" bestFit="1" customWidth="1"/>
  </cols>
  <sheetData>
    <row r="2" spans="1:18" ht="16.5" thickBot="1" x14ac:dyDescent="0.3"/>
    <row r="3" spans="1:18" x14ac:dyDescent="0.25">
      <c r="A3" s="105" t="s">
        <v>88</v>
      </c>
      <c r="B3" s="1">
        <v>1</v>
      </c>
      <c r="C3" s="174"/>
      <c r="D3" s="175" t="s">
        <v>423</v>
      </c>
      <c r="E3" s="176"/>
      <c r="F3" s="175" t="s">
        <v>424</v>
      </c>
      <c r="G3" s="176"/>
      <c r="H3" s="175" t="s">
        <v>425</v>
      </c>
      <c r="I3" s="176"/>
      <c r="J3" s="177" t="s">
        <v>426</v>
      </c>
      <c r="K3" s="174"/>
      <c r="L3" s="175" t="s">
        <v>427</v>
      </c>
      <c r="M3" s="176"/>
      <c r="N3" s="175" t="s">
        <v>428</v>
      </c>
      <c r="O3" s="176"/>
      <c r="P3" s="175" t="s">
        <v>429</v>
      </c>
      <c r="Q3" s="176"/>
      <c r="R3" s="177" t="s">
        <v>430</v>
      </c>
    </row>
    <row r="4" spans="1:18" x14ac:dyDescent="0.25">
      <c r="A4"/>
      <c r="B4" s="10">
        <v>2</v>
      </c>
      <c r="C4" s="178" t="s">
        <v>89</v>
      </c>
      <c r="D4" s="31" t="s">
        <v>90</v>
      </c>
      <c r="E4" s="33" t="s">
        <v>91</v>
      </c>
      <c r="F4" s="117" t="s">
        <v>381</v>
      </c>
      <c r="G4" s="33" t="s">
        <v>93</v>
      </c>
      <c r="H4" s="117" t="s">
        <v>94</v>
      </c>
      <c r="I4" s="33" t="s">
        <v>95</v>
      </c>
      <c r="J4" s="179" t="s">
        <v>381</v>
      </c>
      <c r="K4" s="178" t="s">
        <v>89</v>
      </c>
      <c r="L4" s="117" t="s">
        <v>90</v>
      </c>
      <c r="M4" s="33" t="s">
        <v>91</v>
      </c>
      <c r="N4" s="117" t="s">
        <v>381</v>
      </c>
      <c r="O4" s="33" t="s">
        <v>93</v>
      </c>
      <c r="P4" s="117" t="s">
        <v>94</v>
      </c>
      <c r="Q4" s="33" t="s">
        <v>95</v>
      </c>
      <c r="R4" s="179" t="s">
        <v>381</v>
      </c>
    </row>
    <row r="5" spans="1:18" x14ac:dyDescent="0.25">
      <c r="A5"/>
      <c r="B5" s="10">
        <v>3</v>
      </c>
      <c r="C5" s="180" t="s">
        <v>89</v>
      </c>
      <c r="D5" s="32" t="s">
        <v>97</v>
      </c>
      <c r="E5" s="34" t="s">
        <v>91</v>
      </c>
      <c r="F5" s="118" t="s">
        <v>92</v>
      </c>
      <c r="G5" s="34" t="s">
        <v>93</v>
      </c>
      <c r="H5" s="118" t="s">
        <v>90</v>
      </c>
      <c r="I5" s="34" t="s">
        <v>95</v>
      </c>
      <c r="J5" s="181" t="s">
        <v>92</v>
      </c>
      <c r="K5" s="180" t="s">
        <v>89</v>
      </c>
      <c r="L5" s="118" t="s">
        <v>97</v>
      </c>
      <c r="M5" s="34" t="s">
        <v>91</v>
      </c>
      <c r="N5" s="118" t="s">
        <v>92</v>
      </c>
      <c r="O5" s="34" t="s">
        <v>93</v>
      </c>
      <c r="P5" s="118" t="s">
        <v>90</v>
      </c>
      <c r="Q5" s="34" t="s">
        <v>95</v>
      </c>
      <c r="R5" s="181" t="s">
        <v>92</v>
      </c>
    </row>
    <row r="6" spans="1:18" x14ac:dyDescent="0.25">
      <c r="A6"/>
      <c r="B6" s="10">
        <v>4</v>
      </c>
      <c r="C6" s="180" t="s">
        <v>91</v>
      </c>
      <c r="D6" s="32" t="s">
        <v>381</v>
      </c>
      <c r="E6" s="34" t="s">
        <v>93</v>
      </c>
      <c r="F6" s="118" t="s">
        <v>94</v>
      </c>
      <c r="G6" s="34" t="s">
        <v>95</v>
      </c>
      <c r="H6" s="118" t="s">
        <v>92</v>
      </c>
      <c r="I6" s="34" t="s">
        <v>89</v>
      </c>
      <c r="J6" s="181" t="s">
        <v>97</v>
      </c>
      <c r="K6" s="180" t="s">
        <v>91</v>
      </c>
      <c r="L6" s="118" t="s">
        <v>381</v>
      </c>
      <c r="M6" s="34" t="s">
        <v>93</v>
      </c>
      <c r="N6" s="118" t="s">
        <v>94</v>
      </c>
      <c r="O6" s="34" t="s">
        <v>95</v>
      </c>
      <c r="P6" s="118" t="s">
        <v>92</v>
      </c>
      <c r="Q6" s="34" t="s">
        <v>89</v>
      </c>
      <c r="R6" s="181" t="s">
        <v>97</v>
      </c>
    </row>
    <row r="7" spans="1:18" x14ac:dyDescent="0.25">
      <c r="A7"/>
      <c r="B7" s="10">
        <v>5</v>
      </c>
      <c r="C7" s="180" t="s">
        <v>91</v>
      </c>
      <c r="D7" s="32" t="s">
        <v>92</v>
      </c>
      <c r="E7" s="34" t="s">
        <v>93</v>
      </c>
      <c r="F7" s="118" t="s">
        <v>90</v>
      </c>
      <c r="G7" s="34" t="s">
        <v>95</v>
      </c>
      <c r="H7" s="118" t="s">
        <v>381</v>
      </c>
      <c r="I7" s="34" t="s">
        <v>89</v>
      </c>
      <c r="J7" s="181" t="s">
        <v>90</v>
      </c>
      <c r="K7" s="180" t="s">
        <v>91</v>
      </c>
      <c r="L7" s="118" t="s">
        <v>92</v>
      </c>
      <c r="M7" s="34" t="s">
        <v>93</v>
      </c>
      <c r="N7" s="118" t="s">
        <v>90</v>
      </c>
      <c r="O7" s="34" t="s">
        <v>95</v>
      </c>
      <c r="P7" s="118" t="s">
        <v>381</v>
      </c>
      <c r="Q7" s="34" t="s">
        <v>89</v>
      </c>
      <c r="R7" s="181" t="s">
        <v>90</v>
      </c>
    </row>
    <row r="8" spans="1:18" x14ac:dyDescent="0.25">
      <c r="A8"/>
      <c r="B8" s="10">
        <v>6</v>
      </c>
      <c r="C8" s="180" t="s">
        <v>93</v>
      </c>
      <c r="D8" s="32" t="s">
        <v>94</v>
      </c>
      <c r="E8" s="34" t="s">
        <v>95</v>
      </c>
      <c r="F8" s="118" t="s">
        <v>99</v>
      </c>
      <c r="G8" s="34" t="s">
        <v>89</v>
      </c>
      <c r="H8" s="118" t="s">
        <v>97</v>
      </c>
      <c r="I8" s="34" t="s">
        <v>91</v>
      </c>
      <c r="J8" s="181" t="s">
        <v>99</v>
      </c>
      <c r="K8" s="180" t="s">
        <v>93</v>
      </c>
      <c r="L8" s="118" t="s">
        <v>94</v>
      </c>
      <c r="M8" s="34" t="s">
        <v>95</v>
      </c>
      <c r="N8" s="118" t="s">
        <v>99</v>
      </c>
      <c r="O8" s="34" t="s">
        <v>89</v>
      </c>
      <c r="P8" s="118" t="s">
        <v>97</v>
      </c>
      <c r="Q8" s="34" t="s">
        <v>91</v>
      </c>
      <c r="R8" s="181" t="s">
        <v>99</v>
      </c>
    </row>
    <row r="9" spans="1:18" x14ac:dyDescent="0.25">
      <c r="A9"/>
      <c r="B9" s="10">
        <v>7</v>
      </c>
      <c r="C9" s="180" t="s">
        <v>93</v>
      </c>
      <c r="D9" s="32" t="s">
        <v>98</v>
      </c>
      <c r="E9" s="34" t="s">
        <v>95</v>
      </c>
      <c r="F9" s="118" t="s">
        <v>98</v>
      </c>
      <c r="G9" s="34" t="s">
        <v>89</v>
      </c>
      <c r="H9" s="118" t="s">
        <v>98</v>
      </c>
      <c r="I9" s="34" t="s">
        <v>91</v>
      </c>
      <c r="J9" s="181" t="s">
        <v>98</v>
      </c>
      <c r="K9" s="180" t="s">
        <v>93</v>
      </c>
      <c r="L9" s="118" t="s">
        <v>98</v>
      </c>
      <c r="M9" s="34" t="s">
        <v>95</v>
      </c>
      <c r="N9" s="118" t="s">
        <v>98</v>
      </c>
      <c r="O9" s="34" t="s">
        <v>89</v>
      </c>
      <c r="P9" s="118" t="s">
        <v>98</v>
      </c>
      <c r="Q9" s="34" t="s">
        <v>91</v>
      </c>
      <c r="R9" s="181" t="s">
        <v>98</v>
      </c>
    </row>
    <row r="10" spans="1:18" x14ac:dyDescent="0.25">
      <c r="A10"/>
      <c r="B10" s="10">
        <v>8</v>
      </c>
      <c r="C10" s="180" t="s">
        <v>95</v>
      </c>
      <c r="D10" s="32" t="s">
        <v>99</v>
      </c>
      <c r="E10" s="34" t="s">
        <v>89</v>
      </c>
      <c r="F10" s="118" t="s">
        <v>97</v>
      </c>
      <c r="G10" s="34" t="s">
        <v>91</v>
      </c>
      <c r="H10" s="118" t="s">
        <v>99</v>
      </c>
      <c r="I10" s="34" t="s">
        <v>93</v>
      </c>
      <c r="J10" s="181" t="s">
        <v>94</v>
      </c>
      <c r="K10" s="180" t="s">
        <v>95</v>
      </c>
      <c r="L10" s="118" t="s">
        <v>99</v>
      </c>
      <c r="M10" s="34" t="s">
        <v>89</v>
      </c>
      <c r="N10" s="118" t="s">
        <v>97</v>
      </c>
      <c r="O10" s="34" t="s">
        <v>91</v>
      </c>
      <c r="P10" s="118" t="s">
        <v>99</v>
      </c>
      <c r="Q10" s="34" t="s">
        <v>93</v>
      </c>
      <c r="R10" s="181" t="s">
        <v>94</v>
      </c>
    </row>
    <row r="11" spans="1:18" x14ac:dyDescent="0.25">
      <c r="A11"/>
      <c r="B11" s="10">
        <v>9</v>
      </c>
      <c r="C11" s="180" t="s">
        <v>95</v>
      </c>
      <c r="D11" s="32" t="s">
        <v>98</v>
      </c>
      <c r="E11" s="35" t="s">
        <v>89</v>
      </c>
      <c r="F11" s="118" t="s">
        <v>98</v>
      </c>
      <c r="G11" s="34" t="s">
        <v>91</v>
      </c>
      <c r="H11" s="118" t="s">
        <v>98</v>
      </c>
      <c r="I11" s="35" t="s">
        <v>93</v>
      </c>
      <c r="J11" s="181" t="s">
        <v>98</v>
      </c>
      <c r="K11" s="180" t="s">
        <v>95</v>
      </c>
      <c r="L11" s="118" t="s">
        <v>98</v>
      </c>
      <c r="M11" s="35" t="s">
        <v>89</v>
      </c>
      <c r="N11" s="118" t="s">
        <v>98</v>
      </c>
      <c r="O11" s="34" t="s">
        <v>91</v>
      </c>
      <c r="P11" s="118" t="s">
        <v>98</v>
      </c>
      <c r="Q11" s="35" t="s">
        <v>93</v>
      </c>
      <c r="R11" s="181" t="s">
        <v>98</v>
      </c>
    </row>
    <row r="12" spans="1:18" x14ac:dyDescent="0.25">
      <c r="A12"/>
      <c r="B12" s="10">
        <v>10</v>
      </c>
      <c r="C12" s="182" t="s">
        <v>104</v>
      </c>
      <c r="D12" s="31" t="s">
        <v>100</v>
      </c>
      <c r="E12" s="47" t="s">
        <v>106</v>
      </c>
      <c r="F12" s="117" t="s">
        <v>102</v>
      </c>
      <c r="G12" s="47" t="s">
        <v>107</v>
      </c>
      <c r="H12" s="117" t="s">
        <v>108</v>
      </c>
      <c r="I12" s="47" t="s">
        <v>109</v>
      </c>
      <c r="J12" s="179" t="s">
        <v>101</v>
      </c>
      <c r="K12" s="182" t="s">
        <v>104</v>
      </c>
      <c r="L12" s="117" t="s">
        <v>100</v>
      </c>
      <c r="M12" s="47" t="s">
        <v>106</v>
      </c>
      <c r="N12" s="117" t="s">
        <v>102</v>
      </c>
      <c r="O12" s="47" t="s">
        <v>107</v>
      </c>
      <c r="P12" s="117" t="s">
        <v>108</v>
      </c>
      <c r="Q12" s="47" t="s">
        <v>109</v>
      </c>
      <c r="R12" s="179" t="s">
        <v>101</v>
      </c>
    </row>
    <row r="13" spans="1:18" x14ac:dyDescent="0.25">
      <c r="A13"/>
      <c r="B13" s="10">
        <v>11</v>
      </c>
      <c r="C13" s="183" t="s">
        <v>104</v>
      </c>
      <c r="D13" s="32" t="s">
        <v>98</v>
      </c>
      <c r="E13" s="48" t="s">
        <v>106</v>
      </c>
      <c r="F13" s="118" t="s">
        <v>98</v>
      </c>
      <c r="G13" s="48" t="s">
        <v>107</v>
      </c>
      <c r="H13" s="118" t="s">
        <v>105</v>
      </c>
      <c r="I13" s="48" t="s">
        <v>109</v>
      </c>
      <c r="J13" s="181" t="s">
        <v>110</v>
      </c>
      <c r="K13" s="183" t="s">
        <v>104</v>
      </c>
      <c r="L13" s="118" t="s">
        <v>98</v>
      </c>
      <c r="M13" s="48" t="s">
        <v>106</v>
      </c>
      <c r="N13" s="118" t="s">
        <v>98</v>
      </c>
      <c r="O13" s="48" t="s">
        <v>107</v>
      </c>
      <c r="P13" s="118" t="s">
        <v>105</v>
      </c>
      <c r="Q13" s="48" t="s">
        <v>109</v>
      </c>
      <c r="R13" s="181" t="s">
        <v>110</v>
      </c>
    </row>
    <row r="14" spans="1:18" x14ac:dyDescent="0.25">
      <c r="A14"/>
      <c r="B14" s="10">
        <v>12</v>
      </c>
      <c r="C14" s="183" t="s">
        <v>106</v>
      </c>
      <c r="D14" s="32" t="s">
        <v>102</v>
      </c>
      <c r="E14" s="48" t="s">
        <v>107</v>
      </c>
      <c r="F14" s="118" t="s">
        <v>108</v>
      </c>
      <c r="G14" s="48" t="s">
        <v>109</v>
      </c>
      <c r="H14" s="118" t="s">
        <v>101</v>
      </c>
      <c r="I14" s="48" t="s">
        <v>104</v>
      </c>
      <c r="J14" s="181" t="s">
        <v>100</v>
      </c>
      <c r="K14" s="183" t="s">
        <v>106</v>
      </c>
      <c r="L14" s="118" t="s">
        <v>102</v>
      </c>
      <c r="M14" s="48" t="s">
        <v>107</v>
      </c>
      <c r="N14" s="118" t="s">
        <v>108</v>
      </c>
      <c r="O14" s="48" t="s">
        <v>109</v>
      </c>
      <c r="P14" s="118" t="s">
        <v>101</v>
      </c>
      <c r="Q14" s="48" t="s">
        <v>104</v>
      </c>
      <c r="R14" s="181" t="s">
        <v>100</v>
      </c>
    </row>
    <row r="15" spans="1:18" x14ac:dyDescent="0.25">
      <c r="A15"/>
      <c r="B15" s="10">
        <v>13</v>
      </c>
      <c r="C15" s="183" t="s">
        <v>106</v>
      </c>
      <c r="D15" s="32" t="s">
        <v>98</v>
      </c>
      <c r="E15" s="48" t="s">
        <v>107</v>
      </c>
      <c r="F15" s="118" t="s">
        <v>105</v>
      </c>
      <c r="G15" s="48" t="s">
        <v>109</v>
      </c>
      <c r="H15" s="118" t="s">
        <v>110</v>
      </c>
      <c r="I15" s="48" t="s">
        <v>104</v>
      </c>
      <c r="J15" s="181" t="s">
        <v>98</v>
      </c>
      <c r="K15" s="183" t="s">
        <v>106</v>
      </c>
      <c r="L15" s="118" t="s">
        <v>98</v>
      </c>
      <c r="M15" s="48" t="s">
        <v>107</v>
      </c>
      <c r="N15" s="118" t="s">
        <v>105</v>
      </c>
      <c r="O15" s="48" t="s">
        <v>109</v>
      </c>
      <c r="P15" s="118" t="s">
        <v>110</v>
      </c>
      <c r="Q15" s="48" t="s">
        <v>104</v>
      </c>
      <c r="R15" s="181" t="s">
        <v>98</v>
      </c>
    </row>
    <row r="16" spans="1:18" x14ac:dyDescent="0.25">
      <c r="A16"/>
      <c r="B16" s="10">
        <v>14</v>
      </c>
      <c r="C16" s="183" t="s">
        <v>107</v>
      </c>
      <c r="D16" s="32" t="s">
        <v>105</v>
      </c>
      <c r="E16" s="48" t="s">
        <v>109</v>
      </c>
      <c r="F16" s="118" t="s">
        <v>110</v>
      </c>
      <c r="G16" s="48" t="s">
        <v>104</v>
      </c>
      <c r="H16" s="118" t="s">
        <v>100</v>
      </c>
      <c r="I16" s="48" t="s">
        <v>106</v>
      </c>
      <c r="J16" s="181" t="s">
        <v>102</v>
      </c>
      <c r="K16" s="183" t="s">
        <v>107</v>
      </c>
      <c r="L16" s="118" t="s">
        <v>105</v>
      </c>
      <c r="M16" s="48" t="s">
        <v>109</v>
      </c>
      <c r="N16" s="118" t="s">
        <v>110</v>
      </c>
      <c r="O16" s="48" t="s">
        <v>104</v>
      </c>
      <c r="P16" s="118" t="s">
        <v>100</v>
      </c>
      <c r="Q16" s="48" t="s">
        <v>106</v>
      </c>
      <c r="R16" s="181" t="s">
        <v>102</v>
      </c>
    </row>
    <row r="17" spans="1:18" x14ac:dyDescent="0.25">
      <c r="A17"/>
      <c r="B17" s="10">
        <v>15</v>
      </c>
      <c r="C17" s="183" t="s">
        <v>107</v>
      </c>
      <c r="D17" s="32" t="s">
        <v>108</v>
      </c>
      <c r="E17" s="48" t="s">
        <v>109</v>
      </c>
      <c r="F17" s="118" t="s">
        <v>101</v>
      </c>
      <c r="G17" s="48" t="s">
        <v>104</v>
      </c>
      <c r="H17" s="118" t="s">
        <v>98</v>
      </c>
      <c r="I17" s="48" t="s">
        <v>106</v>
      </c>
      <c r="J17" s="181" t="s">
        <v>98</v>
      </c>
      <c r="K17" s="183" t="s">
        <v>107</v>
      </c>
      <c r="L17" s="118" t="s">
        <v>108</v>
      </c>
      <c r="M17" s="48" t="s">
        <v>109</v>
      </c>
      <c r="N17" s="118" t="s">
        <v>101</v>
      </c>
      <c r="O17" s="48" t="s">
        <v>104</v>
      </c>
      <c r="P17" s="118" t="s">
        <v>98</v>
      </c>
      <c r="Q17" s="48" t="s">
        <v>106</v>
      </c>
      <c r="R17" s="181" t="s">
        <v>98</v>
      </c>
    </row>
    <row r="18" spans="1:18" x14ac:dyDescent="0.25">
      <c r="A18"/>
      <c r="B18" s="10">
        <v>16</v>
      </c>
      <c r="C18" s="183" t="s">
        <v>109</v>
      </c>
      <c r="D18" s="32" t="s">
        <v>110</v>
      </c>
      <c r="E18" s="48" t="s">
        <v>104</v>
      </c>
      <c r="F18" s="118" t="s">
        <v>100</v>
      </c>
      <c r="G18" s="48" t="s">
        <v>106</v>
      </c>
      <c r="H18" s="118" t="s">
        <v>102</v>
      </c>
      <c r="I18" s="48" t="s">
        <v>107</v>
      </c>
      <c r="J18" s="181" t="s">
        <v>108</v>
      </c>
      <c r="K18" s="183" t="s">
        <v>109</v>
      </c>
      <c r="L18" s="118" t="s">
        <v>110</v>
      </c>
      <c r="M18" s="48" t="s">
        <v>104</v>
      </c>
      <c r="N18" s="118" t="s">
        <v>100</v>
      </c>
      <c r="O18" s="48" t="s">
        <v>106</v>
      </c>
      <c r="P18" s="118" t="s">
        <v>102</v>
      </c>
      <c r="Q18" s="48" t="s">
        <v>107</v>
      </c>
      <c r="R18" s="181" t="s">
        <v>108</v>
      </c>
    </row>
    <row r="19" spans="1:18" x14ac:dyDescent="0.25">
      <c r="A19"/>
      <c r="B19" s="10">
        <v>17</v>
      </c>
      <c r="C19" s="184" t="s">
        <v>109</v>
      </c>
      <c r="D19" s="32" t="s">
        <v>101</v>
      </c>
      <c r="E19" s="49" t="s">
        <v>104</v>
      </c>
      <c r="F19" s="118" t="s">
        <v>98</v>
      </c>
      <c r="G19" s="49" t="s">
        <v>106</v>
      </c>
      <c r="H19" s="118" t="s">
        <v>98</v>
      </c>
      <c r="I19" s="49" t="s">
        <v>107</v>
      </c>
      <c r="J19" s="181" t="s">
        <v>105</v>
      </c>
      <c r="K19" s="184" t="s">
        <v>109</v>
      </c>
      <c r="L19" s="118" t="s">
        <v>101</v>
      </c>
      <c r="M19" s="49" t="s">
        <v>104</v>
      </c>
      <c r="N19" s="118" t="s">
        <v>98</v>
      </c>
      <c r="O19" s="49" t="s">
        <v>106</v>
      </c>
      <c r="P19" s="118" t="s">
        <v>98</v>
      </c>
      <c r="Q19" s="49" t="s">
        <v>107</v>
      </c>
      <c r="R19" s="181" t="s">
        <v>105</v>
      </c>
    </row>
    <row r="20" spans="1:18" x14ac:dyDescent="0.25">
      <c r="A20"/>
      <c r="B20" s="10">
        <v>18</v>
      </c>
      <c r="C20" s="178" t="s">
        <v>116</v>
      </c>
      <c r="D20" s="31" t="s">
        <v>117</v>
      </c>
      <c r="E20" s="47" t="s">
        <v>118</v>
      </c>
      <c r="F20" s="117" t="s">
        <v>119</v>
      </c>
      <c r="G20" s="47" t="s">
        <v>120</v>
      </c>
      <c r="H20" s="117" t="s">
        <v>121</v>
      </c>
      <c r="I20" s="47" t="s">
        <v>122</v>
      </c>
      <c r="J20" s="179" t="s">
        <v>112</v>
      </c>
      <c r="K20" s="182" t="s">
        <v>116</v>
      </c>
      <c r="L20" s="117" t="s">
        <v>117</v>
      </c>
      <c r="M20" s="47" t="s">
        <v>118</v>
      </c>
      <c r="N20" s="117" t="s">
        <v>119</v>
      </c>
      <c r="O20" s="47" t="s">
        <v>120</v>
      </c>
      <c r="P20" s="117" t="s">
        <v>121</v>
      </c>
      <c r="Q20" s="47" t="s">
        <v>122</v>
      </c>
      <c r="R20" s="179" t="s">
        <v>112</v>
      </c>
    </row>
    <row r="21" spans="1:18" x14ac:dyDescent="0.25">
      <c r="A21"/>
      <c r="B21" s="10">
        <v>19</v>
      </c>
      <c r="C21" s="180" t="s">
        <v>116</v>
      </c>
      <c r="D21" s="32" t="s">
        <v>123</v>
      </c>
      <c r="E21" s="48" t="s">
        <v>118</v>
      </c>
      <c r="F21" s="118" t="s">
        <v>113</v>
      </c>
      <c r="G21" s="48" t="s">
        <v>120</v>
      </c>
      <c r="H21" s="118" t="s">
        <v>124</v>
      </c>
      <c r="I21" s="48" t="s">
        <v>122</v>
      </c>
      <c r="J21" s="181" t="s">
        <v>114</v>
      </c>
      <c r="K21" s="183" t="s">
        <v>116</v>
      </c>
      <c r="L21" s="118" t="s">
        <v>123</v>
      </c>
      <c r="M21" s="48" t="s">
        <v>118</v>
      </c>
      <c r="N21" s="118" t="s">
        <v>113</v>
      </c>
      <c r="O21" s="48" t="s">
        <v>120</v>
      </c>
      <c r="P21" s="118" t="s">
        <v>124</v>
      </c>
      <c r="Q21" s="48" t="s">
        <v>122</v>
      </c>
      <c r="R21" s="181" t="s">
        <v>114</v>
      </c>
    </row>
    <row r="22" spans="1:18" x14ac:dyDescent="0.25">
      <c r="A22"/>
      <c r="B22" s="10">
        <v>20</v>
      </c>
      <c r="C22" s="180" t="s">
        <v>118</v>
      </c>
      <c r="D22" s="32" t="s">
        <v>119</v>
      </c>
      <c r="E22" s="48" t="s">
        <v>120</v>
      </c>
      <c r="F22" s="118" t="s">
        <v>121</v>
      </c>
      <c r="G22" s="48" t="s">
        <v>122</v>
      </c>
      <c r="H22" s="118" t="s">
        <v>112</v>
      </c>
      <c r="I22" s="48" t="s">
        <v>116</v>
      </c>
      <c r="J22" s="181" t="s">
        <v>117</v>
      </c>
      <c r="K22" s="183" t="s">
        <v>118</v>
      </c>
      <c r="L22" s="118" t="s">
        <v>119</v>
      </c>
      <c r="M22" s="48" t="s">
        <v>120</v>
      </c>
      <c r="N22" s="118" t="s">
        <v>121</v>
      </c>
      <c r="O22" s="48" t="s">
        <v>122</v>
      </c>
      <c r="P22" s="118" t="s">
        <v>112</v>
      </c>
      <c r="Q22" s="48" t="s">
        <v>116</v>
      </c>
      <c r="R22" s="181" t="s">
        <v>117</v>
      </c>
    </row>
    <row r="23" spans="1:18" x14ac:dyDescent="0.25">
      <c r="A23"/>
      <c r="B23" s="10">
        <v>21</v>
      </c>
      <c r="C23" s="180" t="s">
        <v>118</v>
      </c>
      <c r="D23" s="32" t="s">
        <v>113</v>
      </c>
      <c r="E23" s="48" t="s">
        <v>120</v>
      </c>
      <c r="F23" s="118" t="s">
        <v>124</v>
      </c>
      <c r="G23" s="48" t="s">
        <v>122</v>
      </c>
      <c r="H23" s="118" t="s">
        <v>114</v>
      </c>
      <c r="I23" s="48" t="s">
        <v>116</v>
      </c>
      <c r="J23" s="181" t="s">
        <v>123</v>
      </c>
      <c r="K23" s="183" t="s">
        <v>118</v>
      </c>
      <c r="L23" s="118" t="s">
        <v>113</v>
      </c>
      <c r="M23" s="48" t="s">
        <v>120</v>
      </c>
      <c r="N23" s="118" t="s">
        <v>124</v>
      </c>
      <c r="O23" s="48" t="s">
        <v>122</v>
      </c>
      <c r="P23" s="118" t="s">
        <v>114</v>
      </c>
      <c r="Q23" s="48" t="s">
        <v>116</v>
      </c>
      <c r="R23" s="181" t="s">
        <v>123</v>
      </c>
    </row>
    <row r="24" spans="1:18" x14ac:dyDescent="0.25">
      <c r="A24"/>
      <c r="B24" s="10">
        <v>22</v>
      </c>
      <c r="C24" s="180" t="s">
        <v>120</v>
      </c>
      <c r="D24" s="32" t="s">
        <v>121</v>
      </c>
      <c r="E24" s="48" t="s">
        <v>122</v>
      </c>
      <c r="F24" s="118" t="s">
        <v>112</v>
      </c>
      <c r="G24" s="48" t="s">
        <v>116</v>
      </c>
      <c r="H24" s="118" t="s">
        <v>117</v>
      </c>
      <c r="I24" s="48" t="s">
        <v>118</v>
      </c>
      <c r="J24" s="181" t="s">
        <v>119</v>
      </c>
      <c r="K24" s="183" t="s">
        <v>120</v>
      </c>
      <c r="L24" s="118" t="s">
        <v>121</v>
      </c>
      <c r="M24" s="48" t="s">
        <v>122</v>
      </c>
      <c r="N24" s="118" t="s">
        <v>112</v>
      </c>
      <c r="O24" s="48" t="s">
        <v>116</v>
      </c>
      <c r="P24" s="118" t="s">
        <v>117</v>
      </c>
      <c r="Q24" s="48" t="s">
        <v>118</v>
      </c>
      <c r="R24" s="181" t="s">
        <v>119</v>
      </c>
    </row>
    <row r="25" spans="1:18" x14ac:dyDescent="0.25">
      <c r="A25"/>
      <c r="B25" s="10">
        <v>23</v>
      </c>
      <c r="C25" s="180" t="s">
        <v>120</v>
      </c>
      <c r="D25" s="32" t="s">
        <v>124</v>
      </c>
      <c r="E25" s="48" t="s">
        <v>122</v>
      </c>
      <c r="F25" s="118" t="s">
        <v>114</v>
      </c>
      <c r="G25" s="48" t="s">
        <v>116</v>
      </c>
      <c r="H25" s="118" t="s">
        <v>123</v>
      </c>
      <c r="I25" s="48" t="s">
        <v>118</v>
      </c>
      <c r="J25" s="181" t="s">
        <v>113</v>
      </c>
      <c r="K25" s="183" t="s">
        <v>120</v>
      </c>
      <c r="L25" s="118" t="s">
        <v>124</v>
      </c>
      <c r="M25" s="48" t="s">
        <v>122</v>
      </c>
      <c r="N25" s="118" t="s">
        <v>114</v>
      </c>
      <c r="O25" s="48" t="s">
        <v>116</v>
      </c>
      <c r="P25" s="118" t="s">
        <v>123</v>
      </c>
      <c r="Q25" s="48" t="s">
        <v>118</v>
      </c>
      <c r="R25" s="181" t="s">
        <v>113</v>
      </c>
    </row>
    <row r="26" spans="1:18" x14ac:dyDescent="0.25">
      <c r="A26"/>
      <c r="B26" s="10">
        <v>24</v>
      </c>
      <c r="C26" s="180" t="s">
        <v>122</v>
      </c>
      <c r="D26" s="32" t="s">
        <v>112</v>
      </c>
      <c r="E26" s="48" t="s">
        <v>116</v>
      </c>
      <c r="F26" s="118" t="s">
        <v>117</v>
      </c>
      <c r="G26" s="48" t="s">
        <v>118</v>
      </c>
      <c r="H26" s="118" t="s">
        <v>119</v>
      </c>
      <c r="I26" s="48" t="s">
        <v>120</v>
      </c>
      <c r="J26" s="181" t="s">
        <v>121</v>
      </c>
      <c r="K26" s="183" t="s">
        <v>122</v>
      </c>
      <c r="L26" s="118" t="s">
        <v>112</v>
      </c>
      <c r="M26" s="48" t="s">
        <v>116</v>
      </c>
      <c r="N26" s="118" t="s">
        <v>117</v>
      </c>
      <c r="O26" s="48" t="s">
        <v>118</v>
      </c>
      <c r="P26" s="118" t="s">
        <v>119</v>
      </c>
      <c r="Q26" s="48" t="s">
        <v>120</v>
      </c>
      <c r="R26" s="181" t="s">
        <v>121</v>
      </c>
    </row>
    <row r="27" spans="1:18" x14ac:dyDescent="0.25">
      <c r="A27"/>
      <c r="B27" s="10">
        <v>25</v>
      </c>
      <c r="C27" s="185" t="s">
        <v>122</v>
      </c>
      <c r="D27" s="32" t="s">
        <v>114</v>
      </c>
      <c r="E27" s="49" t="s">
        <v>116</v>
      </c>
      <c r="F27" s="118" t="s">
        <v>123</v>
      </c>
      <c r="G27" s="49" t="s">
        <v>118</v>
      </c>
      <c r="H27" s="118" t="s">
        <v>113</v>
      </c>
      <c r="I27" s="49" t="s">
        <v>120</v>
      </c>
      <c r="J27" s="181" t="s">
        <v>124</v>
      </c>
      <c r="K27" s="184" t="s">
        <v>122</v>
      </c>
      <c r="L27" s="118" t="s">
        <v>114</v>
      </c>
      <c r="M27" s="49" t="s">
        <v>116</v>
      </c>
      <c r="N27" s="118" t="s">
        <v>123</v>
      </c>
      <c r="O27" s="49" t="s">
        <v>118</v>
      </c>
      <c r="P27" s="118" t="s">
        <v>113</v>
      </c>
      <c r="Q27" s="49" t="s">
        <v>120</v>
      </c>
      <c r="R27" s="181" t="s">
        <v>124</v>
      </c>
    </row>
    <row r="28" spans="1:18" x14ac:dyDescent="0.25">
      <c r="A28"/>
      <c r="B28" s="10">
        <v>26</v>
      </c>
      <c r="C28" s="182" t="s">
        <v>125</v>
      </c>
      <c r="D28" s="155" t="s">
        <v>126</v>
      </c>
      <c r="E28" s="47" t="s">
        <v>127</v>
      </c>
      <c r="F28" s="117" t="s">
        <v>128</v>
      </c>
      <c r="G28" s="47" t="s">
        <v>129</v>
      </c>
      <c r="H28" s="156" t="s">
        <v>126</v>
      </c>
      <c r="I28" s="47" t="s">
        <v>130</v>
      </c>
      <c r="J28" s="179" t="s">
        <v>131</v>
      </c>
      <c r="K28" s="182"/>
      <c r="L28" s="31"/>
      <c r="M28" s="47"/>
      <c r="N28" s="117"/>
      <c r="O28" s="47"/>
      <c r="P28" s="117"/>
      <c r="Q28" s="47"/>
      <c r="R28" s="179"/>
    </row>
    <row r="29" spans="1:18" x14ac:dyDescent="0.25">
      <c r="A29"/>
      <c r="B29" s="10">
        <v>27</v>
      </c>
      <c r="C29" s="183" t="s">
        <v>125</v>
      </c>
      <c r="D29" s="51" t="s">
        <v>132</v>
      </c>
      <c r="E29" s="48" t="s">
        <v>127</v>
      </c>
      <c r="F29" s="118" t="s">
        <v>133</v>
      </c>
      <c r="G29" s="48" t="s">
        <v>129</v>
      </c>
      <c r="H29" s="138" t="s">
        <v>132</v>
      </c>
      <c r="I29" s="48" t="s">
        <v>130</v>
      </c>
      <c r="J29" s="181" t="s">
        <v>134</v>
      </c>
      <c r="K29" s="183"/>
      <c r="L29" s="32"/>
      <c r="M29" s="48"/>
      <c r="N29" s="118"/>
      <c r="O29" s="48"/>
      <c r="P29" s="118"/>
      <c r="Q29" s="48"/>
      <c r="R29" s="181"/>
    </row>
    <row r="30" spans="1:18" x14ac:dyDescent="0.25">
      <c r="A30"/>
      <c r="B30" s="10">
        <v>28</v>
      </c>
      <c r="C30" s="183" t="s">
        <v>127</v>
      </c>
      <c r="D30" s="32" t="s">
        <v>128</v>
      </c>
      <c r="E30" s="48" t="s">
        <v>129</v>
      </c>
      <c r="F30" s="138" t="s">
        <v>126</v>
      </c>
      <c r="G30" s="48" t="s">
        <v>130</v>
      </c>
      <c r="H30" s="118" t="s">
        <v>131</v>
      </c>
      <c r="I30" s="48" t="s">
        <v>125</v>
      </c>
      <c r="J30" s="186" t="s">
        <v>126</v>
      </c>
      <c r="K30" s="183"/>
      <c r="L30" s="32"/>
      <c r="M30" s="48"/>
      <c r="N30" s="118"/>
      <c r="O30" s="48"/>
      <c r="P30" s="118"/>
      <c r="Q30" s="48"/>
      <c r="R30" s="181"/>
    </row>
    <row r="31" spans="1:18" x14ac:dyDescent="0.25">
      <c r="A31"/>
      <c r="B31" s="10">
        <v>29</v>
      </c>
      <c r="C31" s="183" t="s">
        <v>127</v>
      </c>
      <c r="D31" s="32" t="s">
        <v>133</v>
      </c>
      <c r="E31" s="48" t="s">
        <v>129</v>
      </c>
      <c r="F31" s="138" t="s">
        <v>132</v>
      </c>
      <c r="G31" s="48" t="s">
        <v>130</v>
      </c>
      <c r="H31" s="118" t="s">
        <v>134</v>
      </c>
      <c r="I31" s="48" t="s">
        <v>125</v>
      </c>
      <c r="J31" s="186" t="s">
        <v>132</v>
      </c>
      <c r="K31" s="183"/>
      <c r="L31" s="32"/>
      <c r="M31" s="48"/>
      <c r="N31" s="118"/>
      <c r="O31" s="48"/>
      <c r="P31" s="118"/>
      <c r="Q31" s="48"/>
      <c r="R31" s="181"/>
    </row>
    <row r="32" spans="1:18" x14ac:dyDescent="0.25">
      <c r="A32"/>
      <c r="B32" s="10">
        <v>30</v>
      </c>
      <c r="C32" s="183" t="s">
        <v>129</v>
      </c>
      <c r="D32" s="51" t="s">
        <v>135</v>
      </c>
      <c r="E32" s="48" t="s">
        <v>130</v>
      </c>
      <c r="F32" s="118" t="s">
        <v>131</v>
      </c>
      <c r="G32" s="48" t="s">
        <v>125</v>
      </c>
      <c r="H32" s="138" t="s">
        <v>135</v>
      </c>
      <c r="I32" s="48" t="s">
        <v>127</v>
      </c>
      <c r="J32" s="181" t="s">
        <v>128</v>
      </c>
      <c r="K32" s="183"/>
      <c r="L32" s="32"/>
      <c r="M32" s="48"/>
      <c r="N32" s="118"/>
      <c r="O32" s="48"/>
      <c r="P32" s="118"/>
      <c r="Q32" s="48"/>
      <c r="R32" s="181"/>
    </row>
    <row r="33" spans="1:18" x14ac:dyDescent="0.25">
      <c r="A33"/>
      <c r="B33" s="10">
        <v>31</v>
      </c>
      <c r="C33" s="183" t="s">
        <v>129</v>
      </c>
      <c r="D33" s="51" t="s">
        <v>132</v>
      </c>
      <c r="E33" s="48" t="s">
        <v>130</v>
      </c>
      <c r="F33" s="118" t="s">
        <v>134</v>
      </c>
      <c r="G33" s="48" t="s">
        <v>125</v>
      </c>
      <c r="H33" s="138" t="s">
        <v>132</v>
      </c>
      <c r="I33" s="48" t="s">
        <v>127</v>
      </c>
      <c r="J33" s="181" t="s">
        <v>133</v>
      </c>
      <c r="K33" s="183"/>
      <c r="L33" s="32"/>
      <c r="M33" s="48"/>
      <c r="N33" s="118"/>
      <c r="O33" s="48"/>
      <c r="P33" s="118"/>
      <c r="Q33" s="48"/>
      <c r="R33" s="181"/>
    </row>
    <row r="34" spans="1:18" ht="15.75" customHeight="1" x14ac:dyDescent="0.25">
      <c r="A34"/>
      <c r="B34" s="10">
        <v>32</v>
      </c>
      <c r="C34" s="183" t="s">
        <v>130</v>
      </c>
      <c r="D34" s="32" t="s">
        <v>131</v>
      </c>
      <c r="E34" s="48" t="s">
        <v>125</v>
      </c>
      <c r="F34" s="138" t="s">
        <v>135</v>
      </c>
      <c r="G34" s="48" t="s">
        <v>127</v>
      </c>
      <c r="H34" s="118" t="s">
        <v>128</v>
      </c>
      <c r="I34" s="48" t="s">
        <v>129</v>
      </c>
      <c r="J34" s="186" t="s">
        <v>135</v>
      </c>
      <c r="K34" s="183"/>
      <c r="L34" s="32"/>
      <c r="M34" s="48"/>
      <c r="N34" s="118"/>
      <c r="O34" s="48"/>
      <c r="P34" s="118"/>
      <c r="Q34" s="48"/>
      <c r="R34" s="181"/>
    </row>
    <row r="35" spans="1:18" ht="16.5" thickBot="1" x14ac:dyDescent="0.3">
      <c r="A35"/>
      <c r="B35" s="10">
        <v>33</v>
      </c>
      <c r="C35" s="187" t="s">
        <v>130</v>
      </c>
      <c r="D35" s="188" t="s">
        <v>134</v>
      </c>
      <c r="E35" s="189" t="s">
        <v>125</v>
      </c>
      <c r="F35" s="190" t="s">
        <v>132</v>
      </c>
      <c r="G35" s="189" t="s">
        <v>127</v>
      </c>
      <c r="H35" s="191" t="s">
        <v>133</v>
      </c>
      <c r="I35" s="189" t="s">
        <v>129</v>
      </c>
      <c r="J35" s="192" t="s">
        <v>132</v>
      </c>
      <c r="K35" s="187"/>
      <c r="L35" s="188"/>
      <c r="M35" s="189"/>
      <c r="N35" s="191"/>
      <c r="O35" s="189"/>
      <c r="P35" s="191"/>
      <c r="Q35" s="189"/>
      <c r="R35" s="217"/>
    </row>
    <row r="36" spans="1:18" ht="15.75" customHeight="1" x14ac:dyDescent="0.25">
      <c r="A36"/>
      <c r="D36" s="42" t="s">
        <v>136</v>
      </c>
      <c r="F36" s="42" t="s">
        <v>136</v>
      </c>
      <c r="H36" s="42" t="s">
        <v>136</v>
      </c>
      <c r="J36" s="42" t="s">
        <v>136</v>
      </c>
      <c r="L36" s="42" t="s">
        <v>136</v>
      </c>
      <c r="N36" s="42" t="s">
        <v>136</v>
      </c>
      <c r="P36" s="42" t="s">
        <v>136</v>
      </c>
      <c r="R36" s="42" t="s">
        <v>136</v>
      </c>
    </row>
    <row r="37" spans="1:18" ht="15.75" customHeight="1" x14ac:dyDescent="0.25">
      <c r="A37"/>
      <c r="D37" s="44" t="s">
        <v>137</v>
      </c>
      <c r="F37" s="44" t="s">
        <v>137</v>
      </c>
      <c r="H37" s="44" t="s">
        <v>137</v>
      </c>
      <c r="J37" s="44" t="s">
        <v>137</v>
      </c>
      <c r="L37" s="42"/>
      <c r="N37" s="42"/>
      <c r="P37" s="42"/>
      <c r="R37" s="42"/>
    </row>
    <row r="38" spans="1:18" ht="16.5" customHeight="1" x14ac:dyDescent="0.25">
      <c r="A38"/>
    </row>
    <row r="39" spans="1:18" x14ac:dyDescent="0.25">
      <c r="A39"/>
    </row>
    <row r="40" spans="1:18" x14ac:dyDescent="0.25">
      <c r="A40" s="46" t="s">
        <v>138</v>
      </c>
      <c r="C40" s="40"/>
      <c r="D40" s="41" t="s">
        <v>66</v>
      </c>
      <c r="E40" s="40"/>
      <c r="F40" s="41" t="s">
        <v>69</v>
      </c>
      <c r="G40" s="40"/>
      <c r="H40" s="218" t="s">
        <v>71</v>
      </c>
      <c r="I40" s="40"/>
      <c r="J40" s="41" t="s">
        <v>74</v>
      </c>
      <c r="K40" s="40"/>
      <c r="L40" s="41" t="s">
        <v>76</v>
      </c>
    </row>
    <row r="41" spans="1:18" x14ac:dyDescent="0.25">
      <c r="B41" s="10">
        <v>2</v>
      </c>
      <c r="C41" s="33" t="s">
        <v>139</v>
      </c>
      <c r="D41" s="131" t="s">
        <v>140</v>
      </c>
      <c r="E41" s="33" t="s">
        <v>139</v>
      </c>
      <c r="F41" s="132" t="s">
        <v>140</v>
      </c>
      <c r="G41" s="33" t="s">
        <v>139</v>
      </c>
      <c r="H41" s="154" t="s">
        <v>140</v>
      </c>
      <c r="I41" s="33" t="s">
        <v>139</v>
      </c>
      <c r="J41" s="132" t="s">
        <v>141</v>
      </c>
      <c r="K41" s="33" t="s">
        <v>139</v>
      </c>
      <c r="L41" s="132" t="s">
        <v>140</v>
      </c>
    </row>
    <row r="42" spans="1:18" x14ac:dyDescent="0.25">
      <c r="B42" s="10">
        <v>3</v>
      </c>
      <c r="C42" s="34" t="s">
        <v>142</v>
      </c>
      <c r="D42" s="42" t="s">
        <v>384</v>
      </c>
      <c r="E42" s="34" t="s">
        <v>142</v>
      </c>
      <c r="F42" s="32" t="s">
        <v>144</v>
      </c>
      <c r="G42" s="34" t="s">
        <v>142</v>
      </c>
      <c r="H42" s="118" t="s">
        <v>145</v>
      </c>
      <c r="I42" s="34" t="s">
        <v>142</v>
      </c>
      <c r="J42" s="32" t="s">
        <v>384</v>
      </c>
      <c r="K42" s="34" t="s">
        <v>142</v>
      </c>
      <c r="L42" s="32" t="s">
        <v>146</v>
      </c>
    </row>
    <row r="43" spans="1:18" x14ac:dyDescent="0.25">
      <c r="B43" s="10">
        <v>4</v>
      </c>
      <c r="C43" s="34" t="s">
        <v>147</v>
      </c>
      <c r="D43" s="42" t="s">
        <v>386</v>
      </c>
      <c r="E43" s="34" t="s">
        <v>147</v>
      </c>
      <c r="F43" s="32" t="s">
        <v>149</v>
      </c>
      <c r="G43" s="34" t="s">
        <v>147</v>
      </c>
      <c r="H43" s="118" t="s">
        <v>150</v>
      </c>
      <c r="I43" s="34" t="s">
        <v>147</v>
      </c>
      <c r="J43" s="32" t="s">
        <v>396</v>
      </c>
      <c r="K43" s="34" t="s">
        <v>147</v>
      </c>
      <c r="L43" s="32" t="s">
        <v>152</v>
      </c>
    </row>
    <row r="44" spans="1:18" x14ac:dyDescent="0.25">
      <c r="B44" s="10">
        <v>5</v>
      </c>
      <c r="C44" s="34" t="s">
        <v>153</v>
      </c>
      <c r="D44" s="42" t="s">
        <v>388</v>
      </c>
      <c r="E44" s="34" t="s">
        <v>153</v>
      </c>
      <c r="F44" s="32" t="s">
        <v>155</v>
      </c>
      <c r="G44" s="34" t="s">
        <v>153</v>
      </c>
      <c r="H44" s="118" t="s">
        <v>156</v>
      </c>
      <c r="I44" s="34" t="s">
        <v>153</v>
      </c>
      <c r="J44" s="32" t="s">
        <v>398</v>
      </c>
      <c r="K44" s="34" t="s">
        <v>153</v>
      </c>
      <c r="L44" s="32" t="s">
        <v>157</v>
      </c>
    </row>
    <row r="45" spans="1:18" x14ac:dyDescent="0.25">
      <c r="B45" s="10">
        <v>6</v>
      </c>
      <c r="C45" s="34" t="s">
        <v>158</v>
      </c>
      <c r="D45" s="42" t="s">
        <v>159</v>
      </c>
      <c r="E45" s="34" t="s">
        <v>158</v>
      </c>
      <c r="F45" s="32" t="s">
        <v>159</v>
      </c>
      <c r="G45" s="34" t="s">
        <v>158</v>
      </c>
      <c r="H45" s="118" t="s">
        <v>159</v>
      </c>
      <c r="I45" s="34" t="s">
        <v>158</v>
      </c>
      <c r="J45" s="32" t="s">
        <v>400</v>
      </c>
      <c r="K45" s="34" t="s">
        <v>158</v>
      </c>
      <c r="L45" s="32" t="s">
        <v>159</v>
      </c>
    </row>
    <row r="46" spans="1:18" x14ac:dyDescent="0.25">
      <c r="B46" s="10">
        <v>7</v>
      </c>
      <c r="C46" s="34" t="s">
        <v>160</v>
      </c>
      <c r="D46" s="42" t="s">
        <v>161</v>
      </c>
      <c r="E46" s="34" t="s">
        <v>160</v>
      </c>
      <c r="F46" s="32" t="s">
        <v>162</v>
      </c>
      <c r="G46" s="34" t="s">
        <v>160</v>
      </c>
      <c r="H46" s="118" t="s">
        <v>163</v>
      </c>
      <c r="I46" s="34"/>
      <c r="J46" s="32"/>
      <c r="K46" s="34" t="s">
        <v>160</v>
      </c>
      <c r="L46" s="32" t="s">
        <v>164</v>
      </c>
    </row>
    <row r="47" spans="1:18" x14ac:dyDescent="0.25">
      <c r="B47" s="10">
        <v>8</v>
      </c>
      <c r="C47" s="34" t="s">
        <v>165</v>
      </c>
      <c r="D47" s="1" t="s">
        <v>166</v>
      </c>
      <c r="E47" s="34" t="s">
        <v>165</v>
      </c>
      <c r="F47" s="32" t="s">
        <v>167</v>
      </c>
      <c r="G47" s="34" t="s">
        <v>165</v>
      </c>
      <c r="H47" s="118" t="s">
        <v>168</v>
      </c>
      <c r="I47" s="34"/>
      <c r="J47" s="32"/>
      <c r="K47" s="34" t="s">
        <v>165</v>
      </c>
      <c r="L47" s="32" t="s">
        <v>169</v>
      </c>
    </row>
    <row r="48" spans="1:18" x14ac:dyDescent="0.25">
      <c r="B48" s="10">
        <v>9</v>
      </c>
      <c r="C48" s="34" t="s">
        <v>170</v>
      </c>
      <c r="D48" s="42" t="s">
        <v>171</v>
      </c>
      <c r="E48" s="34"/>
      <c r="F48" s="32" t="s">
        <v>172</v>
      </c>
      <c r="G48" s="34" t="s">
        <v>170</v>
      </c>
      <c r="H48" s="118" t="s">
        <v>173</v>
      </c>
      <c r="I48" s="34"/>
      <c r="J48" s="32"/>
      <c r="K48" s="34" t="s">
        <v>170</v>
      </c>
      <c r="L48" s="32" t="s">
        <v>171</v>
      </c>
    </row>
    <row r="49" spans="1:18" x14ac:dyDescent="0.25">
      <c r="B49" s="10">
        <v>10</v>
      </c>
      <c r="C49" s="34"/>
      <c r="D49" s="42"/>
      <c r="E49" s="34"/>
      <c r="F49" s="32" t="s">
        <v>174</v>
      </c>
      <c r="G49" s="34"/>
      <c r="H49" s="32"/>
      <c r="I49" s="34"/>
      <c r="J49" s="32"/>
      <c r="K49" s="34"/>
      <c r="L49" s="32"/>
    </row>
    <row r="50" spans="1:18" x14ac:dyDescent="0.25">
      <c r="B50" s="10">
        <v>11</v>
      </c>
      <c r="C50" s="35"/>
      <c r="D50" s="43"/>
      <c r="E50" s="35"/>
      <c r="F50" s="38" t="s">
        <v>171</v>
      </c>
      <c r="G50" s="35"/>
      <c r="H50" s="38"/>
      <c r="I50" s="35"/>
      <c r="J50" s="38"/>
      <c r="K50" s="35"/>
      <c r="L50" s="39"/>
    </row>
    <row r="51" spans="1:18" ht="22.5" x14ac:dyDescent="0.25">
      <c r="A51"/>
      <c r="D51" s="50"/>
      <c r="F51" s="50"/>
      <c r="H51" s="139" t="s">
        <v>436</v>
      </c>
      <c r="J51" s="1"/>
      <c r="L51" s="139" t="s">
        <v>175</v>
      </c>
    </row>
    <row r="52" spans="1:18" x14ac:dyDescent="0.25">
      <c r="A52"/>
    </row>
    <row r="53" spans="1:18" x14ac:dyDescent="0.25">
      <c r="A53"/>
      <c r="N53" s="50"/>
      <c r="R53" s="50"/>
    </row>
    <row r="54" spans="1:18" x14ac:dyDescent="0.25">
      <c r="A54"/>
      <c r="B54" s="10"/>
    </row>
    <row r="55" spans="1:18" x14ac:dyDescent="0.25">
      <c r="A55"/>
    </row>
    <row r="56" spans="1:18" ht="24.75" customHeight="1" x14ac:dyDescent="0.25">
      <c r="A56"/>
    </row>
    <row r="57" spans="1:18" ht="22.5" customHeight="1" x14ac:dyDescent="0.25">
      <c r="A57"/>
    </row>
    <row r="58" spans="1:18" x14ac:dyDescent="0.25">
      <c r="A58"/>
    </row>
    <row r="59" spans="1:18" x14ac:dyDescent="0.25">
      <c r="A59"/>
    </row>
    <row r="60" spans="1:18" x14ac:dyDescent="0.25">
      <c r="A60"/>
    </row>
    <row r="61" spans="1:18" x14ac:dyDescent="0.25">
      <c r="A61"/>
    </row>
    <row r="62" spans="1:18" x14ac:dyDescent="0.25">
      <c r="A62"/>
    </row>
    <row r="63" spans="1:18" x14ac:dyDescent="0.25">
      <c r="A63"/>
    </row>
    <row r="64" spans="1:18" x14ac:dyDescent="0.25">
      <c r="A64"/>
    </row>
    <row r="65" spans="1:1" x14ac:dyDescent="0.25">
      <c r="A65"/>
    </row>
    <row r="66" spans="1:1" x14ac:dyDescent="0.25">
      <c r="A66"/>
    </row>
  </sheetData>
  <sortState xmlns:xlrd2="http://schemas.microsoft.com/office/spreadsheetml/2017/richdata2" ref="L20:L27">
    <sortCondition ref="L20"/>
  </sortState>
  <conditionalFormatting sqref="C4:R36">
    <cfRule type="containsText" dxfId="34" priority="13" operator="containsText" text="Spec">
      <formula>NOT(ISERROR(SEARCH("Spec",C4)))</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R166"/>
  <sheetViews>
    <sheetView zoomScale="70" zoomScaleNormal="70" workbookViewId="0">
      <selection activeCell="B34" sqref="B34"/>
    </sheetView>
  </sheetViews>
  <sheetFormatPr defaultRowHeight="15.75" x14ac:dyDescent="0.25"/>
  <cols>
    <col min="1" max="1" width="14.625" bestFit="1" customWidth="1"/>
    <col min="2" max="2" width="6.875" style="2" bestFit="1" customWidth="1"/>
    <col min="3" max="3" width="12" bestFit="1" customWidth="1"/>
    <col min="4" max="4" width="60.125" customWidth="1"/>
    <col min="5" max="5" width="8.625" style="2" bestFit="1" customWidth="1"/>
    <col min="6" max="6" width="6.5" bestFit="1" customWidth="1"/>
    <col min="7" max="7" width="18.5" bestFit="1" customWidth="1"/>
    <col min="8" max="8" width="12" bestFit="1" customWidth="1"/>
    <col min="9" max="9" width="14.5" bestFit="1" customWidth="1"/>
    <col min="10" max="10" width="21.125" bestFit="1" customWidth="1"/>
    <col min="11" max="11" width="6.25" customWidth="1"/>
    <col min="12" max="12" width="65.5" customWidth="1"/>
    <col min="13" max="13" width="14.375" bestFit="1" customWidth="1"/>
    <col min="14" max="14" width="12.5" bestFit="1" customWidth="1"/>
    <col min="15" max="15" width="11.25" bestFit="1" customWidth="1"/>
    <col min="16" max="16" width="10.125" bestFit="1" customWidth="1"/>
    <col min="17" max="17" width="14.75" bestFit="1" customWidth="1"/>
    <col min="18" max="18" width="11.5" bestFit="1" customWidth="1"/>
    <col min="19" max="19" width="10.125" bestFit="1" customWidth="1"/>
  </cols>
  <sheetData>
    <row r="1" spans="1:18" x14ac:dyDescent="0.25">
      <c r="B1"/>
      <c r="E1"/>
      <c r="F1" s="202"/>
      <c r="G1" s="205" t="s">
        <v>313</v>
      </c>
      <c r="H1" s="207">
        <v>46031</v>
      </c>
      <c r="I1" s="203"/>
      <c r="J1" s="203" t="s">
        <v>48</v>
      </c>
      <c r="K1" s="209">
        <v>2</v>
      </c>
      <c r="L1" s="203" t="s">
        <v>47</v>
      </c>
      <c r="M1" s="203"/>
      <c r="N1" s="210">
        <v>46023</v>
      </c>
      <c r="O1" s="206"/>
      <c r="P1" s="140">
        <v>45658</v>
      </c>
    </row>
    <row r="2" spans="1:18" x14ac:dyDescent="0.25">
      <c r="A2" t="s">
        <v>0</v>
      </c>
      <c r="B2" s="2" t="s">
        <v>314</v>
      </c>
      <c r="C2" t="s">
        <v>21</v>
      </c>
      <c r="D2" t="s">
        <v>3</v>
      </c>
      <c r="E2" s="36" t="s">
        <v>315</v>
      </c>
      <c r="F2" t="s">
        <v>316</v>
      </c>
      <c r="G2" t="s">
        <v>317</v>
      </c>
      <c r="H2" s="2" t="s">
        <v>318</v>
      </c>
      <c r="I2" t="s">
        <v>22</v>
      </c>
      <c r="J2" t="s">
        <v>319</v>
      </c>
      <c r="K2" t="s">
        <v>1</v>
      </c>
      <c r="L2" t="s">
        <v>320</v>
      </c>
      <c r="M2" t="s">
        <v>45</v>
      </c>
      <c r="N2" t="s">
        <v>321</v>
      </c>
      <c r="O2" t="s">
        <v>322</v>
      </c>
      <c r="Q2" t="s">
        <v>323</v>
      </c>
      <c r="R2" t="s">
        <v>324</v>
      </c>
    </row>
    <row r="3" spans="1:18" x14ac:dyDescent="0.25">
      <c r="A3" t="str">
        <f>TableEOINARCH[[#This Row],[Study Package Code]]</f>
        <v>ENST1002</v>
      </c>
      <c r="B3" s="2">
        <f>TableEOINARCH[[#This Row],[Ver]]</f>
        <v>1</v>
      </c>
      <c r="C3" t="str">
        <f>IF(TableEOINARCH[[#This Row],[Ver]]&gt;0,_xlfn.TEXTBEFORE(TableEOINARCH[[#This Row],[Structure Line]]," "),"")</f>
        <v>ENST1002</v>
      </c>
      <c r="D3" t="str">
        <f>IF(TableEOINARCH[[#This Row],[OUA Code]]&lt;&gt;"",_xlfn.TEXTAFTER(TableEOINARCH[[#This Row],[Structure Line]]," "),TableEOINARCH[[#This Row],[Structure Line]])</f>
        <v>Sustainability Communication and Action</v>
      </c>
      <c r="E3" s="36">
        <f>TableEOINARCH[[#This Row],[Credit Points]]</f>
        <v>25</v>
      </c>
      <c r="F3">
        <v>1</v>
      </c>
      <c r="G3" t="s">
        <v>325</v>
      </c>
      <c r="H3" s="2">
        <v>1</v>
      </c>
      <c r="I3" t="s">
        <v>326</v>
      </c>
      <c r="J3" t="s">
        <v>381</v>
      </c>
      <c r="K3" s="45">
        <v>1</v>
      </c>
      <c r="L3" s="45" t="s">
        <v>382</v>
      </c>
      <c r="M3" s="45">
        <v>25</v>
      </c>
      <c r="N3" s="106">
        <v>46023</v>
      </c>
      <c r="O3" s="106"/>
      <c r="Q3" t="s">
        <v>96</v>
      </c>
      <c r="R3">
        <v>1</v>
      </c>
    </row>
    <row r="4" spans="1:18" x14ac:dyDescent="0.25">
      <c r="A4" t="str">
        <f>TableEOINARCH[[#This Row],[Study Package Code]]</f>
        <v>ARCH1020</v>
      </c>
      <c r="B4" s="2">
        <f>TableEOINARCH[[#This Row],[Ver]]</f>
        <v>3</v>
      </c>
      <c r="C4" t="str">
        <f>IF(TableEOINARCH[[#This Row],[Ver]]&gt;0,_xlfn.TEXTBEFORE(TableEOINARCH[[#This Row],[Structure Line]]," "),"")</f>
        <v>BAS115</v>
      </c>
      <c r="D4" t="str">
        <f>IF(TableEOINARCH[[#This Row],[OUA Code]]&lt;&gt;"",_xlfn.TEXTAFTER(TableEOINARCH[[#This Row],[Structure Line]]," "),TableEOINARCH[[#This Row],[Structure Line]])</f>
        <v>Architecture and Interior Architecture Methods 1A - Analogue Literacy</v>
      </c>
      <c r="E4" s="36">
        <f>TableEOINARCH[[#This Row],[Credit Points]]</f>
        <v>25</v>
      </c>
      <c r="F4">
        <v>2</v>
      </c>
      <c r="G4" t="s">
        <v>325</v>
      </c>
      <c r="H4" s="2">
        <v>1</v>
      </c>
      <c r="I4" t="s">
        <v>326</v>
      </c>
      <c r="J4" t="s">
        <v>90</v>
      </c>
      <c r="K4" s="45">
        <v>3</v>
      </c>
      <c r="L4" s="45" t="s">
        <v>327</v>
      </c>
      <c r="M4" s="45">
        <v>25</v>
      </c>
      <c r="N4" s="106">
        <v>44562</v>
      </c>
      <c r="O4" s="106"/>
      <c r="Q4" t="s">
        <v>90</v>
      </c>
      <c r="R4">
        <v>3</v>
      </c>
    </row>
    <row r="5" spans="1:18" x14ac:dyDescent="0.25">
      <c r="A5" t="str">
        <f>TableEOINARCH[[#This Row],[Study Package Code]]</f>
        <v>ARCH1024</v>
      </c>
      <c r="B5" s="2">
        <f>TableEOINARCH[[#This Row],[Ver]]</f>
        <v>3</v>
      </c>
      <c r="C5" t="str">
        <f>IF(TableEOINARCH[[#This Row],[Ver]]&gt;0,_xlfn.TEXTBEFORE(TableEOINARCH[[#This Row],[Structure Line]]," "),"")</f>
        <v>BAS140</v>
      </c>
      <c r="D5" t="str">
        <f>IF(TableEOINARCH[[#This Row],[OUA Code]]&lt;&gt;"",_xlfn.TEXTAFTER(TableEOINARCH[[#This Row],[Structure Line]]," "),TableEOINARCH[[#This Row],[Structure Line]])</f>
        <v>Architecture and Interior Architecture Design Studio 1 - Small Structures</v>
      </c>
      <c r="E5" s="36">
        <f>TableEOINARCH[[#This Row],[Credit Points]]</f>
        <v>25</v>
      </c>
      <c r="F5">
        <v>3</v>
      </c>
      <c r="G5" t="s">
        <v>325</v>
      </c>
      <c r="H5" s="2">
        <v>1</v>
      </c>
      <c r="I5" t="s">
        <v>326</v>
      </c>
      <c r="J5" t="s">
        <v>99</v>
      </c>
      <c r="K5" s="45">
        <v>3</v>
      </c>
      <c r="L5" s="45" t="s">
        <v>328</v>
      </c>
      <c r="M5" s="45">
        <v>25</v>
      </c>
      <c r="N5" s="106">
        <v>44562</v>
      </c>
      <c r="O5" s="106"/>
      <c r="Q5" t="s">
        <v>99</v>
      </c>
      <c r="R5">
        <v>3</v>
      </c>
    </row>
    <row r="6" spans="1:18" x14ac:dyDescent="0.25">
      <c r="A6" t="str">
        <f>TableEOINARCH[[#This Row],[Study Package Code]]</f>
        <v>ARCH1021</v>
      </c>
      <c r="B6" s="2">
        <f>TableEOINARCH[[#This Row],[Ver]]</f>
        <v>3</v>
      </c>
      <c r="C6" t="str">
        <f>IF(TableEOINARCH[[#This Row],[Ver]]&gt;0,_xlfn.TEXTBEFORE(TableEOINARCH[[#This Row],[Structure Line]]," "),"")</f>
        <v>BAS145</v>
      </c>
      <c r="D6" t="str">
        <f>IF(TableEOINARCH[[#This Row],[OUA Code]]&lt;&gt;"",_xlfn.TEXTAFTER(TableEOINARCH[[#This Row],[Structure Line]]," "),TableEOINARCH[[#This Row],[Structure Line]])</f>
        <v>Architecture and Interior Architecture Methods 1B - Digital Literacy</v>
      </c>
      <c r="E6" s="36">
        <f>TableEOINARCH[[#This Row],[Credit Points]]</f>
        <v>25</v>
      </c>
      <c r="F6" s="45">
        <v>4</v>
      </c>
      <c r="G6" s="45" t="s">
        <v>325</v>
      </c>
      <c r="H6" s="208">
        <v>1</v>
      </c>
      <c r="I6" s="45" t="s">
        <v>326</v>
      </c>
      <c r="J6" s="45" t="s">
        <v>92</v>
      </c>
      <c r="K6" s="45">
        <v>3</v>
      </c>
      <c r="L6" s="45" t="s">
        <v>329</v>
      </c>
      <c r="M6" s="45">
        <v>25</v>
      </c>
      <c r="N6" s="106">
        <v>44562</v>
      </c>
      <c r="O6" s="106"/>
      <c r="Q6" t="s">
        <v>92</v>
      </c>
      <c r="R6">
        <v>3</v>
      </c>
    </row>
    <row r="7" spans="1:18" x14ac:dyDescent="0.25">
      <c r="A7" t="str">
        <f>TableEOINARCH[[#This Row],[Study Package Code]]</f>
        <v>INAR1011</v>
      </c>
      <c r="B7" s="2">
        <f>TableEOINARCH[[#This Row],[Ver]]</f>
        <v>4</v>
      </c>
      <c r="C7" t="str">
        <f>IF(TableEOINARCH[[#This Row],[Ver]]&gt;0,_xlfn.TEXTBEFORE(TableEOINARCH[[#This Row],[Structure Line]]," "),"")</f>
        <v>BIA140</v>
      </c>
      <c r="D7" t="str">
        <f>IF(TableEOINARCH[[#This Row],[OUA Code]]&lt;&gt;"",_xlfn.TEXTAFTER(TableEOINARCH[[#This Row],[Structure Line]]," "),TableEOINARCH[[#This Row],[Structure Line]])</f>
        <v>Interior Architecture Studio - Foundation</v>
      </c>
      <c r="E7" s="36">
        <f>TableEOINARCH[[#This Row],[Credit Points]]</f>
        <v>25</v>
      </c>
      <c r="F7">
        <v>5</v>
      </c>
      <c r="G7" t="s">
        <v>325</v>
      </c>
      <c r="H7" s="2">
        <v>1</v>
      </c>
      <c r="I7" t="s">
        <v>326</v>
      </c>
      <c r="J7" t="s">
        <v>97</v>
      </c>
      <c r="K7" s="45">
        <v>4</v>
      </c>
      <c r="L7" s="45" t="s">
        <v>330</v>
      </c>
      <c r="M7" s="45">
        <v>25</v>
      </c>
      <c r="N7" s="106">
        <v>45292</v>
      </c>
      <c r="O7" s="106"/>
      <c r="Q7" t="s">
        <v>97</v>
      </c>
      <c r="R7">
        <v>4</v>
      </c>
    </row>
    <row r="8" spans="1:18" x14ac:dyDescent="0.25">
      <c r="A8" t="str">
        <f>TableEOINARCH[[#This Row],[Study Package Code]]</f>
        <v>INAR1015</v>
      </c>
      <c r="B8" s="2">
        <f>TableEOINARCH[[#This Row],[Ver]]</f>
        <v>1</v>
      </c>
      <c r="C8" t="str">
        <f>IF(TableEOINARCH[[#This Row],[Ver]]&gt;0,_xlfn.TEXTBEFORE(TableEOINARCH[[#This Row],[Structure Line]]," "),"")</f>
        <v>BIA170</v>
      </c>
      <c r="D8" t="str">
        <f>IF(TableEOINARCH[[#This Row],[OUA Code]]&lt;&gt;"",_xlfn.TEXTAFTER(TableEOINARCH[[#This Row],[Structure Line]]," "),TableEOINARCH[[#This Row],[Structure Line]])</f>
        <v>History of the Interior</v>
      </c>
      <c r="E8" s="36">
        <f>TableEOINARCH[[#This Row],[Credit Points]]</f>
        <v>25</v>
      </c>
      <c r="F8" s="45">
        <v>6</v>
      </c>
      <c r="G8" s="45" t="s">
        <v>325</v>
      </c>
      <c r="H8" s="208">
        <v>1</v>
      </c>
      <c r="I8" s="45" t="s">
        <v>326</v>
      </c>
      <c r="J8" s="45" t="s">
        <v>94</v>
      </c>
      <c r="K8" s="45">
        <v>1</v>
      </c>
      <c r="L8" s="45" t="s">
        <v>331</v>
      </c>
      <c r="M8" s="45">
        <v>25</v>
      </c>
      <c r="N8" s="106">
        <v>43101</v>
      </c>
      <c r="O8" s="106"/>
      <c r="Q8" t="s">
        <v>94</v>
      </c>
      <c r="R8">
        <v>1</v>
      </c>
    </row>
    <row r="9" spans="1:18" x14ac:dyDescent="0.25">
      <c r="A9" t="str">
        <f>TableEOINARCH[[#This Row],[Study Package Code]]</f>
        <v>ARCH2029</v>
      </c>
      <c r="B9" s="2">
        <f>TableEOINARCH[[#This Row],[Ver]]</f>
        <v>3</v>
      </c>
      <c r="C9" t="str">
        <f>IF(TableEOINARCH[[#This Row],[Ver]]&gt;0,_xlfn.TEXTBEFORE(TableEOINARCH[[#This Row],[Structure Line]]," "),"")</f>
        <v>BAS200</v>
      </c>
      <c r="D9" t="str">
        <f>IF(TableEOINARCH[[#This Row],[OUA Code]]&lt;&gt;"",_xlfn.TEXTAFTER(TableEOINARCH[[#This Row],[Structure Line]]," "),TableEOINARCH[[#This Row],[Structure Line]])</f>
        <v>Architecture and Interior Architecture Design Studio 2A - Residential Typology and Grammar</v>
      </c>
      <c r="E9" s="36">
        <f>TableEOINARCH[[#This Row],[Credit Points]]</f>
        <v>25</v>
      </c>
      <c r="F9">
        <v>7</v>
      </c>
      <c r="G9" t="s">
        <v>325</v>
      </c>
      <c r="H9" s="2">
        <v>2</v>
      </c>
      <c r="I9" t="s">
        <v>326</v>
      </c>
      <c r="J9" t="s">
        <v>105</v>
      </c>
      <c r="K9" s="45">
        <v>3</v>
      </c>
      <c r="L9" s="45" t="s">
        <v>332</v>
      </c>
      <c r="M9" s="45">
        <v>25</v>
      </c>
      <c r="N9" s="106">
        <v>44562</v>
      </c>
      <c r="O9" s="106"/>
      <c r="Q9" t="s">
        <v>105</v>
      </c>
      <c r="R9">
        <v>3</v>
      </c>
    </row>
    <row r="10" spans="1:18" x14ac:dyDescent="0.25">
      <c r="A10" t="str">
        <f>TableEOINARCH[[#This Row],[Study Package Code]]</f>
        <v>ARCH2027</v>
      </c>
      <c r="B10" s="2">
        <f>TableEOINARCH[[#This Row],[Ver]]</f>
        <v>3</v>
      </c>
      <c r="C10" t="str">
        <f>IF(TableEOINARCH[[#This Row],[Ver]]&gt;0,_xlfn.TEXTBEFORE(TableEOINARCH[[#This Row],[Structure Line]]," "),"")</f>
        <v>BAS235</v>
      </c>
      <c r="D10" t="str">
        <f>IF(TableEOINARCH[[#This Row],[OUA Code]]&lt;&gt;"",_xlfn.TEXTAFTER(TableEOINARCH[[#This Row],[Structure Line]]," "),TableEOINARCH[[#This Row],[Structure Line]])</f>
        <v>Architecture Methods 2B - Information Visualisation</v>
      </c>
      <c r="E10" s="36">
        <f>TableEOINARCH[[#This Row],[Credit Points]]</f>
        <v>25</v>
      </c>
      <c r="F10">
        <v>8</v>
      </c>
      <c r="G10" t="s">
        <v>325</v>
      </c>
      <c r="H10" s="2">
        <v>2</v>
      </c>
      <c r="I10" t="s">
        <v>326</v>
      </c>
      <c r="J10" t="s">
        <v>110</v>
      </c>
      <c r="K10" s="45">
        <v>3</v>
      </c>
      <c r="L10" s="45" t="s">
        <v>333</v>
      </c>
      <c r="M10" s="45">
        <v>25</v>
      </c>
      <c r="N10" s="106">
        <v>44562</v>
      </c>
      <c r="O10" s="106"/>
      <c r="Q10" t="s">
        <v>110</v>
      </c>
      <c r="R10">
        <v>3</v>
      </c>
    </row>
    <row r="11" spans="1:18" x14ac:dyDescent="0.25">
      <c r="A11" t="str">
        <f>TableEOINARCH[[#This Row],[Study Package Code]]</f>
        <v>INAR2020</v>
      </c>
      <c r="B11" s="2">
        <f>TableEOINARCH[[#This Row],[Ver]]</f>
        <v>2</v>
      </c>
      <c r="C11" t="str">
        <f>IF(TableEOINARCH[[#This Row],[Ver]]&gt;0,_xlfn.TEXTBEFORE(TableEOINARCH[[#This Row],[Structure Line]]," "),"")</f>
        <v>BIA200</v>
      </c>
      <c r="D11" t="str">
        <f>IF(TableEOINARCH[[#This Row],[OUA Code]]&lt;&gt;"",_xlfn.TEXTAFTER(TableEOINARCH[[#This Row],[Structure Line]]," "),TableEOINARCH[[#This Row],[Structure Line]])</f>
        <v>Interior Architecture Fundamentals</v>
      </c>
      <c r="E11" s="36">
        <f>TableEOINARCH[[#This Row],[Credit Points]]</f>
        <v>25</v>
      </c>
      <c r="F11">
        <v>9</v>
      </c>
      <c r="G11" t="s">
        <v>325</v>
      </c>
      <c r="H11" s="2">
        <v>2</v>
      </c>
      <c r="I11" t="s">
        <v>326</v>
      </c>
      <c r="J11" t="s">
        <v>100</v>
      </c>
      <c r="K11" s="45">
        <v>2</v>
      </c>
      <c r="L11" s="45" t="s">
        <v>334</v>
      </c>
      <c r="M11" s="45">
        <v>25</v>
      </c>
      <c r="N11" s="106">
        <v>45292</v>
      </c>
      <c r="O11" s="106"/>
      <c r="Q11" t="s">
        <v>100</v>
      </c>
      <c r="R11">
        <v>2</v>
      </c>
    </row>
    <row r="12" spans="1:18" x14ac:dyDescent="0.25">
      <c r="A12" t="str">
        <f>TableEOINARCH[[#This Row],[Study Package Code]]</f>
        <v>INAR2015</v>
      </c>
      <c r="B12" s="2">
        <f>TableEOINARCH[[#This Row],[Ver]]</f>
        <v>4</v>
      </c>
      <c r="C12" t="str">
        <f>IF(TableEOINARCH[[#This Row],[Ver]]&gt;0,_xlfn.TEXTBEFORE(TableEOINARCH[[#This Row],[Structure Line]]," "),"")</f>
        <v>BIA250</v>
      </c>
      <c r="D12" t="str">
        <f>IF(TableEOINARCH[[#This Row],[OUA Code]]&lt;&gt;"",_xlfn.TEXTAFTER(TableEOINARCH[[#This Row],[Structure Line]]," "),TableEOINARCH[[#This Row],[Structure Line]])</f>
        <v>Interior Architecture Studio – Community</v>
      </c>
      <c r="E12" s="36">
        <f>TableEOINARCH[[#This Row],[Credit Points]]</f>
        <v>25</v>
      </c>
      <c r="F12">
        <v>10</v>
      </c>
      <c r="G12" t="s">
        <v>325</v>
      </c>
      <c r="H12" s="2">
        <v>2</v>
      </c>
      <c r="I12" t="s">
        <v>326</v>
      </c>
      <c r="J12" t="s">
        <v>108</v>
      </c>
      <c r="K12" s="45">
        <v>4</v>
      </c>
      <c r="L12" s="45" t="s">
        <v>335</v>
      </c>
      <c r="M12" s="45">
        <v>25</v>
      </c>
      <c r="N12" s="106">
        <v>45292</v>
      </c>
      <c r="O12" s="106"/>
      <c r="Q12" t="s">
        <v>108</v>
      </c>
      <c r="R12">
        <v>4</v>
      </c>
    </row>
    <row r="13" spans="1:18" x14ac:dyDescent="0.25">
      <c r="A13" t="str">
        <f>TableEOINARCH[[#This Row],[Study Package Code]]</f>
        <v>INAR2023</v>
      </c>
      <c r="B13" s="2">
        <f>TableEOINARCH[[#This Row],[Ver]]</f>
        <v>1</v>
      </c>
      <c r="C13" t="str">
        <f>IF(TableEOINARCH[[#This Row],[Ver]]&gt;0,_xlfn.TEXTBEFORE(TableEOINARCH[[#This Row],[Structure Line]]," "),"")</f>
        <v>BIA280</v>
      </c>
      <c r="D13" t="str">
        <f>IF(TableEOINARCH[[#This Row],[OUA Code]]&lt;&gt;"",_xlfn.TEXTAFTER(TableEOINARCH[[#This Row],[Structure Line]]," "),TableEOINARCH[[#This Row],[Structure Line]])</f>
        <v>Philosophy and Practice</v>
      </c>
      <c r="E13" s="36">
        <f>TableEOINARCH[[#This Row],[Credit Points]]</f>
        <v>25</v>
      </c>
      <c r="F13">
        <v>11</v>
      </c>
      <c r="G13" t="s">
        <v>325</v>
      </c>
      <c r="H13" s="2">
        <v>2</v>
      </c>
      <c r="I13" t="s">
        <v>326</v>
      </c>
      <c r="J13" t="s">
        <v>102</v>
      </c>
      <c r="K13" s="45">
        <v>1</v>
      </c>
      <c r="L13" s="45" t="s">
        <v>336</v>
      </c>
      <c r="M13" s="45">
        <v>25</v>
      </c>
      <c r="N13" s="106">
        <v>44562</v>
      </c>
      <c r="O13" s="106"/>
      <c r="Q13" t="s">
        <v>102</v>
      </c>
      <c r="R13">
        <v>1</v>
      </c>
    </row>
    <row r="14" spans="1:18" x14ac:dyDescent="0.25">
      <c r="A14" t="str">
        <f>TableEOINARCH[[#This Row],[Study Package Code]]</f>
        <v>GRDE2045</v>
      </c>
      <c r="B14" s="2">
        <f>TableEOINARCH[[#This Row],[Ver]]</f>
        <v>1</v>
      </c>
      <c r="C14" t="str">
        <f>IF(TableEOINARCH[[#This Row],[Ver]]&gt;0,_xlfn.TEXTBEFORE(TableEOINARCH[[#This Row],[Structure Line]]," "),"")</f>
        <v>DSN200</v>
      </c>
      <c r="D14" t="str">
        <f>IF(TableEOINARCH[[#This Row],[OUA Code]]&lt;&gt;"",_xlfn.TEXTAFTER(TableEOINARCH[[#This Row],[Structure Line]]," "),TableEOINARCH[[#This Row],[Structure Line]])</f>
        <v>3D Modelling and Digital Fabrication</v>
      </c>
      <c r="E14" s="36">
        <f>TableEOINARCH[[#This Row],[Credit Points]]</f>
        <v>25</v>
      </c>
      <c r="F14" s="45">
        <v>12</v>
      </c>
      <c r="G14" s="45" t="s">
        <v>325</v>
      </c>
      <c r="H14" s="208">
        <v>2</v>
      </c>
      <c r="I14" s="45" t="s">
        <v>326</v>
      </c>
      <c r="J14" s="45" t="s">
        <v>101</v>
      </c>
      <c r="K14" s="45">
        <v>1</v>
      </c>
      <c r="L14" s="45" t="s">
        <v>337</v>
      </c>
      <c r="M14" s="45">
        <v>25</v>
      </c>
      <c r="N14" s="106">
        <v>45292</v>
      </c>
      <c r="O14" s="106"/>
      <c r="Q14" t="s">
        <v>101</v>
      </c>
      <c r="R14">
        <v>1</v>
      </c>
    </row>
    <row r="15" spans="1:18" x14ac:dyDescent="0.25">
      <c r="A15" t="str">
        <f>TableEOINARCH[[#This Row],[Study Package Code]]</f>
        <v>ARCH3015</v>
      </c>
      <c r="B15" s="2">
        <f>TableEOINARCH[[#This Row],[Ver]]</f>
        <v>4</v>
      </c>
      <c r="C15" t="str">
        <f>IF(TableEOINARCH[[#This Row],[Ver]]&gt;0,_xlfn.TEXTBEFORE(TableEOINARCH[[#This Row],[Structure Line]]," "),"")</f>
        <v>BAS310</v>
      </c>
      <c r="D15" t="str">
        <f>IF(TableEOINARCH[[#This Row],[OUA Code]]&lt;&gt;"",_xlfn.TEXTAFTER(TableEOINARCH[[#This Row],[Structure Line]]," "),TableEOINARCH[[#This Row],[Structure Line]])</f>
        <v>Environmental and Building Systems in Architecture</v>
      </c>
      <c r="E15" s="36">
        <f>TableEOINARCH[[#This Row],[Credit Points]]</f>
        <v>25</v>
      </c>
      <c r="F15">
        <v>13</v>
      </c>
      <c r="G15" t="s">
        <v>325</v>
      </c>
      <c r="H15" s="2">
        <v>3</v>
      </c>
      <c r="I15" t="s">
        <v>326</v>
      </c>
      <c r="J15" t="s">
        <v>113</v>
      </c>
      <c r="K15" s="45">
        <v>4</v>
      </c>
      <c r="L15" s="45" t="s">
        <v>338</v>
      </c>
      <c r="M15" s="45">
        <v>25</v>
      </c>
      <c r="N15" s="106">
        <v>44562</v>
      </c>
      <c r="O15" s="106"/>
      <c r="Q15" t="s">
        <v>113</v>
      </c>
      <c r="R15">
        <v>4</v>
      </c>
    </row>
    <row r="16" spans="1:18" x14ac:dyDescent="0.25">
      <c r="A16" t="str">
        <f>TableEOINARCH[[#This Row],[Study Package Code]]</f>
        <v>INAR2025</v>
      </c>
      <c r="B16" s="2">
        <f>TableEOINARCH[[#This Row],[Ver]]</f>
        <v>1</v>
      </c>
      <c r="C16" t="str">
        <f>IF(TableEOINARCH[[#This Row],[Ver]]&gt;0,_xlfn.TEXTBEFORE(TableEOINARCH[[#This Row],[Structure Line]]," "),"")</f>
        <v>BIA290</v>
      </c>
      <c r="D16" t="str">
        <f>IF(TableEOINARCH[[#This Row],[OUA Code]]&lt;&gt;"",_xlfn.TEXTAFTER(TableEOINARCH[[#This Row],[Structure Line]]," "),TableEOINARCH[[#This Row],[Structure Line]])</f>
        <v>Design Fabrication</v>
      </c>
      <c r="E16" s="36">
        <f>TableEOINARCH[[#This Row],[Credit Points]]</f>
        <v>25</v>
      </c>
      <c r="F16">
        <v>14</v>
      </c>
      <c r="G16" t="s">
        <v>325</v>
      </c>
      <c r="H16" s="2">
        <v>3</v>
      </c>
      <c r="I16" t="s">
        <v>326</v>
      </c>
      <c r="J16" t="s">
        <v>121</v>
      </c>
      <c r="K16" s="45">
        <v>1</v>
      </c>
      <c r="L16" s="45" t="s">
        <v>339</v>
      </c>
      <c r="M16" s="45">
        <v>25</v>
      </c>
      <c r="N16" s="106">
        <v>45292</v>
      </c>
      <c r="O16" s="106"/>
      <c r="Q16" t="s">
        <v>121</v>
      </c>
      <c r="R16">
        <v>1</v>
      </c>
    </row>
    <row r="17" spans="1:18" x14ac:dyDescent="0.25">
      <c r="A17" t="str">
        <f>TableEOINARCH[[#This Row],[Study Package Code]]</f>
        <v>INAR3012</v>
      </c>
      <c r="B17" s="2">
        <f>TableEOINARCH[[#This Row],[Ver]]</f>
        <v>4</v>
      </c>
      <c r="C17" t="str">
        <f>IF(TableEOINARCH[[#This Row],[Ver]]&gt;0,_xlfn.TEXTBEFORE(TableEOINARCH[[#This Row],[Structure Line]]," "),"")</f>
        <v>BIA300</v>
      </c>
      <c r="D17" t="str">
        <f>IF(TableEOINARCH[[#This Row],[OUA Code]]&lt;&gt;"",_xlfn.TEXTAFTER(TableEOINARCH[[#This Row],[Structure Line]]," "),TableEOINARCH[[#This Row],[Structure Line]])</f>
        <v>Interior Architecture Studio - Well-being</v>
      </c>
      <c r="E17" s="36">
        <f>TableEOINARCH[[#This Row],[Credit Points]]</f>
        <v>25</v>
      </c>
      <c r="F17">
        <v>15</v>
      </c>
      <c r="G17" t="s">
        <v>325</v>
      </c>
      <c r="H17" s="2">
        <v>3</v>
      </c>
      <c r="I17" t="s">
        <v>326</v>
      </c>
      <c r="J17" t="s">
        <v>117</v>
      </c>
      <c r="K17" s="45">
        <v>4</v>
      </c>
      <c r="L17" s="45" t="s">
        <v>340</v>
      </c>
      <c r="M17" s="45">
        <v>25</v>
      </c>
      <c r="N17" s="106">
        <v>45383</v>
      </c>
      <c r="O17" s="106"/>
      <c r="Q17" t="s">
        <v>117</v>
      </c>
      <c r="R17">
        <v>4</v>
      </c>
    </row>
    <row r="18" spans="1:18" x14ac:dyDescent="0.25">
      <c r="A18" t="str">
        <f>TableEOINARCH[[#This Row],[Study Package Code]]</f>
        <v>INAR3023</v>
      </c>
      <c r="B18" s="2">
        <f>TableEOINARCH[[#This Row],[Ver]]</f>
        <v>1</v>
      </c>
      <c r="C18" t="str">
        <f>IF(TableEOINARCH[[#This Row],[Ver]]&gt;0,_xlfn.TEXTBEFORE(TableEOINARCH[[#This Row],[Structure Line]]," "),"")</f>
        <v>BIA305</v>
      </c>
      <c r="D18" t="str">
        <f>IF(TableEOINARCH[[#This Row],[OUA Code]]&lt;&gt;"",_xlfn.TEXTAFTER(TableEOINARCH[[#This Row],[Structure Line]]," "),TableEOINARCH[[#This Row],[Structure Line]])</f>
        <v>Interior Architecture Practice 1</v>
      </c>
      <c r="E18" s="36">
        <f>TableEOINARCH[[#This Row],[Credit Points]]</f>
        <v>25</v>
      </c>
      <c r="F18" s="45">
        <v>16</v>
      </c>
      <c r="G18" s="45" t="s">
        <v>325</v>
      </c>
      <c r="H18" s="208">
        <v>3</v>
      </c>
      <c r="I18" s="45" t="s">
        <v>326</v>
      </c>
      <c r="J18" s="45" t="s">
        <v>112</v>
      </c>
      <c r="K18" s="45">
        <v>1</v>
      </c>
      <c r="L18" s="45" t="s">
        <v>341</v>
      </c>
      <c r="M18" s="45">
        <v>25</v>
      </c>
      <c r="N18" s="106">
        <v>45292</v>
      </c>
      <c r="O18" s="106"/>
      <c r="Q18" t="s">
        <v>112</v>
      </c>
      <c r="R18">
        <v>1</v>
      </c>
    </row>
    <row r="19" spans="1:18" x14ac:dyDescent="0.25">
      <c r="A19" t="str">
        <f>TableEOINARCH[[#This Row],[Study Package Code]]</f>
        <v>INAR3025</v>
      </c>
      <c r="B19" s="2">
        <f>TableEOINARCH[[#This Row],[Ver]]</f>
        <v>1</v>
      </c>
      <c r="C19" t="str">
        <f>IF(TableEOINARCH[[#This Row],[Ver]]&gt;0,_xlfn.TEXTBEFORE(TableEOINARCH[[#This Row],[Structure Line]]," "),"")</f>
        <v>BIA315</v>
      </c>
      <c r="D19" t="str">
        <f>IF(TableEOINARCH[[#This Row],[OUA Code]]&lt;&gt;"",_xlfn.TEXTAFTER(TableEOINARCH[[#This Row],[Structure Line]]," "),TableEOINARCH[[#This Row],[Structure Line]])</f>
        <v>Interior Architecture Practice 2</v>
      </c>
      <c r="E19" s="36">
        <f>TableEOINARCH[[#This Row],[Credit Points]]</f>
        <v>25</v>
      </c>
      <c r="F19" s="45">
        <v>17</v>
      </c>
      <c r="G19" s="45" t="s">
        <v>325</v>
      </c>
      <c r="H19" s="208">
        <v>3</v>
      </c>
      <c r="I19" s="45" t="s">
        <v>326</v>
      </c>
      <c r="J19" s="45" t="s">
        <v>114</v>
      </c>
      <c r="K19" s="45">
        <v>1</v>
      </c>
      <c r="L19" s="45" t="s">
        <v>342</v>
      </c>
      <c r="M19" s="45">
        <v>25</v>
      </c>
      <c r="N19" s="106">
        <v>45292</v>
      </c>
      <c r="O19" s="106"/>
      <c r="Q19" t="s">
        <v>114</v>
      </c>
      <c r="R19">
        <v>1</v>
      </c>
    </row>
    <row r="20" spans="1:18" x14ac:dyDescent="0.25">
      <c r="A20" t="str">
        <f>TableEOINARCH[[#This Row],[Study Package Code]]</f>
        <v>INAR3017</v>
      </c>
      <c r="B20" s="2">
        <f>TableEOINARCH[[#This Row],[Ver]]</f>
        <v>3</v>
      </c>
      <c r="C20" t="str">
        <f>IF(TableEOINARCH[[#This Row],[Ver]]&gt;0,_xlfn.TEXTBEFORE(TableEOINARCH[[#This Row],[Structure Line]]," "),"")</f>
        <v>BIA360</v>
      </c>
      <c r="D20" t="str">
        <f>IF(TableEOINARCH[[#This Row],[OUA Code]]&lt;&gt;"",_xlfn.TEXTAFTER(TableEOINARCH[[#This Row],[Structure Line]]," "),TableEOINARCH[[#This Row],[Structure Line]])</f>
        <v>Interior Architecture Studio - Workplace</v>
      </c>
      <c r="E20" s="36">
        <f>TableEOINARCH[[#This Row],[Credit Points]]</f>
        <v>25</v>
      </c>
      <c r="F20">
        <v>18</v>
      </c>
      <c r="G20" t="s">
        <v>325</v>
      </c>
      <c r="H20" s="2">
        <v>3</v>
      </c>
      <c r="I20" t="s">
        <v>326</v>
      </c>
      <c r="J20" t="s">
        <v>124</v>
      </c>
      <c r="K20" s="45">
        <v>3</v>
      </c>
      <c r="L20" s="45" t="s">
        <v>343</v>
      </c>
      <c r="M20" s="45">
        <v>25</v>
      </c>
      <c r="N20" s="106">
        <v>45292</v>
      </c>
      <c r="O20" s="106"/>
      <c r="Q20" t="s">
        <v>124</v>
      </c>
      <c r="R20">
        <v>3</v>
      </c>
    </row>
    <row r="21" spans="1:18" x14ac:dyDescent="0.25">
      <c r="A21" t="str">
        <f>TableEOINARCH[[#This Row],[Study Package Code]]</f>
        <v>INAR3021</v>
      </c>
      <c r="B21" s="2">
        <f>TableEOINARCH[[#This Row],[Ver]]</f>
        <v>1</v>
      </c>
      <c r="C21" t="str">
        <f>IF(TableEOINARCH[[#This Row],[Ver]]&gt;0,_xlfn.TEXTBEFORE(TableEOINARCH[[#This Row],[Structure Line]]," "),"")</f>
        <v>BIA390</v>
      </c>
      <c r="D21" t="str">
        <f>IF(TableEOINARCH[[#This Row],[OUA Code]]&lt;&gt;"",_xlfn.TEXTAFTER(TableEOINARCH[[#This Row],[Structure Line]]," "),TableEOINARCH[[#This Row],[Structure Line]])</f>
        <v>Furniture Design</v>
      </c>
      <c r="E21" s="36">
        <f>TableEOINARCH[[#This Row],[Credit Points]]</f>
        <v>25</v>
      </c>
      <c r="F21">
        <v>19</v>
      </c>
      <c r="G21" t="s">
        <v>325</v>
      </c>
      <c r="H21" s="2">
        <v>3</v>
      </c>
      <c r="I21" t="s">
        <v>326</v>
      </c>
      <c r="J21" t="s">
        <v>123</v>
      </c>
      <c r="K21" s="45">
        <v>1</v>
      </c>
      <c r="L21" s="45" t="s">
        <v>344</v>
      </c>
      <c r="M21" s="45">
        <v>25</v>
      </c>
      <c r="N21" s="106">
        <v>45292</v>
      </c>
      <c r="O21" s="106"/>
      <c r="Q21" t="s">
        <v>123</v>
      </c>
      <c r="R21">
        <v>1</v>
      </c>
    </row>
    <row r="22" spans="1:18" x14ac:dyDescent="0.25">
      <c r="A22" t="str">
        <f>TableEOINARCH[[#This Row],[Study Package Code]]</f>
        <v>URDE3011</v>
      </c>
      <c r="B22" s="2">
        <f>TableEOINARCH[[#This Row],[Ver]]</f>
        <v>1</v>
      </c>
      <c r="C22" t="str">
        <f>IF(TableEOINARCH[[#This Row],[Ver]]&gt;0,_xlfn.TEXTBEFORE(TableEOINARCH[[#This Row],[Structure Line]]," "),"")</f>
        <v>DBE300</v>
      </c>
      <c r="D22" t="str">
        <f>IF(TableEOINARCH[[#This Row],[OUA Code]]&lt;&gt;"",_xlfn.TEXTAFTER(TableEOINARCH[[#This Row],[Structure Line]]," "),TableEOINARCH[[#This Row],[Structure Line]])</f>
        <v>Design and Built Environment Research Methods</v>
      </c>
      <c r="E22" s="36">
        <f>TableEOINARCH[[#This Row],[Credit Points]]</f>
        <v>25</v>
      </c>
      <c r="F22">
        <v>20</v>
      </c>
      <c r="G22" t="s">
        <v>325</v>
      </c>
      <c r="H22" s="2">
        <v>3</v>
      </c>
      <c r="I22" t="s">
        <v>326</v>
      </c>
      <c r="J22" t="s">
        <v>119</v>
      </c>
      <c r="K22" s="45">
        <v>1</v>
      </c>
      <c r="L22" s="45" t="s">
        <v>345</v>
      </c>
      <c r="M22" s="45">
        <v>25</v>
      </c>
      <c r="N22" s="106">
        <v>44562</v>
      </c>
      <c r="O22" s="106"/>
      <c r="Q22" t="s">
        <v>119</v>
      </c>
      <c r="R22">
        <v>1</v>
      </c>
    </row>
    <row r="23" spans="1:18" x14ac:dyDescent="0.25">
      <c r="A23" t="str">
        <f>TableEOINARCH[[#This Row],[Study Package Code]]</f>
        <v>INAR4024</v>
      </c>
      <c r="B23" s="2">
        <f>TableEOINARCH[[#This Row],[Ver]]</f>
        <v>1</v>
      </c>
      <c r="C23" t="str">
        <f>IF(TableEOINARCH[[#This Row],[Ver]]&gt;0,_xlfn.TEXTBEFORE(TableEOINARCH[[#This Row],[Structure Line]]," "),"")</f>
        <v>BIA415</v>
      </c>
      <c r="D23" t="str">
        <f>IF(TableEOINARCH[[#This Row],[OUA Code]]&lt;&gt;"",_xlfn.TEXTAFTER(TableEOINARCH[[#This Row],[Structure Line]]," "),TableEOINARCH[[#This Row],[Structure Line]])</f>
        <v>Adaptive Reuse and Heritage</v>
      </c>
      <c r="E23" s="36">
        <f>TableEOINARCH[[#This Row],[Credit Points]]</f>
        <v>25</v>
      </c>
      <c r="F23">
        <v>21</v>
      </c>
      <c r="G23" t="s">
        <v>325</v>
      </c>
      <c r="H23" s="2">
        <v>4</v>
      </c>
      <c r="I23" t="s">
        <v>326</v>
      </c>
      <c r="J23" t="s">
        <v>128</v>
      </c>
      <c r="K23" s="45">
        <v>1</v>
      </c>
      <c r="L23" s="45" t="s">
        <v>346</v>
      </c>
      <c r="M23" s="45">
        <v>25</v>
      </c>
      <c r="N23" s="106">
        <v>45292</v>
      </c>
      <c r="O23" s="106"/>
      <c r="Q23" t="s">
        <v>128</v>
      </c>
      <c r="R23">
        <v>1</v>
      </c>
    </row>
    <row r="24" spans="1:18" x14ac:dyDescent="0.25">
      <c r="A24" t="str">
        <f>TableEOINARCH[[#This Row],[Study Package Code]]</f>
        <v>INAR4026</v>
      </c>
      <c r="B24" s="2">
        <f>TableEOINARCH[[#This Row],[Ver]]</f>
        <v>1</v>
      </c>
      <c r="C24" t="str">
        <f>IF(TableEOINARCH[[#This Row],[Ver]]&gt;0,_xlfn.TEXTBEFORE(TableEOINARCH[[#This Row],[Structure Line]]," "),"")</f>
        <v>BIA425</v>
      </c>
      <c r="D24" t="str">
        <f>IF(TableEOINARCH[[#This Row],[OUA Code]]&lt;&gt;"",_xlfn.TEXTAFTER(TableEOINARCH[[#This Row],[Structure Line]]," "),TableEOINARCH[[#This Row],[Structure Line]])</f>
        <v>Design for Indoor Comfort</v>
      </c>
      <c r="E24" s="36">
        <f>TableEOINARCH[[#This Row],[Credit Points]]</f>
        <v>25</v>
      </c>
      <c r="F24">
        <v>22</v>
      </c>
      <c r="G24" t="s">
        <v>325</v>
      </c>
      <c r="H24" s="2">
        <v>4</v>
      </c>
      <c r="I24" t="s">
        <v>326</v>
      </c>
      <c r="J24" t="s">
        <v>131</v>
      </c>
      <c r="K24" s="45">
        <v>1</v>
      </c>
      <c r="L24" s="45" t="s">
        <v>347</v>
      </c>
      <c r="M24" s="45">
        <v>25</v>
      </c>
      <c r="N24" s="106">
        <v>45292</v>
      </c>
      <c r="O24" s="106"/>
      <c r="Q24" t="s">
        <v>131</v>
      </c>
      <c r="R24">
        <v>1</v>
      </c>
    </row>
    <row r="25" spans="1:18" x14ac:dyDescent="0.25">
      <c r="A25" t="str">
        <f>TableEOINARCH[[#This Row],[Study Package Code]]</f>
        <v>INAR4028</v>
      </c>
      <c r="B25" s="2">
        <f>TableEOINARCH[[#This Row],[Ver]]</f>
        <v>1</v>
      </c>
      <c r="C25" t="str">
        <f>IF(TableEOINARCH[[#This Row],[Ver]]&gt;0,_xlfn.TEXTBEFORE(TableEOINARCH[[#This Row],[Structure Line]]," "),"")</f>
        <v>BIA435</v>
      </c>
      <c r="D25" t="str">
        <f>IF(TableEOINARCH[[#This Row],[OUA Code]]&lt;&gt;"",_xlfn.TEXTAFTER(TableEOINARCH[[#This Row],[Structure Line]]," "),TableEOINARCH[[#This Row],[Structure Line]])</f>
        <v>Interior Lighting Design</v>
      </c>
      <c r="E25" s="36">
        <f>TableEOINARCH[[#This Row],[Credit Points]]</f>
        <v>25</v>
      </c>
      <c r="F25">
        <v>23</v>
      </c>
      <c r="G25" t="s">
        <v>325</v>
      </c>
      <c r="H25" s="2">
        <v>4</v>
      </c>
      <c r="I25" t="s">
        <v>326</v>
      </c>
      <c r="J25" t="s">
        <v>133</v>
      </c>
      <c r="K25" s="45">
        <v>1</v>
      </c>
      <c r="L25" s="45" t="s">
        <v>348</v>
      </c>
      <c r="M25" s="45">
        <v>25</v>
      </c>
      <c r="N25" s="106">
        <v>45292</v>
      </c>
      <c r="O25" s="106"/>
      <c r="Q25" t="s">
        <v>133</v>
      </c>
      <c r="R25">
        <v>1</v>
      </c>
    </row>
    <row r="26" spans="1:18" x14ac:dyDescent="0.25">
      <c r="A26" t="str">
        <f>TableEOINARCH[[#This Row],[Study Package Code]]</f>
        <v>INAR4030</v>
      </c>
      <c r="B26" s="2">
        <f>TableEOINARCH[[#This Row],[Ver]]</f>
        <v>1</v>
      </c>
      <c r="C26" t="str">
        <f>IF(TableEOINARCH[[#This Row],[Ver]]&gt;0,_xlfn.TEXTBEFORE(TableEOINARCH[[#This Row],[Structure Line]]," "),"")</f>
        <v>BIA445</v>
      </c>
      <c r="D26" t="str">
        <f>IF(TableEOINARCH[[#This Row],[OUA Code]]&lt;&gt;"",_xlfn.TEXTAFTER(TableEOINARCH[[#This Row],[Structure Line]]," "),TableEOINARCH[[#This Row],[Structure Line]])</f>
        <v>Sustainable Future and the Built Environment</v>
      </c>
      <c r="E26" s="36">
        <f>TableEOINARCH[[#This Row],[Credit Points]]</f>
        <v>25</v>
      </c>
      <c r="F26">
        <v>24</v>
      </c>
      <c r="G26" t="s">
        <v>325</v>
      </c>
      <c r="H26" s="2">
        <v>4</v>
      </c>
      <c r="I26" t="s">
        <v>326</v>
      </c>
      <c r="J26" t="s">
        <v>134</v>
      </c>
      <c r="K26" s="45">
        <v>1</v>
      </c>
      <c r="L26" s="45" t="s">
        <v>349</v>
      </c>
      <c r="M26" s="45">
        <v>25</v>
      </c>
      <c r="N26" s="106">
        <v>45292</v>
      </c>
      <c r="O26" s="106"/>
      <c r="Q26" t="s">
        <v>134</v>
      </c>
      <c r="R26">
        <v>1</v>
      </c>
    </row>
    <row r="27" spans="1:18" x14ac:dyDescent="0.25">
      <c r="A27" t="str">
        <f>TableEOINARCH[[#This Row],[Study Package Code]]</f>
        <v>INAR4032</v>
      </c>
      <c r="B27" s="2">
        <f>TableEOINARCH[[#This Row],[Ver]]</f>
        <v>1</v>
      </c>
      <c r="C27" t="str">
        <f>IF(TableEOINARCH[[#This Row],[Ver]]&gt;0,_xlfn.TEXTBEFORE(TableEOINARCH[[#This Row],[Structure Line]]," "),"")</f>
        <v>BIA455</v>
      </c>
      <c r="D27" t="str">
        <f>IF(TableEOINARCH[[#This Row],[OUA Code]]&lt;&gt;"",_xlfn.TEXTAFTER(TableEOINARCH[[#This Row],[Structure Line]]," "),TableEOINARCH[[#This Row],[Structure Line]])</f>
        <v>Interior Architecture Honours Proposal</v>
      </c>
      <c r="E27" s="36">
        <f>TableEOINARCH[[#This Row],[Credit Points]]</f>
        <v>50</v>
      </c>
      <c r="F27">
        <v>25</v>
      </c>
      <c r="G27" t="s">
        <v>325</v>
      </c>
      <c r="H27" s="2">
        <v>4</v>
      </c>
      <c r="I27" t="s">
        <v>326</v>
      </c>
      <c r="J27" t="s">
        <v>126</v>
      </c>
      <c r="K27" s="45">
        <v>1</v>
      </c>
      <c r="L27" s="45" t="s">
        <v>350</v>
      </c>
      <c r="M27" s="45">
        <v>50</v>
      </c>
      <c r="N27" s="106">
        <v>45292</v>
      </c>
      <c r="O27" s="106"/>
      <c r="Q27" t="s">
        <v>126</v>
      </c>
      <c r="R27">
        <v>1</v>
      </c>
    </row>
    <row r="28" spans="1:18" x14ac:dyDescent="0.25">
      <c r="A28" t="str">
        <f>TableEOINARCH[[#This Row],[Study Package Code]]</f>
        <v>INAR4034</v>
      </c>
      <c r="B28" s="2">
        <f>TableEOINARCH[[#This Row],[Ver]]</f>
        <v>1</v>
      </c>
      <c r="C28" t="str">
        <f>IF(TableEOINARCH[[#This Row],[Ver]]&gt;0,_xlfn.TEXTBEFORE(TableEOINARCH[[#This Row],[Structure Line]]," "),"")</f>
        <v>BIA475</v>
      </c>
      <c r="D28" t="str">
        <f>IF(TableEOINARCH[[#This Row],[OUA Code]]&lt;&gt;"",_xlfn.TEXTAFTER(TableEOINARCH[[#This Row],[Structure Line]]," "),TableEOINARCH[[#This Row],[Structure Line]])</f>
        <v>Interior Architecture Honours Project</v>
      </c>
      <c r="E28" s="36">
        <f>TableEOINARCH[[#This Row],[Credit Points]]</f>
        <v>50</v>
      </c>
      <c r="F28">
        <v>26</v>
      </c>
      <c r="G28" t="s">
        <v>325</v>
      </c>
      <c r="H28" s="2">
        <v>4</v>
      </c>
      <c r="I28" t="s">
        <v>326</v>
      </c>
      <c r="J28" t="s">
        <v>135</v>
      </c>
      <c r="K28" s="45">
        <v>1</v>
      </c>
      <c r="L28" s="45" t="s">
        <v>351</v>
      </c>
      <c r="M28" s="45">
        <v>50</v>
      </c>
      <c r="N28" s="106">
        <v>45292</v>
      </c>
      <c r="O28" s="106"/>
      <c r="Q28" t="s">
        <v>135</v>
      </c>
      <c r="R28">
        <v>1</v>
      </c>
    </row>
    <row r="29" spans="1:18" x14ac:dyDescent="0.25">
      <c r="A29" t="str">
        <f>TableEOINARCH[[#This Row],[Study Package Code]]</f>
        <v>Specialisation</v>
      </c>
      <c r="B29" s="2">
        <f>TableEOINARCH[[#This Row],[Ver]]</f>
        <v>0</v>
      </c>
      <c r="C29" t="str">
        <f>IF(TableEOINARCH[[#This Row],[Ver]]&gt;0,_xlfn.TEXTBEFORE(TableEOINARCH[[#This Row],[Structure Line]]," "),"")</f>
        <v/>
      </c>
      <c r="D29" t="str">
        <f>IF(TableEOINARCH[[#This Row],[OUA Code]]&lt;&gt;"",_xlfn.TEXTAFTER(TableEOINARCH[[#This Row],[Structure Line]]," "),TableEOINARCH[[#This Row],[Structure Line]])</f>
        <v>Choose a Specialisation</v>
      </c>
      <c r="E29" s="36">
        <f>TableEOINARCH[[#This Row],[Credit Points]]</f>
        <v>100</v>
      </c>
      <c r="F29">
        <v>27</v>
      </c>
      <c r="G29" t="s">
        <v>352</v>
      </c>
      <c r="H29" s="2">
        <v>0</v>
      </c>
      <c r="I29" t="s">
        <v>326</v>
      </c>
      <c r="J29" t="s">
        <v>302</v>
      </c>
      <c r="K29" s="45">
        <v>0</v>
      </c>
      <c r="L29" s="45" t="s">
        <v>303</v>
      </c>
      <c r="M29" s="45">
        <v>100</v>
      </c>
      <c r="N29" s="106"/>
      <c r="O29" s="106"/>
      <c r="Q29" t="s">
        <v>302</v>
      </c>
      <c r="R29">
        <v>0</v>
      </c>
    </row>
    <row r="30" spans="1:18" x14ac:dyDescent="0.25">
      <c r="A30" t="str">
        <f>TableEOINARCH[[#This Row],[Study Package Code]]</f>
        <v>OSCU-ANGAD</v>
      </c>
      <c r="B30" s="2">
        <f>TableEOINARCH[[#This Row],[Ver]]</f>
        <v>2</v>
      </c>
      <c r="D30" t="str">
        <f>IF(TableEOINARCH[[#This Row],[OUA Code]]&lt;&gt;"",_xlfn.TEXTAFTER(TableEOINARCH[[#This Row],[Structure Line]]," "),TableEOINARCH[[#This Row],[Structure Line]])</f>
        <v>Animation and Game Architecture Design Specialisation (OpenUnis)</v>
      </c>
      <c r="E30" s="36">
        <f>TableEOINARCH[[#This Row],[Credit Points]]</f>
        <v>100</v>
      </c>
      <c r="F30">
        <v>27</v>
      </c>
      <c r="G30" t="s">
        <v>352</v>
      </c>
      <c r="H30" s="2">
        <v>0</v>
      </c>
      <c r="I30" t="s">
        <v>326</v>
      </c>
      <c r="J30" t="s">
        <v>66</v>
      </c>
      <c r="K30" s="45">
        <v>2</v>
      </c>
      <c r="L30" s="45" t="s">
        <v>65</v>
      </c>
      <c r="M30" s="45">
        <v>100</v>
      </c>
      <c r="N30" s="106">
        <v>46023</v>
      </c>
      <c r="O30" s="106"/>
      <c r="Q30" t="s">
        <v>66</v>
      </c>
      <c r="R30">
        <v>1</v>
      </c>
    </row>
    <row r="31" spans="1:18" x14ac:dyDescent="0.25">
      <c r="A31" t="str">
        <f>TableEOINARCH[[#This Row],[Study Package Code]]</f>
        <v>OSCU-CONMS</v>
      </c>
      <c r="B31" s="2">
        <f>TableEOINARCH[[#This Row],[Ver]]</f>
        <v>2</v>
      </c>
      <c r="D31" t="str">
        <f>IF(TableEOINARCH[[#This Row],[OUA Code]]&lt;&gt;"",_xlfn.TEXTAFTER(TableEOINARCH[[#This Row],[Structure Line]]," "),TableEOINARCH[[#This Row],[Structure Line]])</f>
        <v>Construction Management Specialisation (OpenUnis)</v>
      </c>
      <c r="E31" s="36">
        <f>TableEOINARCH[[#This Row],[Credit Points]]</f>
        <v>100</v>
      </c>
      <c r="F31">
        <v>27</v>
      </c>
      <c r="G31" t="s">
        <v>352</v>
      </c>
      <c r="H31" s="2">
        <v>0</v>
      </c>
      <c r="I31" t="s">
        <v>326</v>
      </c>
      <c r="J31" t="s">
        <v>71</v>
      </c>
      <c r="K31" s="45">
        <v>2</v>
      </c>
      <c r="L31" s="45" t="s">
        <v>70</v>
      </c>
      <c r="M31" s="45">
        <v>100</v>
      </c>
      <c r="N31" s="106">
        <v>45658</v>
      </c>
      <c r="O31" s="106"/>
      <c r="Q31" t="s">
        <v>71</v>
      </c>
      <c r="R31">
        <v>1</v>
      </c>
    </row>
    <row r="32" spans="1:18" x14ac:dyDescent="0.25">
      <c r="A32" t="str">
        <f>TableEOINARCH[[#This Row],[Study Package Code]]</f>
        <v>OSCU-DIGDE</v>
      </c>
      <c r="B32" s="2">
        <f>TableEOINARCH[[#This Row],[Ver]]</f>
        <v>2</v>
      </c>
      <c r="D32" t="str">
        <f>IF(TableEOINARCH[[#This Row],[OUA Code]]&lt;&gt;"",_xlfn.TEXTAFTER(TableEOINARCH[[#This Row],[Structure Line]]," "),TableEOINARCH[[#This Row],[Structure Line]])</f>
        <v>Digital Design Specialisation (OpenUnis)</v>
      </c>
      <c r="E32" s="36">
        <f>TableEOINARCH[[#This Row],[Credit Points]]</f>
        <v>100</v>
      </c>
      <c r="F32">
        <v>27</v>
      </c>
      <c r="G32" t="s">
        <v>352</v>
      </c>
      <c r="H32" s="2">
        <v>0</v>
      </c>
      <c r="I32" t="s">
        <v>326</v>
      </c>
      <c r="J32" t="s">
        <v>74</v>
      </c>
      <c r="K32" s="45">
        <v>2</v>
      </c>
      <c r="L32" s="45" t="s">
        <v>73</v>
      </c>
      <c r="M32" s="45">
        <v>100</v>
      </c>
      <c r="N32" s="106">
        <v>46023</v>
      </c>
      <c r="O32" s="106"/>
      <c r="Q32" t="s">
        <v>74</v>
      </c>
      <c r="R32">
        <v>1</v>
      </c>
    </row>
    <row r="33" spans="1:18" x14ac:dyDescent="0.25">
      <c r="A33" t="str">
        <f>TableEOINARCH[[#This Row],[Study Package Code]]</f>
        <v>OSCU-PLGEO</v>
      </c>
      <c r="B33" s="2">
        <f>TableEOINARCH[[#This Row],[Ver]]</f>
        <v>1</v>
      </c>
      <c r="D33" t="str">
        <f>IF(TableEOINARCH[[#This Row],[OUA Code]]&lt;&gt;"",_xlfn.TEXTAFTER(TableEOINARCH[[#This Row],[Structure Line]]," "),TableEOINARCH[[#This Row],[Structure Line]])</f>
        <v>Planning and Geography Specialisation (OpenUnis)</v>
      </c>
      <c r="E33" s="36">
        <f>TableEOINARCH[[#This Row],[Credit Points]]</f>
        <v>100</v>
      </c>
      <c r="F33">
        <v>27</v>
      </c>
      <c r="G33" t="s">
        <v>352</v>
      </c>
      <c r="H33" s="2">
        <v>0</v>
      </c>
      <c r="I33" t="s">
        <v>326</v>
      </c>
      <c r="J33" t="s">
        <v>76</v>
      </c>
      <c r="K33" s="45">
        <v>1</v>
      </c>
      <c r="L33" s="45" t="s">
        <v>75</v>
      </c>
      <c r="M33" s="45">
        <v>100</v>
      </c>
      <c r="N33" s="106">
        <v>44743</v>
      </c>
      <c r="O33" s="106"/>
      <c r="Q33" t="s">
        <v>76</v>
      </c>
      <c r="R33">
        <v>1</v>
      </c>
    </row>
    <row r="34" spans="1:18" x14ac:dyDescent="0.25">
      <c r="A34" t="str">
        <f>TableEOINARCH[[#This Row],[Study Package Code]]</f>
        <v>OSEU-ARCHT</v>
      </c>
      <c r="B34" s="2">
        <f>TableEOINARCH[[#This Row],[Ver]]</f>
        <v>1</v>
      </c>
      <c r="D34" t="str">
        <f>IF(TableEOINARCH[[#This Row],[OUA Code]]&lt;&gt;"",_xlfn.TEXTAFTER(TableEOINARCH[[#This Row],[Structure Line]]," "),TableEOINARCH[[#This Row],[Structure Line]])</f>
        <v>Architectural Technology Specialisation (OpenUnis)</v>
      </c>
      <c r="E34" s="36">
        <f>TableEOINARCH[[#This Row],[Credit Points]]</f>
        <v>100</v>
      </c>
      <c r="F34">
        <v>27</v>
      </c>
      <c r="G34" t="s">
        <v>352</v>
      </c>
      <c r="H34" s="2">
        <v>0</v>
      </c>
      <c r="I34" t="s">
        <v>326</v>
      </c>
      <c r="J34" t="s">
        <v>69</v>
      </c>
      <c r="K34" s="45">
        <v>1</v>
      </c>
      <c r="L34" s="45" t="s">
        <v>68</v>
      </c>
      <c r="M34" s="45">
        <v>100</v>
      </c>
      <c r="N34" s="106">
        <v>45292</v>
      </c>
      <c r="O34" s="106"/>
      <c r="Q34" t="s">
        <v>69</v>
      </c>
      <c r="R34">
        <v>1</v>
      </c>
    </row>
    <row r="35" spans="1:18" x14ac:dyDescent="0.25">
      <c r="B35"/>
      <c r="E35"/>
      <c r="F35" s="202"/>
      <c r="G35" s="205" t="s">
        <v>313</v>
      </c>
      <c r="H35" s="207">
        <v>45968</v>
      </c>
      <c r="I35" s="203"/>
      <c r="J35" s="203" t="s">
        <v>52</v>
      </c>
      <c r="K35" s="209">
        <v>2</v>
      </c>
      <c r="L35" s="203" t="s">
        <v>11</v>
      </c>
      <c r="M35" s="203"/>
      <c r="N35" s="210">
        <v>46023</v>
      </c>
      <c r="O35" s="206"/>
    </row>
    <row r="36" spans="1:18" x14ac:dyDescent="0.25">
      <c r="A36" t="s">
        <v>0</v>
      </c>
      <c r="B36" s="2" t="s">
        <v>314</v>
      </c>
      <c r="C36" t="s">
        <v>21</v>
      </c>
      <c r="D36" t="s">
        <v>3</v>
      </c>
      <c r="E36" s="36" t="s">
        <v>315</v>
      </c>
      <c r="F36" t="s">
        <v>316</v>
      </c>
      <c r="G36" t="s">
        <v>317</v>
      </c>
      <c r="H36" s="2" t="s">
        <v>318</v>
      </c>
      <c r="I36" t="s">
        <v>22</v>
      </c>
      <c r="J36" t="s">
        <v>319</v>
      </c>
      <c r="K36" t="s">
        <v>1</v>
      </c>
      <c r="L36" t="s">
        <v>320</v>
      </c>
      <c r="M36" t="s">
        <v>45</v>
      </c>
      <c r="N36" t="s">
        <v>321</v>
      </c>
      <c r="O36" t="s">
        <v>322</v>
      </c>
      <c r="Q36" t="s">
        <v>323</v>
      </c>
      <c r="R36" t="s">
        <v>324</v>
      </c>
    </row>
    <row r="37" spans="1:18" x14ac:dyDescent="0.25">
      <c r="A37" t="str">
        <f>TableEOINARCH1[[#This Row],[Study Package Code]]</f>
        <v>ENST1002</v>
      </c>
      <c r="B37" s="2">
        <f>TableEOINARCH1[[#This Row],[Ver]]</f>
        <v>1</v>
      </c>
      <c r="C37" t="str">
        <f>IF(TableEOINARCH1[[#This Row],[Ver]]&gt;0,_xlfn.TEXTBEFORE(TableEOINARCH1[[#This Row],[Structure Line]]," "),"")</f>
        <v>ENST1002</v>
      </c>
      <c r="D37" t="str">
        <f>IF(TableEOINARCH1[[#This Row],[OUA Code]]&lt;&gt;"",_xlfn.TEXTAFTER(TableEOINARCH1[[#This Row],[Structure Line]]," "),TableEOINARCH1[[#This Row],[Structure Line]])</f>
        <v>Sustainability Communication and Action</v>
      </c>
      <c r="E37" s="36">
        <f>TableEOINARCH1[[#This Row],[Credit Points]]</f>
        <v>25</v>
      </c>
      <c r="F37">
        <v>1</v>
      </c>
      <c r="G37" t="s">
        <v>325</v>
      </c>
      <c r="H37" s="2">
        <v>1</v>
      </c>
      <c r="I37" t="s">
        <v>326</v>
      </c>
      <c r="J37" t="s">
        <v>381</v>
      </c>
      <c r="K37" s="45">
        <v>1</v>
      </c>
      <c r="L37" s="45" t="s">
        <v>382</v>
      </c>
      <c r="M37" s="45">
        <v>25</v>
      </c>
      <c r="N37" s="106">
        <v>46023</v>
      </c>
      <c r="O37" s="106"/>
      <c r="Q37" t="s">
        <v>96</v>
      </c>
      <c r="R37">
        <v>1</v>
      </c>
    </row>
    <row r="38" spans="1:18" x14ac:dyDescent="0.25">
      <c r="A38" t="str">
        <f>TableEOINARCH1[[#This Row],[Study Package Code]]</f>
        <v>ARCH1020</v>
      </c>
      <c r="B38" s="2">
        <f>TableEOINARCH1[[#This Row],[Ver]]</f>
        <v>3</v>
      </c>
      <c r="C38" t="str">
        <f>IF(TableEOINARCH1[[#This Row],[Ver]]&gt;0,_xlfn.TEXTBEFORE(TableEOINARCH1[[#This Row],[Structure Line]]," "),"")</f>
        <v>BAS115</v>
      </c>
      <c r="D38" t="str">
        <f>IF(TableEOINARCH1[[#This Row],[OUA Code]]&lt;&gt;"",_xlfn.TEXTAFTER(TableEOINARCH1[[#This Row],[Structure Line]]," "),TableEOINARCH1[[#This Row],[Structure Line]])</f>
        <v>Architecture and Interior Architecture Methods 1A - Analogue Literacy</v>
      </c>
      <c r="E38" s="36">
        <f>TableEOINARCH1[[#This Row],[Credit Points]]</f>
        <v>25</v>
      </c>
      <c r="F38">
        <v>2</v>
      </c>
      <c r="G38" t="s">
        <v>325</v>
      </c>
      <c r="H38" s="2">
        <v>1</v>
      </c>
      <c r="I38" t="s">
        <v>326</v>
      </c>
      <c r="J38" t="s">
        <v>90</v>
      </c>
      <c r="K38" s="45">
        <v>3</v>
      </c>
      <c r="L38" s="45" t="s">
        <v>327</v>
      </c>
      <c r="M38" s="45">
        <v>25</v>
      </c>
      <c r="N38" s="106">
        <v>44562</v>
      </c>
      <c r="O38" s="106"/>
      <c r="Q38" t="s">
        <v>90</v>
      </c>
      <c r="R38">
        <v>3</v>
      </c>
    </row>
    <row r="39" spans="1:18" x14ac:dyDescent="0.25">
      <c r="A39" t="str">
        <f>TableEOINARCH1[[#This Row],[Study Package Code]]</f>
        <v>ARCH1024</v>
      </c>
      <c r="B39" s="2">
        <f>TableEOINARCH1[[#This Row],[Ver]]</f>
        <v>3</v>
      </c>
      <c r="C39" t="str">
        <f>IF(TableEOINARCH1[[#This Row],[Ver]]&gt;0,_xlfn.TEXTBEFORE(TableEOINARCH1[[#This Row],[Structure Line]]," "),"")</f>
        <v>BAS140</v>
      </c>
      <c r="D39" t="str">
        <f>IF(TableEOINARCH1[[#This Row],[OUA Code]]&lt;&gt;"",_xlfn.TEXTAFTER(TableEOINARCH1[[#This Row],[Structure Line]]," "),TableEOINARCH1[[#This Row],[Structure Line]])</f>
        <v>Architecture and Interior Architecture Design Studio 1 - Small Structures</v>
      </c>
      <c r="E39" s="36">
        <f>TableEOINARCH1[[#This Row],[Credit Points]]</f>
        <v>25</v>
      </c>
      <c r="F39">
        <v>3</v>
      </c>
      <c r="G39" t="s">
        <v>325</v>
      </c>
      <c r="H39" s="2">
        <v>1</v>
      </c>
      <c r="I39" t="s">
        <v>326</v>
      </c>
      <c r="J39" t="s">
        <v>99</v>
      </c>
      <c r="K39" s="45">
        <v>3</v>
      </c>
      <c r="L39" s="45" t="s">
        <v>328</v>
      </c>
      <c r="M39" s="45">
        <v>25</v>
      </c>
      <c r="N39" s="106">
        <v>44562</v>
      </c>
      <c r="O39" s="106"/>
      <c r="Q39" t="s">
        <v>99</v>
      </c>
      <c r="R39">
        <v>3</v>
      </c>
    </row>
    <row r="40" spans="1:18" x14ac:dyDescent="0.25">
      <c r="A40" t="str">
        <f>TableEOINARCH1[[#This Row],[Study Package Code]]</f>
        <v>ARCH1021</v>
      </c>
      <c r="B40" s="2">
        <f>TableEOINARCH1[[#This Row],[Ver]]</f>
        <v>3</v>
      </c>
      <c r="C40" t="str">
        <f>IF(TableEOINARCH1[[#This Row],[Ver]]&gt;0,_xlfn.TEXTBEFORE(TableEOINARCH1[[#This Row],[Structure Line]]," "),"")</f>
        <v>BAS145</v>
      </c>
      <c r="D40" t="str">
        <f>IF(TableEOINARCH1[[#This Row],[OUA Code]]&lt;&gt;"",_xlfn.TEXTAFTER(TableEOINARCH1[[#This Row],[Structure Line]]," "),TableEOINARCH1[[#This Row],[Structure Line]])</f>
        <v>Architecture and Interior Architecture Methods 1B - Digital Literacy</v>
      </c>
      <c r="E40" s="36">
        <f>TableEOINARCH1[[#This Row],[Credit Points]]</f>
        <v>25</v>
      </c>
      <c r="F40">
        <v>4</v>
      </c>
      <c r="G40" t="s">
        <v>325</v>
      </c>
      <c r="H40" s="2">
        <v>1</v>
      </c>
      <c r="I40" t="s">
        <v>326</v>
      </c>
      <c r="J40" t="s">
        <v>92</v>
      </c>
      <c r="K40" s="45">
        <v>3</v>
      </c>
      <c r="L40" s="45" t="s">
        <v>329</v>
      </c>
      <c r="M40" s="45">
        <v>25</v>
      </c>
      <c r="N40" s="106">
        <v>44562</v>
      </c>
      <c r="O40" s="106"/>
      <c r="Q40" t="s">
        <v>92</v>
      </c>
      <c r="R40">
        <v>3</v>
      </c>
    </row>
    <row r="41" spans="1:18" x14ac:dyDescent="0.25">
      <c r="A41" t="str">
        <f>TableEOINARCH1[[#This Row],[Study Package Code]]</f>
        <v>INAR1011</v>
      </c>
      <c r="B41" s="2">
        <f>TableEOINARCH1[[#This Row],[Ver]]</f>
        <v>4</v>
      </c>
      <c r="C41" t="str">
        <f>IF(TableEOINARCH1[[#This Row],[Ver]]&gt;0,_xlfn.TEXTBEFORE(TableEOINARCH1[[#This Row],[Structure Line]]," "),"")</f>
        <v>BIA140</v>
      </c>
      <c r="D41" t="str">
        <f>IF(TableEOINARCH1[[#This Row],[OUA Code]]&lt;&gt;"",_xlfn.TEXTAFTER(TableEOINARCH1[[#This Row],[Structure Line]]," "),TableEOINARCH1[[#This Row],[Structure Line]])</f>
        <v>Interior Architecture Studio - Foundation</v>
      </c>
      <c r="E41" s="36">
        <f>TableEOINARCH1[[#This Row],[Credit Points]]</f>
        <v>25</v>
      </c>
      <c r="F41">
        <v>5</v>
      </c>
      <c r="G41" t="s">
        <v>325</v>
      </c>
      <c r="H41" s="2">
        <v>1</v>
      </c>
      <c r="I41" t="s">
        <v>326</v>
      </c>
      <c r="J41" t="s">
        <v>97</v>
      </c>
      <c r="K41" s="45">
        <v>4</v>
      </c>
      <c r="L41" s="45" t="s">
        <v>330</v>
      </c>
      <c r="M41" s="45">
        <v>25</v>
      </c>
      <c r="N41" s="106">
        <v>45292</v>
      </c>
      <c r="O41" s="106"/>
      <c r="Q41" t="s">
        <v>97</v>
      </c>
      <c r="R41">
        <v>4</v>
      </c>
    </row>
    <row r="42" spans="1:18" x14ac:dyDescent="0.25">
      <c r="A42" t="str">
        <f>TableEOINARCH1[[#This Row],[Study Package Code]]</f>
        <v>INAR1015</v>
      </c>
      <c r="B42" s="2">
        <f>TableEOINARCH1[[#This Row],[Ver]]</f>
        <v>1</v>
      </c>
      <c r="C42" t="str">
        <f>IF(TableEOINARCH1[[#This Row],[Ver]]&gt;0,_xlfn.TEXTBEFORE(TableEOINARCH1[[#This Row],[Structure Line]]," "),"")</f>
        <v>BIA170</v>
      </c>
      <c r="D42" t="str">
        <f>IF(TableEOINARCH1[[#This Row],[OUA Code]]&lt;&gt;"",_xlfn.TEXTAFTER(TableEOINARCH1[[#This Row],[Structure Line]]," "),TableEOINARCH1[[#This Row],[Structure Line]])</f>
        <v>History of the Interior</v>
      </c>
      <c r="E42" s="36">
        <f>TableEOINARCH1[[#This Row],[Credit Points]]</f>
        <v>25</v>
      </c>
      <c r="F42">
        <v>6</v>
      </c>
      <c r="G42" t="s">
        <v>325</v>
      </c>
      <c r="H42" s="2">
        <v>1</v>
      </c>
      <c r="I42" t="s">
        <v>326</v>
      </c>
      <c r="J42" t="s">
        <v>94</v>
      </c>
      <c r="K42" s="45">
        <v>1</v>
      </c>
      <c r="L42" s="45" t="s">
        <v>331</v>
      </c>
      <c r="M42" s="45">
        <v>25</v>
      </c>
      <c r="N42" s="106">
        <v>43101</v>
      </c>
      <c r="O42" s="106"/>
      <c r="Q42" t="s">
        <v>94</v>
      </c>
      <c r="R42">
        <v>1</v>
      </c>
    </row>
    <row r="43" spans="1:18" x14ac:dyDescent="0.25">
      <c r="A43" t="str">
        <f>TableEOINARCH1[[#This Row],[Study Package Code]]</f>
        <v>ARCH2029</v>
      </c>
      <c r="B43" s="2">
        <f>TableEOINARCH1[[#This Row],[Ver]]</f>
        <v>3</v>
      </c>
      <c r="C43" t="str">
        <f>IF(TableEOINARCH1[[#This Row],[Ver]]&gt;0,_xlfn.TEXTBEFORE(TableEOINARCH1[[#This Row],[Structure Line]]," "),"")</f>
        <v>BAS200</v>
      </c>
      <c r="D43" t="str">
        <f>IF(TableEOINARCH1[[#This Row],[OUA Code]]&lt;&gt;"",_xlfn.TEXTAFTER(TableEOINARCH1[[#This Row],[Structure Line]]," "),TableEOINARCH1[[#This Row],[Structure Line]])</f>
        <v>Architecture and Interior Architecture Design Studio 2A - Residential Typology and Grammar</v>
      </c>
      <c r="E43" s="36">
        <f>TableEOINARCH1[[#This Row],[Credit Points]]</f>
        <v>25</v>
      </c>
      <c r="F43">
        <v>7</v>
      </c>
      <c r="G43" t="s">
        <v>325</v>
      </c>
      <c r="H43" s="2">
        <v>2</v>
      </c>
      <c r="I43" t="s">
        <v>326</v>
      </c>
      <c r="J43" t="s">
        <v>105</v>
      </c>
      <c r="K43" s="45">
        <v>3</v>
      </c>
      <c r="L43" s="45" t="s">
        <v>332</v>
      </c>
      <c r="M43" s="45">
        <v>25</v>
      </c>
      <c r="N43" s="106">
        <v>44562</v>
      </c>
      <c r="O43" s="106"/>
      <c r="Q43" t="s">
        <v>105</v>
      </c>
      <c r="R43">
        <v>3</v>
      </c>
    </row>
    <row r="44" spans="1:18" x14ac:dyDescent="0.25">
      <c r="A44" t="str">
        <f>TableEOINARCH1[[#This Row],[Study Package Code]]</f>
        <v>ARCH2027</v>
      </c>
      <c r="B44" s="2">
        <f>TableEOINARCH1[[#This Row],[Ver]]</f>
        <v>3</v>
      </c>
      <c r="C44" t="str">
        <f>IF(TableEOINARCH1[[#This Row],[Ver]]&gt;0,_xlfn.TEXTBEFORE(TableEOINARCH1[[#This Row],[Structure Line]]," "),"")</f>
        <v>BAS235</v>
      </c>
      <c r="D44" t="str">
        <f>IF(TableEOINARCH1[[#This Row],[OUA Code]]&lt;&gt;"",_xlfn.TEXTAFTER(TableEOINARCH1[[#This Row],[Structure Line]]," "),TableEOINARCH1[[#This Row],[Structure Line]])</f>
        <v>Architecture Methods 2B - Information Visualisation</v>
      </c>
      <c r="E44" s="36">
        <f>TableEOINARCH1[[#This Row],[Credit Points]]</f>
        <v>25</v>
      </c>
      <c r="F44">
        <v>8</v>
      </c>
      <c r="G44" t="s">
        <v>325</v>
      </c>
      <c r="H44" s="2">
        <v>2</v>
      </c>
      <c r="I44" t="s">
        <v>326</v>
      </c>
      <c r="J44" t="s">
        <v>110</v>
      </c>
      <c r="K44" s="45">
        <v>3</v>
      </c>
      <c r="L44" s="45" t="s">
        <v>333</v>
      </c>
      <c r="M44" s="45">
        <v>25</v>
      </c>
      <c r="N44" s="106">
        <v>44562</v>
      </c>
      <c r="O44" s="106"/>
      <c r="Q44" t="s">
        <v>110</v>
      </c>
      <c r="R44">
        <v>3</v>
      </c>
    </row>
    <row r="45" spans="1:18" x14ac:dyDescent="0.25">
      <c r="A45" t="str">
        <f>TableEOINARCH1[[#This Row],[Study Package Code]]</f>
        <v>INAR2020</v>
      </c>
      <c r="B45" s="2">
        <f>TableEOINARCH1[[#This Row],[Ver]]</f>
        <v>2</v>
      </c>
      <c r="C45" t="str">
        <f>IF(TableEOINARCH1[[#This Row],[Ver]]&gt;0,_xlfn.TEXTBEFORE(TableEOINARCH1[[#This Row],[Structure Line]]," "),"")</f>
        <v>BIA200</v>
      </c>
      <c r="D45" t="str">
        <f>IF(TableEOINARCH1[[#This Row],[OUA Code]]&lt;&gt;"",_xlfn.TEXTAFTER(TableEOINARCH1[[#This Row],[Structure Line]]," "),TableEOINARCH1[[#This Row],[Structure Line]])</f>
        <v>Interior Architecture Fundamentals</v>
      </c>
      <c r="E45" s="36">
        <f>TableEOINARCH1[[#This Row],[Credit Points]]</f>
        <v>25</v>
      </c>
      <c r="F45">
        <v>9</v>
      </c>
      <c r="G45" t="s">
        <v>325</v>
      </c>
      <c r="H45" s="2">
        <v>2</v>
      </c>
      <c r="I45" t="s">
        <v>326</v>
      </c>
      <c r="J45" t="s">
        <v>100</v>
      </c>
      <c r="K45" s="45">
        <v>2</v>
      </c>
      <c r="L45" s="45" t="s">
        <v>334</v>
      </c>
      <c r="M45" s="45">
        <v>25</v>
      </c>
      <c r="N45" s="106">
        <v>45292</v>
      </c>
      <c r="O45" s="106"/>
      <c r="Q45" t="s">
        <v>100</v>
      </c>
      <c r="R45">
        <v>2</v>
      </c>
    </row>
    <row r="46" spans="1:18" x14ac:dyDescent="0.25">
      <c r="A46" t="str">
        <f>TableEOINARCH1[[#This Row],[Study Package Code]]</f>
        <v>INAR2015</v>
      </c>
      <c r="B46" s="2">
        <f>TableEOINARCH1[[#This Row],[Ver]]</f>
        <v>4</v>
      </c>
      <c r="C46" t="str">
        <f>IF(TableEOINARCH1[[#This Row],[Ver]]&gt;0,_xlfn.TEXTBEFORE(TableEOINARCH1[[#This Row],[Structure Line]]," "),"")</f>
        <v>BIA250</v>
      </c>
      <c r="D46" t="str">
        <f>IF(TableEOINARCH1[[#This Row],[OUA Code]]&lt;&gt;"",_xlfn.TEXTAFTER(TableEOINARCH1[[#This Row],[Structure Line]]," "),TableEOINARCH1[[#This Row],[Structure Line]])</f>
        <v>Interior Architecture Studio – Community</v>
      </c>
      <c r="E46" s="36">
        <f>TableEOINARCH1[[#This Row],[Credit Points]]</f>
        <v>25</v>
      </c>
      <c r="F46">
        <v>10</v>
      </c>
      <c r="G46" t="s">
        <v>325</v>
      </c>
      <c r="H46" s="2">
        <v>2</v>
      </c>
      <c r="I46" t="s">
        <v>326</v>
      </c>
      <c r="J46" t="s">
        <v>108</v>
      </c>
      <c r="K46" s="45">
        <v>4</v>
      </c>
      <c r="L46" s="45" t="s">
        <v>335</v>
      </c>
      <c r="M46" s="45">
        <v>25</v>
      </c>
      <c r="N46" s="106">
        <v>45292</v>
      </c>
      <c r="O46" s="106"/>
      <c r="Q46" t="s">
        <v>108</v>
      </c>
      <c r="R46">
        <v>4</v>
      </c>
    </row>
    <row r="47" spans="1:18" x14ac:dyDescent="0.25">
      <c r="A47" t="str">
        <f>TableEOINARCH1[[#This Row],[Study Package Code]]</f>
        <v>INAR2023</v>
      </c>
      <c r="B47" s="2">
        <f>TableEOINARCH1[[#This Row],[Ver]]</f>
        <v>1</v>
      </c>
      <c r="C47" t="str">
        <f>IF(TableEOINARCH1[[#This Row],[Ver]]&gt;0,_xlfn.TEXTBEFORE(TableEOINARCH1[[#This Row],[Structure Line]]," "),"")</f>
        <v>BIA280</v>
      </c>
      <c r="D47" t="str">
        <f>IF(TableEOINARCH1[[#This Row],[OUA Code]]&lt;&gt;"",_xlfn.TEXTAFTER(TableEOINARCH1[[#This Row],[Structure Line]]," "),TableEOINARCH1[[#This Row],[Structure Line]])</f>
        <v>Philosophy and Practice</v>
      </c>
      <c r="E47" s="36">
        <f>TableEOINARCH1[[#This Row],[Credit Points]]</f>
        <v>25</v>
      </c>
      <c r="F47">
        <v>11</v>
      </c>
      <c r="G47" t="s">
        <v>325</v>
      </c>
      <c r="H47" s="2">
        <v>2</v>
      </c>
      <c r="I47" t="s">
        <v>326</v>
      </c>
      <c r="J47" t="s">
        <v>102</v>
      </c>
      <c r="K47" s="45">
        <v>1</v>
      </c>
      <c r="L47" s="45" t="s">
        <v>336</v>
      </c>
      <c r="M47" s="45">
        <v>25</v>
      </c>
      <c r="N47" s="106">
        <v>44562</v>
      </c>
      <c r="O47" s="106"/>
      <c r="Q47" t="s">
        <v>102</v>
      </c>
      <c r="R47">
        <v>1</v>
      </c>
    </row>
    <row r="48" spans="1:18" x14ac:dyDescent="0.25">
      <c r="A48" t="str">
        <f>TableEOINARCH1[[#This Row],[Study Package Code]]</f>
        <v>GRDE2045</v>
      </c>
      <c r="B48" s="2">
        <f>TableEOINARCH1[[#This Row],[Ver]]</f>
        <v>1</v>
      </c>
      <c r="C48" t="str">
        <f>IF(TableEOINARCH1[[#This Row],[Ver]]&gt;0,_xlfn.TEXTBEFORE(TableEOINARCH1[[#This Row],[Structure Line]]," "),"")</f>
        <v>DSN200</v>
      </c>
      <c r="D48" t="str">
        <f>IF(TableEOINARCH1[[#This Row],[OUA Code]]&lt;&gt;"",_xlfn.TEXTAFTER(TableEOINARCH1[[#This Row],[Structure Line]]," "),TableEOINARCH1[[#This Row],[Structure Line]])</f>
        <v>3D Modelling and Digital Fabrication</v>
      </c>
      <c r="E48" s="36">
        <f>TableEOINARCH1[[#This Row],[Credit Points]]</f>
        <v>25</v>
      </c>
      <c r="F48">
        <v>12</v>
      </c>
      <c r="G48" t="s">
        <v>325</v>
      </c>
      <c r="H48" s="2">
        <v>2</v>
      </c>
      <c r="I48" t="s">
        <v>326</v>
      </c>
      <c r="J48" t="s">
        <v>101</v>
      </c>
      <c r="K48" s="45">
        <v>1</v>
      </c>
      <c r="L48" s="45" t="s">
        <v>337</v>
      </c>
      <c r="M48" s="45">
        <v>25</v>
      </c>
      <c r="N48" s="106">
        <v>45292</v>
      </c>
      <c r="O48" s="106"/>
      <c r="Q48" t="s">
        <v>101</v>
      </c>
      <c r="R48">
        <v>1</v>
      </c>
    </row>
    <row r="49" spans="1:18" x14ac:dyDescent="0.25">
      <c r="A49" t="str">
        <f>TableEOINARCH1[[#This Row],[Study Package Code]]</f>
        <v>ARCH3015</v>
      </c>
      <c r="B49" s="2">
        <f>TableEOINARCH1[[#This Row],[Ver]]</f>
        <v>4</v>
      </c>
      <c r="C49" t="str">
        <f>IF(TableEOINARCH1[[#This Row],[Ver]]&gt;0,_xlfn.TEXTBEFORE(TableEOINARCH1[[#This Row],[Structure Line]]," "),"")</f>
        <v>BAS310</v>
      </c>
      <c r="D49" t="str">
        <f>IF(TableEOINARCH1[[#This Row],[OUA Code]]&lt;&gt;"",_xlfn.TEXTAFTER(TableEOINARCH1[[#This Row],[Structure Line]]," "),TableEOINARCH1[[#This Row],[Structure Line]])</f>
        <v>Environmental and Building Systems in Architecture</v>
      </c>
      <c r="E49" s="36">
        <f>TableEOINARCH1[[#This Row],[Credit Points]]</f>
        <v>25</v>
      </c>
      <c r="F49">
        <v>13</v>
      </c>
      <c r="G49" t="s">
        <v>325</v>
      </c>
      <c r="H49" s="2">
        <v>3</v>
      </c>
      <c r="I49" t="s">
        <v>326</v>
      </c>
      <c r="J49" t="s">
        <v>113</v>
      </c>
      <c r="K49" s="45">
        <v>4</v>
      </c>
      <c r="L49" s="45" t="s">
        <v>338</v>
      </c>
      <c r="M49" s="45">
        <v>25</v>
      </c>
      <c r="N49" s="106">
        <v>44562</v>
      </c>
      <c r="O49" s="106"/>
      <c r="Q49" t="s">
        <v>113</v>
      </c>
      <c r="R49">
        <v>4</v>
      </c>
    </row>
    <row r="50" spans="1:18" x14ac:dyDescent="0.25">
      <c r="A50" t="str">
        <f>TableEOINARCH1[[#This Row],[Study Package Code]]</f>
        <v>INAR2025</v>
      </c>
      <c r="B50" s="2">
        <f>TableEOINARCH1[[#This Row],[Ver]]</f>
        <v>1</v>
      </c>
      <c r="C50" t="str">
        <f>IF(TableEOINARCH1[[#This Row],[Ver]]&gt;0,_xlfn.TEXTBEFORE(TableEOINARCH1[[#This Row],[Structure Line]]," "),"")</f>
        <v>BIA290</v>
      </c>
      <c r="D50" t="str">
        <f>IF(TableEOINARCH1[[#This Row],[OUA Code]]&lt;&gt;"",_xlfn.TEXTAFTER(TableEOINARCH1[[#This Row],[Structure Line]]," "),TableEOINARCH1[[#This Row],[Structure Line]])</f>
        <v>Design Fabrication</v>
      </c>
      <c r="E50" s="36">
        <f>TableEOINARCH1[[#This Row],[Credit Points]]</f>
        <v>25</v>
      </c>
      <c r="F50">
        <v>14</v>
      </c>
      <c r="G50" t="s">
        <v>325</v>
      </c>
      <c r="H50" s="2">
        <v>3</v>
      </c>
      <c r="I50" t="s">
        <v>326</v>
      </c>
      <c r="J50" t="s">
        <v>121</v>
      </c>
      <c r="K50" s="45">
        <v>1</v>
      </c>
      <c r="L50" s="45" t="s">
        <v>339</v>
      </c>
      <c r="M50" s="45">
        <v>25</v>
      </c>
      <c r="N50" s="106">
        <v>45292</v>
      </c>
      <c r="O50" s="106"/>
      <c r="Q50" t="s">
        <v>121</v>
      </c>
      <c r="R50">
        <v>1</v>
      </c>
    </row>
    <row r="51" spans="1:18" x14ac:dyDescent="0.25">
      <c r="A51" t="str">
        <f>TableEOINARCH1[[#This Row],[Study Package Code]]</f>
        <v>INAR3012</v>
      </c>
      <c r="B51" s="2">
        <f>TableEOINARCH1[[#This Row],[Ver]]</f>
        <v>4</v>
      </c>
      <c r="C51" t="str">
        <f>IF(TableEOINARCH1[[#This Row],[Ver]]&gt;0,_xlfn.TEXTBEFORE(TableEOINARCH1[[#This Row],[Structure Line]]," "),"")</f>
        <v>BIA300</v>
      </c>
      <c r="D51" t="str">
        <f>IF(TableEOINARCH1[[#This Row],[OUA Code]]&lt;&gt;"",_xlfn.TEXTAFTER(TableEOINARCH1[[#This Row],[Structure Line]]," "),TableEOINARCH1[[#This Row],[Structure Line]])</f>
        <v>Interior Architecture Studio - Well-being</v>
      </c>
      <c r="E51" s="36">
        <f>TableEOINARCH1[[#This Row],[Credit Points]]</f>
        <v>25</v>
      </c>
      <c r="F51">
        <v>15</v>
      </c>
      <c r="G51" t="s">
        <v>325</v>
      </c>
      <c r="H51" s="2">
        <v>3</v>
      </c>
      <c r="I51" t="s">
        <v>326</v>
      </c>
      <c r="J51" t="s">
        <v>117</v>
      </c>
      <c r="K51" s="45">
        <v>4</v>
      </c>
      <c r="L51" s="45" t="s">
        <v>340</v>
      </c>
      <c r="M51" s="45">
        <v>25</v>
      </c>
      <c r="N51" s="106">
        <v>45383</v>
      </c>
      <c r="O51" s="106"/>
      <c r="Q51" t="s">
        <v>117</v>
      </c>
      <c r="R51">
        <v>4</v>
      </c>
    </row>
    <row r="52" spans="1:18" x14ac:dyDescent="0.25">
      <c r="A52" t="str">
        <f>TableEOINARCH1[[#This Row],[Study Package Code]]</f>
        <v>INAR3023</v>
      </c>
      <c r="B52" s="2">
        <f>TableEOINARCH1[[#This Row],[Ver]]</f>
        <v>1</v>
      </c>
      <c r="C52" t="str">
        <f>IF(TableEOINARCH1[[#This Row],[Ver]]&gt;0,_xlfn.TEXTBEFORE(TableEOINARCH1[[#This Row],[Structure Line]]," "),"")</f>
        <v>BIA305</v>
      </c>
      <c r="D52" t="str">
        <f>IF(TableEOINARCH1[[#This Row],[OUA Code]]&lt;&gt;"",_xlfn.TEXTAFTER(TableEOINARCH1[[#This Row],[Structure Line]]," "),TableEOINARCH1[[#This Row],[Structure Line]])</f>
        <v>Interior Architecture Practice 1</v>
      </c>
      <c r="E52" s="36">
        <f>TableEOINARCH1[[#This Row],[Credit Points]]</f>
        <v>25</v>
      </c>
      <c r="F52">
        <v>16</v>
      </c>
      <c r="G52" t="s">
        <v>325</v>
      </c>
      <c r="H52" s="2">
        <v>3</v>
      </c>
      <c r="I52" t="s">
        <v>326</v>
      </c>
      <c r="J52" t="s">
        <v>112</v>
      </c>
      <c r="K52" s="45">
        <v>1</v>
      </c>
      <c r="L52" s="45" t="s">
        <v>341</v>
      </c>
      <c r="M52" s="45">
        <v>25</v>
      </c>
      <c r="N52" s="106">
        <v>45292</v>
      </c>
      <c r="O52" s="106"/>
      <c r="Q52" t="s">
        <v>112</v>
      </c>
      <c r="R52">
        <v>1</v>
      </c>
    </row>
    <row r="53" spans="1:18" x14ac:dyDescent="0.25">
      <c r="A53" t="str">
        <f>TableEOINARCH1[[#This Row],[Study Package Code]]</f>
        <v>INAR3025</v>
      </c>
      <c r="B53" s="2">
        <f>TableEOINARCH1[[#This Row],[Ver]]</f>
        <v>1</v>
      </c>
      <c r="C53" t="str">
        <f>IF(TableEOINARCH1[[#This Row],[Ver]]&gt;0,_xlfn.TEXTBEFORE(TableEOINARCH1[[#This Row],[Structure Line]]," "),"")</f>
        <v>BIA315</v>
      </c>
      <c r="D53" t="str">
        <f>IF(TableEOINARCH1[[#This Row],[OUA Code]]&lt;&gt;"",_xlfn.TEXTAFTER(TableEOINARCH1[[#This Row],[Structure Line]]," "),TableEOINARCH1[[#This Row],[Structure Line]])</f>
        <v>Interior Architecture Practice 2</v>
      </c>
      <c r="E53" s="36">
        <f>TableEOINARCH1[[#This Row],[Credit Points]]</f>
        <v>25</v>
      </c>
      <c r="F53">
        <v>17</v>
      </c>
      <c r="G53" t="s">
        <v>325</v>
      </c>
      <c r="H53" s="2">
        <v>3</v>
      </c>
      <c r="I53" t="s">
        <v>326</v>
      </c>
      <c r="J53" t="s">
        <v>114</v>
      </c>
      <c r="K53" s="45">
        <v>1</v>
      </c>
      <c r="L53" s="45" t="s">
        <v>342</v>
      </c>
      <c r="M53" s="45">
        <v>25</v>
      </c>
      <c r="N53" s="106">
        <v>45292</v>
      </c>
      <c r="O53" s="106"/>
      <c r="Q53" t="s">
        <v>114</v>
      </c>
      <c r="R53">
        <v>1</v>
      </c>
    </row>
    <row r="54" spans="1:18" x14ac:dyDescent="0.25">
      <c r="A54" t="str">
        <f>TableEOINARCH1[[#This Row],[Study Package Code]]</f>
        <v>INAR3017</v>
      </c>
      <c r="B54" s="2">
        <f>TableEOINARCH1[[#This Row],[Ver]]</f>
        <v>3</v>
      </c>
      <c r="C54" t="str">
        <f>IF(TableEOINARCH1[[#This Row],[Ver]]&gt;0,_xlfn.TEXTBEFORE(TableEOINARCH1[[#This Row],[Structure Line]]," "),"")</f>
        <v>BIA360</v>
      </c>
      <c r="D54" t="str">
        <f>IF(TableEOINARCH1[[#This Row],[OUA Code]]&lt;&gt;"",_xlfn.TEXTAFTER(TableEOINARCH1[[#This Row],[Structure Line]]," "),TableEOINARCH1[[#This Row],[Structure Line]])</f>
        <v>Interior Architecture Studio - Workplace</v>
      </c>
      <c r="E54" s="36">
        <f>TableEOINARCH1[[#This Row],[Credit Points]]</f>
        <v>25</v>
      </c>
      <c r="F54">
        <v>18</v>
      </c>
      <c r="G54" t="s">
        <v>325</v>
      </c>
      <c r="H54" s="2">
        <v>3</v>
      </c>
      <c r="I54" t="s">
        <v>326</v>
      </c>
      <c r="J54" t="s">
        <v>124</v>
      </c>
      <c r="K54" s="45">
        <v>3</v>
      </c>
      <c r="L54" s="45" t="s">
        <v>343</v>
      </c>
      <c r="M54" s="45">
        <v>25</v>
      </c>
      <c r="N54" s="106">
        <v>45292</v>
      </c>
      <c r="O54" s="106"/>
      <c r="Q54" t="s">
        <v>124</v>
      </c>
      <c r="R54">
        <v>3</v>
      </c>
    </row>
    <row r="55" spans="1:18" x14ac:dyDescent="0.25">
      <c r="A55" t="str">
        <f>TableEOINARCH1[[#This Row],[Study Package Code]]</f>
        <v>INAR3021</v>
      </c>
      <c r="B55" s="2">
        <f>TableEOINARCH1[[#This Row],[Ver]]</f>
        <v>1</v>
      </c>
      <c r="C55" t="str">
        <f>IF(TableEOINARCH1[[#This Row],[Ver]]&gt;0,_xlfn.TEXTBEFORE(TableEOINARCH1[[#This Row],[Structure Line]]," "),"")</f>
        <v>BIA390</v>
      </c>
      <c r="D55" t="str">
        <f>IF(TableEOINARCH1[[#This Row],[OUA Code]]&lt;&gt;"",_xlfn.TEXTAFTER(TableEOINARCH1[[#This Row],[Structure Line]]," "),TableEOINARCH1[[#This Row],[Structure Line]])</f>
        <v>Furniture Design</v>
      </c>
      <c r="E55" s="36">
        <f>TableEOINARCH1[[#This Row],[Credit Points]]</f>
        <v>25</v>
      </c>
      <c r="F55">
        <v>19</v>
      </c>
      <c r="G55" t="s">
        <v>325</v>
      </c>
      <c r="H55" s="2">
        <v>3</v>
      </c>
      <c r="I55" t="s">
        <v>326</v>
      </c>
      <c r="J55" t="s">
        <v>123</v>
      </c>
      <c r="K55" s="45">
        <v>1</v>
      </c>
      <c r="L55" s="45" t="s">
        <v>344</v>
      </c>
      <c r="M55" s="45">
        <v>25</v>
      </c>
      <c r="N55" s="106">
        <v>45292</v>
      </c>
      <c r="O55" s="106"/>
      <c r="Q55" t="s">
        <v>123</v>
      </c>
      <c r="R55">
        <v>1</v>
      </c>
    </row>
    <row r="56" spans="1:18" x14ac:dyDescent="0.25">
      <c r="A56" t="str">
        <f>TableEOINARCH1[[#This Row],[Study Package Code]]</f>
        <v>URDE3011</v>
      </c>
      <c r="B56" s="2">
        <f>TableEOINARCH1[[#This Row],[Ver]]</f>
        <v>1</v>
      </c>
      <c r="C56" t="str">
        <f>IF(TableEOINARCH1[[#This Row],[Ver]]&gt;0,_xlfn.TEXTBEFORE(TableEOINARCH1[[#This Row],[Structure Line]]," "),"")</f>
        <v>DBE300</v>
      </c>
      <c r="D56" t="str">
        <f>IF(TableEOINARCH1[[#This Row],[OUA Code]]&lt;&gt;"",_xlfn.TEXTAFTER(TableEOINARCH1[[#This Row],[Structure Line]]," "),TableEOINARCH1[[#This Row],[Structure Line]])</f>
        <v>Design and Built Environment Research Methods</v>
      </c>
      <c r="E56" s="36">
        <f>TableEOINARCH1[[#This Row],[Credit Points]]</f>
        <v>25</v>
      </c>
      <c r="F56">
        <v>20</v>
      </c>
      <c r="G56" t="s">
        <v>325</v>
      </c>
      <c r="H56" s="2">
        <v>3</v>
      </c>
      <c r="I56" t="s">
        <v>326</v>
      </c>
      <c r="J56" t="s">
        <v>119</v>
      </c>
      <c r="K56" s="45">
        <v>1</v>
      </c>
      <c r="L56" s="45" t="s">
        <v>345</v>
      </c>
      <c r="M56" s="45">
        <v>25</v>
      </c>
      <c r="N56" s="106">
        <v>44562</v>
      </c>
      <c r="O56" s="106"/>
      <c r="Q56" t="s">
        <v>119</v>
      </c>
      <c r="R56">
        <v>1</v>
      </c>
    </row>
    <row r="57" spans="1:18" x14ac:dyDescent="0.25">
      <c r="A57" t="str">
        <f>TableEOINARCH1[[#This Row],[Study Package Code]]</f>
        <v>INAR4024</v>
      </c>
      <c r="B57" s="2">
        <f>TableEOINARCH1[[#This Row],[Ver]]</f>
        <v>1</v>
      </c>
      <c r="C57" t="str">
        <f>IF(TableEOINARCH1[[#This Row],[Ver]]&gt;0,_xlfn.TEXTBEFORE(TableEOINARCH1[[#This Row],[Structure Line]]," "),"")</f>
        <v>BIA415</v>
      </c>
      <c r="D57" t="str">
        <f>IF(TableEOINARCH1[[#This Row],[OUA Code]]&lt;&gt;"",_xlfn.TEXTAFTER(TableEOINARCH1[[#This Row],[Structure Line]]," "),TableEOINARCH1[[#This Row],[Structure Line]])</f>
        <v>Adaptive Reuse and Heritage</v>
      </c>
      <c r="E57" s="36">
        <f>TableEOINARCH1[[#This Row],[Credit Points]]</f>
        <v>25</v>
      </c>
      <c r="F57">
        <v>21</v>
      </c>
      <c r="G57" t="s">
        <v>325</v>
      </c>
      <c r="H57" s="2">
        <v>4</v>
      </c>
      <c r="I57" t="s">
        <v>326</v>
      </c>
      <c r="J57" t="s">
        <v>128</v>
      </c>
      <c r="K57" s="45">
        <v>1</v>
      </c>
      <c r="L57" s="45" t="s">
        <v>346</v>
      </c>
      <c r="M57" s="45">
        <v>25</v>
      </c>
      <c r="N57" s="106">
        <v>45292</v>
      </c>
      <c r="O57" s="106"/>
      <c r="Q57" t="s">
        <v>128</v>
      </c>
      <c r="R57">
        <v>1</v>
      </c>
    </row>
    <row r="58" spans="1:18" x14ac:dyDescent="0.25">
      <c r="A58" t="str">
        <f>TableEOINARCH1[[#This Row],[Study Package Code]]</f>
        <v>INAR4026</v>
      </c>
      <c r="B58" s="2">
        <f>TableEOINARCH1[[#This Row],[Ver]]</f>
        <v>1</v>
      </c>
      <c r="C58" t="str">
        <f>IF(TableEOINARCH1[[#This Row],[Ver]]&gt;0,_xlfn.TEXTBEFORE(TableEOINARCH1[[#This Row],[Structure Line]]," "),"")</f>
        <v>BIA425</v>
      </c>
      <c r="D58" t="str">
        <f>IF(TableEOINARCH1[[#This Row],[OUA Code]]&lt;&gt;"",_xlfn.TEXTAFTER(TableEOINARCH1[[#This Row],[Structure Line]]," "),TableEOINARCH1[[#This Row],[Structure Line]])</f>
        <v>Design for Indoor Comfort</v>
      </c>
      <c r="E58" s="36">
        <f>TableEOINARCH1[[#This Row],[Credit Points]]</f>
        <v>25</v>
      </c>
      <c r="F58">
        <v>22</v>
      </c>
      <c r="G58" t="s">
        <v>325</v>
      </c>
      <c r="H58" s="2">
        <v>4</v>
      </c>
      <c r="I58" t="s">
        <v>326</v>
      </c>
      <c r="J58" t="s">
        <v>131</v>
      </c>
      <c r="K58" s="45">
        <v>1</v>
      </c>
      <c r="L58" s="45" t="s">
        <v>347</v>
      </c>
      <c r="M58" s="45">
        <v>25</v>
      </c>
      <c r="N58" s="106">
        <v>45292</v>
      </c>
      <c r="O58" s="106"/>
      <c r="Q58" t="s">
        <v>131</v>
      </c>
      <c r="R58">
        <v>1</v>
      </c>
    </row>
    <row r="59" spans="1:18" x14ac:dyDescent="0.25">
      <c r="A59" t="str">
        <f>TableEOINARCH1[[#This Row],[Study Package Code]]</f>
        <v>INAR4028</v>
      </c>
      <c r="B59" s="2">
        <f>TableEOINARCH1[[#This Row],[Ver]]</f>
        <v>1</v>
      </c>
      <c r="C59" t="str">
        <f>IF(TableEOINARCH1[[#This Row],[Ver]]&gt;0,_xlfn.TEXTBEFORE(TableEOINARCH1[[#This Row],[Structure Line]]," "),"")</f>
        <v>BIA435</v>
      </c>
      <c r="D59" t="str">
        <f>IF(TableEOINARCH1[[#This Row],[OUA Code]]&lt;&gt;"",_xlfn.TEXTAFTER(TableEOINARCH1[[#This Row],[Structure Line]]," "),TableEOINARCH1[[#This Row],[Structure Line]])</f>
        <v>Interior Lighting Design</v>
      </c>
      <c r="E59" s="36">
        <f>TableEOINARCH1[[#This Row],[Credit Points]]</f>
        <v>25</v>
      </c>
      <c r="F59">
        <v>23</v>
      </c>
      <c r="G59" t="s">
        <v>325</v>
      </c>
      <c r="H59" s="2">
        <v>4</v>
      </c>
      <c r="I59" t="s">
        <v>326</v>
      </c>
      <c r="J59" t="s">
        <v>133</v>
      </c>
      <c r="K59" s="45">
        <v>1</v>
      </c>
      <c r="L59" s="45" t="s">
        <v>348</v>
      </c>
      <c r="M59" s="45">
        <v>25</v>
      </c>
      <c r="N59" s="106">
        <v>45292</v>
      </c>
      <c r="O59" s="106"/>
      <c r="Q59" t="s">
        <v>133</v>
      </c>
      <c r="R59">
        <v>1</v>
      </c>
    </row>
    <row r="60" spans="1:18" x14ac:dyDescent="0.25">
      <c r="A60" t="str">
        <f>TableEOINARCH1[[#This Row],[Study Package Code]]</f>
        <v>INAR4030</v>
      </c>
      <c r="B60" s="2">
        <f>TableEOINARCH1[[#This Row],[Ver]]</f>
        <v>1</v>
      </c>
      <c r="C60" t="str">
        <f>IF(TableEOINARCH1[[#This Row],[Ver]]&gt;0,_xlfn.TEXTBEFORE(TableEOINARCH1[[#This Row],[Structure Line]]," "),"")</f>
        <v>BIA445</v>
      </c>
      <c r="D60" t="str">
        <f>IF(TableEOINARCH1[[#This Row],[OUA Code]]&lt;&gt;"",_xlfn.TEXTAFTER(TableEOINARCH1[[#This Row],[Structure Line]]," "),TableEOINARCH1[[#This Row],[Structure Line]])</f>
        <v>Sustainable Future and the Built Environment</v>
      </c>
      <c r="E60" s="36">
        <f>TableEOINARCH1[[#This Row],[Credit Points]]</f>
        <v>25</v>
      </c>
      <c r="F60">
        <v>24</v>
      </c>
      <c r="G60" t="s">
        <v>325</v>
      </c>
      <c r="H60" s="2">
        <v>4</v>
      </c>
      <c r="I60" t="s">
        <v>326</v>
      </c>
      <c r="J60" t="s">
        <v>134</v>
      </c>
      <c r="K60" s="45">
        <v>1</v>
      </c>
      <c r="L60" s="45" t="s">
        <v>349</v>
      </c>
      <c r="M60" s="45">
        <v>25</v>
      </c>
      <c r="N60" s="106">
        <v>45292</v>
      </c>
      <c r="O60" s="106"/>
      <c r="Q60" t="s">
        <v>134</v>
      </c>
      <c r="R60">
        <v>1</v>
      </c>
    </row>
    <row r="61" spans="1:18" x14ac:dyDescent="0.25">
      <c r="A61" t="str">
        <f>TableEOINARCH1[[#This Row],[Study Package Code]]</f>
        <v>INAR4032</v>
      </c>
      <c r="B61" s="2">
        <f>TableEOINARCH1[[#This Row],[Ver]]</f>
        <v>1</v>
      </c>
      <c r="C61" t="str">
        <f>IF(TableEOINARCH1[[#This Row],[Ver]]&gt;0,_xlfn.TEXTBEFORE(TableEOINARCH1[[#This Row],[Structure Line]]," "),"")</f>
        <v>BIA455</v>
      </c>
      <c r="D61" t="str">
        <f>IF(TableEOINARCH1[[#This Row],[OUA Code]]&lt;&gt;"",_xlfn.TEXTAFTER(TableEOINARCH1[[#This Row],[Structure Line]]," "),TableEOINARCH1[[#This Row],[Structure Line]])</f>
        <v>Interior Architecture Honours Proposal</v>
      </c>
      <c r="E61" s="36">
        <f>TableEOINARCH1[[#This Row],[Credit Points]]</f>
        <v>50</v>
      </c>
      <c r="F61">
        <v>25</v>
      </c>
      <c r="G61" t="s">
        <v>325</v>
      </c>
      <c r="H61" s="2">
        <v>4</v>
      </c>
      <c r="I61" t="s">
        <v>326</v>
      </c>
      <c r="J61" t="s">
        <v>126</v>
      </c>
      <c r="K61" s="45">
        <v>1</v>
      </c>
      <c r="L61" s="45" t="s">
        <v>350</v>
      </c>
      <c r="M61" s="45">
        <v>50</v>
      </c>
      <c r="N61" s="106">
        <v>45292</v>
      </c>
      <c r="O61" s="106"/>
      <c r="Q61" t="s">
        <v>126</v>
      </c>
      <c r="R61">
        <v>1</v>
      </c>
    </row>
    <row r="62" spans="1:18" x14ac:dyDescent="0.25">
      <c r="A62" t="str">
        <f>TableEOINARCH1[[#This Row],[Study Package Code]]</f>
        <v>INAR4034</v>
      </c>
      <c r="B62" s="2">
        <f>TableEOINARCH1[[#This Row],[Ver]]</f>
        <v>1</v>
      </c>
      <c r="C62" t="str">
        <f>IF(TableEOINARCH1[[#This Row],[Ver]]&gt;0,_xlfn.TEXTBEFORE(TableEOINARCH1[[#This Row],[Structure Line]]," "),"")</f>
        <v>BIA475</v>
      </c>
      <c r="D62" t="str">
        <f>IF(TableEOINARCH1[[#This Row],[OUA Code]]&lt;&gt;"",_xlfn.TEXTAFTER(TableEOINARCH1[[#This Row],[Structure Line]]," "),TableEOINARCH1[[#This Row],[Structure Line]])</f>
        <v>Interior Architecture Honours Project</v>
      </c>
      <c r="E62" s="36">
        <f>TableEOINARCH1[[#This Row],[Credit Points]]</f>
        <v>50</v>
      </c>
      <c r="F62">
        <v>26</v>
      </c>
      <c r="G62" t="s">
        <v>325</v>
      </c>
      <c r="H62" s="2">
        <v>4</v>
      </c>
      <c r="I62" t="s">
        <v>326</v>
      </c>
      <c r="J62" t="s">
        <v>135</v>
      </c>
      <c r="K62" s="45">
        <v>1</v>
      </c>
      <c r="L62" s="45" t="s">
        <v>351</v>
      </c>
      <c r="M62" s="45">
        <v>50</v>
      </c>
      <c r="N62" s="106">
        <v>45292</v>
      </c>
      <c r="O62" s="106"/>
      <c r="Q62" t="s">
        <v>135</v>
      </c>
      <c r="R62">
        <v>1</v>
      </c>
    </row>
    <row r="63" spans="1:18" x14ac:dyDescent="0.25">
      <c r="A63" t="str">
        <f>TableEOINARCH1[[#This Row],[Study Package Code]]</f>
        <v>Specialisation</v>
      </c>
      <c r="B63" s="2">
        <f>TableEOINARCH1[[#This Row],[Ver]]</f>
        <v>0</v>
      </c>
      <c r="C63" t="str">
        <f>IF(TableEOINARCH1[[#This Row],[Ver]]&gt;0,_xlfn.TEXTBEFORE(TableEOINARCH1[[#This Row],[Structure Line]]," "),"")</f>
        <v/>
      </c>
      <c r="D63" t="str">
        <f>IF(TableEOINARCH1[[#This Row],[OUA Code]]&lt;&gt;"",_xlfn.TEXTAFTER(TableEOINARCH1[[#This Row],[Structure Line]]," "),TableEOINARCH1[[#This Row],[Structure Line]])</f>
        <v>Choose a Specialisation</v>
      </c>
      <c r="E63" s="36">
        <f>TableEOINARCH1[[#This Row],[Credit Points]]</f>
        <v>0</v>
      </c>
      <c r="F63">
        <v>27</v>
      </c>
      <c r="G63" t="s">
        <v>352</v>
      </c>
      <c r="H63" s="2">
        <v>0</v>
      </c>
      <c r="I63" t="s">
        <v>326</v>
      </c>
      <c r="J63" t="s">
        <v>302</v>
      </c>
      <c r="K63" s="45">
        <v>0</v>
      </c>
      <c r="L63" s="45" t="s">
        <v>303</v>
      </c>
      <c r="M63" s="45"/>
      <c r="N63" s="106"/>
      <c r="O63" s="106"/>
      <c r="Q63" t="s">
        <v>302</v>
      </c>
      <c r="R63">
        <v>0</v>
      </c>
    </row>
    <row r="64" spans="1:18" x14ac:dyDescent="0.25">
      <c r="A64" t="str">
        <f>TableEOINARCH1[[#This Row],[Study Package Code]]</f>
        <v>OSCU-ANGAD</v>
      </c>
      <c r="B64" s="2">
        <f>TableEOINARCH1[[#This Row],[Ver]]</f>
        <v>2</v>
      </c>
      <c r="D64" t="str">
        <f>IF(TableEOINARCH1[[#This Row],[OUA Code]]&lt;&gt;"",_xlfn.TEXTAFTER(TableEOINARCH1[[#This Row],[Structure Line]]," "),TableEOINARCH1[[#This Row],[Structure Line]])</f>
        <v>Animation and Game Architecture Design Specialisation (OpenUnis)</v>
      </c>
      <c r="E64" s="36">
        <f>TableEOINARCH1[[#This Row],[Credit Points]]</f>
        <v>100</v>
      </c>
      <c r="F64">
        <v>27</v>
      </c>
      <c r="G64" t="s">
        <v>352</v>
      </c>
      <c r="H64" s="2">
        <v>0</v>
      </c>
      <c r="I64" t="s">
        <v>326</v>
      </c>
      <c r="J64" t="s">
        <v>66</v>
      </c>
      <c r="K64" s="45">
        <v>2</v>
      </c>
      <c r="L64" s="45" t="s">
        <v>65</v>
      </c>
      <c r="M64" s="45">
        <v>100</v>
      </c>
      <c r="N64" s="106">
        <v>46023</v>
      </c>
      <c r="O64" s="106"/>
      <c r="Q64" t="s">
        <v>66</v>
      </c>
      <c r="R64">
        <v>1</v>
      </c>
    </row>
    <row r="65" spans="1:18" x14ac:dyDescent="0.25">
      <c r="A65" t="str">
        <f>TableEOINARCH1[[#This Row],[Study Package Code]]</f>
        <v>OSCU-CONMS</v>
      </c>
      <c r="B65" s="2">
        <f>TableEOINARCH1[[#This Row],[Ver]]</f>
        <v>2</v>
      </c>
      <c r="D65" t="str">
        <f>IF(TableEOINARCH1[[#This Row],[OUA Code]]&lt;&gt;"",_xlfn.TEXTAFTER(TableEOINARCH1[[#This Row],[Structure Line]]," "),TableEOINARCH1[[#This Row],[Structure Line]])</f>
        <v>Construction Management Specialisation (OpenUnis)</v>
      </c>
      <c r="E65" s="36">
        <f>TableEOINARCH1[[#This Row],[Credit Points]]</f>
        <v>100</v>
      </c>
      <c r="F65">
        <v>27</v>
      </c>
      <c r="G65" t="s">
        <v>352</v>
      </c>
      <c r="H65" s="2">
        <v>0</v>
      </c>
      <c r="I65" t="s">
        <v>326</v>
      </c>
      <c r="J65" t="s">
        <v>71</v>
      </c>
      <c r="K65" s="45">
        <v>2</v>
      </c>
      <c r="L65" s="45" t="s">
        <v>70</v>
      </c>
      <c r="M65" s="45">
        <v>100</v>
      </c>
      <c r="N65" s="106">
        <v>45658</v>
      </c>
      <c r="O65" s="106"/>
      <c r="Q65" t="s">
        <v>71</v>
      </c>
      <c r="R65">
        <v>1</v>
      </c>
    </row>
    <row r="66" spans="1:18" x14ac:dyDescent="0.25">
      <c r="A66" t="str">
        <f>TableEOINARCH1[[#This Row],[Study Package Code]]</f>
        <v>OSCU-DIGDE</v>
      </c>
      <c r="B66" s="2">
        <f>TableEOINARCH1[[#This Row],[Ver]]</f>
        <v>2</v>
      </c>
      <c r="D66" t="str">
        <f>IF(TableEOINARCH1[[#This Row],[OUA Code]]&lt;&gt;"",_xlfn.TEXTAFTER(TableEOINARCH1[[#This Row],[Structure Line]]," "),TableEOINARCH1[[#This Row],[Structure Line]])</f>
        <v>Digital Design Specialisation (OpenUnis)</v>
      </c>
      <c r="E66" s="36">
        <f>TableEOINARCH1[[#This Row],[Credit Points]]</f>
        <v>100</v>
      </c>
      <c r="F66">
        <v>27</v>
      </c>
      <c r="G66" t="s">
        <v>352</v>
      </c>
      <c r="H66" s="2">
        <v>0</v>
      </c>
      <c r="I66" t="s">
        <v>326</v>
      </c>
      <c r="J66" t="s">
        <v>74</v>
      </c>
      <c r="K66" s="45">
        <v>2</v>
      </c>
      <c r="L66" s="45" t="s">
        <v>73</v>
      </c>
      <c r="M66" s="45">
        <v>100</v>
      </c>
      <c r="N66" s="106">
        <v>46023</v>
      </c>
      <c r="O66" s="106"/>
      <c r="Q66" t="s">
        <v>74</v>
      </c>
      <c r="R66">
        <v>1</v>
      </c>
    </row>
    <row r="67" spans="1:18" x14ac:dyDescent="0.25">
      <c r="A67" t="str">
        <f>TableEOINARCH1[[#This Row],[Study Package Code]]</f>
        <v>OSCU-PLGEO</v>
      </c>
      <c r="B67" s="2">
        <f>TableEOINARCH1[[#This Row],[Ver]]</f>
        <v>1</v>
      </c>
      <c r="D67" t="str">
        <f>IF(TableEOINARCH1[[#This Row],[OUA Code]]&lt;&gt;"",_xlfn.TEXTAFTER(TableEOINARCH1[[#This Row],[Structure Line]]," "),TableEOINARCH1[[#This Row],[Structure Line]])</f>
        <v>Planning and Geography Specialisation (OpenUnis)</v>
      </c>
      <c r="E67" s="36">
        <f>TableEOINARCH1[[#This Row],[Credit Points]]</f>
        <v>100</v>
      </c>
      <c r="F67">
        <v>27</v>
      </c>
      <c r="G67" t="s">
        <v>352</v>
      </c>
      <c r="H67" s="2">
        <v>0</v>
      </c>
      <c r="I67" t="s">
        <v>326</v>
      </c>
      <c r="J67" t="s">
        <v>76</v>
      </c>
      <c r="K67" s="45">
        <v>1</v>
      </c>
      <c r="L67" s="45" t="s">
        <v>75</v>
      </c>
      <c r="M67" s="45">
        <v>100</v>
      </c>
      <c r="N67" s="106">
        <v>44743</v>
      </c>
      <c r="O67" s="106"/>
      <c r="Q67" t="s">
        <v>76</v>
      </c>
      <c r="R67">
        <v>1</v>
      </c>
    </row>
    <row r="68" spans="1:18" x14ac:dyDescent="0.25">
      <c r="A68" t="str">
        <f>TableEOINARCH1[[#This Row],[Study Package Code]]</f>
        <v>OSEU-ARCHT</v>
      </c>
      <c r="B68" s="2">
        <f>TableEOINARCH1[[#This Row],[Ver]]</f>
        <v>1</v>
      </c>
      <c r="D68" t="str">
        <f>IF(TableEOINARCH1[[#This Row],[OUA Code]]&lt;&gt;"",_xlfn.TEXTAFTER(TableEOINARCH1[[#This Row],[Structure Line]]," "),TableEOINARCH1[[#This Row],[Structure Line]])</f>
        <v>Architectural Technology Specialisation (OpenUnis)</v>
      </c>
      <c r="E68" s="36">
        <f>TableEOINARCH1[[#This Row],[Credit Points]]</f>
        <v>100</v>
      </c>
      <c r="F68">
        <v>27</v>
      </c>
      <c r="G68" t="s">
        <v>352</v>
      </c>
      <c r="H68" s="2">
        <v>0</v>
      </c>
      <c r="I68" t="s">
        <v>326</v>
      </c>
      <c r="J68" t="s">
        <v>69</v>
      </c>
      <c r="K68" s="45">
        <v>1</v>
      </c>
      <c r="L68" s="45" t="s">
        <v>68</v>
      </c>
      <c r="M68" s="45">
        <v>100</v>
      </c>
      <c r="N68" s="106">
        <v>45292</v>
      </c>
      <c r="O68" s="106"/>
      <c r="Q68" t="s">
        <v>69</v>
      </c>
      <c r="R68">
        <v>1</v>
      </c>
    </row>
    <row r="69" spans="1:18" x14ac:dyDescent="0.25">
      <c r="B69"/>
      <c r="E69"/>
      <c r="F69" s="202"/>
      <c r="G69" s="205" t="s">
        <v>313</v>
      </c>
      <c r="H69" s="207">
        <v>45968</v>
      </c>
      <c r="I69" s="212"/>
      <c r="J69" s="202" t="s">
        <v>66</v>
      </c>
      <c r="K69" s="209">
        <v>2</v>
      </c>
      <c r="L69" s="202" t="s">
        <v>65</v>
      </c>
      <c r="M69" s="212"/>
      <c r="N69" s="210">
        <v>46023</v>
      </c>
      <c r="O69" s="206"/>
    </row>
    <row r="70" spans="1:18" x14ac:dyDescent="0.25">
      <c r="A70" t="s">
        <v>0</v>
      </c>
      <c r="B70" s="2" t="s">
        <v>314</v>
      </c>
      <c r="C70" t="s">
        <v>21</v>
      </c>
      <c r="D70" t="s">
        <v>3</v>
      </c>
      <c r="E70" s="36" t="s">
        <v>315</v>
      </c>
      <c r="F70" t="s">
        <v>316</v>
      </c>
      <c r="G70" t="s">
        <v>317</v>
      </c>
      <c r="H70" s="2" t="s">
        <v>318</v>
      </c>
      <c r="I70" t="s">
        <v>22</v>
      </c>
      <c r="J70" t="s">
        <v>319</v>
      </c>
      <c r="K70" t="s">
        <v>1</v>
      </c>
      <c r="L70" t="s">
        <v>320</v>
      </c>
      <c r="M70" t="s">
        <v>45</v>
      </c>
      <c r="N70" t="s">
        <v>321</v>
      </c>
      <c r="O70" t="s">
        <v>322</v>
      </c>
      <c r="Q70" t="s">
        <v>323</v>
      </c>
      <c r="R70" t="s">
        <v>324</v>
      </c>
    </row>
    <row r="71" spans="1:18" x14ac:dyDescent="0.25">
      <c r="A71" t="str">
        <f>TableOSCUANGAD[[#This Row],[Study Package Code]]</f>
        <v>GRDE1029</v>
      </c>
      <c r="B71" s="2">
        <f>TableOSCUANGAD[[#This Row],[Ver]]</f>
        <v>1</v>
      </c>
      <c r="C71" t="str">
        <f>IF(TableOSCUANGAD[[#This Row],[Ver]]&gt;0,_xlfn.TEXTBEFORE(TableOSCUANGAD[[#This Row],[Structure Line]]," "),"")</f>
        <v>GRDE1029</v>
      </c>
      <c r="D71" t="str">
        <f>IF(TableOSCUANGAD[[#This Row],[OUA Code]]&lt;&gt;"",_xlfn.TEXTAFTER(TableOSCUANGAD[[#This Row],[Structure Line]]," "),TableOSCUANGAD[[#This Row],[Structure Line]])</f>
        <v>Motion Design Studio</v>
      </c>
      <c r="E71" s="36">
        <f>TableOSCUANGAD[[#This Row],[Credit Points]]</f>
        <v>25</v>
      </c>
      <c r="F71">
        <v>1</v>
      </c>
      <c r="G71" t="s">
        <v>325</v>
      </c>
      <c r="H71" s="2">
        <v>1</v>
      </c>
      <c r="I71" t="s">
        <v>326</v>
      </c>
      <c r="J71" t="s">
        <v>384</v>
      </c>
      <c r="K71" s="45">
        <v>1</v>
      </c>
      <c r="L71" s="45" t="s">
        <v>385</v>
      </c>
      <c r="M71" s="45">
        <v>25</v>
      </c>
      <c r="N71" s="106">
        <v>46023</v>
      </c>
      <c r="O71" s="106"/>
      <c r="Q71" t="s">
        <v>143</v>
      </c>
      <c r="R71">
        <v>1</v>
      </c>
    </row>
    <row r="72" spans="1:18" x14ac:dyDescent="0.25">
      <c r="A72" t="str">
        <f>TableOSCUANGAD[[#This Row],[Study Package Code]]</f>
        <v>GRDE1031</v>
      </c>
      <c r="B72" s="2">
        <f>TableOSCUANGAD[[#This Row],[Ver]]</f>
        <v>1</v>
      </c>
      <c r="C72" t="str">
        <f>IF(TableOSCUANGAD[[#This Row],[Ver]]&gt;0,_xlfn.TEXTBEFORE(TableOSCUANGAD[[#This Row],[Structure Line]]," "),"")</f>
        <v>GRDE1031</v>
      </c>
      <c r="D72" t="str">
        <f>IF(TableOSCUANGAD[[#This Row],[OUA Code]]&lt;&gt;"",_xlfn.TEXTAFTER(TableOSCUANGAD[[#This Row],[Structure Line]]," "),TableOSCUANGAD[[#This Row],[Structure Line]])</f>
        <v>Introduction to 3D Modelling</v>
      </c>
      <c r="E72" s="36">
        <f>TableOSCUANGAD[[#This Row],[Credit Points]]</f>
        <v>25</v>
      </c>
      <c r="F72">
        <v>2</v>
      </c>
      <c r="G72" t="s">
        <v>325</v>
      </c>
      <c r="H72" s="2">
        <v>2</v>
      </c>
      <c r="I72" t="s">
        <v>326</v>
      </c>
      <c r="J72" t="s">
        <v>386</v>
      </c>
      <c r="K72" s="45">
        <v>1</v>
      </c>
      <c r="L72" s="45" t="s">
        <v>387</v>
      </c>
      <c r="M72" s="45">
        <v>25</v>
      </c>
      <c r="N72" s="106">
        <v>46023</v>
      </c>
      <c r="O72" s="106"/>
      <c r="Q72" t="s">
        <v>148</v>
      </c>
      <c r="R72">
        <v>1</v>
      </c>
    </row>
    <row r="73" spans="1:18" x14ac:dyDescent="0.25">
      <c r="A73" t="str">
        <f>TableOSCUANGAD[[#This Row],[Study Package Code]]</f>
        <v>GRDE2055</v>
      </c>
      <c r="B73" s="2">
        <f>TableOSCUANGAD[[#This Row],[Ver]]</f>
        <v>1</v>
      </c>
      <c r="C73" t="str">
        <f>IF(TableOSCUANGAD[[#This Row],[Ver]]&gt;0,_xlfn.TEXTBEFORE(TableOSCUANGAD[[#This Row],[Structure Line]]," "),"")</f>
        <v>GRDE2055</v>
      </c>
      <c r="D73" t="str">
        <f>IF(TableOSCUANGAD[[#This Row],[OUA Code]]&lt;&gt;"",_xlfn.TEXTAFTER(TableOSCUANGAD[[#This Row],[Structure Line]]," "),TableOSCUANGAD[[#This Row],[Structure Line]])</f>
        <v>3D Game and Level Design</v>
      </c>
      <c r="E73" s="36">
        <f>TableOSCUANGAD[[#This Row],[Credit Points]]</f>
        <v>25</v>
      </c>
      <c r="F73">
        <v>3</v>
      </c>
      <c r="G73" t="s">
        <v>325</v>
      </c>
      <c r="H73" s="2">
        <v>2</v>
      </c>
      <c r="I73" t="s">
        <v>326</v>
      </c>
      <c r="J73" t="s">
        <v>388</v>
      </c>
      <c r="K73" s="45">
        <v>1</v>
      </c>
      <c r="L73" s="45" t="s">
        <v>389</v>
      </c>
      <c r="M73" s="45">
        <v>25</v>
      </c>
      <c r="N73" s="106">
        <v>46023</v>
      </c>
      <c r="O73" s="106"/>
      <c r="Q73" t="s">
        <v>154</v>
      </c>
      <c r="R73">
        <v>1</v>
      </c>
    </row>
    <row r="74" spans="1:18" x14ac:dyDescent="0.25">
      <c r="A74" t="str">
        <f>TableOSCUANGAD[[#This Row],[Study Package Code]]</f>
        <v>AC-ANGAD</v>
      </c>
      <c r="B74" s="2">
        <f>TableOSCUANGAD[[#This Row],[Ver]]</f>
        <v>0</v>
      </c>
      <c r="C74" t="str">
        <f>IF(TableOSCUANGAD[[#This Row],[Ver]]&gt;0,_xlfn.TEXTBEFORE(TableOSCUANGAD[[#This Row],[Structure Line]]," "),"")</f>
        <v/>
      </c>
      <c r="D74" t="str">
        <f>IF(TableOSCUANGAD[[#This Row],[OUA Code]]&lt;&gt;"",_xlfn.TEXTAFTER(TableOSCUANGAD[[#This Row],[Structure Line]]," "),TableOSCUANGAD[[#This Row],[Structure Line]])</f>
        <v>Choose GRDE3033 or WORK3002</v>
      </c>
      <c r="E74" s="36">
        <f>TableOSCUANGAD[[#This Row],[Credit Points]]</f>
        <v>25</v>
      </c>
      <c r="F74">
        <v>4</v>
      </c>
      <c r="G74" t="s">
        <v>353</v>
      </c>
      <c r="H74" s="2">
        <v>3</v>
      </c>
      <c r="I74" t="s">
        <v>326</v>
      </c>
      <c r="J74" t="s">
        <v>161</v>
      </c>
      <c r="K74" s="45">
        <v>0</v>
      </c>
      <c r="L74" s="45" t="s">
        <v>354</v>
      </c>
      <c r="M74" s="45">
        <v>25</v>
      </c>
      <c r="N74" s="106"/>
      <c r="O74" s="106"/>
      <c r="Q74" t="s">
        <v>161</v>
      </c>
      <c r="R74">
        <v>0</v>
      </c>
    </row>
    <row r="75" spans="1:18" x14ac:dyDescent="0.25">
      <c r="A75" t="str">
        <f>TableOSCUANGAD[[#This Row],[Study Package Code]]</f>
        <v>GRDE3033</v>
      </c>
      <c r="B75" s="2">
        <f>TableOSCUANGAD[[#This Row],[Ver]]</f>
        <v>3</v>
      </c>
      <c r="C75" t="str">
        <f>IF(TableOSCUANGAD[[#This Row],[Ver]]&gt;0,_xlfn.TEXTBEFORE(TableOSCUANGAD[[#This Row],[Structure Line]]," "),"")</f>
        <v>DIG39</v>
      </c>
      <c r="D75" t="str">
        <f>IF(TableOSCUANGAD[[#This Row],[OUA Code]]&lt;&gt;"",_xlfn.TEXTAFTER(TableOSCUANGAD[[#This Row],[Structure Line]]," "),TableOSCUANGAD[[#This Row],[Structure Line]])</f>
        <v>Emerging Digital Experience Studio</v>
      </c>
      <c r="E75" s="36">
        <f>TableOSCUANGAD[[#This Row],[Credit Points]]</f>
        <v>25</v>
      </c>
      <c r="F75">
        <v>4</v>
      </c>
      <c r="G75" t="s">
        <v>353</v>
      </c>
      <c r="H75" s="2">
        <v>3</v>
      </c>
      <c r="I75" t="s">
        <v>326</v>
      </c>
      <c r="J75" t="s">
        <v>166</v>
      </c>
      <c r="K75" s="45">
        <v>3</v>
      </c>
      <c r="L75" s="45" t="s">
        <v>390</v>
      </c>
      <c r="M75" s="45">
        <v>25</v>
      </c>
      <c r="N75" s="106">
        <v>46023</v>
      </c>
      <c r="O75" s="106"/>
      <c r="Q75" t="s">
        <v>166</v>
      </c>
      <c r="R75">
        <v>2</v>
      </c>
    </row>
    <row r="76" spans="1:18" x14ac:dyDescent="0.25">
      <c r="A76" t="str">
        <f>TableOSCUANGAD[[#This Row],[Study Package Code]]</f>
        <v>WORK3002</v>
      </c>
      <c r="B76" s="2">
        <f>TableOSCUANGAD[[#This Row],[Ver]]</f>
        <v>1</v>
      </c>
      <c r="C76" t="str">
        <f>IF(TableOSCUANGAD[[#This Row],[Ver]]&gt;0,_xlfn.TEXTBEFORE(TableOSCUANGAD[[#This Row],[Structure Line]]," "),"")</f>
        <v>WBP300</v>
      </c>
      <c r="D76" t="str">
        <f>IF(TableOSCUANGAD[[#This Row],[OUA Code]]&lt;&gt;"",_xlfn.TEXTAFTER(TableOSCUANGAD[[#This Row],[Structure Line]]," "),TableOSCUANGAD[[#This Row],[Structure Line]])</f>
        <v>Work Based Project</v>
      </c>
      <c r="E76" s="36">
        <f>TableOSCUANGAD[[#This Row],[Credit Points]]</f>
        <v>25</v>
      </c>
      <c r="F76">
        <v>4</v>
      </c>
      <c r="G76" t="s">
        <v>353</v>
      </c>
      <c r="H76" s="2">
        <v>3</v>
      </c>
      <c r="I76" t="s">
        <v>326</v>
      </c>
      <c r="J76" t="s">
        <v>171</v>
      </c>
      <c r="K76" s="45">
        <v>1</v>
      </c>
      <c r="L76" s="45" t="s">
        <v>355</v>
      </c>
      <c r="M76" s="45">
        <v>25</v>
      </c>
      <c r="N76" s="106">
        <v>44287</v>
      </c>
      <c r="O76" s="106"/>
      <c r="Q76" t="s">
        <v>171</v>
      </c>
      <c r="R76">
        <v>1</v>
      </c>
    </row>
    <row r="77" spans="1:18" x14ac:dyDescent="0.25">
      <c r="B77"/>
      <c r="E77"/>
      <c r="F77" s="202"/>
      <c r="G77" s="205" t="s">
        <v>313</v>
      </c>
      <c r="H77" s="207">
        <v>45968</v>
      </c>
      <c r="I77" s="212"/>
      <c r="J77" s="202" t="s">
        <v>71</v>
      </c>
      <c r="K77" s="204">
        <v>2</v>
      </c>
      <c r="L77" s="202" t="s">
        <v>70</v>
      </c>
      <c r="M77" s="212"/>
      <c r="N77" s="141">
        <v>45658</v>
      </c>
      <c r="O77" s="206"/>
    </row>
    <row r="78" spans="1:18" x14ac:dyDescent="0.25">
      <c r="A78" t="s">
        <v>0</v>
      </c>
      <c r="B78" s="2" t="s">
        <v>314</v>
      </c>
      <c r="C78" t="s">
        <v>21</v>
      </c>
      <c r="D78" t="s">
        <v>3</v>
      </c>
      <c r="E78" s="36" t="s">
        <v>315</v>
      </c>
      <c r="F78" t="s">
        <v>316</v>
      </c>
      <c r="G78" t="s">
        <v>317</v>
      </c>
      <c r="H78" s="2" t="s">
        <v>318</v>
      </c>
      <c r="I78" t="s">
        <v>22</v>
      </c>
      <c r="J78" t="s">
        <v>319</v>
      </c>
      <c r="K78" t="s">
        <v>1</v>
      </c>
      <c r="L78" t="s">
        <v>320</v>
      </c>
      <c r="M78" t="s">
        <v>45</v>
      </c>
      <c r="N78" t="s">
        <v>321</v>
      </c>
      <c r="O78" t="s">
        <v>322</v>
      </c>
      <c r="Q78" t="s">
        <v>323</v>
      </c>
      <c r="R78" t="s">
        <v>324</v>
      </c>
    </row>
    <row r="79" spans="1:18" x14ac:dyDescent="0.25">
      <c r="A79" t="str">
        <f>TableOSCUCONMS[[#This Row],[Study Package Code]]</f>
        <v>BLDG1005</v>
      </c>
      <c r="B79" s="2">
        <f>TableOSCUCONMS[[#This Row],[Ver]]</f>
        <v>2</v>
      </c>
      <c r="C79" t="str">
        <f>IF(TableOSCUCONMS[[#This Row],[Ver]]&gt;0,_xlfn.TEXTBEFORE(TableOSCUCONMS[[#This Row],[Structure Line]]," "),"")</f>
        <v>CME101</v>
      </c>
      <c r="D79" t="str">
        <f>IF(TableOSCUCONMS[[#This Row],[OUA Code]]&lt;&gt;"",_xlfn.TEXTAFTER(TableOSCUCONMS[[#This Row],[Structure Line]]," "),TableOSCUCONMS[[#This Row],[Structure Line]])</f>
        <v>Low Rise Construction</v>
      </c>
      <c r="E79" s="36">
        <f>TableOSCUCONMS[[#This Row],[Credit Points]]</f>
        <v>25</v>
      </c>
      <c r="F79">
        <v>1</v>
      </c>
      <c r="G79" t="s">
        <v>325</v>
      </c>
      <c r="H79" s="2">
        <v>0</v>
      </c>
      <c r="I79" t="s">
        <v>326</v>
      </c>
      <c r="J79" t="s">
        <v>145</v>
      </c>
      <c r="K79" s="45">
        <v>2</v>
      </c>
      <c r="L79" s="45" t="s">
        <v>356</v>
      </c>
      <c r="M79" s="45">
        <v>25</v>
      </c>
      <c r="N79" s="106">
        <v>43466</v>
      </c>
      <c r="O79" s="106"/>
      <c r="Q79" t="s">
        <v>145</v>
      </c>
      <c r="R79" s="45">
        <v>2</v>
      </c>
    </row>
    <row r="80" spans="1:18" x14ac:dyDescent="0.25">
      <c r="A80" t="str">
        <f>TableOSCUCONMS[[#This Row],[Study Package Code]]</f>
        <v>BLDG1006</v>
      </c>
      <c r="B80" s="2">
        <f>TableOSCUCONMS[[#This Row],[Ver]]</f>
        <v>3</v>
      </c>
      <c r="C80" t="str">
        <f>IF(TableOSCUCONMS[[#This Row],[Ver]]&gt;0,_xlfn.TEXTBEFORE(TableOSCUCONMS[[#This Row],[Structure Line]]," "),"")</f>
        <v>CME106</v>
      </c>
      <c r="D80" t="str">
        <f>IF(TableOSCUCONMS[[#This Row],[OUA Code]]&lt;&gt;"",_xlfn.TEXTAFTER(TableOSCUCONMS[[#This Row],[Structure Line]]," "),TableOSCUCONMS[[#This Row],[Structure Line]])</f>
        <v>High-rise Construction</v>
      </c>
      <c r="E80" s="36">
        <f>TableOSCUCONMS[[#This Row],[Credit Points]]</f>
        <v>25</v>
      </c>
      <c r="F80">
        <v>2</v>
      </c>
      <c r="G80" t="s">
        <v>325</v>
      </c>
      <c r="H80" s="2">
        <v>0</v>
      </c>
      <c r="I80" t="s">
        <v>326</v>
      </c>
      <c r="J80" t="s">
        <v>150</v>
      </c>
      <c r="K80" s="45">
        <v>3</v>
      </c>
      <c r="L80" s="45" t="s">
        <v>357</v>
      </c>
      <c r="M80" s="45">
        <v>25</v>
      </c>
      <c r="N80" s="106">
        <v>44927</v>
      </c>
      <c r="O80" s="106"/>
      <c r="Q80" t="s">
        <v>150</v>
      </c>
      <c r="R80" s="45">
        <v>3</v>
      </c>
    </row>
    <row r="81" spans="1:18" x14ac:dyDescent="0.25">
      <c r="A81" t="str">
        <f>TableOSCUCONMS[[#This Row],[Study Package Code]]</f>
        <v>BLDG2027</v>
      </c>
      <c r="B81" s="2">
        <f>TableOSCUCONMS[[#This Row],[Ver]]</f>
        <v>3</v>
      </c>
      <c r="C81" t="str">
        <f>IF(TableOSCUCONMS[[#This Row],[Ver]]&gt;0,_xlfn.TEXTBEFORE(TableOSCUCONMS[[#This Row],[Structure Line]]," "),"")</f>
        <v>CME206</v>
      </c>
      <c r="D81" t="str">
        <f>IF(TableOSCUCONMS[[#This Row],[OUA Code]]&lt;&gt;"",_xlfn.TEXTAFTER(TableOSCUCONMS[[#This Row],[Structure Line]]," "),TableOSCUCONMS[[#This Row],[Structure Line]])</f>
        <v>Building Surveying</v>
      </c>
      <c r="E81" s="36">
        <f>TableOSCUCONMS[[#This Row],[Credit Points]]</f>
        <v>25</v>
      </c>
      <c r="F81">
        <v>3</v>
      </c>
      <c r="G81" t="s">
        <v>325</v>
      </c>
      <c r="H81" s="2">
        <v>0</v>
      </c>
      <c r="I81" t="s">
        <v>326</v>
      </c>
      <c r="J81" t="s">
        <v>156</v>
      </c>
      <c r="K81" s="45">
        <v>3</v>
      </c>
      <c r="L81" s="45" t="s">
        <v>358</v>
      </c>
      <c r="M81" s="45">
        <v>25</v>
      </c>
      <c r="N81" s="106">
        <v>43466</v>
      </c>
      <c r="O81" s="106"/>
      <c r="Q81" t="s">
        <v>156</v>
      </c>
      <c r="R81" s="45">
        <v>3</v>
      </c>
    </row>
    <row r="82" spans="1:18" x14ac:dyDescent="0.25">
      <c r="A82" t="str">
        <f>TableOSCUCONMS[[#This Row],[Study Package Code]]</f>
        <v>AC-CONMS</v>
      </c>
      <c r="B82" s="2">
        <f>TableOSCUCONMS[[#This Row],[Ver]]</f>
        <v>0</v>
      </c>
      <c r="C82" t="str">
        <f>IF(TableOSCUCONMS[[#This Row],[Ver]]&gt;0,_xlfn.TEXTBEFORE(TableOSCUCONMS[[#This Row],[Structure Line]]," "),"")</f>
        <v/>
      </c>
      <c r="D82" t="str">
        <f>IF(TableOSCUCONMS[[#This Row],[OUA Code]]&lt;&gt;"",_xlfn.TEXTAFTER(TableOSCUCONMS[[#This Row],[Structure Line]]," "),TableOSCUCONMS[[#This Row],[Structure Line]])</f>
        <v>Choose BLDG2028 or BLDG2021</v>
      </c>
      <c r="E82" s="36">
        <f>TableOSCUCONMS[[#This Row],[Credit Points]]</f>
        <v>25</v>
      </c>
      <c r="F82">
        <v>4</v>
      </c>
      <c r="G82" t="s">
        <v>353</v>
      </c>
      <c r="H82" s="2">
        <v>0</v>
      </c>
      <c r="I82" t="s">
        <v>326</v>
      </c>
      <c r="J82" t="s">
        <v>163</v>
      </c>
      <c r="K82" s="45">
        <v>0</v>
      </c>
      <c r="L82" s="45" t="s">
        <v>395</v>
      </c>
      <c r="M82" s="45">
        <v>25</v>
      </c>
      <c r="N82" s="106"/>
      <c r="O82" s="106"/>
      <c r="Q82" t="s">
        <v>163</v>
      </c>
      <c r="R82" s="45">
        <v>0</v>
      </c>
    </row>
    <row r="83" spans="1:18" x14ac:dyDescent="0.25">
      <c r="A83" t="str">
        <f>TableOSCUCONMS[[#This Row],[Study Package Code]]</f>
        <v>BLDG2021</v>
      </c>
      <c r="B83" s="2">
        <f>TableOSCUCONMS[[#This Row],[Ver]]</f>
        <v>1</v>
      </c>
      <c r="C83" t="str">
        <f>IF(TableOSCUCONMS[[#This Row],[Ver]]&gt;0,_xlfn.TEXTBEFORE(TableOSCUCONMS[[#This Row],[Structure Line]]," "),"")</f>
        <v>CME203</v>
      </c>
      <c r="D83" t="str">
        <f>IF(TableOSCUCONMS[[#This Row],[OUA Code]]&lt;&gt;"",_xlfn.TEXTAFTER(TableOSCUCONMS[[#This Row],[Structure Line]]," "),TableOSCUCONMS[[#This Row],[Structure Line]])</f>
        <v>Specialised Construction</v>
      </c>
      <c r="E83" s="36">
        <f>TableOSCUCONMS[[#This Row],[Credit Points]]</f>
        <v>25</v>
      </c>
      <c r="F83">
        <v>4</v>
      </c>
      <c r="G83" t="s">
        <v>353</v>
      </c>
      <c r="H83" s="2">
        <v>0</v>
      </c>
      <c r="I83" t="s">
        <v>326</v>
      </c>
      <c r="J83" t="s">
        <v>168</v>
      </c>
      <c r="K83" s="45">
        <v>1</v>
      </c>
      <c r="L83" s="45" t="s">
        <v>359</v>
      </c>
      <c r="M83" s="45">
        <v>25</v>
      </c>
      <c r="N83" s="106">
        <v>42005</v>
      </c>
      <c r="O83" s="106"/>
      <c r="Q83" t="s">
        <v>168</v>
      </c>
      <c r="R83" s="45">
        <v>1</v>
      </c>
    </row>
    <row r="84" spans="1:18" x14ac:dyDescent="0.25">
      <c r="A84" t="str">
        <f>TableOSCUCONMS[[#This Row],[Study Package Code]]</f>
        <v>BLDG2028</v>
      </c>
      <c r="B84" s="2">
        <f>TableOSCUCONMS[[#This Row],[Ver]]</f>
        <v>3</v>
      </c>
      <c r="C84" t="str">
        <f>IF(TableOSCUCONMS[[#This Row],[Ver]]&gt;0,_xlfn.TEXTBEFORE(TableOSCUCONMS[[#This Row],[Structure Line]]," "),"")</f>
        <v>CME205</v>
      </c>
      <c r="D84" t="str">
        <f>IF(TableOSCUCONMS[[#This Row],[OUA Code]]&lt;&gt;"",_xlfn.TEXTAFTER(TableOSCUCONMS[[#This Row],[Structure Line]]," "),TableOSCUCONMS[[#This Row],[Structure Line]])</f>
        <v>Building Information Management and Modelling</v>
      </c>
      <c r="E84" s="36">
        <f>TableOSCUCONMS[[#This Row],[Credit Points]]</f>
        <v>25</v>
      </c>
      <c r="F84">
        <v>4</v>
      </c>
      <c r="G84" t="s">
        <v>353</v>
      </c>
      <c r="H84" s="2">
        <v>0</v>
      </c>
      <c r="I84" t="s">
        <v>326</v>
      </c>
      <c r="J84" t="s">
        <v>173</v>
      </c>
      <c r="K84" s="45">
        <v>3</v>
      </c>
      <c r="L84" s="45" t="s">
        <v>360</v>
      </c>
      <c r="M84" s="45">
        <v>25</v>
      </c>
      <c r="N84" s="106">
        <v>44927</v>
      </c>
      <c r="O84" s="106"/>
      <c r="Q84" t="s">
        <v>173</v>
      </c>
      <c r="R84" s="45">
        <v>3</v>
      </c>
    </row>
    <row r="85" spans="1:18" x14ac:dyDescent="0.25">
      <c r="B85"/>
      <c r="E85"/>
      <c r="F85" s="202"/>
      <c r="G85" s="205" t="s">
        <v>313</v>
      </c>
      <c r="H85" s="207">
        <v>45968</v>
      </c>
      <c r="I85" s="212"/>
      <c r="J85" s="202" t="s">
        <v>74</v>
      </c>
      <c r="K85" s="209">
        <v>2</v>
      </c>
      <c r="L85" s="202" t="s">
        <v>73</v>
      </c>
      <c r="M85" s="212"/>
      <c r="N85" s="210">
        <v>46023</v>
      </c>
      <c r="O85" s="206"/>
    </row>
    <row r="86" spans="1:18" x14ac:dyDescent="0.25">
      <c r="A86" t="s">
        <v>0</v>
      </c>
      <c r="B86" s="2" t="s">
        <v>314</v>
      </c>
      <c r="C86" t="s">
        <v>21</v>
      </c>
      <c r="D86" t="s">
        <v>3</v>
      </c>
      <c r="E86" s="36" t="s">
        <v>315</v>
      </c>
      <c r="F86" t="s">
        <v>316</v>
      </c>
      <c r="G86" t="s">
        <v>317</v>
      </c>
      <c r="H86" s="2" t="s">
        <v>318</v>
      </c>
      <c r="I86" t="s">
        <v>22</v>
      </c>
      <c r="J86" t="s">
        <v>319</v>
      </c>
      <c r="K86" t="s">
        <v>1</v>
      </c>
      <c r="L86" t="s">
        <v>320</v>
      </c>
      <c r="M86" t="s">
        <v>45</v>
      </c>
      <c r="N86" t="s">
        <v>321</v>
      </c>
      <c r="O86" t="s">
        <v>322</v>
      </c>
      <c r="Q86" t="s">
        <v>323</v>
      </c>
      <c r="R86" t="s">
        <v>324</v>
      </c>
    </row>
    <row r="87" spans="1:18" x14ac:dyDescent="0.25">
      <c r="A87" t="str">
        <f>TableOSCUDIGDE[[#This Row],[Study Package Code]]</f>
        <v>GRDE1029</v>
      </c>
      <c r="B87" s="2">
        <f>TableOSCUDIGDE[[#This Row],[Ver]]</f>
        <v>1</v>
      </c>
      <c r="C87" t="str">
        <f>IF(TableOSCUDIGDE[[#This Row],[Ver]]&gt;0,_xlfn.TEXTBEFORE(TableOSCUDIGDE[[#This Row],[Structure Line]]," "),"")</f>
        <v>GRDE1029</v>
      </c>
      <c r="D87" t="str">
        <f>IF(TableOSCUDIGDE[[#This Row],[OUA Code]]&lt;&gt;"",_xlfn.TEXTAFTER(TableOSCUDIGDE[[#This Row],[Structure Line]]," "),TableOSCUDIGDE[[#This Row],[Structure Line]])</f>
        <v>Motion Design Studio</v>
      </c>
      <c r="E87" s="36">
        <f>TableOSCUDIGDE[[#This Row],[Credit Points]]</f>
        <v>25</v>
      </c>
      <c r="F87">
        <v>1</v>
      </c>
      <c r="G87" t="s">
        <v>325</v>
      </c>
      <c r="H87" s="2">
        <v>0</v>
      </c>
      <c r="I87" t="s">
        <v>326</v>
      </c>
      <c r="J87" t="s">
        <v>384</v>
      </c>
      <c r="K87" s="45">
        <v>1</v>
      </c>
      <c r="L87" s="45" t="s">
        <v>385</v>
      </c>
      <c r="M87" s="45">
        <v>25</v>
      </c>
      <c r="N87" s="106">
        <v>46023</v>
      </c>
      <c r="O87" s="106"/>
      <c r="Q87" t="s">
        <v>103</v>
      </c>
      <c r="R87">
        <v>2</v>
      </c>
    </row>
    <row r="88" spans="1:18" x14ac:dyDescent="0.25">
      <c r="A88" t="str">
        <f>TableOSCUDIGDE[[#This Row],[Study Package Code]]</f>
        <v>GRDE1033</v>
      </c>
      <c r="B88" s="2">
        <f>TableOSCUDIGDE[[#This Row],[Ver]]</f>
        <v>1</v>
      </c>
      <c r="C88" t="str">
        <f>IF(TableOSCUDIGDE[[#This Row],[Ver]]&gt;0,_xlfn.TEXTBEFORE(TableOSCUDIGDE[[#This Row],[Structure Line]]," "),"")</f>
        <v>GRDE1033</v>
      </c>
      <c r="D88" t="str">
        <f>IF(TableOSCUDIGDE[[#This Row],[OUA Code]]&lt;&gt;"",_xlfn.TEXTAFTER(TableOSCUDIGDE[[#This Row],[Structure Line]]," "),TableOSCUDIGDE[[#This Row],[Structure Line]])</f>
        <v>Introduction to Digital Creative Practice</v>
      </c>
      <c r="E88" s="36">
        <f>TableOSCUDIGDE[[#This Row],[Credit Points]]</f>
        <v>25</v>
      </c>
      <c r="F88">
        <v>2</v>
      </c>
      <c r="G88" t="s">
        <v>325</v>
      </c>
      <c r="H88" s="2">
        <v>0</v>
      </c>
      <c r="I88" t="s">
        <v>326</v>
      </c>
      <c r="J88" t="s">
        <v>396</v>
      </c>
      <c r="K88" s="45">
        <v>1</v>
      </c>
      <c r="L88" s="45" t="s">
        <v>397</v>
      </c>
      <c r="M88" s="45">
        <v>25</v>
      </c>
      <c r="N88" s="106">
        <v>46023</v>
      </c>
      <c r="O88" s="106"/>
      <c r="Q88" t="s">
        <v>151</v>
      </c>
      <c r="R88">
        <v>2</v>
      </c>
    </row>
    <row r="89" spans="1:18" x14ac:dyDescent="0.25">
      <c r="A89" t="str">
        <f>TableOSCUDIGDE[[#This Row],[Study Package Code]]</f>
        <v>GRDE2049</v>
      </c>
      <c r="B89" s="2">
        <f>TableOSCUDIGDE[[#This Row],[Ver]]</f>
        <v>1</v>
      </c>
      <c r="C89" t="str">
        <f>IF(TableOSCUDIGDE[[#This Row],[Ver]]&gt;0,_xlfn.TEXTBEFORE(TableOSCUDIGDE[[#This Row],[Structure Line]]," "),"")</f>
        <v>GRDE2049</v>
      </c>
      <c r="D89" t="str">
        <f>IF(TableOSCUDIGDE[[#This Row],[OUA Code]]&lt;&gt;"",_xlfn.TEXTAFTER(TableOSCUDIGDE[[#This Row],[Structure Line]]," "),TableOSCUDIGDE[[#This Row],[Structure Line]])</f>
        <v>Interactive Platforms</v>
      </c>
      <c r="E89" s="36">
        <f>TableOSCUDIGDE[[#This Row],[Credit Points]]</f>
        <v>25</v>
      </c>
      <c r="F89">
        <v>3</v>
      </c>
      <c r="G89" t="s">
        <v>325</v>
      </c>
      <c r="H89" s="2">
        <v>0</v>
      </c>
      <c r="I89" t="s">
        <v>326</v>
      </c>
      <c r="J89" t="s">
        <v>398</v>
      </c>
      <c r="K89" s="45">
        <v>1</v>
      </c>
      <c r="L89" s="45" t="s">
        <v>399</v>
      </c>
      <c r="M89" s="45">
        <v>25</v>
      </c>
      <c r="N89" s="106">
        <v>46023</v>
      </c>
      <c r="O89" s="106"/>
      <c r="Q89" t="s">
        <v>111</v>
      </c>
      <c r="R89">
        <v>3</v>
      </c>
    </row>
    <row r="90" spans="1:18" x14ac:dyDescent="0.25">
      <c r="A90" t="str">
        <f>TableOSCUDIGDE[[#This Row],[Study Package Code]]</f>
        <v>GRDE2054</v>
      </c>
      <c r="B90" s="2">
        <f>TableOSCUDIGDE[[#This Row],[Ver]]</f>
        <v>1</v>
      </c>
      <c r="C90" t="str">
        <f>IF(TableOSCUDIGDE[[#This Row],[Ver]]&gt;0,_xlfn.TEXTBEFORE(TableOSCUDIGDE[[#This Row],[Structure Line]]," "),"")</f>
        <v>GRDE2054</v>
      </c>
      <c r="D90" t="str">
        <f>IF(TableOSCUDIGDE[[#This Row],[OUA Code]]&lt;&gt;"",_xlfn.TEXTAFTER(TableOSCUDIGDE[[#This Row],[Structure Line]]," "),TableOSCUDIGDE[[#This Row],[Structure Line]])</f>
        <v>Social Interactive Experiences</v>
      </c>
      <c r="E90" s="36">
        <f>TableOSCUDIGDE[[#This Row],[Credit Points]]</f>
        <v>25</v>
      </c>
      <c r="F90">
        <v>4</v>
      </c>
      <c r="G90" t="s">
        <v>325</v>
      </c>
      <c r="H90" s="2">
        <v>0</v>
      </c>
      <c r="I90" t="s">
        <v>326</v>
      </c>
      <c r="J90" t="s">
        <v>400</v>
      </c>
      <c r="K90" s="45">
        <v>1</v>
      </c>
      <c r="L90" s="45" t="s">
        <v>401</v>
      </c>
      <c r="M90" s="45">
        <v>25</v>
      </c>
      <c r="N90" s="106">
        <v>46023</v>
      </c>
      <c r="O90" s="106"/>
      <c r="Q90" t="s">
        <v>115</v>
      </c>
      <c r="R90">
        <v>3</v>
      </c>
    </row>
    <row r="91" spans="1:18" x14ac:dyDescent="0.25">
      <c r="B91"/>
      <c r="E91"/>
      <c r="F91" s="202"/>
      <c r="G91" s="205" t="s">
        <v>313</v>
      </c>
      <c r="H91" s="207">
        <v>45968</v>
      </c>
      <c r="I91" s="212"/>
      <c r="J91" s="202" t="s">
        <v>76</v>
      </c>
      <c r="K91" s="204">
        <v>1</v>
      </c>
      <c r="L91" s="202" t="s">
        <v>75</v>
      </c>
      <c r="M91" s="212"/>
      <c r="N91" s="141">
        <v>44743</v>
      </c>
      <c r="O91" s="206"/>
    </row>
    <row r="92" spans="1:18" x14ac:dyDescent="0.25">
      <c r="A92" t="s">
        <v>0</v>
      </c>
      <c r="B92" s="2" t="s">
        <v>314</v>
      </c>
      <c r="C92" t="s">
        <v>21</v>
      </c>
      <c r="D92" t="s">
        <v>3</v>
      </c>
      <c r="E92" s="36" t="s">
        <v>315</v>
      </c>
      <c r="F92" t="s">
        <v>316</v>
      </c>
      <c r="G92" t="s">
        <v>317</v>
      </c>
      <c r="H92" s="2" t="s">
        <v>318</v>
      </c>
      <c r="I92" t="s">
        <v>22</v>
      </c>
      <c r="J92" t="s">
        <v>319</v>
      </c>
      <c r="K92" t="s">
        <v>1</v>
      </c>
      <c r="L92" t="s">
        <v>320</v>
      </c>
      <c r="M92" t="s">
        <v>45</v>
      </c>
      <c r="N92" t="s">
        <v>321</v>
      </c>
      <c r="O92" t="s">
        <v>322</v>
      </c>
      <c r="Q92" t="s">
        <v>323</v>
      </c>
      <c r="R92" t="s">
        <v>324</v>
      </c>
    </row>
    <row r="93" spans="1:18" x14ac:dyDescent="0.25">
      <c r="A93" t="str">
        <f>TableOSCUPLGEO[[#This Row],[Study Package Code]]</f>
        <v>URDE1008</v>
      </c>
      <c r="B93" s="2">
        <f>TableOSCUPLGEO[[#This Row],[Ver]]</f>
        <v>1</v>
      </c>
      <c r="C93" t="str">
        <f>IF(TableOSCUPLGEO[[#This Row],[Ver]]&gt;0,_xlfn.TEXTBEFORE(TableOSCUPLGEO[[#This Row],[Structure Line]]," "),"")</f>
        <v>URP110</v>
      </c>
      <c r="D93" t="str">
        <f>IF(TableOSCUPLGEO[[#This Row],[OUA Code]]&lt;&gt;"",_xlfn.TEXTAFTER(TableOSCUPLGEO[[#This Row],[Structure Line]]," "),TableOSCUPLGEO[[#This Row],[Structure Line]])</f>
        <v>Introduction to Planning</v>
      </c>
      <c r="E93" s="36">
        <f>TableOSCUPLGEO[[#This Row],[Credit Points]]</f>
        <v>25</v>
      </c>
      <c r="F93">
        <v>1</v>
      </c>
      <c r="G93" t="s">
        <v>325</v>
      </c>
      <c r="H93" s="2">
        <v>1</v>
      </c>
      <c r="I93" t="s">
        <v>326</v>
      </c>
      <c r="J93" t="s">
        <v>152</v>
      </c>
      <c r="K93" s="45">
        <v>1</v>
      </c>
      <c r="L93" s="45" t="s">
        <v>361</v>
      </c>
      <c r="M93" s="45">
        <v>25</v>
      </c>
      <c r="N93" s="106">
        <v>42979</v>
      </c>
      <c r="O93" s="106"/>
      <c r="Q93" t="s">
        <v>152</v>
      </c>
      <c r="R93">
        <v>1</v>
      </c>
    </row>
    <row r="94" spans="1:18" x14ac:dyDescent="0.25">
      <c r="A94" t="str">
        <f>TableOSCUPLGEO[[#This Row],[Study Package Code]]</f>
        <v>URDE1007</v>
      </c>
      <c r="B94" s="2">
        <f>TableOSCUPLGEO[[#This Row],[Ver]]</f>
        <v>1</v>
      </c>
      <c r="C94" t="str">
        <f>IF(TableOSCUPLGEO[[#This Row],[Ver]]&gt;0,_xlfn.TEXTBEFORE(TableOSCUPLGEO[[#This Row],[Structure Line]]," "),"")</f>
        <v>URP100</v>
      </c>
      <c r="D94" t="str">
        <f>IF(TableOSCUPLGEO[[#This Row],[OUA Code]]&lt;&gt;"",_xlfn.TEXTAFTER(TableOSCUPLGEO[[#This Row],[Structure Line]]," "),TableOSCUPLGEO[[#This Row],[Structure Line]])</f>
        <v>Governance for Planning</v>
      </c>
      <c r="E94" s="36">
        <f>TableOSCUPLGEO[[#This Row],[Credit Points]]</f>
        <v>25</v>
      </c>
      <c r="F94">
        <v>2</v>
      </c>
      <c r="G94" t="s">
        <v>325</v>
      </c>
      <c r="H94" s="2">
        <v>1</v>
      </c>
      <c r="I94" t="s">
        <v>326</v>
      </c>
      <c r="J94" t="s">
        <v>146</v>
      </c>
      <c r="K94" s="45">
        <v>1</v>
      </c>
      <c r="L94" s="45" t="s">
        <v>362</v>
      </c>
      <c r="M94" s="45">
        <v>25</v>
      </c>
      <c r="N94" s="106">
        <v>42979</v>
      </c>
      <c r="O94" s="106"/>
      <c r="Q94" t="s">
        <v>146</v>
      </c>
      <c r="R94">
        <v>1</v>
      </c>
    </row>
    <row r="95" spans="1:18" x14ac:dyDescent="0.25">
      <c r="A95" t="str">
        <f>TableOSCUPLGEO[[#This Row],[Study Package Code]]</f>
        <v>PHGY3001</v>
      </c>
      <c r="B95" s="2">
        <f>TableOSCUPLGEO[[#This Row],[Ver]]</f>
        <v>3</v>
      </c>
      <c r="C95" t="str">
        <f>IF(TableOSCUPLGEO[[#This Row],[Ver]]&gt;0,_xlfn.TEXTBEFORE(TableOSCUPLGEO[[#This Row],[Structure Line]]," "),"")</f>
        <v>GPH311</v>
      </c>
      <c r="D95" t="str">
        <f>IF(TableOSCUPLGEO[[#This Row],[OUA Code]]&lt;&gt;"",_xlfn.TEXTAFTER(TableOSCUPLGEO[[#This Row],[Structure Line]]," "),TableOSCUPLGEO[[#This Row],[Structure Line]])</f>
        <v>Cultural Landscapes</v>
      </c>
      <c r="E95" s="36">
        <f>TableOSCUPLGEO[[#This Row],[Credit Points]]</f>
        <v>25</v>
      </c>
      <c r="F95">
        <v>3</v>
      </c>
      <c r="G95" t="s">
        <v>325</v>
      </c>
      <c r="H95" s="2">
        <v>3</v>
      </c>
      <c r="I95" t="s">
        <v>326</v>
      </c>
      <c r="J95" t="s">
        <v>157</v>
      </c>
      <c r="K95" s="45">
        <v>3</v>
      </c>
      <c r="L95" s="45" t="s">
        <v>363</v>
      </c>
      <c r="M95" s="45">
        <v>25</v>
      </c>
      <c r="N95" s="106">
        <v>44562</v>
      </c>
      <c r="O95" s="106"/>
      <c r="Q95" t="s">
        <v>157</v>
      </c>
      <c r="R95">
        <v>3</v>
      </c>
    </row>
    <row r="96" spans="1:18" x14ac:dyDescent="0.25">
      <c r="A96" t="str">
        <f>TableOSCUPLGEO[[#This Row],[Study Package Code]]</f>
        <v>AC-PLGEO</v>
      </c>
      <c r="B96" s="2">
        <f>TableOSCUPLGEO[[#This Row],[Ver]]</f>
        <v>0</v>
      </c>
      <c r="C96" t="str">
        <f>IF(TableOSCUPLGEO[[#This Row],[Ver]]&gt;0,_xlfn.TEXTBEFORE(TableOSCUPLGEO[[#This Row],[Structure Line]]," "),"")</f>
        <v/>
      </c>
      <c r="D96" t="str">
        <f>IF(TableOSCUPLGEO[[#This Row],[OUA Code]]&lt;&gt;"",_xlfn.TEXTAFTER(TableOSCUPLGEO[[#This Row],[Structure Line]]," "),TableOSCUPLGEO[[#This Row],[Structure Line]])</f>
        <v>Choose WORK3002 or GEOG3002</v>
      </c>
      <c r="E96" s="36">
        <f>TableOSCUPLGEO[[#This Row],[Credit Points]]</f>
        <v>25</v>
      </c>
      <c r="F96">
        <v>4</v>
      </c>
      <c r="G96" t="s">
        <v>353</v>
      </c>
      <c r="H96" s="2">
        <v>3</v>
      </c>
      <c r="I96" t="s">
        <v>326</v>
      </c>
      <c r="J96" t="s">
        <v>164</v>
      </c>
      <c r="K96" s="45">
        <v>0</v>
      </c>
      <c r="L96" s="45" t="s">
        <v>364</v>
      </c>
      <c r="M96" s="45">
        <v>25</v>
      </c>
      <c r="N96" s="106"/>
      <c r="O96" s="106"/>
      <c r="Q96" t="s">
        <v>164</v>
      </c>
      <c r="R96">
        <v>0</v>
      </c>
    </row>
    <row r="97" spans="1:18" x14ac:dyDescent="0.25">
      <c r="A97" t="str">
        <f>TableOSCUPLGEO[[#This Row],[Study Package Code]]</f>
        <v>GEOG3002</v>
      </c>
      <c r="B97" s="2">
        <f>TableOSCUPLGEO[[#This Row],[Ver]]</f>
        <v>2</v>
      </c>
      <c r="C97" t="str">
        <f>IF(TableOSCUPLGEO[[#This Row],[Ver]]&gt;0,_xlfn.TEXTBEFORE(TableOSCUPLGEO[[#This Row],[Structure Line]]," "),"")</f>
        <v>GPH320</v>
      </c>
      <c r="D97" t="str">
        <f>IF(TableOSCUPLGEO[[#This Row],[OUA Code]]&lt;&gt;"",_xlfn.TEXTAFTER(TableOSCUPLGEO[[#This Row],[Structure Line]]," "),TableOSCUPLGEO[[#This Row],[Structure Line]])</f>
        <v>Urban Geographies</v>
      </c>
      <c r="E97" s="36">
        <f>TableOSCUPLGEO[[#This Row],[Credit Points]]</f>
        <v>25</v>
      </c>
      <c r="F97">
        <v>4</v>
      </c>
      <c r="G97" t="s">
        <v>353</v>
      </c>
      <c r="H97" s="2">
        <v>3</v>
      </c>
      <c r="I97" t="s">
        <v>326</v>
      </c>
      <c r="J97" t="s">
        <v>169</v>
      </c>
      <c r="K97" s="45">
        <v>2</v>
      </c>
      <c r="L97" s="45" t="s">
        <v>365</v>
      </c>
      <c r="M97" s="45">
        <v>25</v>
      </c>
      <c r="N97" s="106">
        <v>44562</v>
      </c>
      <c r="O97" s="106"/>
      <c r="Q97" t="s">
        <v>169</v>
      </c>
      <c r="R97">
        <v>2</v>
      </c>
    </row>
    <row r="98" spans="1:18" x14ac:dyDescent="0.25">
      <c r="A98" t="str">
        <f>TableOSCUPLGEO[[#This Row],[Study Package Code]]</f>
        <v>WORK3002</v>
      </c>
      <c r="B98" s="2">
        <f>TableOSCUPLGEO[[#This Row],[Ver]]</f>
        <v>1</v>
      </c>
      <c r="C98" t="str">
        <f>IF(TableOSCUPLGEO[[#This Row],[Ver]]&gt;0,_xlfn.TEXTBEFORE(TableOSCUPLGEO[[#This Row],[Structure Line]]," "),"")</f>
        <v>WBP300</v>
      </c>
      <c r="D98" t="str">
        <f>IF(TableOSCUPLGEO[[#This Row],[OUA Code]]&lt;&gt;"",_xlfn.TEXTAFTER(TableOSCUPLGEO[[#This Row],[Structure Line]]," "),TableOSCUPLGEO[[#This Row],[Structure Line]])</f>
        <v>Work Based Project</v>
      </c>
      <c r="E98" s="36">
        <f>TableOSCUPLGEO[[#This Row],[Credit Points]]</f>
        <v>25</v>
      </c>
      <c r="F98">
        <v>4</v>
      </c>
      <c r="G98" t="s">
        <v>353</v>
      </c>
      <c r="H98" s="2">
        <v>3</v>
      </c>
      <c r="I98" t="s">
        <v>326</v>
      </c>
      <c r="J98" t="s">
        <v>171</v>
      </c>
      <c r="K98" s="45">
        <v>1</v>
      </c>
      <c r="L98" s="45" t="s">
        <v>355</v>
      </c>
      <c r="M98" s="45">
        <v>25</v>
      </c>
      <c r="N98" s="106">
        <v>44287</v>
      </c>
      <c r="O98" s="106"/>
      <c r="Q98" t="s">
        <v>171</v>
      </c>
      <c r="R98">
        <v>1</v>
      </c>
    </row>
    <row r="99" spans="1:18" x14ac:dyDescent="0.25">
      <c r="B99"/>
      <c r="E99"/>
      <c r="F99" s="202"/>
      <c r="G99" s="205" t="s">
        <v>313</v>
      </c>
      <c r="H99" s="207">
        <v>45968</v>
      </c>
      <c r="I99" s="212"/>
      <c r="J99" s="202" t="s">
        <v>69</v>
      </c>
      <c r="K99" s="204">
        <v>1</v>
      </c>
      <c r="L99" s="202" t="s">
        <v>68</v>
      </c>
      <c r="M99" s="212"/>
      <c r="N99" s="141">
        <v>45292</v>
      </c>
      <c r="O99" s="206"/>
    </row>
    <row r="100" spans="1:18" x14ac:dyDescent="0.25">
      <c r="A100" t="s">
        <v>0</v>
      </c>
      <c r="B100" s="2" t="s">
        <v>314</v>
      </c>
      <c r="C100" t="s">
        <v>21</v>
      </c>
      <c r="D100" t="s">
        <v>3</v>
      </c>
      <c r="E100" s="36" t="s">
        <v>315</v>
      </c>
      <c r="F100" t="s">
        <v>316</v>
      </c>
      <c r="G100" t="s">
        <v>317</v>
      </c>
      <c r="H100" s="2" t="s">
        <v>318</v>
      </c>
      <c r="I100" t="s">
        <v>22</v>
      </c>
      <c r="J100" t="s">
        <v>319</v>
      </c>
      <c r="K100" t="s">
        <v>1</v>
      </c>
      <c r="L100" t="s">
        <v>320</v>
      </c>
      <c r="M100" t="s">
        <v>45</v>
      </c>
      <c r="N100" t="s">
        <v>321</v>
      </c>
      <c r="O100" t="s">
        <v>322</v>
      </c>
      <c r="Q100" t="s">
        <v>323</v>
      </c>
      <c r="R100" t="s">
        <v>324</v>
      </c>
    </row>
    <row r="101" spans="1:18" x14ac:dyDescent="0.25">
      <c r="A101" t="str">
        <f>TableOSEUARCHT[[#This Row],[Study Package Code]]</f>
        <v>ARCH1009</v>
      </c>
      <c r="B101" s="2">
        <f>TableOSEUARCHT[[#This Row],[Ver]]</f>
        <v>2</v>
      </c>
      <c r="C101" t="str">
        <f>IF(TableOSEUARCHT[[#This Row],[Ver]]&gt;0,_xlfn.TEXTBEFORE(TableOSEUARCHT[[#This Row],[Structure Line]]," "),"")</f>
        <v>BAS120</v>
      </c>
      <c r="D101" t="str">
        <f>IF(TableOSEUARCHT[[#This Row],[OUA Code]]&lt;&gt;"",_xlfn.TEXTAFTER(TableOSEUARCHT[[#This Row],[Structure Line]]," "),TableOSEUARCHT[[#This Row],[Structure Line]])</f>
        <v>Sustainability and Structures in Architecture</v>
      </c>
      <c r="E101" s="36">
        <f>TableOSEUARCHT[[#This Row],[Credit Points]]</f>
        <v>25</v>
      </c>
      <c r="F101">
        <v>1</v>
      </c>
      <c r="G101" t="s">
        <v>325</v>
      </c>
      <c r="H101" s="2">
        <v>0</v>
      </c>
      <c r="I101" t="s">
        <v>326</v>
      </c>
      <c r="J101" t="s">
        <v>149</v>
      </c>
      <c r="K101" s="45">
        <v>2</v>
      </c>
      <c r="L101" s="45" t="s">
        <v>366</v>
      </c>
      <c r="M101" s="45">
        <v>25</v>
      </c>
      <c r="N101" s="106">
        <v>44562</v>
      </c>
      <c r="O101" s="106"/>
      <c r="Q101" t="s">
        <v>149</v>
      </c>
      <c r="R101">
        <v>2</v>
      </c>
    </row>
    <row r="102" spans="1:18" x14ac:dyDescent="0.25">
      <c r="A102" t="str">
        <f>TableOSEUARCHT[[#This Row],[Study Package Code]]</f>
        <v>ARCH1026</v>
      </c>
      <c r="B102" s="2">
        <f>TableOSEUARCHT[[#This Row],[Ver]]</f>
        <v>2</v>
      </c>
      <c r="C102" t="str">
        <f>IF(TableOSEUARCHT[[#This Row],[Ver]]&gt;0,_xlfn.TEXTBEFORE(TableOSEUARCHT[[#This Row],[Structure Line]]," "),"")</f>
        <v>BAS150</v>
      </c>
      <c r="D102" t="str">
        <f>IF(TableOSEUARCHT[[#This Row],[OUA Code]]&lt;&gt;"",_xlfn.TEXTAFTER(TableOSEUARCHT[[#This Row],[Structure Line]]," "),TableOSEUARCHT[[#This Row],[Structure Line]])</f>
        <v>Architectural Science in Context</v>
      </c>
      <c r="E102" s="36">
        <f>TableOSEUARCHT[[#This Row],[Credit Points]]</f>
        <v>25</v>
      </c>
      <c r="F102">
        <v>2</v>
      </c>
      <c r="G102" t="s">
        <v>325</v>
      </c>
      <c r="H102" s="2">
        <v>0</v>
      </c>
      <c r="I102" t="s">
        <v>326</v>
      </c>
      <c r="J102" t="s">
        <v>144</v>
      </c>
      <c r="K102" s="45">
        <v>2</v>
      </c>
      <c r="L102" s="45" t="s">
        <v>367</v>
      </c>
      <c r="M102" s="45">
        <v>25</v>
      </c>
      <c r="N102" s="106">
        <v>44562</v>
      </c>
      <c r="O102" s="106"/>
      <c r="Q102" t="s">
        <v>144</v>
      </c>
      <c r="R102">
        <v>2</v>
      </c>
    </row>
    <row r="103" spans="1:18" x14ac:dyDescent="0.25">
      <c r="A103" t="str">
        <f>TableOSEUARCHT[[#This Row],[Study Package Code]]</f>
        <v>ARCH2031</v>
      </c>
      <c r="B103" s="2">
        <f>TableOSEUARCHT[[#This Row],[Ver]]</f>
        <v>3</v>
      </c>
      <c r="C103" t="str">
        <f>IF(TableOSEUARCHT[[#This Row],[Ver]]&gt;0,_xlfn.TEXTBEFORE(TableOSEUARCHT[[#This Row],[Structure Line]]," "),"")</f>
        <v>BAS205</v>
      </c>
      <c r="D103" t="str">
        <f>IF(TableOSEUARCHT[[#This Row],[OUA Code]]&lt;&gt;"",_xlfn.TEXTAFTER(TableOSEUARCHT[[#This Row],[Structure Line]]," "),TableOSEUARCHT[[#This Row],[Structure Line]])</f>
        <v>Architecture Methods 2A - Digital Fabrication</v>
      </c>
      <c r="E103" s="36">
        <f>TableOSEUARCHT[[#This Row],[Credit Points]]</f>
        <v>25</v>
      </c>
      <c r="F103">
        <v>3</v>
      </c>
      <c r="G103" t="s">
        <v>325</v>
      </c>
      <c r="H103" s="2">
        <v>0</v>
      </c>
      <c r="I103" t="s">
        <v>326</v>
      </c>
      <c r="J103" t="s">
        <v>155</v>
      </c>
      <c r="K103" s="45">
        <v>3</v>
      </c>
      <c r="L103" s="45" t="s">
        <v>368</v>
      </c>
      <c r="M103" s="45">
        <v>25</v>
      </c>
      <c r="N103" s="106">
        <v>44562</v>
      </c>
      <c r="O103" s="106"/>
      <c r="Q103" t="s">
        <v>155</v>
      </c>
      <c r="R103">
        <v>3</v>
      </c>
    </row>
    <row r="104" spans="1:18" x14ac:dyDescent="0.25">
      <c r="A104" t="str">
        <f>TableOSEUARCHT[[#This Row],[Study Package Code]]</f>
        <v>Opt-ARCHT</v>
      </c>
      <c r="B104" s="2">
        <f>TableOSEUARCHT[[#This Row],[Ver]]</f>
        <v>0</v>
      </c>
      <c r="C104" t="str">
        <f>IF(TableOSEUARCHT[[#This Row],[Ver]]&gt;0,_xlfn.TEXTBEFORE(TableOSEUARCHT[[#This Row],[Structure Line]]," "),"")</f>
        <v/>
      </c>
      <c r="D104" t="str">
        <f>IF(TableOSEUARCHT[[#This Row],[OUA Code]]&lt;&gt;"",_xlfn.TEXTAFTER(TableOSEUARCHT[[#This Row],[Structure Line]]," "),TableOSEUARCHT[[#This Row],[Structure Line]])</f>
        <v>Choose an Option</v>
      </c>
      <c r="E104" s="36">
        <f>TableOSEUARCHT[[#This Row],[Credit Points]]</f>
        <v>25</v>
      </c>
      <c r="F104">
        <v>4</v>
      </c>
      <c r="G104" t="s">
        <v>352</v>
      </c>
      <c r="H104" s="2">
        <v>0</v>
      </c>
      <c r="I104" t="s">
        <v>326</v>
      </c>
      <c r="J104" t="s">
        <v>162</v>
      </c>
      <c r="K104" s="45">
        <v>0</v>
      </c>
      <c r="L104" s="45" t="s">
        <v>369</v>
      </c>
      <c r="M104" s="45">
        <v>25</v>
      </c>
      <c r="N104" s="106"/>
      <c r="O104" s="106"/>
      <c r="Q104" t="s">
        <v>162</v>
      </c>
      <c r="R104">
        <v>0</v>
      </c>
    </row>
    <row r="105" spans="1:18" x14ac:dyDescent="0.25">
      <c r="A105" t="str">
        <f>TableOSEUARCHT[[#This Row],[Study Package Code]]</f>
        <v>ARCH2016</v>
      </c>
      <c r="B105" s="2">
        <f>TableOSEUARCHT[[#This Row],[Ver]]</f>
        <v>2</v>
      </c>
      <c r="C105" t="str">
        <f>IF(TableOSEUARCHT[[#This Row],[Ver]]&gt;0,_xlfn.TEXTBEFORE(TableOSEUARCHT[[#This Row],[Structure Line]]," "),"")</f>
        <v>BAS240</v>
      </c>
      <c r="D105" t="str">
        <f>IF(TableOSEUARCHT[[#This Row],[OUA Code]]&lt;&gt;"",_xlfn.TEXTAFTER(TableOSEUARCHT[[#This Row],[Structure Line]]," "),TableOSEUARCHT[[#This Row],[Structure Line]])</f>
        <v>Architectural Documentation and Detailing</v>
      </c>
      <c r="E105" s="36">
        <f>TableOSEUARCHT[[#This Row],[Credit Points]]</f>
        <v>25</v>
      </c>
      <c r="F105">
        <v>4</v>
      </c>
      <c r="G105" t="s">
        <v>352</v>
      </c>
      <c r="H105" s="2">
        <v>0</v>
      </c>
      <c r="I105" t="s">
        <v>326</v>
      </c>
      <c r="J105" t="s">
        <v>167</v>
      </c>
      <c r="K105" s="45">
        <v>2</v>
      </c>
      <c r="L105" s="45" t="s">
        <v>370</v>
      </c>
      <c r="M105" s="45">
        <v>25</v>
      </c>
      <c r="N105" s="106">
        <v>44562</v>
      </c>
      <c r="O105" s="106"/>
      <c r="Q105" t="s">
        <v>167</v>
      </c>
      <c r="R105">
        <v>2</v>
      </c>
    </row>
    <row r="106" spans="1:18" x14ac:dyDescent="0.25">
      <c r="A106" t="str">
        <f>TableOSEUARCHT[[#This Row],[Study Package Code]]</f>
        <v>ARCH2026</v>
      </c>
      <c r="B106" s="2">
        <f>TableOSEUARCHT[[#This Row],[Ver]]</f>
        <v>3</v>
      </c>
      <c r="C106" t="str">
        <f>IF(TableOSEUARCHT[[#This Row],[Ver]]&gt;0,_xlfn.TEXTBEFORE(TableOSEUARCHT[[#This Row],[Structure Line]]," "),"")</f>
        <v>BAS230</v>
      </c>
      <c r="D106" t="str">
        <f>IF(TableOSEUARCHT[[#This Row],[OUA Code]]&lt;&gt;"",_xlfn.TEXTAFTER(TableOSEUARCHT[[#This Row],[Structure Line]]," "),TableOSEUARCHT[[#This Row],[Structure Line]])</f>
        <v>Architecture Design Studio 2B - Regional Studio</v>
      </c>
      <c r="E106" s="36">
        <f>TableOSEUARCHT[[#This Row],[Credit Points]]</f>
        <v>25</v>
      </c>
      <c r="F106">
        <v>4</v>
      </c>
      <c r="G106" t="s">
        <v>352</v>
      </c>
      <c r="H106" s="2">
        <v>0</v>
      </c>
      <c r="I106" t="s">
        <v>326</v>
      </c>
      <c r="J106" t="s">
        <v>172</v>
      </c>
      <c r="K106" s="45">
        <v>3</v>
      </c>
      <c r="L106" s="45" t="s">
        <v>371</v>
      </c>
      <c r="M106" s="45">
        <v>25</v>
      </c>
      <c r="N106" s="106">
        <v>44562</v>
      </c>
      <c r="O106" s="106"/>
      <c r="Q106" t="s">
        <v>172</v>
      </c>
      <c r="R106">
        <v>3</v>
      </c>
    </row>
    <row r="107" spans="1:18" x14ac:dyDescent="0.25">
      <c r="A107" t="str">
        <f>TableOSEUARCHT[[#This Row],[Study Package Code]]</f>
        <v>ARCH3016</v>
      </c>
      <c r="B107" s="2">
        <f>TableOSEUARCHT[[#This Row],[Ver]]</f>
        <v>1</v>
      </c>
      <c r="C107" t="str">
        <f>IF(TableOSEUARCHT[[#This Row],[Ver]]&gt;0,_xlfn.TEXTBEFORE(TableOSEUARCHT[[#This Row],[Structure Line]]," "),"")</f>
        <v>BAS320</v>
      </c>
      <c r="D107" t="str">
        <f>IF(TableOSEUARCHT[[#This Row],[OUA Code]]&lt;&gt;"",_xlfn.TEXTAFTER(TableOSEUARCHT[[#This Row],[Structure Line]]," "),TableOSEUARCHT[[#This Row],[Structure Line]])</f>
        <v>Urban Contexts</v>
      </c>
      <c r="E107" s="36">
        <f>TableOSEUARCHT[[#This Row],[Credit Points]]</f>
        <v>25</v>
      </c>
      <c r="F107">
        <v>4</v>
      </c>
      <c r="G107" t="s">
        <v>352</v>
      </c>
      <c r="H107" s="2">
        <v>0</v>
      </c>
      <c r="I107" t="s">
        <v>326</v>
      </c>
      <c r="J107" t="s">
        <v>174</v>
      </c>
      <c r="K107" s="45">
        <v>1</v>
      </c>
      <c r="L107" s="45" t="s">
        <v>372</v>
      </c>
      <c r="M107" s="45">
        <v>25</v>
      </c>
      <c r="N107" s="106">
        <v>42005</v>
      </c>
      <c r="O107" s="106"/>
      <c r="Q107" t="s">
        <v>174</v>
      </c>
      <c r="R107">
        <v>1</v>
      </c>
    </row>
    <row r="108" spans="1:18" x14ac:dyDescent="0.25">
      <c r="A108" t="str">
        <f>TableOSEUARCHT[[#This Row],[Study Package Code]]</f>
        <v>WORK3002</v>
      </c>
      <c r="B108" s="2">
        <f>TableOSEUARCHT[[#This Row],[Ver]]</f>
        <v>1</v>
      </c>
      <c r="C108" t="str">
        <f>IF(TableOSEUARCHT[[#This Row],[Ver]]&gt;0,_xlfn.TEXTBEFORE(TableOSEUARCHT[[#This Row],[Structure Line]]," "),"")</f>
        <v>WBP300</v>
      </c>
      <c r="D108" t="str">
        <f>IF(TableOSEUARCHT[[#This Row],[OUA Code]]&lt;&gt;"",_xlfn.TEXTAFTER(TableOSEUARCHT[[#This Row],[Structure Line]]," "),TableOSEUARCHT[[#This Row],[Structure Line]])</f>
        <v>Work Based Project</v>
      </c>
      <c r="E108" s="36">
        <f>TableOSEUARCHT[[#This Row],[Credit Points]]</f>
        <v>25</v>
      </c>
      <c r="F108">
        <v>4</v>
      </c>
      <c r="G108" t="s">
        <v>352</v>
      </c>
      <c r="H108" s="2">
        <v>0</v>
      </c>
      <c r="I108" t="s">
        <v>326</v>
      </c>
      <c r="J108" t="s">
        <v>171</v>
      </c>
      <c r="K108" s="45">
        <v>1</v>
      </c>
      <c r="L108" s="45" t="s">
        <v>355</v>
      </c>
      <c r="M108" s="45">
        <v>25</v>
      </c>
      <c r="N108" s="106">
        <v>44287</v>
      </c>
      <c r="O108" s="106"/>
      <c r="Q108" t="s">
        <v>171</v>
      </c>
      <c r="R108">
        <v>1</v>
      </c>
    </row>
    <row r="109" spans="1:18" x14ac:dyDescent="0.25">
      <c r="H109" s="2"/>
      <c r="K109" s="45"/>
      <c r="L109" s="45"/>
      <c r="M109" s="45"/>
      <c r="N109" s="106"/>
      <c r="O109" s="106"/>
    </row>
    <row r="110" spans="1:18" x14ac:dyDescent="0.25">
      <c r="B110"/>
      <c r="E110"/>
      <c r="F110" s="202"/>
      <c r="G110" s="205" t="s">
        <v>313</v>
      </c>
      <c r="H110" s="207">
        <v>45968</v>
      </c>
      <c r="I110" s="212"/>
      <c r="J110" s="202" t="s">
        <v>373</v>
      </c>
      <c r="K110" s="209">
        <v>2</v>
      </c>
      <c r="L110" s="202" t="s">
        <v>53</v>
      </c>
      <c r="M110" s="212"/>
      <c r="N110" s="210">
        <v>46023</v>
      </c>
      <c r="O110" s="206"/>
    </row>
    <row r="111" spans="1:18" x14ac:dyDescent="0.25">
      <c r="A111" t="s">
        <v>0</v>
      </c>
      <c r="B111" s="2" t="s">
        <v>314</v>
      </c>
      <c r="C111" t="s">
        <v>21</v>
      </c>
      <c r="D111" t="s">
        <v>3</v>
      </c>
      <c r="E111" s="36" t="s">
        <v>315</v>
      </c>
      <c r="F111" t="s">
        <v>316</v>
      </c>
      <c r="G111" t="s">
        <v>317</v>
      </c>
      <c r="H111" s="2" t="s">
        <v>318</v>
      </c>
      <c r="I111" t="s">
        <v>22</v>
      </c>
      <c r="J111" t="s">
        <v>319</v>
      </c>
      <c r="K111" t="s">
        <v>1</v>
      </c>
      <c r="L111" t="s">
        <v>320</v>
      </c>
      <c r="M111" t="s">
        <v>45</v>
      </c>
      <c r="N111" t="s">
        <v>321</v>
      </c>
      <c r="O111" t="s">
        <v>322</v>
      </c>
      <c r="Q111" t="s">
        <v>323</v>
      </c>
      <c r="R111" t="s">
        <v>324</v>
      </c>
    </row>
    <row r="112" spans="1:18" x14ac:dyDescent="0.25">
      <c r="A112" t="str">
        <f>TableOUINDSGN1[[#This Row],[Study Package Code]]</f>
        <v>ARCH1020</v>
      </c>
      <c r="B112" s="2">
        <f>TableOUINDSGN1[[#This Row],[Ver]]</f>
        <v>3</v>
      </c>
      <c r="C112" t="str">
        <f>IF(TableOUINDSGN1[[#This Row],[Ver]]&gt;0,_xlfn.TEXTBEFORE(TableOUINDSGN1[[#This Row],[Structure Line]]," "),"")</f>
        <v>BAS115</v>
      </c>
      <c r="D112" t="str">
        <f>IF(TableOUINDSGN1[[#This Row],[OUA Code]]&lt;&gt;"",_xlfn.TEXTAFTER(TableOUINDSGN1[[#This Row],[Structure Line]]," "),TableOUINDSGN1[[#This Row],[Structure Line]])</f>
        <v>Architecture and Interior Architecture Methods 1A - Analogue Literacy</v>
      </c>
      <c r="E112" s="36">
        <f>TableOUINDSGN1[[#This Row],[Credit Points]]</f>
        <v>25</v>
      </c>
      <c r="F112">
        <v>1</v>
      </c>
      <c r="G112" t="s">
        <v>325</v>
      </c>
      <c r="H112" s="2">
        <v>1</v>
      </c>
      <c r="I112" t="s">
        <v>326</v>
      </c>
      <c r="J112" t="s">
        <v>90</v>
      </c>
      <c r="K112" s="45">
        <v>3</v>
      </c>
      <c r="L112" s="45" t="s">
        <v>327</v>
      </c>
      <c r="M112" s="45">
        <v>25</v>
      </c>
      <c r="N112" s="106">
        <v>44562</v>
      </c>
      <c r="O112" s="106"/>
      <c r="Q112" t="s">
        <v>96</v>
      </c>
      <c r="R112">
        <v>1</v>
      </c>
    </row>
    <row r="113" spans="1:18" x14ac:dyDescent="0.25">
      <c r="A113" t="str">
        <f>TableOUINDSGN1[[#This Row],[Study Package Code]]</f>
        <v>ARCH1024</v>
      </c>
      <c r="B113" s="2">
        <f>TableOUINDSGN1[[#This Row],[Ver]]</f>
        <v>3</v>
      </c>
      <c r="C113" t="str">
        <f>IF(TableOUINDSGN1[[#This Row],[Ver]]&gt;0,_xlfn.TEXTBEFORE(TableOUINDSGN1[[#This Row],[Structure Line]]," "),"")</f>
        <v>BAS140</v>
      </c>
      <c r="D113" t="str">
        <f>IF(TableOUINDSGN1[[#This Row],[OUA Code]]&lt;&gt;"",_xlfn.TEXTAFTER(TableOUINDSGN1[[#This Row],[Structure Line]]," "),TableOUINDSGN1[[#This Row],[Structure Line]])</f>
        <v>Architecture and Interior Architecture Design Studio 1 - Small Structures</v>
      </c>
      <c r="E113" s="36">
        <f>TableOUINDSGN1[[#This Row],[Credit Points]]</f>
        <v>25</v>
      </c>
      <c r="F113">
        <v>2</v>
      </c>
      <c r="G113" t="s">
        <v>325</v>
      </c>
      <c r="H113" s="2">
        <v>1</v>
      </c>
      <c r="I113" t="s">
        <v>326</v>
      </c>
      <c r="J113" t="s">
        <v>99</v>
      </c>
      <c r="K113" s="45">
        <v>3</v>
      </c>
      <c r="L113" s="45" t="s">
        <v>328</v>
      </c>
      <c r="M113" s="45">
        <v>25</v>
      </c>
      <c r="N113" s="106">
        <v>44562</v>
      </c>
      <c r="O113" s="106"/>
      <c r="Q113" t="s">
        <v>90</v>
      </c>
      <c r="R113">
        <v>3</v>
      </c>
    </row>
    <row r="114" spans="1:18" x14ac:dyDescent="0.25">
      <c r="A114" t="str">
        <f>TableOUINDSGN1[[#This Row],[Study Package Code]]</f>
        <v>ARCH1021</v>
      </c>
      <c r="B114" s="2">
        <f>TableOUINDSGN1[[#This Row],[Ver]]</f>
        <v>3</v>
      </c>
      <c r="C114" t="str">
        <f>IF(TableOUINDSGN1[[#This Row],[Ver]]&gt;0,_xlfn.TEXTBEFORE(TableOUINDSGN1[[#This Row],[Structure Line]]," "),"")</f>
        <v>BAS145</v>
      </c>
      <c r="D114" t="str">
        <f>IF(TableOUINDSGN1[[#This Row],[OUA Code]]&lt;&gt;"",_xlfn.TEXTAFTER(TableOUINDSGN1[[#This Row],[Structure Line]]," "),TableOUINDSGN1[[#This Row],[Structure Line]])</f>
        <v>Architecture and Interior Architecture Methods 1B - Digital Literacy</v>
      </c>
      <c r="E114" s="36">
        <f>TableOUINDSGN1[[#This Row],[Credit Points]]</f>
        <v>25</v>
      </c>
      <c r="F114">
        <v>3</v>
      </c>
      <c r="G114" t="s">
        <v>325</v>
      </c>
      <c r="H114" s="2">
        <v>1</v>
      </c>
      <c r="I114" t="s">
        <v>326</v>
      </c>
      <c r="J114" t="s">
        <v>92</v>
      </c>
      <c r="K114" s="45">
        <v>3</v>
      </c>
      <c r="L114" s="45" t="s">
        <v>329</v>
      </c>
      <c r="M114" s="45">
        <v>25</v>
      </c>
      <c r="N114" s="106">
        <v>44562</v>
      </c>
      <c r="O114" s="106"/>
      <c r="Q114" t="s">
        <v>99</v>
      </c>
      <c r="R114">
        <v>3</v>
      </c>
    </row>
    <row r="115" spans="1:18" x14ac:dyDescent="0.25">
      <c r="A115" t="str">
        <f>TableOUINDSGN1[[#This Row],[Study Package Code]]</f>
        <v>INAR1011</v>
      </c>
      <c r="B115" s="2">
        <f>TableOUINDSGN1[[#This Row],[Ver]]</f>
        <v>4</v>
      </c>
      <c r="C115" t="str">
        <f>IF(TableOUINDSGN1[[#This Row],[Ver]]&gt;0,_xlfn.TEXTBEFORE(TableOUINDSGN1[[#This Row],[Structure Line]]," "),"")</f>
        <v>BIA140</v>
      </c>
      <c r="D115" t="str">
        <f>IF(TableOUINDSGN1[[#This Row],[OUA Code]]&lt;&gt;"",_xlfn.TEXTAFTER(TableOUINDSGN1[[#This Row],[Structure Line]]," "),TableOUINDSGN1[[#This Row],[Structure Line]])</f>
        <v>Interior Architecture Studio - Foundation</v>
      </c>
      <c r="E115" s="36">
        <f>TableOUINDSGN1[[#This Row],[Credit Points]]</f>
        <v>25</v>
      </c>
      <c r="F115">
        <v>4</v>
      </c>
      <c r="G115" t="s">
        <v>325</v>
      </c>
      <c r="H115" s="2">
        <v>1</v>
      </c>
      <c r="I115" t="s">
        <v>326</v>
      </c>
      <c r="J115" t="s">
        <v>97</v>
      </c>
      <c r="K115" s="45">
        <v>4</v>
      </c>
      <c r="L115" s="45" t="s">
        <v>330</v>
      </c>
      <c r="M115" s="45">
        <v>25</v>
      </c>
      <c r="N115" s="106">
        <v>45292</v>
      </c>
      <c r="O115" s="106"/>
      <c r="Q115" t="s">
        <v>92</v>
      </c>
      <c r="R115">
        <v>3</v>
      </c>
    </row>
    <row r="116" spans="1:18" x14ac:dyDescent="0.25">
      <c r="A116" t="str">
        <f>TableOUINDSGN1[[#This Row],[Study Package Code]]</f>
        <v>INAR1015</v>
      </c>
      <c r="B116" s="2">
        <f>TableOUINDSGN1[[#This Row],[Ver]]</f>
        <v>1</v>
      </c>
      <c r="C116" t="str">
        <f>IF(TableOUINDSGN1[[#This Row],[Ver]]&gt;0,_xlfn.TEXTBEFORE(TableOUINDSGN1[[#This Row],[Structure Line]]," "),"")</f>
        <v>BIA170</v>
      </c>
      <c r="D116" t="str">
        <f>IF(TableOUINDSGN1[[#This Row],[OUA Code]]&lt;&gt;"",_xlfn.TEXTAFTER(TableOUINDSGN1[[#This Row],[Structure Line]]," "),TableOUINDSGN1[[#This Row],[Structure Line]])</f>
        <v>History of the Interior</v>
      </c>
      <c r="E116" s="36">
        <f>TableOUINDSGN1[[#This Row],[Credit Points]]</f>
        <v>25</v>
      </c>
      <c r="F116">
        <v>5</v>
      </c>
      <c r="G116" t="s">
        <v>325</v>
      </c>
      <c r="H116" s="2">
        <v>1</v>
      </c>
      <c r="I116" t="s">
        <v>326</v>
      </c>
      <c r="J116" t="s">
        <v>94</v>
      </c>
      <c r="K116" s="45">
        <v>1</v>
      </c>
      <c r="L116" s="45" t="s">
        <v>331</v>
      </c>
      <c r="M116" s="45">
        <v>25</v>
      </c>
      <c r="N116" s="106">
        <v>43101</v>
      </c>
      <c r="O116" s="106"/>
      <c r="Q116" t="s">
        <v>97</v>
      </c>
      <c r="R116">
        <v>4</v>
      </c>
    </row>
    <row r="117" spans="1:18" x14ac:dyDescent="0.25">
      <c r="A117" t="str">
        <f>TableOUINDSGN1[[#This Row],[Study Package Code]]</f>
        <v>ENST1002</v>
      </c>
      <c r="B117" s="2">
        <f>TableOUINDSGN1[[#This Row],[Ver]]</f>
        <v>1</v>
      </c>
      <c r="C117" t="str">
        <f>IF(TableOUINDSGN1[[#This Row],[Ver]]&gt;0,_xlfn.TEXTBEFORE(TableOUINDSGN1[[#This Row],[Structure Line]]," "),"")</f>
        <v>ENST1002</v>
      </c>
      <c r="D117" t="str">
        <f>IF(TableOUINDSGN1[[#This Row],[OUA Code]]&lt;&gt;"",_xlfn.TEXTAFTER(TableOUINDSGN1[[#This Row],[Structure Line]]," "),TableOUINDSGN1[[#This Row],[Structure Line]])</f>
        <v>Sustainability Communication and Action</v>
      </c>
      <c r="E117" s="36">
        <f>TableOUINDSGN1[[#This Row],[Credit Points]]</f>
        <v>25</v>
      </c>
      <c r="F117">
        <v>6</v>
      </c>
      <c r="G117" t="s">
        <v>325</v>
      </c>
      <c r="H117" s="2">
        <v>1</v>
      </c>
      <c r="I117" t="s">
        <v>326</v>
      </c>
      <c r="J117" t="s">
        <v>381</v>
      </c>
      <c r="K117" s="45">
        <v>1</v>
      </c>
      <c r="L117" s="45" t="s">
        <v>382</v>
      </c>
      <c r="M117" s="45">
        <v>25</v>
      </c>
      <c r="N117" s="106">
        <v>46023</v>
      </c>
      <c r="O117" s="106"/>
      <c r="Q117" t="s">
        <v>94</v>
      </c>
      <c r="R117">
        <v>1</v>
      </c>
    </row>
    <row r="118" spans="1:18" x14ac:dyDescent="0.25">
      <c r="A118" t="str">
        <f>TableOUINDSGN1[[#This Row],[Study Package Code]]</f>
        <v>ARCH2029</v>
      </c>
      <c r="B118" s="2">
        <f>TableOUINDSGN1[[#This Row],[Ver]]</f>
        <v>3</v>
      </c>
      <c r="C118" t="str">
        <f>IF(TableOUINDSGN1[[#This Row],[Ver]]&gt;0,_xlfn.TEXTBEFORE(TableOUINDSGN1[[#This Row],[Structure Line]]," "),"")</f>
        <v>BAS200</v>
      </c>
      <c r="D118" t="str">
        <f>IF(TableOUINDSGN1[[#This Row],[OUA Code]]&lt;&gt;"",_xlfn.TEXTAFTER(TableOUINDSGN1[[#This Row],[Structure Line]]," "),TableOUINDSGN1[[#This Row],[Structure Line]])</f>
        <v>Architecture and Interior Architecture Design Studio 2A - Residential Typology and Grammar</v>
      </c>
      <c r="E118" s="36">
        <f>TableOUINDSGN1[[#This Row],[Credit Points]]</f>
        <v>25</v>
      </c>
      <c r="F118">
        <v>7</v>
      </c>
      <c r="G118" t="s">
        <v>325</v>
      </c>
      <c r="H118" s="2">
        <v>2</v>
      </c>
      <c r="I118" t="s">
        <v>326</v>
      </c>
      <c r="J118" t="s">
        <v>105</v>
      </c>
      <c r="K118" s="45">
        <v>3</v>
      </c>
      <c r="L118" s="45" t="s">
        <v>332</v>
      </c>
      <c r="M118" s="45">
        <v>25</v>
      </c>
      <c r="N118" s="106">
        <v>44562</v>
      </c>
      <c r="O118" s="106"/>
      <c r="Q118" t="s">
        <v>105</v>
      </c>
      <c r="R118">
        <v>3</v>
      </c>
    </row>
    <row r="119" spans="1:18" x14ac:dyDescent="0.25">
      <c r="A119" t="str">
        <f>TableOUINDSGN1[[#This Row],[Study Package Code]]</f>
        <v>ARCH2027</v>
      </c>
      <c r="B119" s="2">
        <f>TableOUINDSGN1[[#This Row],[Ver]]</f>
        <v>3</v>
      </c>
      <c r="C119" t="str">
        <f>IF(TableOUINDSGN1[[#This Row],[Ver]]&gt;0,_xlfn.TEXTBEFORE(TableOUINDSGN1[[#This Row],[Structure Line]]," "),"")</f>
        <v>BAS235</v>
      </c>
      <c r="D119" t="str">
        <f>IF(TableOUINDSGN1[[#This Row],[OUA Code]]&lt;&gt;"",_xlfn.TEXTAFTER(TableOUINDSGN1[[#This Row],[Structure Line]]," "),TableOUINDSGN1[[#This Row],[Structure Line]])</f>
        <v>Architecture Methods 2B - Information Visualisation</v>
      </c>
      <c r="E119" s="36">
        <f>TableOUINDSGN1[[#This Row],[Credit Points]]</f>
        <v>25</v>
      </c>
      <c r="F119">
        <v>8</v>
      </c>
      <c r="G119" t="s">
        <v>325</v>
      </c>
      <c r="H119" s="2">
        <v>2</v>
      </c>
      <c r="I119" t="s">
        <v>326</v>
      </c>
      <c r="J119" t="s">
        <v>110</v>
      </c>
      <c r="K119" s="45">
        <v>3</v>
      </c>
      <c r="L119" s="45" t="s">
        <v>333</v>
      </c>
      <c r="M119" s="45">
        <v>25</v>
      </c>
      <c r="N119" s="106">
        <v>44562</v>
      </c>
      <c r="O119" s="106"/>
      <c r="Q119" t="s">
        <v>110</v>
      </c>
      <c r="R119">
        <v>3</v>
      </c>
    </row>
    <row r="120" spans="1:18" x14ac:dyDescent="0.25">
      <c r="A120" t="str">
        <f>TableOUINDSGN1[[#This Row],[Study Package Code]]</f>
        <v>INAR2020</v>
      </c>
      <c r="B120" s="2">
        <f>TableOUINDSGN1[[#This Row],[Ver]]</f>
        <v>2</v>
      </c>
      <c r="C120" t="str">
        <f>IF(TableOUINDSGN1[[#This Row],[Ver]]&gt;0,_xlfn.TEXTBEFORE(TableOUINDSGN1[[#This Row],[Structure Line]]," "),"")</f>
        <v>BIA200</v>
      </c>
      <c r="D120" t="str">
        <f>IF(TableOUINDSGN1[[#This Row],[OUA Code]]&lt;&gt;"",_xlfn.TEXTAFTER(TableOUINDSGN1[[#This Row],[Structure Line]]," "),TableOUINDSGN1[[#This Row],[Structure Line]])</f>
        <v>Interior Architecture Fundamentals</v>
      </c>
      <c r="E120" s="36">
        <f>TableOUINDSGN1[[#This Row],[Credit Points]]</f>
        <v>25</v>
      </c>
      <c r="F120">
        <v>9</v>
      </c>
      <c r="G120" t="s">
        <v>325</v>
      </c>
      <c r="H120" s="2">
        <v>2</v>
      </c>
      <c r="I120" t="s">
        <v>326</v>
      </c>
      <c r="J120" t="s">
        <v>100</v>
      </c>
      <c r="K120" s="45">
        <v>2</v>
      </c>
      <c r="L120" s="45" t="s">
        <v>334</v>
      </c>
      <c r="M120" s="45">
        <v>25</v>
      </c>
      <c r="N120" s="106">
        <v>45292</v>
      </c>
      <c r="O120" s="106"/>
      <c r="Q120" t="s">
        <v>100</v>
      </c>
      <c r="R120">
        <v>2</v>
      </c>
    </row>
    <row r="121" spans="1:18" x14ac:dyDescent="0.25">
      <c r="A121" t="str">
        <f>TableOUINDSGN1[[#This Row],[Study Package Code]]</f>
        <v>INAR2015</v>
      </c>
      <c r="B121" s="2">
        <f>TableOUINDSGN1[[#This Row],[Ver]]</f>
        <v>4</v>
      </c>
      <c r="C121" t="str">
        <f>IF(TableOUINDSGN1[[#This Row],[Ver]]&gt;0,_xlfn.TEXTBEFORE(TableOUINDSGN1[[#This Row],[Structure Line]]," "),"")</f>
        <v>BIA250</v>
      </c>
      <c r="D121" t="str">
        <f>IF(TableOUINDSGN1[[#This Row],[OUA Code]]&lt;&gt;"",_xlfn.TEXTAFTER(TableOUINDSGN1[[#This Row],[Structure Line]]," "),TableOUINDSGN1[[#This Row],[Structure Line]])</f>
        <v>Interior Architecture Studio – Community</v>
      </c>
      <c r="E121" s="36">
        <f>TableOUINDSGN1[[#This Row],[Credit Points]]</f>
        <v>25</v>
      </c>
      <c r="F121">
        <v>10</v>
      </c>
      <c r="G121" t="s">
        <v>325</v>
      </c>
      <c r="H121" s="2">
        <v>2</v>
      </c>
      <c r="I121" t="s">
        <v>326</v>
      </c>
      <c r="J121" t="s">
        <v>108</v>
      </c>
      <c r="K121" s="45">
        <v>4</v>
      </c>
      <c r="L121" s="45" t="s">
        <v>335</v>
      </c>
      <c r="M121" s="45">
        <v>25</v>
      </c>
      <c r="N121" s="106">
        <v>45292</v>
      </c>
      <c r="O121" s="106"/>
      <c r="Q121" t="s">
        <v>108</v>
      </c>
      <c r="R121">
        <v>4</v>
      </c>
    </row>
    <row r="122" spans="1:18" x14ac:dyDescent="0.25">
      <c r="A122" t="str">
        <f>TableOUINDSGN1[[#This Row],[Study Package Code]]</f>
        <v>INAR2023</v>
      </c>
      <c r="B122" s="2">
        <f>TableOUINDSGN1[[#This Row],[Ver]]</f>
        <v>1</v>
      </c>
      <c r="C122" t="str">
        <f>IF(TableOUINDSGN1[[#This Row],[Ver]]&gt;0,_xlfn.TEXTBEFORE(TableOUINDSGN1[[#This Row],[Structure Line]]," "),"")</f>
        <v>BIA280</v>
      </c>
      <c r="D122" t="str">
        <f>IF(TableOUINDSGN1[[#This Row],[OUA Code]]&lt;&gt;"",_xlfn.TEXTAFTER(TableOUINDSGN1[[#This Row],[Structure Line]]," "),TableOUINDSGN1[[#This Row],[Structure Line]])</f>
        <v>Philosophy and Practice</v>
      </c>
      <c r="E122" s="36">
        <f>TableOUINDSGN1[[#This Row],[Credit Points]]</f>
        <v>25</v>
      </c>
      <c r="F122">
        <v>11</v>
      </c>
      <c r="G122" t="s">
        <v>325</v>
      </c>
      <c r="H122" s="2">
        <v>2</v>
      </c>
      <c r="I122" t="s">
        <v>326</v>
      </c>
      <c r="J122" t="s">
        <v>102</v>
      </c>
      <c r="K122" s="45">
        <v>1</v>
      </c>
      <c r="L122" s="45" t="s">
        <v>336</v>
      </c>
      <c r="M122" s="45">
        <v>25</v>
      </c>
      <c r="N122" s="106">
        <v>44562</v>
      </c>
      <c r="O122" s="106"/>
      <c r="Q122" t="s">
        <v>102</v>
      </c>
      <c r="R122">
        <v>1</v>
      </c>
    </row>
    <row r="123" spans="1:18" x14ac:dyDescent="0.25">
      <c r="A123" t="str">
        <f>TableOUINDSGN1[[#This Row],[Study Package Code]]</f>
        <v>GRDE2045</v>
      </c>
      <c r="B123" s="2">
        <f>TableOUINDSGN1[[#This Row],[Ver]]</f>
        <v>1</v>
      </c>
      <c r="C123" t="str">
        <f>IF(TableOUINDSGN1[[#This Row],[Ver]]&gt;0,_xlfn.TEXTBEFORE(TableOUINDSGN1[[#This Row],[Structure Line]]," "),"")</f>
        <v>DSN200</v>
      </c>
      <c r="D123" t="str">
        <f>IF(TableOUINDSGN1[[#This Row],[OUA Code]]&lt;&gt;"",_xlfn.TEXTAFTER(TableOUINDSGN1[[#This Row],[Structure Line]]," "),TableOUINDSGN1[[#This Row],[Structure Line]])</f>
        <v>3D Modelling and Digital Fabrication</v>
      </c>
      <c r="E123" s="36">
        <f>TableOUINDSGN1[[#This Row],[Credit Points]]</f>
        <v>25</v>
      </c>
      <c r="F123">
        <v>12</v>
      </c>
      <c r="G123" t="s">
        <v>325</v>
      </c>
      <c r="H123" s="2">
        <v>2</v>
      </c>
      <c r="I123" t="s">
        <v>326</v>
      </c>
      <c r="J123" t="s">
        <v>101</v>
      </c>
      <c r="K123" s="45">
        <v>1</v>
      </c>
      <c r="L123" s="45" t="s">
        <v>337</v>
      </c>
      <c r="M123" s="45">
        <v>25</v>
      </c>
      <c r="N123" s="106">
        <v>45292</v>
      </c>
      <c r="O123" s="106"/>
      <c r="Q123" t="s">
        <v>101</v>
      </c>
      <c r="R123">
        <v>1</v>
      </c>
    </row>
    <row r="124" spans="1:18" x14ac:dyDescent="0.25">
      <c r="A124" t="str">
        <f>TableOUINDSGN1[[#This Row],[Study Package Code]]</f>
        <v>ARCH3015</v>
      </c>
      <c r="B124" s="2">
        <f>TableOUINDSGN1[[#This Row],[Ver]]</f>
        <v>4</v>
      </c>
      <c r="C124" t="str">
        <f>IF(TableOUINDSGN1[[#This Row],[Ver]]&gt;0,_xlfn.TEXTBEFORE(TableOUINDSGN1[[#This Row],[Structure Line]]," "),"")</f>
        <v>BAS310</v>
      </c>
      <c r="D124" t="str">
        <f>IF(TableOUINDSGN1[[#This Row],[OUA Code]]&lt;&gt;"",_xlfn.TEXTAFTER(TableOUINDSGN1[[#This Row],[Structure Line]]," "),TableOUINDSGN1[[#This Row],[Structure Line]])</f>
        <v>Environmental and Building Systems in Architecture</v>
      </c>
      <c r="E124" s="36">
        <f>TableOUINDSGN1[[#This Row],[Credit Points]]</f>
        <v>25</v>
      </c>
      <c r="F124">
        <v>13</v>
      </c>
      <c r="G124" t="s">
        <v>325</v>
      </c>
      <c r="H124" s="2">
        <v>3</v>
      </c>
      <c r="I124" t="s">
        <v>326</v>
      </c>
      <c r="J124" t="s">
        <v>113</v>
      </c>
      <c r="K124" s="45">
        <v>4</v>
      </c>
      <c r="L124" s="45" t="s">
        <v>338</v>
      </c>
      <c r="M124" s="45">
        <v>25</v>
      </c>
      <c r="N124" s="106">
        <v>44562</v>
      </c>
      <c r="O124" s="106"/>
      <c r="Q124" t="s">
        <v>113</v>
      </c>
      <c r="R124">
        <v>4</v>
      </c>
    </row>
    <row r="125" spans="1:18" x14ac:dyDescent="0.25">
      <c r="A125" t="str">
        <f>TableOUINDSGN1[[#This Row],[Study Package Code]]</f>
        <v>INAR2025</v>
      </c>
      <c r="B125" s="2">
        <f>TableOUINDSGN1[[#This Row],[Ver]]</f>
        <v>1</v>
      </c>
      <c r="C125" t="str">
        <f>IF(TableOUINDSGN1[[#This Row],[Ver]]&gt;0,_xlfn.TEXTBEFORE(TableOUINDSGN1[[#This Row],[Structure Line]]," "),"")</f>
        <v>BIA290</v>
      </c>
      <c r="D125" t="str">
        <f>IF(TableOUINDSGN1[[#This Row],[OUA Code]]&lt;&gt;"",_xlfn.TEXTAFTER(TableOUINDSGN1[[#This Row],[Structure Line]]," "),TableOUINDSGN1[[#This Row],[Structure Line]])</f>
        <v>Design Fabrication</v>
      </c>
      <c r="E125" s="36">
        <f>TableOUINDSGN1[[#This Row],[Credit Points]]</f>
        <v>25</v>
      </c>
      <c r="F125">
        <v>14</v>
      </c>
      <c r="G125" t="s">
        <v>325</v>
      </c>
      <c r="H125" s="2">
        <v>3</v>
      </c>
      <c r="I125" t="s">
        <v>326</v>
      </c>
      <c r="J125" t="s">
        <v>121</v>
      </c>
      <c r="K125" s="45">
        <v>1</v>
      </c>
      <c r="L125" s="45" t="s">
        <v>339</v>
      </c>
      <c r="M125" s="45">
        <v>25</v>
      </c>
      <c r="N125" s="106">
        <v>45292</v>
      </c>
      <c r="O125" s="106"/>
      <c r="Q125" t="s">
        <v>121</v>
      </c>
      <c r="R125">
        <v>1</v>
      </c>
    </row>
    <row r="126" spans="1:18" x14ac:dyDescent="0.25">
      <c r="A126" t="str">
        <f>TableOUINDSGN1[[#This Row],[Study Package Code]]</f>
        <v>INAR3012</v>
      </c>
      <c r="B126" s="2">
        <f>TableOUINDSGN1[[#This Row],[Ver]]</f>
        <v>4</v>
      </c>
      <c r="C126" t="str">
        <f>IF(TableOUINDSGN1[[#This Row],[Ver]]&gt;0,_xlfn.TEXTBEFORE(TableOUINDSGN1[[#This Row],[Structure Line]]," "),"")</f>
        <v>BIA300</v>
      </c>
      <c r="D126" t="str">
        <f>IF(TableOUINDSGN1[[#This Row],[OUA Code]]&lt;&gt;"",_xlfn.TEXTAFTER(TableOUINDSGN1[[#This Row],[Structure Line]]," "),TableOUINDSGN1[[#This Row],[Structure Line]])</f>
        <v>Interior Architecture Studio - Well-being</v>
      </c>
      <c r="E126" s="36">
        <f>TableOUINDSGN1[[#This Row],[Credit Points]]</f>
        <v>25</v>
      </c>
      <c r="F126">
        <v>15</v>
      </c>
      <c r="G126" t="s">
        <v>325</v>
      </c>
      <c r="H126" s="2">
        <v>3</v>
      </c>
      <c r="I126" t="s">
        <v>326</v>
      </c>
      <c r="J126" t="s">
        <v>117</v>
      </c>
      <c r="K126" s="45">
        <v>4</v>
      </c>
      <c r="L126" s="45" t="s">
        <v>340</v>
      </c>
      <c r="M126" s="45">
        <v>25</v>
      </c>
      <c r="N126" s="106">
        <v>45383</v>
      </c>
      <c r="O126" s="106"/>
      <c r="Q126" t="s">
        <v>117</v>
      </c>
      <c r="R126">
        <v>4</v>
      </c>
    </row>
    <row r="127" spans="1:18" x14ac:dyDescent="0.25">
      <c r="A127" t="str">
        <f>TableOUINDSGN1[[#This Row],[Study Package Code]]</f>
        <v>INAR3023</v>
      </c>
      <c r="B127" s="2">
        <f>TableOUINDSGN1[[#This Row],[Ver]]</f>
        <v>1</v>
      </c>
      <c r="C127" t="str">
        <f>IF(TableOUINDSGN1[[#This Row],[Ver]]&gt;0,_xlfn.TEXTBEFORE(TableOUINDSGN1[[#This Row],[Structure Line]]," "),"")</f>
        <v>BIA305</v>
      </c>
      <c r="D127" t="str">
        <f>IF(TableOUINDSGN1[[#This Row],[OUA Code]]&lt;&gt;"",_xlfn.TEXTAFTER(TableOUINDSGN1[[#This Row],[Structure Line]]," "),TableOUINDSGN1[[#This Row],[Structure Line]])</f>
        <v>Interior Architecture Practice 1</v>
      </c>
      <c r="E127" s="36">
        <f>TableOUINDSGN1[[#This Row],[Credit Points]]</f>
        <v>25</v>
      </c>
      <c r="F127">
        <v>16</v>
      </c>
      <c r="G127" t="s">
        <v>325</v>
      </c>
      <c r="H127" s="2">
        <v>3</v>
      </c>
      <c r="I127" t="s">
        <v>326</v>
      </c>
      <c r="J127" t="s">
        <v>112</v>
      </c>
      <c r="K127" s="45">
        <v>1</v>
      </c>
      <c r="L127" s="45" t="s">
        <v>341</v>
      </c>
      <c r="M127" s="45">
        <v>25</v>
      </c>
      <c r="N127" s="106">
        <v>45292</v>
      </c>
      <c r="O127" s="106"/>
      <c r="Q127" t="s">
        <v>112</v>
      </c>
      <c r="R127">
        <v>1</v>
      </c>
    </row>
    <row r="128" spans="1:18" x14ac:dyDescent="0.25">
      <c r="A128" t="str">
        <f>TableOUINDSGN1[[#This Row],[Study Package Code]]</f>
        <v>INAR3025</v>
      </c>
      <c r="B128" s="2">
        <f>TableOUINDSGN1[[#This Row],[Ver]]</f>
        <v>1</v>
      </c>
      <c r="C128" t="str">
        <f>IF(TableOUINDSGN1[[#This Row],[Ver]]&gt;0,_xlfn.TEXTBEFORE(TableOUINDSGN1[[#This Row],[Structure Line]]," "),"")</f>
        <v>BIA315</v>
      </c>
      <c r="D128" t="str">
        <f>IF(TableOUINDSGN1[[#This Row],[OUA Code]]&lt;&gt;"",_xlfn.TEXTAFTER(TableOUINDSGN1[[#This Row],[Structure Line]]," "),TableOUINDSGN1[[#This Row],[Structure Line]])</f>
        <v>Interior Architecture Practice 2</v>
      </c>
      <c r="E128" s="36">
        <f>TableOUINDSGN1[[#This Row],[Credit Points]]</f>
        <v>25</v>
      </c>
      <c r="F128">
        <v>17</v>
      </c>
      <c r="G128" t="s">
        <v>325</v>
      </c>
      <c r="H128" s="2">
        <v>3</v>
      </c>
      <c r="I128" t="s">
        <v>326</v>
      </c>
      <c r="J128" t="s">
        <v>114</v>
      </c>
      <c r="K128" s="45">
        <v>1</v>
      </c>
      <c r="L128" s="45" t="s">
        <v>342</v>
      </c>
      <c r="M128" s="45">
        <v>25</v>
      </c>
      <c r="N128" s="106">
        <v>45292</v>
      </c>
      <c r="O128" s="106"/>
      <c r="Q128" t="s">
        <v>114</v>
      </c>
      <c r="R128">
        <v>1</v>
      </c>
    </row>
    <row r="129" spans="1:18" x14ac:dyDescent="0.25">
      <c r="A129" t="str">
        <f>TableOUINDSGN1[[#This Row],[Study Package Code]]</f>
        <v>INAR3017</v>
      </c>
      <c r="B129" s="2">
        <f>TableOUINDSGN1[[#This Row],[Ver]]</f>
        <v>3</v>
      </c>
      <c r="C129" t="str">
        <f>IF(TableOUINDSGN1[[#This Row],[Ver]]&gt;0,_xlfn.TEXTBEFORE(TableOUINDSGN1[[#This Row],[Structure Line]]," "),"")</f>
        <v>BIA360</v>
      </c>
      <c r="D129" t="str">
        <f>IF(TableOUINDSGN1[[#This Row],[OUA Code]]&lt;&gt;"",_xlfn.TEXTAFTER(TableOUINDSGN1[[#This Row],[Structure Line]]," "),TableOUINDSGN1[[#This Row],[Structure Line]])</f>
        <v>Interior Architecture Studio - Workplace</v>
      </c>
      <c r="E129" s="36">
        <f>TableOUINDSGN1[[#This Row],[Credit Points]]</f>
        <v>25</v>
      </c>
      <c r="F129">
        <v>18</v>
      </c>
      <c r="G129" t="s">
        <v>325</v>
      </c>
      <c r="H129" s="2">
        <v>3</v>
      </c>
      <c r="I129" t="s">
        <v>326</v>
      </c>
      <c r="J129" t="s">
        <v>124</v>
      </c>
      <c r="K129" s="45">
        <v>3</v>
      </c>
      <c r="L129" s="45" t="s">
        <v>343</v>
      </c>
      <c r="M129" s="45">
        <v>25</v>
      </c>
      <c r="N129" s="106">
        <v>45292</v>
      </c>
      <c r="O129" s="106"/>
      <c r="Q129" t="s">
        <v>124</v>
      </c>
      <c r="R129">
        <v>3</v>
      </c>
    </row>
    <row r="130" spans="1:18" x14ac:dyDescent="0.25">
      <c r="A130" t="str">
        <f>TableOUINDSGN1[[#This Row],[Study Package Code]]</f>
        <v>INAR3021</v>
      </c>
      <c r="B130" s="2">
        <f>TableOUINDSGN1[[#This Row],[Ver]]</f>
        <v>1</v>
      </c>
      <c r="C130" t="str">
        <f>IF(TableOUINDSGN1[[#This Row],[Ver]]&gt;0,_xlfn.TEXTBEFORE(TableOUINDSGN1[[#This Row],[Structure Line]]," "),"")</f>
        <v>BIA390</v>
      </c>
      <c r="D130" t="str">
        <f>IF(TableOUINDSGN1[[#This Row],[OUA Code]]&lt;&gt;"",_xlfn.TEXTAFTER(TableOUINDSGN1[[#This Row],[Structure Line]]," "),TableOUINDSGN1[[#This Row],[Structure Line]])</f>
        <v>Furniture Design</v>
      </c>
      <c r="E130" s="36">
        <f>TableOUINDSGN1[[#This Row],[Credit Points]]</f>
        <v>25</v>
      </c>
      <c r="F130">
        <v>19</v>
      </c>
      <c r="G130" t="s">
        <v>325</v>
      </c>
      <c r="H130" s="2">
        <v>3</v>
      </c>
      <c r="I130" t="s">
        <v>326</v>
      </c>
      <c r="J130" t="s">
        <v>123</v>
      </c>
      <c r="K130" s="45">
        <v>1</v>
      </c>
      <c r="L130" s="45" t="s">
        <v>344</v>
      </c>
      <c r="M130" s="45">
        <v>25</v>
      </c>
      <c r="N130" s="106">
        <v>45292</v>
      </c>
      <c r="O130" s="106"/>
      <c r="Q130" t="s">
        <v>123</v>
      </c>
      <c r="R130">
        <v>1</v>
      </c>
    </row>
    <row r="131" spans="1:18" x14ac:dyDescent="0.25">
      <c r="A131" t="str">
        <f>TableOUINDSGN1[[#This Row],[Study Package Code]]</f>
        <v>URDE3011</v>
      </c>
      <c r="B131" s="2">
        <f>TableOUINDSGN1[[#This Row],[Ver]]</f>
        <v>1</v>
      </c>
      <c r="C131" t="str">
        <f>IF(TableOUINDSGN1[[#This Row],[Ver]]&gt;0,_xlfn.TEXTBEFORE(TableOUINDSGN1[[#This Row],[Structure Line]]," "),"")</f>
        <v>DBE300</v>
      </c>
      <c r="D131" t="str">
        <f>IF(TableOUINDSGN1[[#This Row],[OUA Code]]&lt;&gt;"",_xlfn.TEXTAFTER(TableOUINDSGN1[[#This Row],[Structure Line]]," "),TableOUINDSGN1[[#This Row],[Structure Line]])</f>
        <v>Design and Built Environment Research Methods</v>
      </c>
      <c r="E131" s="36">
        <f>TableOUINDSGN1[[#This Row],[Credit Points]]</f>
        <v>25</v>
      </c>
      <c r="F131">
        <v>20</v>
      </c>
      <c r="G131" t="s">
        <v>325</v>
      </c>
      <c r="H131" s="2">
        <v>3</v>
      </c>
      <c r="I131" t="s">
        <v>326</v>
      </c>
      <c r="J131" t="s">
        <v>119</v>
      </c>
      <c r="K131" s="45">
        <v>1</v>
      </c>
      <c r="L131" s="45" t="s">
        <v>345</v>
      </c>
      <c r="M131" s="45">
        <v>25</v>
      </c>
      <c r="N131" s="106">
        <v>44562</v>
      </c>
      <c r="O131" s="106"/>
      <c r="Q131" t="s">
        <v>119</v>
      </c>
      <c r="R131">
        <v>1</v>
      </c>
    </row>
    <row r="132" spans="1:18" x14ac:dyDescent="0.25">
      <c r="A132" t="str">
        <f>TableOUINDSGN1[[#This Row],[Study Package Code]]</f>
        <v>Specialisation</v>
      </c>
      <c r="B132" s="2">
        <f>TableOUINDSGN1[[#This Row],[Ver]]</f>
        <v>0</v>
      </c>
      <c r="C132" t="str">
        <f>IF(TableOUINDSGN1[[#This Row],[Ver]]&gt;0,_xlfn.TEXTBEFORE(TableOUINDSGN1[[#This Row],[Structure Line]]," "),"")</f>
        <v/>
      </c>
      <c r="D132" t="str">
        <f>IF(TableOUINDSGN1[[#This Row],[OUA Code]]&lt;&gt;"",_xlfn.TEXTAFTER(TableOUINDSGN1[[#This Row],[Structure Line]]," "),TableOUINDSGN1[[#This Row],[Structure Line]])</f>
        <v>Choose a Specialisation</v>
      </c>
      <c r="E132" s="36">
        <f>TableOUINDSGN1[[#This Row],[Credit Points]]</f>
        <v>0</v>
      </c>
      <c r="F132">
        <v>21</v>
      </c>
      <c r="G132" t="s">
        <v>352</v>
      </c>
      <c r="H132" s="2">
        <v>0</v>
      </c>
      <c r="I132" t="s">
        <v>326</v>
      </c>
      <c r="J132" t="s">
        <v>302</v>
      </c>
      <c r="K132" s="45">
        <v>0</v>
      </c>
      <c r="L132" s="45" t="s">
        <v>303</v>
      </c>
      <c r="M132" s="45"/>
      <c r="N132" s="106"/>
      <c r="O132" s="106"/>
      <c r="Q132" t="s">
        <v>302</v>
      </c>
      <c r="R132">
        <v>0</v>
      </c>
    </row>
    <row r="133" spans="1:18" x14ac:dyDescent="0.25">
      <c r="A133" t="str">
        <f>TableOUINDSGN1[[#This Row],[Study Package Code]]</f>
        <v>OSCU-ANGAD</v>
      </c>
      <c r="B133" s="2">
        <f>TableOUINDSGN1[[#This Row],[Ver]]</f>
        <v>2</v>
      </c>
      <c r="D133" t="str">
        <f>IF(TableOUINDSGN1[[#This Row],[OUA Code]]&lt;&gt;"",_xlfn.TEXTAFTER(TableOUINDSGN1[[#This Row],[Structure Line]]," "),TableOUINDSGN1[[#This Row],[Structure Line]])</f>
        <v>Animation and Game Architecture Design Specialisation (OpenUnis)</v>
      </c>
      <c r="E133" s="36">
        <f>TableOUINDSGN1[[#This Row],[Credit Points]]</f>
        <v>100</v>
      </c>
      <c r="F133">
        <v>21</v>
      </c>
      <c r="G133" t="s">
        <v>352</v>
      </c>
      <c r="H133" s="2">
        <v>0</v>
      </c>
      <c r="I133" t="s">
        <v>326</v>
      </c>
      <c r="J133" t="s">
        <v>66</v>
      </c>
      <c r="K133" s="45">
        <v>2</v>
      </c>
      <c r="L133" s="45" t="s">
        <v>65</v>
      </c>
      <c r="M133" s="45">
        <v>100</v>
      </c>
      <c r="N133" s="106">
        <v>46023</v>
      </c>
      <c r="O133" s="106"/>
      <c r="Q133" t="s">
        <v>66</v>
      </c>
      <c r="R133">
        <v>1</v>
      </c>
    </row>
    <row r="134" spans="1:18" x14ac:dyDescent="0.25">
      <c r="A134" t="str">
        <f>TableOUINDSGN1[[#This Row],[Study Package Code]]</f>
        <v>OSCU-CONMS</v>
      </c>
      <c r="B134" s="2">
        <f>TableOUINDSGN1[[#This Row],[Ver]]</f>
        <v>2</v>
      </c>
      <c r="D134" t="str">
        <f>IF(TableOUINDSGN1[[#This Row],[OUA Code]]&lt;&gt;"",_xlfn.TEXTAFTER(TableOUINDSGN1[[#This Row],[Structure Line]]," "),TableOUINDSGN1[[#This Row],[Structure Line]])</f>
        <v>Construction Management Specialisation (OpenUnis)</v>
      </c>
      <c r="E134" s="36">
        <f>TableOUINDSGN1[[#This Row],[Credit Points]]</f>
        <v>100</v>
      </c>
      <c r="F134">
        <v>21</v>
      </c>
      <c r="G134" t="s">
        <v>352</v>
      </c>
      <c r="H134" s="2">
        <v>0</v>
      </c>
      <c r="I134" t="s">
        <v>326</v>
      </c>
      <c r="J134" t="s">
        <v>71</v>
      </c>
      <c r="K134" s="45">
        <v>2</v>
      </c>
      <c r="L134" s="45" t="s">
        <v>70</v>
      </c>
      <c r="M134" s="45">
        <v>100</v>
      </c>
      <c r="N134" s="106">
        <v>45658</v>
      </c>
      <c r="O134" s="106"/>
      <c r="Q134" t="s">
        <v>71</v>
      </c>
      <c r="R134">
        <v>1</v>
      </c>
    </row>
    <row r="135" spans="1:18" x14ac:dyDescent="0.25">
      <c r="A135" t="str">
        <f>TableOUINDSGN1[[#This Row],[Study Package Code]]</f>
        <v>OSCU-DIGDE</v>
      </c>
      <c r="B135" s="2">
        <f>TableOUINDSGN1[[#This Row],[Ver]]</f>
        <v>2</v>
      </c>
      <c r="D135" t="str">
        <f>IF(TableOUINDSGN1[[#This Row],[OUA Code]]&lt;&gt;"",_xlfn.TEXTAFTER(TableOUINDSGN1[[#This Row],[Structure Line]]," "),TableOUINDSGN1[[#This Row],[Structure Line]])</f>
        <v>Digital Design Specialisation (OpenUnis)</v>
      </c>
      <c r="E135" s="36">
        <f>TableOUINDSGN1[[#This Row],[Credit Points]]</f>
        <v>100</v>
      </c>
      <c r="F135">
        <v>21</v>
      </c>
      <c r="G135" t="s">
        <v>352</v>
      </c>
      <c r="H135" s="2">
        <v>0</v>
      </c>
      <c r="I135" t="s">
        <v>326</v>
      </c>
      <c r="J135" t="s">
        <v>74</v>
      </c>
      <c r="K135" s="45">
        <v>2</v>
      </c>
      <c r="L135" s="45" t="s">
        <v>73</v>
      </c>
      <c r="M135" s="45">
        <v>100</v>
      </c>
      <c r="N135" s="106">
        <v>46023</v>
      </c>
      <c r="O135" s="106"/>
      <c r="Q135" t="s">
        <v>74</v>
      </c>
      <c r="R135">
        <v>1</v>
      </c>
    </row>
    <row r="136" spans="1:18" x14ac:dyDescent="0.25">
      <c r="A136" t="str">
        <f>TableOUINDSGN1[[#This Row],[Study Package Code]]</f>
        <v>OSCU-PLGEO</v>
      </c>
      <c r="B136" s="2">
        <f>TableOUINDSGN1[[#This Row],[Ver]]</f>
        <v>1</v>
      </c>
      <c r="D136" t="str">
        <f>IF(TableOUINDSGN1[[#This Row],[OUA Code]]&lt;&gt;"",_xlfn.TEXTAFTER(TableOUINDSGN1[[#This Row],[Structure Line]]," "),TableOUINDSGN1[[#This Row],[Structure Line]])</f>
        <v>Planning and Geography Specialisation (OpenUnis)</v>
      </c>
      <c r="E136" s="36">
        <f>TableOUINDSGN1[[#This Row],[Credit Points]]</f>
        <v>100</v>
      </c>
      <c r="F136">
        <v>21</v>
      </c>
      <c r="G136" t="s">
        <v>352</v>
      </c>
      <c r="H136" s="2">
        <v>0</v>
      </c>
      <c r="I136" t="s">
        <v>326</v>
      </c>
      <c r="J136" t="s">
        <v>76</v>
      </c>
      <c r="K136" s="45">
        <v>1</v>
      </c>
      <c r="L136" s="45" t="s">
        <v>75</v>
      </c>
      <c r="M136" s="45">
        <v>100</v>
      </c>
      <c r="N136" s="106">
        <v>44743</v>
      </c>
      <c r="O136" s="106"/>
      <c r="Q136" t="s">
        <v>76</v>
      </c>
      <c r="R136">
        <v>1</v>
      </c>
    </row>
    <row r="137" spans="1:18" x14ac:dyDescent="0.25">
      <c r="A137" t="str">
        <f>TableOUINDSGN1[[#This Row],[Study Package Code]]</f>
        <v>OSEU-ARCHT</v>
      </c>
      <c r="B137" s="2">
        <f>TableOUINDSGN1[[#This Row],[Ver]]</f>
        <v>1</v>
      </c>
      <c r="D137" t="str">
        <f>IF(TableOUINDSGN1[[#This Row],[OUA Code]]&lt;&gt;"",_xlfn.TEXTAFTER(TableOUINDSGN1[[#This Row],[Structure Line]]," "),TableOUINDSGN1[[#This Row],[Structure Line]])</f>
        <v>Architectural Technology Specialisation (OpenUnis)</v>
      </c>
      <c r="E137" s="36">
        <f>TableOUINDSGN1[[#This Row],[Credit Points]]</f>
        <v>100</v>
      </c>
      <c r="F137">
        <v>21</v>
      </c>
      <c r="G137" t="s">
        <v>352</v>
      </c>
      <c r="H137" s="2">
        <v>0</v>
      </c>
      <c r="I137" t="s">
        <v>326</v>
      </c>
      <c r="J137" t="s">
        <v>69</v>
      </c>
      <c r="K137" s="45">
        <v>1</v>
      </c>
      <c r="L137" s="45" t="s">
        <v>68</v>
      </c>
      <c r="M137" s="45">
        <v>100</v>
      </c>
      <c r="N137" s="106">
        <v>45292</v>
      </c>
      <c r="O137" s="106"/>
      <c r="Q137" t="s">
        <v>69</v>
      </c>
      <c r="R137">
        <v>1</v>
      </c>
    </row>
    <row r="138" spans="1:18" x14ac:dyDescent="0.25">
      <c r="A138" t="str">
        <f>TableOUINDSGN1[[#This Row],[Study Package Code]]</f>
        <v>OUSU-ELECT</v>
      </c>
      <c r="B138" s="2">
        <f>TableOUINDSGN1[[#This Row],[Ver]]</f>
        <v>1</v>
      </c>
      <c r="D138" t="str">
        <f>IF(TableOUINDSGN1[[#This Row],[OUA Code]]&lt;&gt;"",_xlfn.TEXTAFTER(TableOUINDSGN1[[#This Row],[Structure Line]]," "),TableOUINDSGN1[[#This Row],[Structure Line]])</f>
        <v>Elective Stream (OpenUnis)</v>
      </c>
      <c r="E138" s="36">
        <f>TableOUINDSGN1[[#This Row],[Credit Points]]</f>
        <v>100</v>
      </c>
      <c r="F138">
        <v>21</v>
      </c>
      <c r="G138" t="s">
        <v>352</v>
      </c>
      <c r="H138" s="2">
        <v>0</v>
      </c>
      <c r="I138" t="s">
        <v>326</v>
      </c>
      <c r="J138" t="s">
        <v>411</v>
      </c>
      <c r="K138" s="45">
        <v>1</v>
      </c>
      <c r="L138" s="45" t="s">
        <v>412</v>
      </c>
      <c r="M138" s="45">
        <v>100</v>
      </c>
      <c r="N138" s="106">
        <v>45292</v>
      </c>
      <c r="O138" s="106"/>
    </row>
    <row r="139" spans="1:18" x14ac:dyDescent="0.25">
      <c r="B139"/>
      <c r="E139"/>
      <c r="F139" s="202"/>
      <c r="G139" s="205" t="s">
        <v>313</v>
      </c>
      <c r="H139" s="207">
        <v>45971</v>
      </c>
      <c r="I139" s="212"/>
      <c r="J139" s="202" t="s">
        <v>178</v>
      </c>
      <c r="K139" s="209">
        <v>2</v>
      </c>
      <c r="L139" s="202" t="s">
        <v>38</v>
      </c>
      <c r="M139" s="212"/>
      <c r="N139" s="210">
        <v>46023</v>
      </c>
      <c r="O139" s="206"/>
    </row>
    <row r="140" spans="1:18" x14ac:dyDescent="0.25">
      <c r="A140" t="s">
        <v>0</v>
      </c>
      <c r="B140" s="2" t="s">
        <v>314</v>
      </c>
      <c r="C140" t="s">
        <v>21</v>
      </c>
      <c r="D140" t="s">
        <v>3</v>
      </c>
      <c r="E140" s="36" t="s">
        <v>315</v>
      </c>
      <c r="F140" t="s">
        <v>316</v>
      </c>
      <c r="G140" t="s">
        <v>317</v>
      </c>
      <c r="H140" s="2" t="s">
        <v>318</v>
      </c>
      <c r="I140" t="s">
        <v>22</v>
      </c>
      <c r="J140" t="s">
        <v>319</v>
      </c>
      <c r="K140" t="s">
        <v>1</v>
      </c>
      <c r="L140" t="s">
        <v>320</v>
      </c>
      <c r="M140" t="s">
        <v>45</v>
      </c>
      <c r="N140" t="s">
        <v>321</v>
      </c>
      <c r="O140" t="s">
        <v>322</v>
      </c>
      <c r="Q140" t="s">
        <v>323</v>
      </c>
      <c r="R140" t="s">
        <v>324</v>
      </c>
    </row>
    <row r="141" spans="1:18" x14ac:dyDescent="0.25">
      <c r="A141" t="str">
        <f>TableOBINDSGN[[#This Row],[Study Package Code]]</f>
        <v>ENST1002</v>
      </c>
      <c r="B141" s="2">
        <f>TableOBINDSGN[[#This Row],[Ver]]</f>
        <v>1</v>
      </c>
      <c r="C141" t="str">
        <f>IF(TableOBINDSGN[[#This Row],[Ver]]&gt;0,_xlfn.TEXTBEFORE(TableOBINDSGN[[#This Row],[Structure Line]]," "),"")</f>
        <v>ENST1002</v>
      </c>
      <c r="D141" t="str">
        <f>IF(TableOBINDSGN[[#This Row],[OUA Code]]&lt;&gt;"",_xlfn.TEXTAFTER(TableOBINDSGN[[#This Row],[Structure Line]]," "),TableOBINDSGN[[#This Row],[Structure Line]])</f>
        <v>Sustainability Communication and Action</v>
      </c>
      <c r="E141" s="36">
        <f>TableOBINDSGN[[#This Row],[Credit Points]]</f>
        <v>25</v>
      </c>
      <c r="F141">
        <v>1</v>
      </c>
      <c r="G141" t="s">
        <v>325</v>
      </c>
      <c r="H141" s="2">
        <v>1</v>
      </c>
      <c r="I141" t="s">
        <v>326</v>
      </c>
      <c r="J141" t="s">
        <v>381</v>
      </c>
      <c r="K141" s="45">
        <v>1</v>
      </c>
      <c r="L141" s="45" t="s">
        <v>382</v>
      </c>
      <c r="M141" s="45">
        <v>25</v>
      </c>
      <c r="N141" s="106">
        <v>46023</v>
      </c>
      <c r="O141" s="106"/>
      <c r="Q141" t="s">
        <v>96</v>
      </c>
      <c r="R141">
        <v>1</v>
      </c>
    </row>
    <row r="142" spans="1:18" x14ac:dyDescent="0.25">
      <c r="A142" t="str">
        <f>TableOBINDSGN[[#This Row],[Study Package Code]]</f>
        <v>ARCH1020</v>
      </c>
      <c r="B142" s="2">
        <f>TableOBINDSGN[[#This Row],[Ver]]</f>
        <v>3</v>
      </c>
      <c r="C142" t="str">
        <f>IF(TableOBINDSGN[[#This Row],[Ver]]&gt;0,_xlfn.TEXTBEFORE(TableOBINDSGN[[#This Row],[Structure Line]]," "),"")</f>
        <v>BAS115</v>
      </c>
      <c r="D142" t="str">
        <f>IF(TableOBINDSGN[[#This Row],[OUA Code]]&lt;&gt;"",_xlfn.TEXTAFTER(TableOBINDSGN[[#This Row],[Structure Line]]," "),TableOBINDSGN[[#This Row],[Structure Line]])</f>
        <v>Architecture and Interior Architecture Methods 1A - Analogue Literacy</v>
      </c>
      <c r="E142" s="36">
        <f>TableOBINDSGN[[#This Row],[Credit Points]]</f>
        <v>25</v>
      </c>
      <c r="F142">
        <v>2</v>
      </c>
      <c r="G142" t="s">
        <v>325</v>
      </c>
      <c r="H142" s="2">
        <v>1</v>
      </c>
      <c r="I142" t="s">
        <v>326</v>
      </c>
      <c r="J142" t="s">
        <v>90</v>
      </c>
      <c r="K142" s="45">
        <v>3</v>
      </c>
      <c r="L142" s="45" t="s">
        <v>327</v>
      </c>
      <c r="M142" s="45">
        <v>25</v>
      </c>
      <c r="N142" s="106">
        <v>44562</v>
      </c>
      <c r="O142" s="106"/>
      <c r="Q142" t="s">
        <v>90</v>
      </c>
      <c r="R142">
        <v>3</v>
      </c>
    </row>
    <row r="143" spans="1:18" x14ac:dyDescent="0.25">
      <c r="A143" t="str">
        <f>TableOBINDSGN[[#This Row],[Study Package Code]]</f>
        <v>ARCH1024</v>
      </c>
      <c r="B143" s="2">
        <f>TableOBINDSGN[[#This Row],[Ver]]</f>
        <v>3</v>
      </c>
      <c r="C143" t="str">
        <f>IF(TableOBINDSGN[[#This Row],[Ver]]&gt;0,_xlfn.TEXTBEFORE(TableOBINDSGN[[#This Row],[Structure Line]]," "),"")</f>
        <v>BAS140</v>
      </c>
      <c r="D143" t="str">
        <f>IF(TableOBINDSGN[[#This Row],[OUA Code]]&lt;&gt;"",_xlfn.TEXTAFTER(TableOBINDSGN[[#This Row],[Structure Line]]," "),TableOBINDSGN[[#This Row],[Structure Line]])</f>
        <v>Architecture and Interior Architecture Design Studio 1 - Small Structures</v>
      </c>
      <c r="E143" s="36">
        <f>TableOBINDSGN[[#This Row],[Credit Points]]</f>
        <v>25</v>
      </c>
      <c r="F143">
        <v>3</v>
      </c>
      <c r="G143" t="s">
        <v>325</v>
      </c>
      <c r="H143" s="2">
        <v>1</v>
      </c>
      <c r="I143" t="s">
        <v>326</v>
      </c>
      <c r="J143" t="s">
        <v>99</v>
      </c>
      <c r="K143" s="45">
        <v>3</v>
      </c>
      <c r="L143" s="45" t="s">
        <v>328</v>
      </c>
      <c r="M143" s="45">
        <v>25</v>
      </c>
      <c r="N143" s="106">
        <v>44562</v>
      </c>
      <c r="O143" s="106"/>
      <c r="Q143" t="s">
        <v>99</v>
      </c>
      <c r="R143">
        <v>3</v>
      </c>
    </row>
    <row r="144" spans="1:18" x14ac:dyDescent="0.25">
      <c r="A144" t="str">
        <f>TableOBINDSGN[[#This Row],[Study Package Code]]</f>
        <v>ARCH1021</v>
      </c>
      <c r="B144" s="2">
        <f>TableOBINDSGN[[#This Row],[Ver]]</f>
        <v>3</v>
      </c>
      <c r="C144" t="str">
        <f>IF(TableOBINDSGN[[#This Row],[Ver]]&gt;0,_xlfn.TEXTBEFORE(TableOBINDSGN[[#This Row],[Structure Line]]," "),"")</f>
        <v>BAS145</v>
      </c>
      <c r="D144" t="str">
        <f>IF(TableOBINDSGN[[#This Row],[OUA Code]]&lt;&gt;"",_xlfn.TEXTAFTER(TableOBINDSGN[[#This Row],[Structure Line]]," "),TableOBINDSGN[[#This Row],[Structure Line]])</f>
        <v>Architecture and Interior Architecture Methods 1B - Digital Literacy</v>
      </c>
      <c r="E144" s="36">
        <f>TableOBINDSGN[[#This Row],[Credit Points]]</f>
        <v>25</v>
      </c>
      <c r="F144">
        <v>4</v>
      </c>
      <c r="G144" t="s">
        <v>325</v>
      </c>
      <c r="H144" s="2">
        <v>1</v>
      </c>
      <c r="I144" t="s">
        <v>326</v>
      </c>
      <c r="J144" t="s">
        <v>92</v>
      </c>
      <c r="K144" s="45">
        <v>3</v>
      </c>
      <c r="L144" s="45" t="s">
        <v>329</v>
      </c>
      <c r="M144" s="45">
        <v>25</v>
      </c>
      <c r="N144" s="106">
        <v>44562</v>
      </c>
      <c r="O144" s="106"/>
      <c r="Q144" t="s">
        <v>92</v>
      </c>
      <c r="R144">
        <v>3</v>
      </c>
    </row>
    <row r="145" spans="1:18" x14ac:dyDescent="0.25">
      <c r="A145" t="str">
        <f>TableOBINDSGN[[#This Row],[Study Package Code]]</f>
        <v>INAR1011</v>
      </c>
      <c r="B145" s="2">
        <f>TableOBINDSGN[[#This Row],[Ver]]</f>
        <v>4</v>
      </c>
      <c r="C145" t="str">
        <f>IF(TableOBINDSGN[[#This Row],[Ver]]&gt;0,_xlfn.TEXTBEFORE(TableOBINDSGN[[#This Row],[Structure Line]]," "),"")</f>
        <v>BIA140</v>
      </c>
      <c r="D145" t="str">
        <f>IF(TableOBINDSGN[[#This Row],[OUA Code]]&lt;&gt;"",_xlfn.TEXTAFTER(TableOBINDSGN[[#This Row],[Structure Line]]," "),TableOBINDSGN[[#This Row],[Structure Line]])</f>
        <v>Interior Architecture Studio - Foundation</v>
      </c>
      <c r="E145" s="36">
        <f>TableOBINDSGN[[#This Row],[Credit Points]]</f>
        <v>25</v>
      </c>
      <c r="F145">
        <v>5</v>
      </c>
      <c r="G145" t="s">
        <v>325</v>
      </c>
      <c r="H145" s="2">
        <v>1</v>
      </c>
      <c r="I145" t="s">
        <v>326</v>
      </c>
      <c r="J145" t="s">
        <v>97</v>
      </c>
      <c r="K145" s="45">
        <v>4</v>
      </c>
      <c r="L145" s="45" t="s">
        <v>330</v>
      </c>
      <c r="M145" s="45">
        <v>25</v>
      </c>
      <c r="N145" s="106">
        <v>45292</v>
      </c>
      <c r="O145" s="106"/>
      <c r="Q145" t="s">
        <v>97</v>
      </c>
      <c r="R145">
        <v>4</v>
      </c>
    </row>
    <row r="146" spans="1:18" x14ac:dyDescent="0.25">
      <c r="A146" t="str">
        <f>TableOBINDSGN[[#This Row],[Study Package Code]]</f>
        <v>INAR1015</v>
      </c>
      <c r="B146" s="2">
        <f>TableOBINDSGN[[#This Row],[Ver]]</f>
        <v>1</v>
      </c>
      <c r="C146" t="str">
        <f>IF(TableOBINDSGN[[#This Row],[Ver]]&gt;0,_xlfn.TEXTBEFORE(TableOBINDSGN[[#This Row],[Structure Line]]," "),"")</f>
        <v>BIA170</v>
      </c>
      <c r="D146" t="str">
        <f>IF(TableOBINDSGN[[#This Row],[OUA Code]]&lt;&gt;"",_xlfn.TEXTAFTER(TableOBINDSGN[[#This Row],[Structure Line]]," "),TableOBINDSGN[[#This Row],[Structure Line]])</f>
        <v>History of the Interior</v>
      </c>
      <c r="E146" s="36">
        <f>TableOBINDSGN[[#This Row],[Credit Points]]</f>
        <v>25</v>
      </c>
      <c r="F146">
        <v>6</v>
      </c>
      <c r="G146" t="s">
        <v>325</v>
      </c>
      <c r="H146" s="2">
        <v>1</v>
      </c>
      <c r="I146" t="s">
        <v>326</v>
      </c>
      <c r="J146" t="s">
        <v>94</v>
      </c>
      <c r="K146" s="45">
        <v>1</v>
      </c>
      <c r="L146" s="45" t="s">
        <v>331</v>
      </c>
      <c r="M146" s="45">
        <v>25</v>
      </c>
      <c r="N146" s="106">
        <v>43101</v>
      </c>
      <c r="O146" s="106"/>
      <c r="Q146" t="s">
        <v>94</v>
      </c>
      <c r="R146">
        <v>1</v>
      </c>
    </row>
    <row r="147" spans="1:18" x14ac:dyDescent="0.25">
      <c r="A147" t="str">
        <f>TableOBINDSGN[[#This Row],[Study Package Code]]</f>
        <v>ARCH2029</v>
      </c>
      <c r="B147" s="2">
        <f>TableOBINDSGN[[#This Row],[Ver]]</f>
        <v>3</v>
      </c>
      <c r="C147" t="str">
        <f>IF(TableOBINDSGN[[#This Row],[Ver]]&gt;0,_xlfn.TEXTBEFORE(TableOBINDSGN[[#This Row],[Structure Line]]," "),"")</f>
        <v>BAS200</v>
      </c>
      <c r="D147" t="str">
        <f>IF(TableOBINDSGN[[#This Row],[OUA Code]]&lt;&gt;"",_xlfn.TEXTAFTER(TableOBINDSGN[[#This Row],[Structure Line]]," "),TableOBINDSGN[[#This Row],[Structure Line]])</f>
        <v>Architecture and Interior Architecture Design Studio 2A - Residential Typology and Grammar</v>
      </c>
      <c r="E147" s="36">
        <f>TableOBINDSGN[[#This Row],[Credit Points]]</f>
        <v>25</v>
      </c>
      <c r="F147">
        <v>7</v>
      </c>
      <c r="G147" t="s">
        <v>325</v>
      </c>
      <c r="H147" s="2">
        <v>2</v>
      </c>
      <c r="I147" t="s">
        <v>326</v>
      </c>
      <c r="J147" t="s">
        <v>105</v>
      </c>
      <c r="K147" s="45">
        <v>3</v>
      </c>
      <c r="L147" s="45" t="s">
        <v>332</v>
      </c>
      <c r="M147" s="45">
        <v>25</v>
      </c>
      <c r="N147" s="106">
        <v>44562</v>
      </c>
      <c r="O147" s="106"/>
      <c r="Q147" t="s">
        <v>105</v>
      </c>
      <c r="R147">
        <v>3</v>
      </c>
    </row>
    <row r="148" spans="1:18" x14ac:dyDescent="0.25">
      <c r="A148" t="str">
        <f>TableOBINDSGN[[#This Row],[Study Package Code]]</f>
        <v>ARCH2027</v>
      </c>
      <c r="B148" s="2">
        <f>TableOBINDSGN[[#This Row],[Ver]]</f>
        <v>3</v>
      </c>
      <c r="C148" t="str">
        <f>IF(TableOBINDSGN[[#This Row],[Ver]]&gt;0,_xlfn.TEXTBEFORE(TableOBINDSGN[[#This Row],[Structure Line]]," "),"")</f>
        <v>BAS235</v>
      </c>
      <c r="D148" t="str">
        <f>IF(TableOBINDSGN[[#This Row],[OUA Code]]&lt;&gt;"",_xlfn.TEXTAFTER(TableOBINDSGN[[#This Row],[Structure Line]]," "),TableOBINDSGN[[#This Row],[Structure Line]])</f>
        <v>Architecture Methods 2B - Information Visualisation</v>
      </c>
      <c r="E148" s="36">
        <f>TableOBINDSGN[[#This Row],[Credit Points]]</f>
        <v>25</v>
      </c>
      <c r="F148">
        <v>8</v>
      </c>
      <c r="G148" t="s">
        <v>325</v>
      </c>
      <c r="H148" s="2">
        <v>2</v>
      </c>
      <c r="I148" t="s">
        <v>326</v>
      </c>
      <c r="J148" t="s">
        <v>110</v>
      </c>
      <c r="K148" s="45">
        <v>3</v>
      </c>
      <c r="L148" s="45" t="s">
        <v>333</v>
      </c>
      <c r="M148" s="45">
        <v>25</v>
      </c>
      <c r="N148" s="106">
        <v>44562</v>
      </c>
      <c r="O148" s="106"/>
      <c r="Q148" t="s">
        <v>110</v>
      </c>
      <c r="R148">
        <v>3</v>
      </c>
    </row>
    <row r="149" spans="1:18" x14ac:dyDescent="0.25">
      <c r="A149" t="str">
        <f>TableOBINDSGN[[#This Row],[Study Package Code]]</f>
        <v>INAR2020</v>
      </c>
      <c r="B149" s="2">
        <f>TableOBINDSGN[[#This Row],[Ver]]</f>
        <v>2</v>
      </c>
      <c r="C149" t="str">
        <f>IF(TableOBINDSGN[[#This Row],[Ver]]&gt;0,_xlfn.TEXTBEFORE(TableOBINDSGN[[#This Row],[Structure Line]]," "),"")</f>
        <v>BIA200</v>
      </c>
      <c r="D149" t="str">
        <f>IF(TableOBINDSGN[[#This Row],[OUA Code]]&lt;&gt;"",_xlfn.TEXTAFTER(TableOBINDSGN[[#This Row],[Structure Line]]," "),TableOBINDSGN[[#This Row],[Structure Line]])</f>
        <v>Interior Architecture Fundamentals</v>
      </c>
      <c r="E149" s="36">
        <f>TableOBINDSGN[[#This Row],[Credit Points]]</f>
        <v>25</v>
      </c>
      <c r="F149">
        <v>9</v>
      </c>
      <c r="G149" t="s">
        <v>325</v>
      </c>
      <c r="H149" s="2">
        <v>2</v>
      </c>
      <c r="I149" t="s">
        <v>326</v>
      </c>
      <c r="J149" t="s">
        <v>100</v>
      </c>
      <c r="K149" s="45">
        <v>2</v>
      </c>
      <c r="L149" s="45" t="s">
        <v>334</v>
      </c>
      <c r="M149" s="45">
        <v>25</v>
      </c>
      <c r="N149" s="106">
        <v>45292</v>
      </c>
      <c r="O149" s="106"/>
      <c r="Q149" t="s">
        <v>100</v>
      </c>
      <c r="R149">
        <v>2</v>
      </c>
    </row>
    <row r="150" spans="1:18" x14ac:dyDescent="0.25">
      <c r="A150" t="str">
        <f>TableOBINDSGN[[#This Row],[Study Package Code]]</f>
        <v>INAR2015</v>
      </c>
      <c r="B150" s="2">
        <f>TableOBINDSGN[[#This Row],[Ver]]</f>
        <v>4</v>
      </c>
      <c r="C150" t="str">
        <f>IF(TableOBINDSGN[[#This Row],[Ver]]&gt;0,_xlfn.TEXTBEFORE(TableOBINDSGN[[#This Row],[Structure Line]]," "),"")</f>
        <v>BIA250</v>
      </c>
      <c r="D150" t="str">
        <f>IF(TableOBINDSGN[[#This Row],[OUA Code]]&lt;&gt;"",_xlfn.TEXTAFTER(TableOBINDSGN[[#This Row],[Structure Line]]," "),TableOBINDSGN[[#This Row],[Structure Line]])</f>
        <v>Interior Architecture Studio – Community</v>
      </c>
      <c r="E150" s="36">
        <f>TableOBINDSGN[[#This Row],[Credit Points]]</f>
        <v>25</v>
      </c>
      <c r="F150">
        <v>10</v>
      </c>
      <c r="G150" t="s">
        <v>325</v>
      </c>
      <c r="H150" s="2">
        <v>2</v>
      </c>
      <c r="I150" t="s">
        <v>326</v>
      </c>
      <c r="J150" t="s">
        <v>108</v>
      </c>
      <c r="K150" s="45">
        <v>4</v>
      </c>
      <c r="L150" s="45" t="s">
        <v>335</v>
      </c>
      <c r="M150" s="45">
        <v>25</v>
      </c>
      <c r="N150" s="106">
        <v>45292</v>
      </c>
      <c r="O150" s="106"/>
      <c r="Q150" t="s">
        <v>108</v>
      </c>
      <c r="R150">
        <v>4</v>
      </c>
    </row>
    <row r="151" spans="1:18" x14ac:dyDescent="0.25">
      <c r="A151" t="str">
        <f>TableOBINDSGN[[#This Row],[Study Package Code]]</f>
        <v>INAR2023</v>
      </c>
      <c r="B151" s="2">
        <f>TableOBINDSGN[[#This Row],[Ver]]</f>
        <v>1</v>
      </c>
      <c r="C151" t="str">
        <f>IF(TableOBINDSGN[[#This Row],[Ver]]&gt;0,_xlfn.TEXTBEFORE(TableOBINDSGN[[#This Row],[Structure Line]]," "),"")</f>
        <v>BIA280</v>
      </c>
      <c r="D151" t="str">
        <f>IF(TableOBINDSGN[[#This Row],[OUA Code]]&lt;&gt;"",_xlfn.TEXTAFTER(TableOBINDSGN[[#This Row],[Structure Line]]," "),TableOBINDSGN[[#This Row],[Structure Line]])</f>
        <v>Philosophy and Practice</v>
      </c>
      <c r="E151" s="36">
        <f>TableOBINDSGN[[#This Row],[Credit Points]]</f>
        <v>25</v>
      </c>
      <c r="F151">
        <v>11</v>
      </c>
      <c r="G151" t="s">
        <v>325</v>
      </c>
      <c r="H151" s="2">
        <v>2</v>
      </c>
      <c r="I151" t="s">
        <v>326</v>
      </c>
      <c r="J151" t="s">
        <v>102</v>
      </c>
      <c r="K151" s="45">
        <v>1</v>
      </c>
      <c r="L151" s="45" t="s">
        <v>336</v>
      </c>
      <c r="M151" s="45">
        <v>25</v>
      </c>
      <c r="N151" s="106">
        <v>44562</v>
      </c>
      <c r="O151" s="106"/>
      <c r="Q151" t="s">
        <v>102</v>
      </c>
      <c r="R151">
        <v>1</v>
      </c>
    </row>
    <row r="152" spans="1:18" x14ac:dyDescent="0.25">
      <c r="A152" t="str">
        <f>TableOBINDSGN[[#This Row],[Study Package Code]]</f>
        <v>GRDE2045</v>
      </c>
      <c r="B152" s="2">
        <f>TableOBINDSGN[[#This Row],[Ver]]</f>
        <v>1</v>
      </c>
      <c r="C152" t="str">
        <f>IF(TableOBINDSGN[[#This Row],[Ver]]&gt;0,_xlfn.TEXTBEFORE(TableOBINDSGN[[#This Row],[Structure Line]]," "),"")</f>
        <v>DSN200</v>
      </c>
      <c r="D152" t="str">
        <f>IF(TableOBINDSGN[[#This Row],[OUA Code]]&lt;&gt;"",_xlfn.TEXTAFTER(TableOBINDSGN[[#This Row],[Structure Line]]," "),TableOBINDSGN[[#This Row],[Structure Line]])</f>
        <v>3D Modelling and Digital Fabrication</v>
      </c>
      <c r="E152" s="36">
        <f>TableOBINDSGN[[#This Row],[Credit Points]]</f>
        <v>25</v>
      </c>
      <c r="F152">
        <v>12</v>
      </c>
      <c r="G152" t="s">
        <v>325</v>
      </c>
      <c r="H152" s="2">
        <v>2</v>
      </c>
      <c r="I152" t="s">
        <v>326</v>
      </c>
      <c r="J152" t="s">
        <v>101</v>
      </c>
      <c r="K152" s="45">
        <v>1</v>
      </c>
      <c r="L152" s="45" t="s">
        <v>337</v>
      </c>
      <c r="M152" s="45">
        <v>25</v>
      </c>
      <c r="N152" s="106">
        <v>45292</v>
      </c>
      <c r="O152" s="106"/>
      <c r="Q152" t="s">
        <v>101</v>
      </c>
      <c r="R152">
        <v>1</v>
      </c>
    </row>
    <row r="153" spans="1:18" x14ac:dyDescent="0.25">
      <c r="A153" t="str">
        <f>TableOBINDSGN[[#This Row],[Study Package Code]]</f>
        <v>ARCH3015</v>
      </c>
      <c r="B153" s="2">
        <f>TableOBINDSGN[[#This Row],[Ver]]</f>
        <v>4</v>
      </c>
      <c r="C153" t="str">
        <f>IF(TableOBINDSGN[[#This Row],[Ver]]&gt;0,_xlfn.TEXTBEFORE(TableOBINDSGN[[#This Row],[Structure Line]]," "),"")</f>
        <v>BAS310</v>
      </c>
      <c r="D153" t="str">
        <f>IF(TableOBINDSGN[[#This Row],[OUA Code]]&lt;&gt;"",_xlfn.TEXTAFTER(TableOBINDSGN[[#This Row],[Structure Line]]," "),TableOBINDSGN[[#This Row],[Structure Line]])</f>
        <v>Environmental and Building Systems in Architecture</v>
      </c>
      <c r="E153" s="36">
        <f>TableOBINDSGN[[#This Row],[Credit Points]]</f>
        <v>25</v>
      </c>
      <c r="F153">
        <v>13</v>
      </c>
      <c r="G153" t="s">
        <v>325</v>
      </c>
      <c r="H153" s="2">
        <v>3</v>
      </c>
      <c r="I153" t="s">
        <v>326</v>
      </c>
      <c r="J153" t="s">
        <v>113</v>
      </c>
      <c r="K153" s="45">
        <v>4</v>
      </c>
      <c r="L153" s="45" t="s">
        <v>338</v>
      </c>
      <c r="M153" s="45">
        <v>25</v>
      </c>
      <c r="N153" s="106">
        <v>44562</v>
      </c>
      <c r="O153" s="106"/>
      <c r="Q153" t="s">
        <v>113</v>
      </c>
      <c r="R153">
        <v>4</v>
      </c>
    </row>
    <row r="154" spans="1:18" x14ac:dyDescent="0.25">
      <c r="A154" t="str">
        <f>TableOBINDSGN[[#This Row],[Study Package Code]]</f>
        <v>INAR2025</v>
      </c>
      <c r="B154" s="2">
        <f>TableOBINDSGN[[#This Row],[Ver]]</f>
        <v>1</v>
      </c>
      <c r="C154" t="str">
        <f>IF(TableOBINDSGN[[#This Row],[Ver]]&gt;0,_xlfn.TEXTBEFORE(TableOBINDSGN[[#This Row],[Structure Line]]," "),"")</f>
        <v>BIA290</v>
      </c>
      <c r="D154" t="str">
        <f>IF(TableOBINDSGN[[#This Row],[OUA Code]]&lt;&gt;"",_xlfn.TEXTAFTER(TableOBINDSGN[[#This Row],[Structure Line]]," "),TableOBINDSGN[[#This Row],[Structure Line]])</f>
        <v>Design Fabrication</v>
      </c>
      <c r="E154" s="36">
        <f>TableOBINDSGN[[#This Row],[Credit Points]]</f>
        <v>25</v>
      </c>
      <c r="F154">
        <v>14</v>
      </c>
      <c r="G154" t="s">
        <v>325</v>
      </c>
      <c r="H154" s="2">
        <v>3</v>
      </c>
      <c r="I154" t="s">
        <v>326</v>
      </c>
      <c r="J154" t="s">
        <v>121</v>
      </c>
      <c r="K154" s="45">
        <v>1</v>
      </c>
      <c r="L154" s="45" t="s">
        <v>339</v>
      </c>
      <c r="M154" s="45">
        <v>25</v>
      </c>
      <c r="N154" s="106">
        <v>45292</v>
      </c>
      <c r="O154" s="106"/>
      <c r="Q154" t="s">
        <v>121</v>
      </c>
      <c r="R154">
        <v>1</v>
      </c>
    </row>
    <row r="155" spans="1:18" x14ac:dyDescent="0.25">
      <c r="A155" t="str">
        <f>TableOBINDSGN[[#This Row],[Study Package Code]]</f>
        <v>INAR3012</v>
      </c>
      <c r="B155" s="2">
        <f>TableOBINDSGN[[#This Row],[Ver]]</f>
        <v>4</v>
      </c>
      <c r="C155" t="str">
        <f>IF(TableOBINDSGN[[#This Row],[Ver]]&gt;0,_xlfn.TEXTBEFORE(TableOBINDSGN[[#This Row],[Structure Line]]," "),"")</f>
        <v>BIA300</v>
      </c>
      <c r="D155" t="str">
        <f>IF(TableOBINDSGN[[#This Row],[OUA Code]]&lt;&gt;"",_xlfn.TEXTAFTER(TableOBINDSGN[[#This Row],[Structure Line]]," "),TableOBINDSGN[[#This Row],[Structure Line]])</f>
        <v>Interior Architecture Studio - Well-being</v>
      </c>
      <c r="E155" s="36">
        <f>TableOBINDSGN[[#This Row],[Credit Points]]</f>
        <v>25</v>
      </c>
      <c r="F155">
        <v>15</v>
      </c>
      <c r="G155" t="s">
        <v>325</v>
      </c>
      <c r="H155" s="2">
        <v>3</v>
      </c>
      <c r="I155" t="s">
        <v>326</v>
      </c>
      <c r="J155" t="s">
        <v>117</v>
      </c>
      <c r="K155" s="45">
        <v>4</v>
      </c>
      <c r="L155" s="45" t="s">
        <v>340</v>
      </c>
      <c r="M155" s="45">
        <v>25</v>
      </c>
      <c r="N155" s="106">
        <v>45383</v>
      </c>
      <c r="O155" s="106"/>
      <c r="Q155" t="s">
        <v>117</v>
      </c>
      <c r="R155">
        <v>4</v>
      </c>
    </row>
    <row r="156" spans="1:18" x14ac:dyDescent="0.25">
      <c r="A156" t="str">
        <f>TableOBINDSGN[[#This Row],[Study Package Code]]</f>
        <v>INAR3023</v>
      </c>
      <c r="B156" s="2">
        <f>TableOBINDSGN[[#This Row],[Ver]]</f>
        <v>1</v>
      </c>
      <c r="C156" t="str">
        <f>IF(TableOBINDSGN[[#This Row],[Ver]]&gt;0,_xlfn.TEXTBEFORE(TableOBINDSGN[[#This Row],[Structure Line]]," "),"")</f>
        <v>BIA305</v>
      </c>
      <c r="D156" t="str">
        <f>IF(TableOBINDSGN[[#This Row],[OUA Code]]&lt;&gt;"",_xlfn.TEXTAFTER(TableOBINDSGN[[#This Row],[Structure Line]]," "),TableOBINDSGN[[#This Row],[Structure Line]])</f>
        <v>Interior Architecture Practice 1</v>
      </c>
      <c r="E156" s="36">
        <f>TableOBINDSGN[[#This Row],[Credit Points]]</f>
        <v>25</v>
      </c>
      <c r="F156">
        <v>16</v>
      </c>
      <c r="G156" t="s">
        <v>325</v>
      </c>
      <c r="H156" s="2">
        <v>3</v>
      </c>
      <c r="I156" t="s">
        <v>326</v>
      </c>
      <c r="J156" t="s">
        <v>112</v>
      </c>
      <c r="K156" s="45">
        <v>1</v>
      </c>
      <c r="L156" s="45" t="s">
        <v>341</v>
      </c>
      <c r="M156" s="45">
        <v>25</v>
      </c>
      <c r="N156" s="106">
        <v>45292</v>
      </c>
      <c r="O156" s="106"/>
      <c r="Q156" t="s">
        <v>112</v>
      </c>
      <c r="R156">
        <v>1</v>
      </c>
    </row>
    <row r="157" spans="1:18" x14ac:dyDescent="0.25">
      <c r="A157" t="str">
        <f>TableOBINDSGN[[#This Row],[Study Package Code]]</f>
        <v>INAR3025</v>
      </c>
      <c r="B157" s="2">
        <f>TableOBINDSGN[[#This Row],[Ver]]</f>
        <v>1</v>
      </c>
      <c r="C157" t="str">
        <f>IF(TableOBINDSGN[[#This Row],[Ver]]&gt;0,_xlfn.TEXTBEFORE(TableOBINDSGN[[#This Row],[Structure Line]]," "),"")</f>
        <v>BIA315</v>
      </c>
      <c r="D157" t="str">
        <f>IF(TableOBINDSGN[[#This Row],[OUA Code]]&lt;&gt;"",_xlfn.TEXTAFTER(TableOBINDSGN[[#This Row],[Structure Line]]," "),TableOBINDSGN[[#This Row],[Structure Line]])</f>
        <v>Interior Architecture Practice 2</v>
      </c>
      <c r="E157" s="36">
        <f>TableOBINDSGN[[#This Row],[Credit Points]]</f>
        <v>25</v>
      </c>
      <c r="F157">
        <v>17</v>
      </c>
      <c r="G157" t="s">
        <v>325</v>
      </c>
      <c r="H157" s="2">
        <v>3</v>
      </c>
      <c r="I157" t="s">
        <v>326</v>
      </c>
      <c r="J157" t="s">
        <v>114</v>
      </c>
      <c r="K157" s="45">
        <v>1</v>
      </c>
      <c r="L157" s="45" t="s">
        <v>342</v>
      </c>
      <c r="M157" s="45">
        <v>25</v>
      </c>
      <c r="N157" s="106">
        <v>45292</v>
      </c>
      <c r="O157" s="106"/>
      <c r="Q157" t="s">
        <v>114</v>
      </c>
      <c r="R157">
        <v>1</v>
      </c>
    </row>
    <row r="158" spans="1:18" x14ac:dyDescent="0.25">
      <c r="A158" t="str">
        <f>TableOBINDSGN[[#This Row],[Study Package Code]]</f>
        <v>INAR3017</v>
      </c>
      <c r="B158" s="2">
        <f>TableOBINDSGN[[#This Row],[Ver]]</f>
        <v>3</v>
      </c>
      <c r="C158" t="str">
        <f>IF(TableOBINDSGN[[#This Row],[Ver]]&gt;0,_xlfn.TEXTBEFORE(TableOBINDSGN[[#This Row],[Structure Line]]," "),"")</f>
        <v>BIA360</v>
      </c>
      <c r="D158" t="str">
        <f>IF(TableOBINDSGN[[#This Row],[OUA Code]]&lt;&gt;"",_xlfn.TEXTAFTER(TableOBINDSGN[[#This Row],[Structure Line]]," "),TableOBINDSGN[[#This Row],[Structure Line]])</f>
        <v>Interior Architecture Studio - Workplace</v>
      </c>
      <c r="E158" s="36">
        <f>TableOBINDSGN[[#This Row],[Credit Points]]</f>
        <v>25</v>
      </c>
      <c r="F158">
        <v>18</v>
      </c>
      <c r="G158" t="s">
        <v>325</v>
      </c>
      <c r="H158" s="2">
        <v>3</v>
      </c>
      <c r="I158" t="s">
        <v>326</v>
      </c>
      <c r="J158" t="s">
        <v>124</v>
      </c>
      <c r="K158" s="45">
        <v>3</v>
      </c>
      <c r="L158" s="45" t="s">
        <v>343</v>
      </c>
      <c r="M158" s="45">
        <v>25</v>
      </c>
      <c r="N158" s="106">
        <v>45292</v>
      </c>
      <c r="O158" s="106"/>
      <c r="Q158" t="s">
        <v>124</v>
      </c>
      <c r="R158">
        <v>3</v>
      </c>
    </row>
    <row r="159" spans="1:18" x14ac:dyDescent="0.25">
      <c r="A159" t="str">
        <f>TableOBINDSGN[[#This Row],[Study Package Code]]</f>
        <v>INAR3021</v>
      </c>
      <c r="B159" s="2">
        <f>TableOBINDSGN[[#This Row],[Ver]]</f>
        <v>1</v>
      </c>
      <c r="C159" t="str">
        <f>IF(TableOBINDSGN[[#This Row],[Ver]]&gt;0,_xlfn.TEXTBEFORE(TableOBINDSGN[[#This Row],[Structure Line]]," "),"")</f>
        <v>BIA390</v>
      </c>
      <c r="D159" t="str">
        <f>IF(TableOBINDSGN[[#This Row],[OUA Code]]&lt;&gt;"",_xlfn.TEXTAFTER(TableOBINDSGN[[#This Row],[Structure Line]]," "),TableOBINDSGN[[#This Row],[Structure Line]])</f>
        <v>Furniture Design</v>
      </c>
      <c r="E159" s="36">
        <f>TableOBINDSGN[[#This Row],[Credit Points]]</f>
        <v>25</v>
      </c>
      <c r="F159">
        <v>19</v>
      </c>
      <c r="G159" t="s">
        <v>325</v>
      </c>
      <c r="H159" s="2">
        <v>3</v>
      </c>
      <c r="I159" t="s">
        <v>326</v>
      </c>
      <c r="J159" t="s">
        <v>123</v>
      </c>
      <c r="K159" s="45">
        <v>1</v>
      </c>
      <c r="L159" s="45" t="s">
        <v>344</v>
      </c>
      <c r="M159" s="45">
        <v>25</v>
      </c>
      <c r="N159" s="106">
        <v>45292</v>
      </c>
      <c r="O159" s="106"/>
      <c r="Q159" t="s">
        <v>123</v>
      </c>
      <c r="R159">
        <v>1</v>
      </c>
    </row>
    <row r="160" spans="1:18" x14ac:dyDescent="0.25">
      <c r="A160" t="str">
        <f>TableOBINDSGN[[#This Row],[Study Package Code]]</f>
        <v>URDE3011</v>
      </c>
      <c r="B160" s="2">
        <f>TableOBINDSGN[[#This Row],[Ver]]</f>
        <v>1</v>
      </c>
      <c r="C160" t="str">
        <f>IF(TableOBINDSGN[[#This Row],[Ver]]&gt;0,_xlfn.TEXTBEFORE(TableOBINDSGN[[#This Row],[Structure Line]]," "),"")</f>
        <v>DBE300</v>
      </c>
      <c r="D160" t="str">
        <f>IF(TableOBINDSGN[[#This Row],[OUA Code]]&lt;&gt;"",_xlfn.TEXTAFTER(TableOBINDSGN[[#This Row],[Structure Line]]," "),TableOBINDSGN[[#This Row],[Structure Line]])</f>
        <v>Design and Built Environment Research Methods</v>
      </c>
      <c r="E160" s="36">
        <f>TableOBINDSGN[[#This Row],[Credit Points]]</f>
        <v>25</v>
      </c>
      <c r="F160">
        <v>20</v>
      </c>
      <c r="G160" t="s">
        <v>325</v>
      </c>
      <c r="H160" s="2">
        <v>3</v>
      </c>
      <c r="I160" t="s">
        <v>326</v>
      </c>
      <c r="J160" t="s">
        <v>119</v>
      </c>
      <c r="K160" s="45">
        <v>1</v>
      </c>
      <c r="L160" s="45" t="s">
        <v>345</v>
      </c>
      <c r="M160" s="45">
        <v>25</v>
      </c>
      <c r="N160" s="106">
        <v>44562</v>
      </c>
      <c r="O160" s="106"/>
      <c r="Q160" t="s">
        <v>119</v>
      </c>
      <c r="R160">
        <v>1</v>
      </c>
    </row>
    <row r="161" spans="1:18" x14ac:dyDescent="0.25">
      <c r="A161" t="str">
        <f>TableOBINDSGN[[#This Row],[Study Package Code]]</f>
        <v>Specialisation</v>
      </c>
      <c r="B161" s="2">
        <f>TableOBINDSGN[[#This Row],[Ver]]</f>
        <v>0</v>
      </c>
      <c r="C161" t="str">
        <f>IF(TableOBINDSGN[[#This Row],[Ver]]&gt;0,_xlfn.TEXTBEFORE(TableOBINDSGN[[#This Row],[Structure Line]]," "),"")</f>
        <v/>
      </c>
      <c r="D161" t="str">
        <f>IF(TableOBINDSGN[[#This Row],[OUA Code]]&lt;&gt;"",_xlfn.TEXTAFTER(TableOBINDSGN[[#This Row],[Structure Line]]," "),TableOBINDSGN[[#This Row],[Structure Line]])</f>
        <v>Choose a Specialisation</v>
      </c>
      <c r="E161" s="36">
        <f>TableOBINDSGN[[#This Row],[Credit Points]]</f>
        <v>0</v>
      </c>
      <c r="F161">
        <v>21</v>
      </c>
      <c r="G161" t="s">
        <v>352</v>
      </c>
      <c r="H161" s="2">
        <v>0</v>
      </c>
      <c r="I161" t="s">
        <v>326</v>
      </c>
      <c r="J161" t="s">
        <v>302</v>
      </c>
      <c r="K161" s="45">
        <v>0</v>
      </c>
      <c r="L161" s="45" t="s">
        <v>303</v>
      </c>
      <c r="M161" s="45"/>
      <c r="N161" s="106"/>
      <c r="O161" s="106"/>
      <c r="Q161" t="s">
        <v>302</v>
      </c>
      <c r="R161">
        <v>0</v>
      </c>
    </row>
    <row r="162" spans="1:18" x14ac:dyDescent="0.25">
      <c r="A162" t="str">
        <f>TableOBINDSGN[[#This Row],[Study Package Code]]</f>
        <v>OSCU-ANGAD</v>
      </c>
      <c r="B162" s="2">
        <f>TableOBINDSGN[[#This Row],[Ver]]</f>
        <v>2</v>
      </c>
      <c r="D162" t="str">
        <f>IF(TableOBINDSGN[[#This Row],[OUA Code]]&lt;&gt;"",_xlfn.TEXTAFTER(TableOBINDSGN[[#This Row],[Structure Line]]," "),TableOBINDSGN[[#This Row],[Structure Line]])</f>
        <v>Animation and Game Architecture Design Specialisation (OpenUnis)</v>
      </c>
      <c r="E162" s="36">
        <f>TableOBINDSGN[[#This Row],[Credit Points]]</f>
        <v>100</v>
      </c>
      <c r="F162">
        <v>21</v>
      </c>
      <c r="G162" t="s">
        <v>352</v>
      </c>
      <c r="H162" s="2">
        <v>0</v>
      </c>
      <c r="I162" t="s">
        <v>326</v>
      </c>
      <c r="J162" t="s">
        <v>66</v>
      </c>
      <c r="K162" s="45">
        <v>2</v>
      </c>
      <c r="L162" s="45" t="s">
        <v>65</v>
      </c>
      <c r="M162" s="45">
        <v>100</v>
      </c>
      <c r="N162" s="106">
        <v>46023</v>
      </c>
      <c r="O162" s="106"/>
      <c r="Q162" t="s">
        <v>66</v>
      </c>
      <c r="R162">
        <v>1</v>
      </c>
    </row>
    <row r="163" spans="1:18" x14ac:dyDescent="0.25">
      <c r="A163" t="str">
        <f>TableOBINDSGN[[#This Row],[Study Package Code]]</f>
        <v>OSCU-CONMS</v>
      </c>
      <c r="B163" s="2">
        <f>TableOBINDSGN[[#This Row],[Ver]]</f>
        <v>2</v>
      </c>
      <c r="D163" t="str">
        <f>IF(TableOBINDSGN[[#This Row],[OUA Code]]&lt;&gt;"",_xlfn.TEXTAFTER(TableOBINDSGN[[#This Row],[Structure Line]]," "),TableOBINDSGN[[#This Row],[Structure Line]])</f>
        <v>Construction Management Specialisation (OpenUnis)</v>
      </c>
      <c r="E163" s="36">
        <f>TableOBINDSGN[[#This Row],[Credit Points]]</f>
        <v>100</v>
      </c>
      <c r="F163">
        <v>21</v>
      </c>
      <c r="G163" t="s">
        <v>352</v>
      </c>
      <c r="H163" s="2">
        <v>0</v>
      </c>
      <c r="I163" t="s">
        <v>326</v>
      </c>
      <c r="J163" t="s">
        <v>71</v>
      </c>
      <c r="K163" s="45">
        <v>2</v>
      </c>
      <c r="L163" s="45" t="s">
        <v>70</v>
      </c>
      <c r="M163" s="45">
        <v>100</v>
      </c>
      <c r="N163" s="106">
        <v>45658</v>
      </c>
      <c r="O163" s="106"/>
      <c r="Q163" t="s">
        <v>71</v>
      </c>
      <c r="R163">
        <v>1</v>
      </c>
    </row>
    <row r="164" spans="1:18" x14ac:dyDescent="0.25">
      <c r="A164" t="str">
        <f>TableOBINDSGN[[#This Row],[Study Package Code]]</f>
        <v>OSCU-DIGDE</v>
      </c>
      <c r="B164" s="2">
        <f>TableOBINDSGN[[#This Row],[Ver]]</f>
        <v>2</v>
      </c>
      <c r="D164" t="str">
        <f>IF(TableOBINDSGN[[#This Row],[OUA Code]]&lt;&gt;"",_xlfn.TEXTAFTER(TableOBINDSGN[[#This Row],[Structure Line]]," "),TableOBINDSGN[[#This Row],[Structure Line]])</f>
        <v>Digital Design Specialisation (OpenUnis)</v>
      </c>
      <c r="E164" s="36">
        <f>TableOBINDSGN[[#This Row],[Credit Points]]</f>
        <v>100</v>
      </c>
      <c r="F164">
        <v>21</v>
      </c>
      <c r="G164" t="s">
        <v>352</v>
      </c>
      <c r="H164" s="2">
        <v>0</v>
      </c>
      <c r="I164" t="s">
        <v>326</v>
      </c>
      <c r="J164" t="s">
        <v>74</v>
      </c>
      <c r="K164" s="45">
        <v>2</v>
      </c>
      <c r="L164" s="45" t="s">
        <v>73</v>
      </c>
      <c r="M164" s="45">
        <v>100</v>
      </c>
      <c r="N164" s="106">
        <v>46023</v>
      </c>
      <c r="O164" s="106"/>
      <c r="Q164" t="s">
        <v>74</v>
      </c>
      <c r="R164">
        <v>1</v>
      </c>
    </row>
    <row r="165" spans="1:18" x14ac:dyDescent="0.25">
      <c r="A165" t="str">
        <f>TableOBINDSGN[[#This Row],[Study Package Code]]</f>
        <v>OSCU-PLGEO</v>
      </c>
      <c r="B165" s="2">
        <f>TableOBINDSGN[[#This Row],[Ver]]</f>
        <v>1</v>
      </c>
      <c r="D165" t="str">
        <f>IF(TableOBINDSGN[[#This Row],[OUA Code]]&lt;&gt;"",_xlfn.TEXTAFTER(TableOBINDSGN[[#This Row],[Structure Line]]," "),TableOBINDSGN[[#This Row],[Structure Line]])</f>
        <v>Planning and Geography Specialisation (OpenUnis)</v>
      </c>
      <c r="E165" s="36">
        <f>TableOBINDSGN[[#This Row],[Credit Points]]</f>
        <v>100</v>
      </c>
      <c r="F165">
        <v>21</v>
      </c>
      <c r="G165" t="s">
        <v>352</v>
      </c>
      <c r="H165" s="2">
        <v>0</v>
      </c>
      <c r="I165" t="s">
        <v>326</v>
      </c>
      <c r="J165" t="s">
        <v>76</v>
      </c>
      <c r="K165" s="45">
        <v>1</v>
      </c>
      <c r="L165" s="45" t="s">
        <v>75</v>
      </c>
      <c r="M165" s="45">
        <v>100</v>
      </c>
      <c r="N165" s="106">
        <v>44743</v>
      </c>
      <c r="O165" s="106"/>
      <c r="Q165" t="s">
        <v>76</v>
      </c>
      <c r="R165">
        <v>1</v>
      </c>
    </row>
    <row r="166" spans="1:18" x14ac:dyDescent="0.25">
      <c r="A166" t="str">
        <f>TableOBINDSGN[[#This Row],[Study Package Code]]</f>
        <v>OSEU-ARCHT</v>
      </c>
      <c r="B166" s="2">
        <f>TableOBINDSGN[[#This Row],[Ver]]</f>
        <v>1</v>
      </c>
      <c r="D166" t="str">
        <f>IF(TableOBINDSGN[[#This Row],[OUA Code]]&lt;&gt;"",_xlfn.TEXTAFTER(TableOBINDSGN[[#This Row],[Structure Line]]," "),TableOBINDSGN[[#This Row],[Structure Line]])</f>
        <v>Architectural Technology Specialisation (OpenUnis)</v>
      </c>
      <c r="E166" s="36">
        <f>TableOBINDSGN[[#This Row],[Credit Points]]</f>
        <v>100</v>
      </c>
      <c r="F166">
        <v>21</v>
      </c>
      <c r="G166" t="s">
        <v>352</v>
      </c>
      <c r="H166" s="2">
        <v>0</v>
      </c>
      <c r="I166" t="s">
        <v>326</v>
      </c>
      <c r="J166" t="s">
        <v>69</v>
      </c>
      <c r="K166" s="45">
        <v>1</v>
      </c>
      <c r="L166" s="45" t="s">
        <v>68</v>
      </c>
      <c r="M166" s="45">
        <v>100</v>
      </c>
      <c r="N166" s="106">
        <v>45292</v>
      </c>
      <c r="O166" s="106"/>
      <c r="Q166" t="s">
        <v>69</v>
      </c>
      <c r="R166">
        <v>1</v>
      </c>
    </row>
  </sheetData>
  <conditionalFormatting sqref="J3:J34">
    <cfRule type="duplicateValues" dxfId="33" priority="81"/>
  </conditionalFormatting>
  <conditionalFormatting sqref="J37:J68">
    <cfRule type="duplicateValues" dxfId="32" priority="29"/>
  </conditionalFormatting>
  <conditionalFormatting sqref="J71:J76">
    <cfRule type="duplicateValues" dxfId="31" priority="26"/>
  </conditionalFormatting>
  <conditionalFormatting sqref="J79:J84">
    <cfRule type="duplicateValues" dxfId="30" priority="23"/>
  </conditionalFormatting>
  <conditionalFormatting sqref="J87:J90">
    <cfRule type="duplicateValues" dxfId="29" priority="20"/>
  </conditionalFormatting>
  <conditionalFormatting sqref="J93:J98">
    <cfRule type="duplicateValues" dxfId="28" priority="17"/>
  </conditionalFormatting>
  <conditionalFormatting sqref="J101:J108">
    <cfRule type="duplicateValues" dxfId="27" priority="12"/>
  </conditionalFormatting>
  <conditionalFormatting sqref="J112:J138">
    <cfRule type="duplicateValues" dxfId="26" priority="122"/>
  </conditionalFormatting>
  <conditionalFormatting sqref="J141:J166">
    <cfRule type="duplicateValues" dxfId="25" priority="133"/>
  </conditionalFormatting>
  <conditionalFormatting sqref="N3:N34 N112:N138">
    <cfRule type="cellIs" dxfId="24" priority="82" operator="greaterThan">
      <formula>$P$1</formula>
    </cfRule>
  </conditionalFormatting>
  <conditionalFormatting sqref="N37:N68">
    <cfRule type="cellIs" dxfId="23" priority="30" operator="greaterThan">
      <formula>$P$1</formula>
    </cfRule>
  </conditionalFormatting>
  <conditionalFormatting sqref="N71:N76">
    <cfRule type="cellIs" dxfId="22" priority="27" operator="greaterThan">
      <formula>$P$1</formula>
    </cfRule>
  </conditionalFormatting>
  <conditionalFormatting sqref="N79:N84">
    <cfRule type="cellIs" dxfId="21" priority="24" operator="greaterThan">
      <formula>$P$1</formula>
    </cfRule>
  </conditionalFormatting>
  <conditionalFormatting sqref="N87:N90">
    <cfRule type="cellIs" dxfId="20" priority="21" operator="greaterThan">
      <formula>$P$1</formula>
    </cfRule>
  </conditionalFormatting>
  <conditionalFormatting sqref="N93:N98">
    <cfRule type="cellIs" dxfId="19" priority="18" operator="greaterThan">
      <formula>$P$1</formula>
    </cfRule>
  </conditionalFormatting>
  <conditionalFormatting sqref="N101:N108">
    <cfRule type="cellIs" dxfId="18" priority="13" operator="greaterThan">
      <formula>$P$1</formula>
    </cfRule>
  </conditionalFormatting>
  <conditionalFormatting sqref="N141:N166">
    <cfRule type="cellIs" dxfId="17" priority="1" operator="greaterThan">
      <formula>$P$1</formula>
    </cfRule>
  </conditionalFormatting>
  <conditionalFormatting sqref="O3:O34 O112:O138">
    <cfRule type="notContainsBlanks" dxfId="16" priority="107">
      <formula>LEN(TRIM(O3))&gt;0</formula>
    </cfRule>
  </conditionalFormatting>
  <conditionalFormatting sqref="O37:O68">
    <cfRule type="notContainsBlanks" dxfId="15" priority="31">
      <formula>LEN(TRIM(O37))&gt;0</formula>
    </cfRule>
  </conditionalFormatting>
  <conditionalFormatting sqref="O71:O76">
    <cfRule type="notContainsBlanks" dxfId="14" priority="28">
      <formula>LEN(TRIM(O71))&gt;0</formula>
    </cfRule>
  </conditionalFormatting>
  <conditionalFormatting sqref="O79:O84">
    <cfRule type="notContainsBlanks" dxfId="13" priority="25">
      <formula>LEN(TRIM(O79))&gt;0</formula>
    </cfRule>
  </conditionalFormatting>
  <conditionalFormatting sqref="O87:O90">
    <cfRule type="notContainsBlanks" dxfId="12" priority="22">
      <formula>LEN(TRIM(O87))&gt;0</formula>
    </cfRule>
  </conditionalFormatting>
  <conditionalFormatting sqref="O93:O98">
    <cfRule type="notContainsBlanks" dxfId="11" priority="19">
      <formula>LEN(TRIM(O93))&gt;0</formula>
    </cfRule>
  </conditionalFormatting>
  <conditionalFormatting sqref="O101:O108">
    <cfRule type="notContainsBlanks" dxfId="10" priority="14">
      <formula>LEN(TRIM(O101))&gt;0</formula>
    </cfRule>
  </conditionalFormatting>
  <conditionalFormatting sqref="O141:O166">
    <cfRule type="notContainsBlanks" dxfId="9" priority="2">
      <formula>LEN(TRIM(O141))&gt;0</formula>
    </cfRule>
  </conditionalFormatting>
  <conditionalFormatting sqref="Q79:Q84">
    <cfRule type="duplicateValues" dxfId="8" priority="5"/>
  </conditionalFormatting>
  <conditionalFormatting sqref="Q3:R34 Q87:R90 Q109:R109 Q141:R166">
    <cfRule type="expression" dxfId="7" priority="114">
      <formula>Q3&lt;&gt;J3</formula>
    </cfRule>
  </conditionalFormatting>
  <conditionalFormatting sqref="Q37:R68">
    <cfRule type="expression" dxfId="6" priority="98">
      <formula>Q37&lt;&gt;J37</formula>
    </cfRule>
  </conditionalFormatting>
  <conditionalFormatting sqref="Q71:R76">
    <cfRule type="expression" dxfId="5" priority="96">
      <formula>Q71&lt;&gt;J71</formula>
    </cfRule>
  </conditionalFormatting>
  <conditionalFormatting sqref="Q93:R98">
    <cfRule type="expression" dxfId="4" priority="90">
      <formula>Q93&lt;&gt;J93</formula>
    </cfRule>
  </conditionalFormatting>
  <conditionalFormatting sqref="Q101:R108">
    <cfRule type="expression" dxfId="3" priority="56">
      <formula>Q101&lt;&gt;J101</formula>
    </cfRule>
  </conditionalFormatting>
  <conditionalFormatting sqref="Q112:R138">
    <cfRule type="expression" dxfId="2" priority="129">
      <formula>Q112&lt;&gt;J112</formula>
    </cfRule>
  </conditionalFormatting>
  <pageMargins left="0.7" right="0.7" top="0.75" bottom="0.75" header="0.3" footer="0.3"/>
  <pageSetup paperSize="9" orientation="portrait" r:id="rId1"/>
  <tableParts count="1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52"/>
  <sheetViews>
    <sheetView zoomScale="85" zoomScaleNormal="85" workbookViewId="0">
      <selection activeCell="B34" sqref="B34"/>
    </sheetView>
  </sheetViews>
  <sheetFormatPr defaultRowHeight="15.75" x14ac:dyDescent="0.25"/>
  <cols>
    <col min="1" max="1" width="13.125" bestFit="1" customWidth="1"/>
    <col min="2" max="5" width="6.25" bestFit="1" customWidth="1"/>
    <col min="6" max="6" width="12" bestFit="1" customWidth="1"/>
    <col min="7" max="7" width="10.125" bestFit="1" customWidth="1"/>
    <col min="8" max="11" width="2" bestFit="1" customWidth="1"/>
    <col min="12" max="12" width="9.25" bestFit="1" customWidth="1"/>
  </cols>
  <sheetData>
    <row r="1" spans="1:11" x14ac:dyDescent="0.25">
      <c r="A1" s="215" t="s">
        <v>313</v>
      </c>
    </row>
    <row r="2" spans="1:11" x14ac:dyDescent="0.25">
      <c r="A2" s="216">
        <v>46031</v>
      </c>
    </row>
    <row r="3" spans="1:11" ht="76.5" x14ac:dyDescent="0.25">
      <c r="A3" t="s">
        <v>374</v>
      </c>
      <c r="B3" s="103" t="s">
        <v>375</v>
      </c>
      <c r="C3" s="103" t="s">
        <v>376</v>
      </c>
      <c r="D3" s="103" t="s">
        <v>377</v>
      </c>
      <c r="E3" s="103" t="s">
        <v>378</v>
      </c>
    </row>
    <row r="4" spans="1:11" x14ac:dyDescent="0.25">
      <c r="A4" t="s">
        <v>149</v>
      </c>
      <c r="B4" s="2"/>
      <c r="C4" s="2">
        <v>1</v>
      </c>
      <c r="D4" s="2"/>
      <c r="E4" s="2">
        <v>1</v>
      </c>
      <c r="G4" t="s">
        <v>149</v>
      </c>
      <c r="I4">
        <v>1</v>
      </c>
      <c r="K4">
        <v>1</v>
      </c>
    </row>
    <row r="5" spans="1:11" x14ac:dyDescent="0.25">
      <c r="A5" t="s">
        <v>90</v>
      </c>
      <c r="B5" s="2">
        <v>1</v>
      </c>
      <c r="C5" s="2"/>
      <c r="D5" s="2">
        <v>1</v>
      </c>
      <c r="E5" s="2"/>
      <c r="G5" t="s">
        <v>90</v>
      </c>
      <c r="H5">
        <v>1</v>
      </c>
      <c r="J5">
        <v>1</v>
      </c>
    </row>
    <row r="6" spans="1:11" x14ac:dyDescent="0.25">
      <c r="A6" t="s">
        <v>92</v>
      </c>
      <c r="B6" s="2"/>
      <c r="C6" s="2">
        <v>1</v>
      </c>
      <c r="D6" s="2"/>
      <c r="E6" s="2">
        <v>1</v>
      </c>
      <c r="G6" t="s">
        <v>92</v>
      </c>
      <c r="I6">
        <v>1</v>
      </c>
      <c r="K6">
        <v>1</v>
      </c>
    </row>
    <row r="7" spans="1:11" x14ac:dyDescent="0.25">
      <c r="A7" t="s">
        <v>99</v>
      </c>
      <c r="B7" s="2"/>
      <c r="C7" s="2">
        <v>1</v>
      </c>
      <c r="D7" s="2"/>
      <c r="E7" s="2">
        <v>1</v>
      </c>
      <c r="G7" t="s">
        <v>99</v>
      </c>
      <c r="I7">
        <v>1</v>
      </c>
      <c r="K7">
        <v>1</v>
      </c>
    </row>
    <row r="8" spans="1:11" x14ac:dyDescent="0.25">
      <c r="A8" t="s">
        <v>144</v>
      </c>
      <c r="B8" s="2">
        <v>1</v>
      </c>
      <c r="C8" s="2"/>
      <c r="D8" s="2">
        <v>1</v>
      </c>
      <c r="E8" s="2"/>
      <c r="G8" t="s">
        <v>144</v>
      </c>
      <c r="H8">
        <v>1</v>
      </c>
      <c r="J8">
        <v>1</v>
      </c>
    </row>
    <row r="9" spans="1:11" x14ac:dyDescent="0.25">
      <c r="A9" t="s">
        <v>167</v>
      </c>
      <c r="B9" s="2">
        <v>1</v>
      </c>
      <c r="C9" s="2"/>
      <c r="D9" s="2"/>
      <c r="E9" s="2"/>
      <c r="G9" t="s">
        <v>167</v>
      </c>
      <c r="H9">
        <v>1</v>
      </c>
      <c r="J9">
        <v>1</v>
      </c>
    </row>
    <row r="10" spans="1:11" x14ac:dyDescent="0.25">
      <c r="A10" t="s">
        <v>172</v>
      </c>
      <c r="B10" s="2"/>
      <c r="C10" s="2">
        <v>1</v>
      </c>
      <c r="D10" s="2"/>
      <c r="E10" s="2"/>
      <c r="G10" t="s">
        <v>172</v>
      </c>
      <c r="I10">
        <v>1</v>
      </c>
      <c r="K10">
        <v>1</v>
      </c>
    </row>
    <row r="11" spans="1:11" x14ac:dyDescent="0.25">
      <c r="A11" t="s">
        <v>110</v>
      </c>
      <c r="B11" s="2"/>
      <c r="C11" s="2"/>
      <c r="D11" s="2"/>
      <c r="E11" s="2">
        <v>1</v>
      </c>
      <c r="G11" t="s">
        <v>110</v>
      </c>
      <c r="I11">
        <v>1</v>
      </c>
      <c r="K11">
        <v>1</v>
      </c>
    </row>
    <row r="12" spans="1:11" x14ac:dyDescent="0.25">
      <c r="A12" t="s">
        <v>105</v>
      </c>
      <c r="B12" s="2"/>
      <c r="C12" s="2"/>
      <c r="D12" s="2">
        <v>1</v>
      </c>
      <c r="E12" s="2"/>
      <c r="G12" t="s">
        <v>105</v>
      </c>
      <c r="H12">
        <v>1</v>
      </c>
      <c r="J12">
        <v>1</v>
      </c>
    </row>
    <row r="13" spans="1:11" x14ac:dyDescent="0.25">
      <c r="A13" t="s">
        <v>155</v>
      </c>
      <c r="B13" s="2">
        <v>1</v>
      </c>
      <c r="C13" s="2"/>
      <c r="D13" s="2"/>
      <c r="E13" s="2"/>
      <c r="G13" t="s">
        <v>155</v>
      </c>
      <c r="H13">
        <v>1</v>
      </c>
      <c r="J13">
        <v>1</v>
      </c>
    </row>
    <row r="14" spans="1:11" x14ac:dyDescent="0.25">
      <c r="A14" t="s">
        <v>113</v>
      </c>
      <c r="B14" s="2"/>
      <c r="C14" s="2">
        <v>1</v>
      </c>
      <c r="D14" s="2"/>
      <c r="E14" s="2"/>
      <c r="G14" t="s">
        <v>113</v>
      </c>
      <c r="I14">
        <v>1</v>
      </c>
      <c r="K14">
        <v>1</v>
      </c>
    </row>
    <row r="15" spans="1:11" x14ac:dyDescent="0.25">
      <c r="A15" t="s">
        <v>174</v>
      </c>
      <c r="B15" s="2">
        <v>1</v>
      </c>
      <c r="C15" s="2"/>
      <c r="D15" s="2">
        <v>1</v>
      </c>
      <c r="E15" s="2"/>
      <c r="G15" t="s">
        <v>174</v>
      </c>
      <c r="H15">
        <v>1</v>
      </c>
      <c r="J15">
        <v>1</v>
      </c>
    </row>
    <row r="16" spans="1:11" x14ac:dyDescent="0.25">
      <c r="A16" t="s">
        <v>145</v>
      </c>
      <c r="B16" s="2">
        <v>1</v>
      </c>
      <c r="C16" s="2"/>
      <c r="D16" s="2">
        <v>1</v>
      </c>
      <c r="E16" s="2"/>
      <c r="G16" t="s">
        <v>145</v>
      </c>
      <c r="H16">
        <v>1</v>
      </c>
      <c r="J16">
        <v>1</v>
      </c>
    </row>
    <row r="17" spans="1:11" x14ac:dyDescent="0.25">
      <c r="A17" t="s">
        <v>150</v>
      </c>
      <c r="B17" s="2">
        <v>1</v>
      </c>
      <c r="C17" s="2"/>
      <c r="D17" s="2">
        <v>1</v>
      </c>
      <c r="E17" s="2"/>
      <c r="G17" t="s">
        <v>150</v>
      </c>
      <c r="H17">
        <v>1</v>
      </c>
      <c r="J17">
        <v>1</v>
      </c>
    </row>
    <row r="18" spans="1:11" x14ac:dyDescent="0.25">
      <c r="A18" t="s">
        <v>168</v>
      </c>
      <c r="B18" s="2"/>
      <c r="C18" s="2">
        <v>1</v>
      </c>
      <c r="D18" s="2"/>
      <c r="E18" s="2"/>
      <c r="G18" t="s">
        <v>168</v>
      </c>
      <c r="I18">
        <v>1</v>
      </c>
      <c r="K18">
        <v>1</v>
      </c>
    </row>
    <row r="19" spans="1:11" x14ac:dyDescent="0.25">
      <c r="A19" t="s">
        <v>156</v>
      </c>
      <c r="B19" s="2"/>
      <c r="C19" s="2"/>
      <c r="D19" s="2">
        <v>1</v>
      </c>
      <c r="E19" s="2"/>
      <c r="G19" t="s">
        <v>156</v>
      </c>
      <c r="H19">
        <v>1</v>
      </c>
      <c r="J19">
        <v>1</v>
      </c>
    </row>
    <row r="20" spans="1:11" x14ac:dyDescent="0.25">
      <c r="A20" t="s">
        <v>173</v>
      </c>
      <c r="B20" s="2"/>
      <c r="C20" s="2"/>
      <c r="D20" s="2">
        <v>1</v>
      </c>
      <c r="E20" s="2"/>
      <c r="G20" t="s">
        <v>173</v>
      </c>
      <c r="H20">
        <v>1</v>
      </c>
      <c r="J20">
        <v>1</v>
      </c>
    </row>
    <row r="21" spans="1:11" x14ac:dyDescent="0.25">
      <c r="A21" t="s">
        <v>381</v>
      </c>
      <c r="B21" s="2">
        <v>1</v>
      </c>
      <c r="C21" s="2">
        <v>1</v>
      </c>
      <c r="D21" s="2">
        <v>1</v>
      </c>
      <c r="E21" s="2">
        <v>1</v>
      </c>
      <c r="G21" t="s">
        <v>96</v>
      </c>
      <c r="H21">
        <v>1</v>
      </c>
      <c r="I21">
        <v>1</v>
      </c>
      <c r="J21">
        <v>1</v>
      </c>
      <c r="K21">
        <v>1</v>
      </c>
    </row>
    <row r="22" spans="1:11" x14ac:dyDescent="0.25">
      <c r="A22" t="s">
        <v>169</v>
      </c>
      <c r="B22" s="2">
        <v>1</v>
      </c>
      <c r="C22" s="2"/>
      <c r="D22" s="2"/>
      <c r="E22" s="2"/>
      <c r="G22" t="s">
        <v>169</v>
      </c>
      <c r="H22">
        <v>1</v>
      </c>
    </row>
    <row r="23" spans="1:11" x14ac:dyDescent="0.25">
      <c r="A23" t="s">
        <v>384</v>
      </c>
      <c r="B23" s="2"/>
      <c r="C23" s="2">
        <v>1</v>
      </c>
      <c r="D23" s="2"/>
      <c r="E23" s="2">
        <v>1</v>
      </c>
      <c r="G23" t="s">
        <v>103</v>
      </c>
      <c r="H23">
        <v>1</v>
      </c>
      <c r="J23">
        <v>1</v>
      </c>
    </row>
    <row r="24" spans="1:11" x14ac:dyDescent="0.25">
      <c r="A24" t="s">
        <v>386</v>
      </c>
      <c r="B24" s="2">
        <v>1</v>
      </c>
      <c r="C24" s="2"/>
      <c r="D24" s="2">
        <v>1</v>
      </c>
      <c r="E24" s="2"/>
      <c r="G24" t="s">
        <v>143</v>
      </c>
      <c r="I24">
        <v>1</v>
      </c>
      <c r="K24">
        <v>1</v>
      </c>
    </row>
    <row r="25" spans="1:11" x14ac:dyDescent="0.25">
      <c r="A25" t="s">
        <v>396</v>
      </c>
      <c r="B25" s="2">
        <v>1</v>
      </c>
      <c r="C25" s="2"/>
      <c r="D25" s="2">
        <v>1</v>
      </c>
      <c r="E25" s="2"/>
      <c r="G25" t="s">
        <v>111</v>
      </c>
      <c r="H25">
        <v>1</v>
      </c>
      <c r="J25">
        <v>1</v>
      </c>
    </row>
    <row r="26" spans="1:11" x14ac:dyDescent="0.25">
      <c r="A26" t="s">
        <v>101</v>
      </c>
      <c r="B26" s="2"/>
      <c r="C26" s="2"/>
      <c r="D26" s="2"/>
      <c r="E26" s="2">
        <v>1</v>
      </c>
      <c r="G26" t="s">
        <v>115</v>
      </c>
      <c r="I26">
        <v>1</v>
      </c>
      <c r="K26">
        <v>1</v>
      </c>
    </row>
    <row r="27" spans="1:11" x14ac:dyDescent="0.25">
      <c r="A27" t="s">
        <v>398</v>
      </c>
      <c r="B27" s="2">
        <v>1</v>
      </c>
      <c r="C27" s="2"/>
      <c r="D27" s="2">
        <v>1</v>
      </c>
      <c r="E27" s="2"/>
      <c r="G27" t="s">
        <v>148</v>
      </c>
      <c r="H27">
        <v>1</v>
      </c>
      <c r="J27">
        <v>1</v>
      </c>
    </row>
    <row r="28" spans="1:11" x14ac:dyDescent="0.25">
      <c r="A28" t="s">
        <v>400</v>
      </c>
      <c r="B28" s="2"/>
      <c r="C28" s="2">
        <v>1</v>
      </c>
      <c r="D28" s="2"/>
      <c r="E28" s="2">
        <v>1</v>
      </c>
      <c r="G28" t="s">
        <v>154</v>
      </c>
      <c r="I28">
        <v>1</v>
      </c>
      <c r="K28">
        <v>1</v>
      </c>
    </row>
    <row r="29" spans="1:11" x14ac:dyDescent="0.25">
      <c r="A29" t="s">
        <v>388</v>
      </c>
      <c r="B29" s="2"/>
      <c r="C29" s="2">
        <v>1</v>
      </c>
      <c r="D29" s="2"/>
      <c r="E29" s="2">
        <v>1</v>
      </c>
      <c r="G29" t="s">
        <v>101</v>
      </c>
      <c r="K29">
        <v>1</v>
      </c>
    </row>
    <row r="30" spans="1:11" x14ac:dyDescent="0.25">
      <c r="A30" t="s">
        <v>166</v>
      </c>
      <c r="B30" s="2">
        <v>1</v>
      </c>
      <c r="C30" s="2"/>
      <c r="D30" s="2">
        <v>1</v>
      </c>
      <c r="E30" s="2"/>
      <c r="G30" t="s">
        <v>166</v>
      </c>
      <c r="H30">
        <v>1</v>
      </c>
      <c r="J30">
        <v>1</v>
      </c>
    </row>
    <row r="31" spans="1:11" x14ac:dyDescent="0.25">
      <c r="A31" t="s">
        <v>97</v>
      </c>
      <c r="B31" s="2">
        <v>1</v>
      </c>
      <c r="C31" s="2"/>
      <c r="D31" s="2"/>
      <c r="E31" s="2"/>
      <c r="G31" t="s">
        <v>151</v>
      </c>
      <c r="J31">
        <v>1</v>
      </c>
    </row>
    <row r="32" spans="1:11" x14ac:dyDescent="0.25">
      <c r="A32" t="s">
        <v>94</v>
      </c>
      <c r="B32" s="2"/>
      <c r="C32" s="2"/>
      <c r="D32" s="2">
        <v>1</v>
      </c>
      <c r="E32" s="2"/>
      <c r="G32" t="s">
        <v>97</v>
      </c>
      <c r="H32">
        <v>1</v>
      </c>
    </row>
    <row r="33" spans="1:11" x14ac:dyDescent="0.25">
      <c r="A33" t="s">
        <v>108</v>
      </c>
      <c r="B33" s="2"/>
      <c r="C33" s="2"/>
      <c r="D33" s="2">
        <v>1</v>
      </c>
      <c r="E33" s="2"/>
      <c r="G33" t="s">
        <v>94</v>
      </c>
      <c r="J33">
        <v>1</v>
      </c>
    </row>
    <row r="34" spans="1:11" x14ac:dyDescent="0.25">
      <c r="A34" t="s">
        <v>100</v>
      </c>
      <c r="B34" s="2">
        <v>1</v>
      </c>
      <c r="C34" s="2"/>
      <c r="D34" s="2"/>
      <c r="E34" s="2"/>
      <c r="G34" t="s">
        <v>108</v>
      </c>
      <c r="J34">
        <v>1</v>
      </c>
    </row>
    <row r="35" spans="1:11" x14ac:dyDescent="0.25">
      <c r="A35" t="s">
        <v>102</v>
      </c>
      <c r="B35" s="2"/>
      <c r="C35" s="2">
        <v>1</v>
      </c>
      <c r="D35" s="2"/>
      <c r="E35" s="2"/>
      <c r="G35" t="s">
        <v>100</v>
      </c>
      <c r="H35">
        <v>1</v>
      </c>
    </row>
    <row r="36" spans="1:11" x14ac:dyDescent="0.25">
      <c r="A36" t="s">
        <v>121</v>
      </c>
      <c r="B36" s="2"/>
      <c r="C36" s="2"/>
      <c r="D36" s="2">
        <v>1</v>
      </c>
      <c r="E36" s="2"/>
      <c r="G36" t="s">
        <v>102</v>
      </c>
      <c r="I36">
        <v>1</v>
      </c>
    </row>
    <row r="37" spans="1:11" x14ac:dyDescent="0.25">
      <c r="A37" t="s">
        <v>117</v>
      </c>
      <c r="B37" s="2">
        <v>1</v>
      </c>
      <c r="C37" s="2"/>
      <c r="D37" s="2"/>
      <c r="E37" s="2"/>
      <c r="G37" t="s">
        <v>121</v>
      </c>
      <c r="J37">
        <v>1</v>
      </c>
    </row>
    <row r="38" spans="1:11" x14ac:dyDescent="0.25">
      <c r="A38" t="s">
        <v>124</v>
      </c>
      <c r="B38" s="2"/>
      <c r="C38" s="2"/>
      <c r="D38" s="2">
        <v>1</v>
      </c>
      <c r="E38" s="2"/>
      <c r="G38" t="s">
        <v>117</v>
      </c>
      <c r="H38">
        <v>1</v>
      </c>
    </row>
    <row r="39" spans="1:11" x14ac:dyDescent="0.25">
      <c r="A39" t="s">
        <v>123</v>
      </c>
      <c r="B39" s="2">
        <v>1</v>
      </c>
      <c r="C39" s="2"/>
      <c r="D39" s="2"/>
      <c r="E39" s="2"/>
      <c r="G39" t="s">
        <v>124</v>
      </c>
      <c r="J39">
        <v>1</v>
      </c>
    </row>
    <row r="40" spans="1:11" x14ac:dyDescent="0.25">
      <c r="A40" t="s">
        <v>112</v>
      </c>
      <c r="B40" s="2"/>
      <c r="C40" s="2"/>
      <c r="D40" s="2"/>
      <c r="E40" s="2">
        <v>1</v>
      </c>
      <c r="G40" t="s">
        <v>123</v>
      </c>
      <c r="H40">
        <v>1</v>
      </c>
    </row>
    <row r="41" spans="1:11" x14ac:dyDescent="0.25">
      <c r="A41" t="s">
        <v>114</v>
      </c>
      <c r="B41" s="2"/>
      <c r="C41" s="2"/>
      <c r="D41" s="2"/>
      <c r="E41" s="2">
        <v>1</v>
      </c>
      <c r="G41" t="s">
        <v>112</v>
      </c>
      <c r="K41">
        <v>1</v>
      </c>
    </row>
    <row r="42" spans="1:11" x14ac:dyDescent="0.25">
      <c r="A42" t="s">
        <v>128</v>
      </c>
      <c r="B42" s="2"/>
      <c r="C42" s="2">
        <v>1</v>
      </c>
      <c r="D42" s="2"/>
      <c r="E42" s="2"/>
      <c r="G42" t="s">
        <v>114</v>
      </c>
      <c r="K42">
        <v>1</v>
      </c>
    </row>
    <row r="43" spans="1:11" x14ac:dyDescent="0.25">
      <c r="A43" t="s">
        <v>131</v>
      </c>
      <c r="B43" s="2"/>
      <c r="C43" s="2"/>
      <c r="D43" s="2"/>
      <c r="E43" s="2">
        <v>1</v>
      </c>
      <c r="G43" t="s">
        <v>128</v>
      </c>
      <c r="I43">
        <v>1</v>
      </c>
    </row>
    <row r="44" spans="1:11" x14ac:dyDescent="0.25">
      <c r="A44" t="s">
        <v>133</v>
      </c>
      <c r="B44" s="2"/>
      <c r="C44" s="2">
        <v>1</v>
      </c>
      <c r="D44" s="2"/>
      <c r="E44" s="2"/>
      <c r="G44" t="s">
        <v>133</v>
      </c>
      <c r="I44">
        <v>1</v>
      </c>
    </row>
    <row r="45" spans="1:11" x14ac:dyDescent="0.25">
      <c r="A45" t="s">
        <v>134</v>
      </c>
      <c r="B45" s="2"/>
      <c r="C45" s="2"/>
      <c r="D45" s="2"/>
      <c r="E45" s="2">
        <v>1</v>
      </c>
      <c r="G45" t="s">
        <v>134</v>
      </c>
      <c r="K45">
        <v>1</v>
      </c>
    </row>
    <row r="46" spans="1:11" x14ac:dyDescent="0.25">
      <c r="A46" t="s">
        <v>126</v>
      </c>
      <c r="B46" s="2">
        <v>1</v>
      </c>
      <c r="C46" s="2"/>
      <c r="D46" s="2">
        <v>1</v>
      </c>
      <c r="E46" s="2"/>
      <c r="G46" t="s">
        <v>126</v>
      </c>
      <c r="H46">
        <v>1</v>
      </c>
      <c r="J46">
        <v>1</v>
      </c>
    </row>
    <row r="47" spans="1:11" x14ac:dyDescent="0.25">
      <c r="A47" t="s">
        <v>135</v>
      </c>
      <c r="B47" s="2">
        <v>1</v>
      </c>
      <c r="C47" s="2"/>
      <c r="D47" s="2">
        <v>1</v>
      </c>
      <c r="E47" s="2"/>
      <c r="G47" t="s">
        <v>135</v>
      </c>
      <c r="H47">
        <v>1</v>
      </c>
      <c r="J47">
        <v>1</v>
      </c>
    </row>
    <row r="48" spans="1:11" x14ac:dyDescent="0.25">
      <c r="A48" t="s">
        <v>157</v>
      </c>
      <c r="B48" s="2"/>
      <c r="C48" s="2"/>
      <c r="D48" s="2">
        <v>1</v>
      </c>
      <c r="E48" s="2"/>
      <c r="G48" t="s">
        <v>157</v>
      </c>
      <c r="J48">
        <v>1</v>
      </c>
    </row>
    <row r="49" spans="1:12" x14ac:dyDescent="0.25">
      <c r="A49" t="s">
        <v>146</v>
      </c>
      <c r="B49" s="2">
        <v>1</v>
      </c>
      <c r="C49" s="2"/>
      <c r="D49" s="2">
        <v>1</v>
      </c>
      <c r="E49" s="2"/>
      <c r="G49" t="s">
        <v>146</v>
      </c>
      <c r="H49">
        <v>1</v>
      </c>
      <c r="J49">
        <v>1</v>
      </c>
    </row>
    <row r="50" spans="1:12" x14ac:dyDescent="0.25">
      <c r="A50" t="s">
        <v>152</v>
      </c>
      <c r="B50" s="2"/>
      <c r="C50" s="2">
        <v>1</v>
      </c>
      <c r="D50" s="2"/>
      <c r="E50" s="2">
        <v>1</v>
      </c>
      <c r="G50" t="s">
        <v>152</v>
      </c>
      <c r="I50">
        <v>1</v>
      </c>
      <c r="K50">
        <v>1</v>
      </c>
    </row>
    <row r="51" spans="1:12" x14ac:dyDescent="0.25">
      <c r="A51" t="s">
        <v>119</v>
      </c>
      <c r="B51" s="2"/>
      <c r="C51" s="2">
        <v>1</v>
      </c>
      <c r="D51" s="2"/>
      <c r="E51" s="2">
        <v>1</v>
      </c>
      <c r="G51" t="s">
        <v>119</v>
      </c>
      <c r="I51">
        <v>1</v>
      </c>
      <c r="K51">
        <v>1</v>
      </c>
    </row>
    <row r="52" spans="1:12" x14ac:dyDescent="0.25">
      <c r="G52" t="s">
        <v>131</v>
      </c>
      <c r="K52">
        <v>1</v>
      </c>
      <c r="L52" t="s">
        <v>379</v>
      </c>
    </row>
  </sheetData>
  <phoneticPr fontId="56" type="noConversion"/>
  <conditionalFormatting sqref="A4:A51">
    <cfRule type="duplicateValues" dxfId="1" priority="134"/>
    <cfRule type="duplicateValues" dxfId="0" priority="135"/>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SharedContentType xmlns="Microsoft.SharePoint.Taxonomy.ContentTypeSync" SourceId="058b0421-3d9b-4d43-8840-b275eef407cc" ContentTypeId="0x0101" PreviousValue="false"/>
</file>

<file path=customXml/itemProps1.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2.xml><?xml version="1.0" encoding="utf-8"?>
<ds:datastoreItem xmlns:ds="http://schemas.openxmlformats.org/officeDocument/2006/customXml" ds:itemID="{253E7095-5250-40D7-8812-F4C04E33E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2FBB4C-6ADF-4262-9F1C-6F0710538C55}">
  <ds:schemaRefs>
    <ds:schemaRef ds:uri="http://schemas.microsoft.com/office/2006/documentManagement/types"/>
    <ds:schemaRef ds:uri="http://purl.org/dc/elements/1.1/"/>
    <ds:schemaRef ds:uri="ba69df13-0c3c-4942-8695-6ca01564010c"/>
    <ds:schemaRef ds:uri="http://schemas.microsoft.com/office/2006/metadata/properties"/>
    <ds:schemaRef ds:uri="http://www.w3.org/XML/1998/namespace"/>
    <ds:schemaRef ds:uri="http://schemas.microsoft.com/office/infopath/2007/PartnerControls"/>
    <ds:schemaRef ds:uri="http://purl.org/dc/terms/"/>
    <ds:schemaRef ds:uri="http://schemas.microsoft.com/sharepoint/v4"/>
    <ds:schemaRef ds:uri="http://schemas.openxmlformats.org/package/2006/metadata/core-properties"/>
    <ds:schemaRef ds:uri="1f4c0b20-2c14-4291-851e-36bd297de4e2"/>
    <ds:schemaRef ds:uri="http://purl.org/dc/dcmitype/"/>
  </ds:schemaRefs>
</ds:datastoreItem>
</file>

<file path=customXml/itemProps4.xml><?xml version="1.0" encoding="utf-8"?>
<ds:datastoreItem xmlns:ds="http://schemas.openxmlformats.org/officeDocument/2006/customXml" ds:itemID="{CF58098A-470D-4825-A9B5-6DD97CC9BD9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Interior Architecture Planner</vt:lpstr>
      <vt:lpstr>Interior Design Planner</vt:lpstr>
      <vt:lpstr>CourseDetails</vt:lpstr>
      <vt:lpstr>Handbook</vt:lpstr>
      <vt:lpstr>Unitsets</vt:lpstr>
      <vt:lpstr>Structures</vt:lpstr>
      <vt:lpstr>Availabilities</vt:lpstr>
      <vt:lpstr>'Interior Architecture Planner'!Print_Area</vt:lpstr>
      <vt:lpstr>'Interior Design Planner'!Print_Area</vt:lpstr>
      <vt:lpstr>RangeSpecSets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2026-01-09T05:51:40Z</cp:lastPrinted>
  <dcterms:created xsi:type="dcterms:W3CDTF">2022-02-28T04:48:12Z</dcterms:created>
  <dcterms:modified xsi:type="dcterms:W3CDTF">2026-01-09T05:52:40Z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