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5B90D133-3BF1-4E47-A870-0896DE9F0DC6}" xr6:coauthVersionLast="47" xr6:coauthVersionMax="47" xr10:uidLastSave="{00000000-0000-0000-0000-000000000000}"/>
  <workbookProtection workbookAlgorithmName="SHA-512" workbookHashValue="w/OJuFxjadlpT+Bsoz+PAyZIH8IZWLZGQatZhzGoQQc9IvAb2KcZ06bHP1/57Ws0vwSdSImQeos3uNVjJY7INA==" workbookSaltValue="qFegBKi3sIr64ZZ3e3BNrQ==" workbookSpinCount="100000" lockStructure="1"/>
  <bookViews>
    <workbookView xWindow="-120" yWindow="-120" windowWidth="29040" windowHeight="17520" tabRatio="671" firstSheet="6" activeTab="6" xr2:uid="{00000000-000D-0000-FFFF-FFFF00000000}"/>
  </bookViews>
  <sheets>
    <sheet name="CourseDetails" sheetId="14" state="hidden" r:id="rId1"/>
    <sheet name="Handbook" sheetId="3" state="hidden" r:id="rId2"/>
    <sheet name="Structures" sheetId="8" state="hidden" r:id="rId3"/>
    <sheet name="Availabilities" sheetId="9" state="hidden" r:id="rId4"/>
    <sheet name="Unitsets" sheetId="2" state="hidden" r:id="rId5"/>
    <sheet name="BEd (ECE) OUA" sheetId="5" state="hidden" r:id="rId6"/>
    <sheet name="BEd (Primary) OUA" sheetId="13" r:id="rId7"/>
    <sheet name="UnitsetsSecondary" sheetId="10" state="hidden" r:id="rId8"/>
    <sheet name="BEd (Secondary) OUA" sheetId="11" state="hidden" r:id="rId9"/>
  </sheets>
  <definedNames>
    <definedName name="_xlnm._FilterDatabase" localSheetId="1" hidden="1">Handbook!#REF!</definedName>
    <definedName name="_xlnm.Print_Area" localSheetId="5">'BEd (ECE) OUA'!$A$3:$L$78</definedName>
    <definedName name="_xlnm.Print_Area" localSheetId="6">'BEd (Primary) OUA'!$A$3:$L$63</definedName>
    <definedName name="_xlnm.Print_Area" localSheetId="8">'BEd (Secondary) OUA'!$A$3:$L$84</definedName>
    <definedName name="RangeMajorsOptions">UnitsetsSecondary!$C$64:$C$89</definedName>
    <definedName name="RangeMajorsSec">UnitsetsSecondary!#REF!</definedName>
    <definedName name="RangeOptions">Unitsets!$C$44:$C$65</definedName>
    <definedName name="RangeStreams">Unitsets!$C$38:$H$41</definedName>
    <definedName name="RangeUnitsets">Unitsets!$C$3:$R$35</definedName>
    <definedName name="RangeUnitSetsSec">UnitsetsSecondary!$C$3:$N$60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 i="3" l="1"/>
  <c r="O1" i="3"/>
  <c r="P1" i="3"/>
  <c r="Q1" i="3"/>
  <c r="R1" i="3"/>
  <c r="S1" i="3"/>
  <c r="T1" i="3"/>
  <c r="U1" i="3"/>
  <c r="V1" i="3"/>
  <c r="W1" i="3"/>
  <c r="X1" i="3"/>
  <c r="Y1" i="3"/>
  <c r="Z1" i="3"/>
  <c r="C236" i="8"/>
  <c r="D236" i="8" s="1"/>
  <c r="C237" i="8"/>
  <c r="D237" i="8" s="1"/>
  <c r="C238" i="8"/>
  <c r="D238" i="8" s="1"/>
  <c r="C239" i="8"/>
  <c r="D239" i="8" s="1"/>
  <c r="C240" i="8"/>
  <c r="D240" i="8" s="1"/>
  <c r="C241" i="8"/>
  <c r="D241" i="8" s="1"/>
  <c r="C242" i="8"/>
  <c r="D242" i="8" s="1"/>
  <c r="C243" i="8"/>
  <c r="D243" i="8" s="1"/>
  <c r="C244" i="8"/>
  <c r="D244" i="8" s="1"/>
  <c r="C228" i="8"/>
  <c r="D228" i="8" s="1"/>
  <c r="C229" i="8"/>
  <c r="D229" i="8"/>
  <c r="C230" i="8"/>
  <c r="D230" i="8" s="1"/>
  <c r="C231" i="8"/>
  <c r="D231" i="8" s="1"/>
  <c r="C232" i="8"/>
  <c r="D232" i="8" s="1"/>
  <c r="C233" i="8"/>
  <c r="D233" i="8" s="1"/>
  <c r="C234" i="8"/>
  <c r="D234" i="8" s="1"/>
  <c r="C235" i="8"/>
  <c r="D235" i="8"/>
  <c r="E244" i="8"/>
  <c r="B244" i="8"/>
  <c r="A244" i="8"/>
  <c r="E243" i="8"/>
  <c r="B243" i="8"/>
  <c r="A243" i="8"/>
  <c r="E242" i="8"/>
  <c r="B242" i="8"/>
  <c r="A242" i="8"/>
  <c r="E241" i="8"/>
  <c r="B241" i="8"/>
  <c r="A241" i="8"/>
  <c r="E240" i="8"/>
  <c r="B240" i="8"/>
  <c r="A240" i="8"/>
  <c r="E239" i="8"/>
  <c r="B239" i="8"/>
  <c r="A239" i="8"/>
  <c r="E238" i="8"/>
  <c r="B238" i="8"/>
  <c r="A238" i="8"/>
  <c r="E237" i="8"/>
  <c r="B237" i="8"/>
  <c r="A237" i="8"/>
  <c r="E236" i="8"/>
  <c r="B236" i="8"/>
  <c r="A236" i="8"/>
  <c r="E235" i="8"/>
  <c r="B235" i="8"/>
  <c r="A235" i="8"/>
  <c r="E234" i="8"/>
  <c r="B234" i="8"/>
  <c r="A234" i="8"/>
  <c r="E233" i="8"/>
  <c r="B233" i="8"/>
  <c r="A233" i="8"/>
  <c r="E232" i="8"/>
  <c r="B232" i="8"/>
  <c r="A232" i="8"/>
  <c r="E231" i="8"/>
  <c r="B231" i="8"/>
  <c r="A231" i="8"/>
  <c r="E230" i="8"/>
  <c r="B230" i="8"/>
  <c r="A230" i="8"/>
  <c r="E229" i="8"/>
  <c r="B229" i="8"/>
  <c r="A229" i="8"/>
  <c r="E228" i="8"/>
  <c r="B228" i="8"/>
  <c r="A228" i="8"/>
  <c r="E227" i="8"/>
  <c r="C227" i="8"/>
  <c r="D227" i="8" s="1"/>
  <c r="B227" i="8"/>
  <c r="A227" i="8"/>
  <c r="E174" i="8"/>
  <c r="D174" i="8"/>
  <c r="B174" i="8"/>
  <c r="A174" i="8"/>
  <c r="E173" i="8"/>
  <c r="D173" i="8"/>
  <c r="B173" i="8"/>
  <c r="A173" i="8"/>
  <c r="E172" i="8"/>
  <c r="D172" i="8"/>
  <c r="B172" i="8"/>
  <c r="A172" i="8"/>
  <c r="E171" i="8"/>
  <c r="D171" i="8"/>
  <c r="B171" i="8"/>
  <c r="A171" i="8"/>
  <c r="E170" i="8"/>
  <c r="D170" i="8"/>
  <c r="B170" i="8"/>
  <c r="A170" i="8"/>
  <c r="E169" i="8"/>
  <c r="D169" i="8"/>
  <c r="B169" i="8"/>
  <c r="A169" i="8"/>
  <c r="E168" i="8"/>
  <c r="D168" i="8"/>
  <c r="C168" i="8"/>
  <c r="B168" i="8"/>
  <c r="A168" i="8"/>
  <c r="E167" i="8"/>
  <c r="D167" i="8"/>
  <c r="C167" i="8"/>
  <c r="B167" i="8"/>
  <c r="A167" i="8"/>
  <c r="E166" i="8"/>
  <c r="D166" i="8"/>
  <c r="C166" i="8"/>
  <c r="B166" i="8"/>
  <c r="A166" i="8"/>
  <c r="E165" i="8"/>
  <c r="D165" i="8"/>
  <c r="C165" i="8"/>
  <c r="B165" i="8"/>
  <c r="A165" i="8"/>
  <c r="E164" i="8"/>
  <c r="D164" i="8"/>
  <c r="B164" i="8"/>
  <c r="A164" i="8"/>
  <c r="E163" i="8"/>
  <c r="D163" i="8"/>
  <c r="C163" i="8"/>
  <c r="B163" i="8"/>
  <c r="A163" i="8"/>
  <c r="E162" i="8"/>
  <c r="D162" i="8"/>
  <c r="C162" i="8"/>
  <c r="B162" i="8"/>
  <c r="A162" i="8"/>
  <c r="E161" i="8"/>
  <c r="D161" i="8"/>
  <c r="C161" i="8"/>
  <c r="B161" i="8"/>
  <c r="A161" i="8"/>
  <c r="E160" i="8"/>
  <c r="D160" i="8"/>
  <c r="C160" i="8"/>
  <c r="B160" i="8"/>
  <c r="A160" i="8"/>
  <c r="E159" i="8"/>
  <c r="D159" i="8"/>
  <c r="C159" i="8"/>
  <c r="B159" i="8"/>
  <c r="A159" i="8"/>
  <c r="E158" i="8"/>
  <c r="D158" i="8"/>
  <c r="C158" i="8"/>
  <c r="B158" i="8"/>
  <c r="A158" i="8"/>
  <c r="E157" i="8"/>
  <c r="D157" i="8"/>
  <c r="C157" i="8"/>
  <c r="B157" i="8"/>
  <c r="A157" i="8"/>
  <c r="E156" i="8"/>
  <c r="D156" i="8"/>
  <c r="C156" i="8"/>
  <c r="B156" i="8"/>
  <c r="A156" i="8"/>
  <c r="E155" i="8"/>
  <c r="D155" i="8"/>
  <c r="C155" i="8"/>
  <c r="B155" i="8"/>
  <c r="A155" i="8"/>
  <c r="E154" i="8"/>
  <c r="D154" i="8"/>
  <c r="C154" i="8"/>
  <c r="B154" i="8"/>
  <c r="A154" i="8"/>
  <c r="E153" i="8"/>
  <c r="D153" i="8"/>
  <c r="C153" i="8"/>
  <c r="B153" i="8"/>
  <c r="A153" i="8"/>
  <c r="E152" i="8"/>
  <c r="D152" i="8"/>
  <c r="C152" i="8"/>
  <c r="B152" i="8"/>
  <c r="A152" i="8"/>
  <c r="E151" i="8"/>
  <c r="D151" i="8"/>
  <c r="C151" i="8"/>
  <c r="B151" i="8"/>
  <c r="A151" i="8"/>
  <c r="E150" i="8"/>
  <c r="D150" i="8"/>
  <c r="C150" i="8"/>
  <c r="B150" i="8"/>
  <c r="A150" i="8"/>
  <c r="E149" i="8"/>
  <c r="D149" i="8"/>
  <c r="C149" i="8"/>
  <c r="B149" i="8"/>
  <c r="A149" i="8"/>
  <c r="E148" i="8"/>
  <c r="D148" i="8"/>
  <c r="C148" i="8"/>
  <c r="B148" i="8"/>
  <c r="A148" i="8"/>
  <c r="E147" i="8"/>
  <c r="D147" i="8"/>
  <c r="C147" i="8"/>
  <c r="B147" i="8"/>
  <c r="A147" i="8"/>
  <c r="E146" i="8"/>
  <c r="D146" i="8"/>
  <c r="C146" i="8"/>
  <c r="B146" i="8"/>
  <c r="A146" i="8"/>
  <c r="E145" i="8"/>
  <c r="D145" i="8"/>
  <c r="C145" i="8"/>
  <c r="B145" i="8"/>
  <c r="A145" i="8"/>
  <c r="E144" i="8"/>
  <c r="D144" i="8"/>
  <c r="C144" i="8"/>
  <c r="B144" i="8"/>
  <c r="A144" i="8"/>
  <c r="E143" i="8"/>
  <c r="D143" i="8"/>
  <c r="C143" i="8"/>
  <c r="B143" i="8"/>
  <c r="A143" i="8"/>
  <c r="E142" i="8"/>
  <c r="D142" i="8"/>
  <c r="C142" i="8"/>
  <c r="B142" i="8"/>
  <c r="A142" i="8"/>
  <c r="M1" i="3"/>
  <c r="E92" i="8"/>
  <c r="C92" i="8"/>
  <c r="D92" i="8" s="1"/>
  <c r="B92" i="8"/>
  <c r="A92" i="8"/>
  <c r="E91" i="8"/>
  <c r="C91" i="8"/>
  <c r="D91" i="8" s="1"/>
  <c r="B91" i="8"/>
  <c r="A91" i="8"/>
  <c r="E90" i="8"/>
  <c r="C90" i="8"/>
  <c r="D90" i="8" s="1"/>
  <c r="B90" i="8"/>
  <c r="A90" i="8"/>
  <c r="E89" i="8"/>
  <c r="C89" i="8"/>
  <c r="D89" i="8" s="1"/>
  <c r="B89" i="8"/>
  <c r="A89" i="8"/>
  <c r="E88" i="8"/>
  <c r="C88" i="8"/>
  <c r="D88" i="8" s="1"/>
  <c r="B88" i="8"/>
  <c r="A88" i="8"/>
  <c r="E87" i="8"/>
  <c r="C87" i="8"/>
  <c r="D87" i="8" s="1"/>
  <c r="B87" i="8"/>
  <c r="A87" i="8"/>
  <c r="E86" i="8"/>
  <c r="C86" i="8"/>
  <c r="D86" i="8" s="1"/>
  <c r="B86" i="8"/>
  <c r="A86" i="8"/>
  <c r="E85" i="8"/>
  <c r="C85" i="8"/>
  <c r="D85" i="8" s="1"/>
  <c r="B85" i="8"/>
  <c r="A85" i="8"/>
  <c r="E84" i="8"/>
  <c r="C84" i="8"/>
  <c r="D84" i="8" s="1"/>
  <c r="B84" i="8"/>
  <c r="A84" i="8"/>
  <c r="E83" i="8"/>
  <c r="C83" i="8"/>
  <c r="D83" i="8" s="1"/>
  <c r="B83" i="8"/>
  <c r="A83" i="8"/>
  <c r="E82" i="8"/>
  <c r="C82" i="8"/>
  <c r="D82" i="8" s="1"/>
  <c r="B82" i="8"/>
  <c r="A82" i="8"/>
  <c r="E81" i="8"/>
  <c r="C81" i="8"/>
  <c r="D81" i="8" s="1"/>
  <c r="B81" i="8"/>
  <c r="A81" i="8"/>
  <c r="E80" i="8"/>
  <c r="C80" i="8"/>
  <c r="D80" i="8" s="1"/>
  <c r="B80" i="8"/>
  <c r="A80" i="8"/>
  <c r="E79" i="8"/>
  <c r="C79" i="8"/>
  <c r="D79" i="8" s="1"/>
  <c r="B79" i="8"/>
  <c r="A79" i="8"/>
  <c r="E78" i="8"/>
  <c r="C78" i="8"/>
  <c r="D78" i="8" s="1"/>
  <c r="B78" i="8"/>
  <c r="A78" i="8"/>
  <c r="E77" i="8"/>
  <c r="C77" i="8"/>
  <c r="D77" i="8" s="1"/>
  <c r="B77" i="8"/>
  <c r="A77" i="8"/>
  <c r="E76" i="8"/>
  <c r="C76" i="8"/>
  <c r="D76" i="8" s="1"/>
  <c r="B76" i="8"/>
  <c r="A76" i="8"/>
  <c r="E75" i="8"/>
  <c r="C75" i="8"/>
  <c r="D75" i="8" s="1"/>
  <c r="B75" i="8"/>
  <c r="A75" i="8"/>
  <c r="E74" i="8"/>
  <c r="C74" i="8"/>
  <c r="D74" i="8" s="1"/>
  <c r="B74" i="8"/>
  <c r="A74" i="8"/>
  <c r="E73" i="8"/>
  <c r="C73" i="8"/>
  <c r="D73" i="8" s="1"/>
  <c r="B73" i="8"/>
  <c r="A73" i="8"/>
  <c r="E72" i="8"/>
  <c r="D72" i="8"/>
  <c r="B72" i="8"/>
  <c r="A72" i="8"/>
  <c r="E71" i="8"/>
  <c r="C71" i="8"/>
  <c r="D71" i="8" s="1"/>
  <c r="B71" i="8"/>
  <c r="A71" i="8"/>
  <c r="E70" i="8"/>
  <c r="C70" i="8"/>
  <c r="D70" i="8" s="1"/>
  <c r="B70" i="8"/>
  <c r="A70" i="8"/>
  <c r="E69" i="8"/>
  <c r="C69" i="8"/>
  <c r="D69" i="8" s="1"/>
  <c r="B69" i="8"/>
  <c r="A69" i="8"/>
  <c r="E68" i="8"/>
  <c r="C68" i="8"/>
  <c r="D68" i="8" s="1"/>
  <c r="B68" i="8"/>
  <c r="A68" i="8"/>
  <c r="E67" i="8"/>
  <c r="C67" i="8"/>
  <c r="D67" i="8" s="1"/>
  <c r="B67" i="8"/>
  <c r="A67" i="8"/>
  <c r="E66" i="8"/>
  <c r="C66" i="8"/>
  <c r="D66" i="8" s="1"/>
  <c r="B66" i="8"/>
  <c r="A66" i="8"/>
  <c r="E65" i="8"/>
  <c r="C65" i="8"/>
  <c r="D65" i="8" s="1"/>
  <c r="B65" i="8"/>
  <c r="A65" i="8"/>
  <c r="E64" i="8"/>
  <c r="C64" i="8"/>
  <c r="D64" i="8" s="1"/>
  <c r="B64" i="8"/>
  <c r="A64" i="8"/>
  <c r="E63" i="8"/>
  <c r="C63" i="8"/>
  <c r="D63" i="8" s="1"/>
  <c r="B63" i="8"/>
  <c r="A63" i="8"/>
  <c r="E62" i="8"/>
  <c r="C62" i="8"/>
  <c r="D62" i="8" s="1"/>
  <c r="B62" i="8"/>
  <c r="A62" i="8"/>
  <c r="E61" i="8"/>
  <c r="C61" i="8"/>
  <c r="D61" i="8" s="1"/>
  <c r="B61" i="8"/>
  <c r="A61" i="8"/>
  <c r="E60" i="8"/>
  <c r="C60" i="8"/>
  <c r="D60" i="8" s="1"/>
  <c r="B60" i="8"/>
  <c r="A60" i="8"/>
  <c r="E59" i="8"/>
  <c r="C59" i="8"/>
  <c r="D59" i="8" s="1"/>
  <c r="B59" i="8"/>
  <c r="A59" i="8"/>
  <c r="E58" i="8"/>
  <c r="C58" i="8"/>
  <c r="D58" i="8" s="1"/>
  <c r="B58" i="8"/>
  <c r="A58" i="8"/>
  <c r="E57" i="8"/>
  <c r="C57" i="8"/>
  <c r="D57" i="8" s="1"/>
  <c r="B57" i="8"/>
  <c r="A57" i="8"/>
  <c r="E56" i="8"/>
  <c r="C56" i="8"/>
  <c r="D56" i="8" s="1"/>
  <c r="B56" i="8"/>
  <c r="A56" i="8"/>
  <c r="E55" i="8"/>
  <c r="C55" i="8"/>
  <c r="D55" i="8" s="1"/>
  <c r="B55" i="8"/>
  <c r="A55" i="8"/>
  <c r="E54" i="8"/>
  <c r="C54" i="8"/>
  <c r="D54" i="8" s="1"/>
  <c r="B54" i="8"/>
  <c r="A54" i="8"/>
  <c r="E53" i="8"/>
  <c r="C53" i="8"/>
  <c r="D53" i="8" s="1"/>
  <c r="B53" i="8"/>
  <c r="A53" i="8"/>
  <c r="E52" i="8"/>
  <c r="C52" i="8"/>
  <c r="D52" i="8" s="1"/>
  <c r="B52" i="8"/>
  <c r="A52" i="8"/>
  <c r="E51" i="8"/>
  <c r="C51" i="8"/>
  <c r="D51" i="8" s="1"/>
  <c r="B51" i="8"/>
  <c r="A51" i="8"/>
  <c r="E50" i="8"/>
  <c r="C50" i="8"/>
  <c r="D50" i="8" s="1"/>
  <c r="B50" i="8"/>
  <c r="A50" i="8"/>
  <c r="E49" i="8"/>
  <c r="C49" i="8"/>
  <c r="D49" i="8" s="1"/>
  <c r="B49" i="8"/>
  <c r="A49" i="8"/>
  <c r="H30" i="2"/>
  <c r="M45" i="3" a="1"/>
  <c r="M145" i="3" a="1"/>
  <c r="W106" i="3" a="1"/>
  <c r="M107" i="3" a="1"/>
  <c r="W49" i="3" a="1"/>
  <c r="O47" i="3" a="1"/>
  <c r="O6" i="3" a="1"/>
  <c r="W8" i="3" a="1"/>
  <c r="M47" i="3" a="1"/>
  <c r="W9" i="3" a="1"/>
  <c r="M89" i="3" a="1"/>
  <c r="W117" i="3" a="1"/>
  <c r="O70" i="3" a="1"/>
  <c r="M49" i="3" a="1"/>
  <c r="W86" i="3" a="1"/>
  <c r="W60" i="3" a="1"/>
  <c r="W65" i="3" a="1"/>
  <c r="O17" i="3" a="1"/>
  <c r="W133" i="3" a="1"/>
  <c r="O100" i="3" a="1"/>
  <c r="O9" i="3" a="1"/>
  <c r="W108" i="3" a="1"/>
  <c r="M37" i="3" a="1"/>
  <c r="W130" i="3" a="1"/>
  <c r="O11" i="3" a="1"/>
  <c r="O24" i="3" a="1"/>
  <c r="O14" i="3" a="1"/>
  <c r="O36" i="3" a="1"/>
  <c r="O29" i="3" a="1"/>
  <c r="W66" i="3" a="1"/>
  <c r="M46" i="3" a="1"/>
  <c r="M66" i="3" a="1"/>
  <c r="M25" i="3" a="1"/>
  <c r="W50" i="3" a="1"/>
  <c r="W11" i="3" a="1"/>
  <c r="O129" i="3" a="1"/>
  <c r="W69" i="3" a="1"/>
  <c r="W89" i="3" a="1"/>
  <c r="M117" i="3" a="1"/>
  <c r="W20" i="3" a="1"/>
  <c r="W125" i="3" a="1"/>
  <c r="W19" i="3" a="1"/>
  <c r="O46" i="3" a="1"/>
  <c r="W110" i="3" a="1"/>
  <c r="O132" i="3" a="1"/>
  <c r="O93" i="3" a="1"/>
  <c r="M72" i="3" a="1"/>
  <c r="W88" i="3" a="1"/>
  <c r="W115" i="3" a="1"/>
  <c r="O117" i="3" a="1"/>
  <c r="O146" i="3" a="1"/>
  <c r="M38" i="3" a="1"/>
  <c r="M76" i="3" a="1"/>
  <c r="W97" i="3" a="1"/>
  <c r="O39" i="3" a="1"/>
  <c r="O42" i="3" a="1"/>
  <c r="M70" i="3" a="1"/>
  <c r="M137" i="3" a="1"/>
  <c r="O125" i="3" a="1"/>
  <c r="O95" i="3" a="1"/>
  <c r="M104" i="3" a="1"/>
  <c r="W105" i="3" a="1"/>
  <c r="O19" i="3" a="1"/>
  <c r="M9" i="3" a="1"/>
  <c r="O52" i="3" a="1"/>
  <c r="M132" i="3" a="1"/>
  <c r="M51" i="3" a="1"/>
  <c r="M63" i="3" a="1"/>
  <c r="M41" i="3" a="1"/>
  <c r="W102" i="3" a="1"/>
  <c r="M90" i="3" a="1"/>
  <c r="M21" i="3" a="1"/>
  <c r="W24" i="3" a="1"/>
  <c r="O7" i="3" a="1"/>
  <c r="O12" i="3" a="1"/>
  <c r="W34" i="3" a="1"/>
  <c r="O107" i="3" a="1"/>
  <c r="M50" i="3" a="1"/>
  <c r="O77" i="3" a="1"/>
  <c r="O87" i="3" a="1"/>
  <c r="O99" i="3" a="1"/>
  <c r="O102" i="3" a="1"/>
  <c r="O41" i="3" a="1"/>
  <c r="O67" i="3" a="1"/>
  <c r="M73" i="3" a="1"/>
  <c r="W39" i="3" a="1"/>
  <c r="M113" i="3" a="1"/>
  <c r="O23" i="3" a="1"/>
  <c r="O114" i="3" a="1"/>
  <c r="W44" i="3" a="1"/>
  <c r="M6" i="3" a="1"/>
  <c r="O133" i="3" a="1"/>
  <c r="W67" i="3" a="1"/>
  <c r="O123" i="3" a="1"/>
  <c r="M74" i="3" a="1"/>
  <c r="M52" i="3" a="1"/>
  <c r="W141" i="3" a="1"/>
  <c r="W148" i="3" a="1"/>
  <c r="O135" i="3" a="1"/>
  <c r="O63" i="3" a="1"/>
  <c r="W82" i="3" a="1"/>
  <c r="W26" i="3" a="1"/>
  <c r="W126" i="3" a="1"/>
  <c r="O57" i="3" a="1"/>
  <c r="O110" i="3" a="1"/>
  <c r="M62" i="3" a="1"/>
  <c r="W142" i="3" a="1"/>
  <c r="O141" i="3" a="1"/>
  <c r="O35" i="3" a="1"/>
  <c r="M96" i="3" a="1"/>
  <c r="O83" i="3" a="1"/>
  <c r="M15" i="3" a="1"/>
  <c r="W77" i="3" a="1"/>
  <c r="W17" i="3" a="1"/>
  <c r="O32" i="3" a="1"/>
  <c r="O90" i="3" a="1"/>
  <c r="O136" i="3" a="1"/>
  <c r="W144" i="3" a="1"/>
  <c r="W33" i="3" a="1"/>
  <c r="M97" i="3" a="1"/>
  <c r="O124" i="3" a="1"/>
  <c r="W132" i="3" a="1"/>
  <c r="W143" i="3" a="1"/>
  <c r="M35" i="3" a="1"/>
  <c r="W109" i="3" a="1"/>
  <c r="W75" i="3" a="1"/>
  <c r="M110" i="3" a="1"/>
  <c r="O148" i="3" a="1"/>
  <c r="O118" i="3" a="1"/>
  <c r="M26" i="3" a="1"/>
  <c r="M120" i="3" a="1"/>
  <c r="W98" i="3" a="1"/>
  <c r="W137" i="3" a="1"/>
  <c r="M133" i="3" a="1"/>
  <c r="M91" i="3" a="1"/>
  <c r="O142" i="3" a="1"/>
  <c r="M22" i="3" a="1"/>
  <c r="O106" i="3" a="1"/>
  <c r="O13" i="3" a="1"/>
  <c r="M16" i="3" a="1"/>
  <c r="M98" i="3" a="1"/>
  <c r="M48" i="3" a="1"/>
  <c r="M60" i="3" a="1"/>
  <c r="M23" i="3" a="1"/>
  <c r="O68" i="3" a="1"/>
  <c r="O54" i="3" a="1"/>
  <c r="W27" i="3" a="1"/>
  <c r="M144" i="3" a="1"/>
  <c r="M134" i="3" a="1"/>
  <c r="W81" i="3" a="1"/>
  <c r="M4" i="3" a="1"/>
  <c r="O38" i="3" a="1"/>
  <c r="W111" i="3" a="1"/>
  <c r="W45" i="3" a="1"/>
  <c r="O75" i="3" a="1"/>
  <c r="W10" i="3" a="1"/>
  <c r="M105" i="3" a="1"/>
  <c r="M65" i="3" a="1"/>
  <c r="W131" i="3" a="1"/>
  <c r="W90" i="3" a="1"/>
  <c r="W87" i="3" a="1"/>
  <c r="M17" i="3" a="1"/>
  <c r="O120" i="3" a="1"/>
  <c r="M111" i="3" a="1"/>
  <c r="O121" i="3" a="1"/>
  <c r="O130" i="3" a="1"/>
  <c r="W118" i="3" a="1"/>
  <c r="M53" i="3" a="1"/>
  <c r="M131" i="3" a="1"/>
  <c r="W70" i="3" a="1"/>
  <c r="M33" i="3" a="1"/>
  <c r="M93" i="3" a="1"/>
  <c r="M128" i="3" a="1"/>
  <c r="M56" i="3" a="1"/>
  <c r="O149" i="3" a="1"/>
  <c r="W139" i="3" a="1"/>
  <c r="W30" i="3" a="1"/>
  <c r="O72" i="3" a="1"/>
  <c r="W63" i="3" a="1"/>
  <c r="W134" i="3" a="1"/>
  <c r="O64" i="3" a="1"/>
  <c r="M118" i="3" a="1"/>
  <c r="O143" i="3" a="1"/>
  <c r="W48" i="3" a="1"/>
  <c r="M147" i="3" a="1"/>
  <c r="O44" i="3" a="1"/>
  <c r="O145" i="3" a="1"/>
  <c r="O30" i="3" a="1"/>
  <c r="M86" i="3" a="1"/>
  <c r="W119" i="3" a="1"/>
  <c r="M142" i="3" a="1"/>
  <c r="W4" i="3" a="1"/>
  <c r="O48" i="3" a="1"/>
  <c r="O113" i="3" a="1"/>
  <c r="W13" i="3" a="1"/>
  <c r="M99" i="3" a="1"/>
  <c r="M58" i="3" a="1"/>
  <c r="M101" i="3" a="1"/>
  <c r="M43" i="3" a="1"/>
  <c r="M143" i="3" a="1"/>
  <c r="O78" i="3" a="1"/>
  <c r="O128" i="3" a="1"/>
  <c r="M27" i="3" a="1"/>
  <c r="M130" i="3" a="1"/>
  <c r="O88" i="3" a="1"/>
  <c r="W116" i="3" a="1"/>
  <c r="W73" i="3" a="1"/>
  <c r="O55" i="3" a="1"/>
  <c r="W112" i="3" a="1"/>
  <c r="O138" i="3" a="1"/>
  <c r="O27" i="3" a="1"/>
  <c r="O84" i="3" a="1"/>
  <c r="O73" i="3" a="1"/>
  <c r="O98" i="3" a="1"/>
  <c r="W114" i="3" a="1"/>
  <c r="O103" i="3" a="1"/>
  <c r="O71" i="3" a="1"/>
  <c r="W41" i="3" a="1"/>
  <c r="M68" i="3" a="1"/>
  <c r="W21" i="3" a="1"/>
  <c r="W96" i="3" a="1"/>
  <c r="M122" i="3" a="1"/>
  <c r="M54" i="3" a="1"/>
  <c r="W146" i="3" a="1"/>
  <c r="M149" i="3" a="1"/>
  <c r="O111" i="3" a="1"/>
  <c r="M114" i="3" a="1"/>
  <c r="O112" i="3" a="1"/>
  <c r="W5" i="3" a="1"/>
  <c r="O139" i="3" a="1"/>
  <c r="O34" i="3" a="1"/>
  <c r="M103" i="3" a="1"/>
  <c r="W93" i="3" a="1"/>
  <c r="W43" i="3" a="1"/>
  <c r="W12" i="3" a="1"/>
  <c r="M108" i="3" a="1"/>
  <c r="O134" i="3" a="1"/>
  <c r="O31" i="3" a="1"/>
  <c r="W129" i="3" a="1"/>
  <c r="O96" i="3" a="1"/>
  <c r="W121" i="3" a="1"/>
  <c r="O76" i="3" a="1"/>
  <c r="W95" i="3" a="1"/>
  <c r="M29" i="3" a="1"/>
  <c r="O66" i="3" a="1"/>
  <c r="W42" i="3" a="1"/>
  <c r="M138" i="3" a="1"/>
  <c r="W135" i="3" a="1"/>
  <c r="W71" i="3" a="1"/>
  <c r="O104" i="3" a="1"/>
  <c r="O56" i="3" a="1"/>
  <c r="O16" i="3" a="1"/>
  <c r="O126" i="3" a="1"/>
  <c r="W113" i="3" a="1"/>
  <c r="M141" i="3" a="1"/>
  <c r="W7" i="3" a="1"/>
  <c r="M123" i="3" a="1"/>
  <c r="W36" i="3" a="1"/>
  <c r="O109" i="3" a="1"/>
  <c r="M126" i="3" a="1"/>
  <c r="M119" i="3" a="1"/>
  <c r="W57" i="3" a="1"/>
  <c r="M148" i="3" a="1"/>
  <c r="M140" i="3" a="1"/>
  <c r="M5" i="3" a="1"/>
  <c r="O49" i="3" a="1"/>
  <c r="O51" i="3" a="1"/>
  <c r="O45" i="3" a="1"/>
  <c r="M146" i="3" a="1"/>
  <c r="O33" i="3" a="1"/>
  <c r="M8" i="3" a="1"/>
  <c r="W76" i="3" a="1"/>
  <c r="W54" i="3" a="1"/>
  <c r="O94" i="3" a="1"/>
  <c r="M139" i="3" a="1"/>
  <c r="W99" i="3" a="1"/>
  <c r="W32" i="3" a="1"/>
  <c r="O144" i="3" a="1"/>
  <c r="M28" i="3" a="1"/>
  <c r="W124" i="3" a="1"/>
  <c r="O74" i="3" a="1"/>
  <c r="W31" i="3" a="1"/>
  <c r="W47" i="3" a="1"/>
  <c r="W79" i="3" a="1"/>
  <c r="O22" i="3" a="1"/>
  <c r="W56" i="3" a="1"/>
  <c r="M42" i="3" a="1"/>
  <c r="W38" i="3" a="1"/>
  <c r="O53" i="3" a="1"/>
  <c r="W94" i="3" a="1"/>
  <c r="M106" i="3" a="1"/>
  <c r="M75" i="3" a="1"/>
  <c r="O86" i="3" a="1"/>
  <c r="O18" i="3" a="1"/>
  <c r="W104" i="3" a="1"/>
  <c r="W55" i="3" a="1"/>
  <c r="O69" i="3" a="1"/>
  <c r="M44" i="3" a="1"/>
  <c r="W35" i="3" a="1"/>
  <c r="W61" i="3" a="1"/>
  <c r="W92" i="3" a="1"/>
  <c r="M127" i="3" a="1"/>
  <c r="W28" i="3" a="1"/>
  <c r="W22" i="3" a="1"/>
  <c r="W68" i="3" a="1"/>
  <c r="M3" i="3" a="1"/>
  <c r="W145" i="3" a="1"/>
  <c r="M67" i="3" a="1"/>
  <c r="W15" i="3" a="1"/>
  <c r="O3" i="3" a="1"/>
  <c r="W3" i="3" a="1"/>
  <c r="M81" i="3" a="1"/>
  <c r="W128" i="3" a="1"/>
  <c r="M71" i="3" a="1"/>
  <c r="W6" i="3" a="1"/>
  <c r="M64" i="3" a="1"/>
  <c r="M40" i="3" a="1"/>
  <c r="O60" i="3" a="1"/>
  <c r="M10" i="3" a="1"/>
  <c r="M83" i="3" a="1"/>
  <c r="M78" i="3" a="1"/>
  <c r="M69" i="3" a="1"/>
  <c r="O62" i="3" a="1"/>
  <c r="O116" i="3" a="1"/>
  <c r="O105" i="3" a="1"/>
  <c r="O115" i="3" a="1"/>
  <c r="M32" i="3" a="1"/>
  <c r="M13" i="3" a="1"/>
  <c r="O40" i="3" a="1"/>
  <c r="M24" i="3" a="1"/>
  <c r="O85" i="3" a="1"/>
  <c r="O37" i="3" a="1"/>
  <c r="W123" i="3" a="1"/>
  <c r="O89" i="3" a="1"/>
  <c r="M135" i="3" a="1"/>
  <c r="O20" i="3" a="1"/>
  <c r="M87" i="3" a="1"/>
  <c r="M100" i="3" a="1"/>
  <c r="O80" i="3" a="1"/>
  <c r="O127" i="3" a="1"/>
  <c r="M95" i="3" a="1"/>
  <c r="W120" i="3" a="1"/>
  <c r="W62" i="3" a="1"/>
  <c r="O92" i="3" a="1"/>
  <c r="M125" i="3" a="1"/>
  <c r="O28" i="3" a="1"/>
  <c r="W122" i="3" a="1"/>
  <c r="O10" i="3" a="1"/>
  <c r="M85" i="3" a="1"/>
  <c r="O5" i="3" a="1"/>
  <c r="W136" i="3" a="1"/>
  <c r="W72" i="3" a="1"/>
  <c r="W25" i="3" a="1"/>
  <c r="W100" i="3" a="1"/>
  <c r="M121" i="3" a="1"/>
  <c r="O15" i="3" a="1"/>
  <c r="M94" i="3" a="1"/>
  <c r="M115" i="3" a="1"/>
  <c r="O65" i="3" a="1"/>
  <c r="O91" i="3" a="1"/>
  <c r="O108" i="3" a="1"/>
  <c r="W53" i="3" a="1"/>
  <c r="M129" i="3" a="1"/>
  <c r="M112" i="3" a="1"/>
  <c r="W23" i="3" a="1"/>
  <c r="W64" i="3" a="1"/>
  <c r="M19" i="3" a="1"/>
  <c r="W51" i="3" a="1"/>
  <c r="O137" i="3" a="1"/>
  <c r="W46" i="3" a="1"/>
  <c r="M92" i="3" a="1"/>
  <c r="O119" i="3" a="1"/>
  <c r="O131" i="3" a="1"/>
  <c r="M34" i="3" a="1"/>
  <c r="M124" i="3" a="1"/>
  <c r="M84" i="3" a="1"/>
  <c r="O4" i="3" a="1"/>
  <c r="O81" i="3" a="1"/>
  <c r="W58" i="3" a="1"/>
  <c r="M14" i="3" a="1"/>
  <c r="W16" i="3" a="1"/>
  <c r="W140" i="3" a="1"/>
  <c r="M39" i="3" a="1"/>
  <c r="M55" i="3" a="1"/>
  <c r="W83" i="3" a="1"/>
  <c r="M7" i="3" a="1"/>
  <c r="O101" i="3" a="1"/>
  <c r="W103" i="3" a="1"/>
  <c r="O43" i="3" a="1"/>
  <c r="M11" i="3" a="1"/>
  <c r="M88" i="3" a="1"/>
  <c r="W59" i="3" a="1"/>
  <c r="O8" i="3" a="1"/>
  <c r="W29" i="3" a="1"/>
  <c r="O21" i="3" a="1"/>
  <c r="O25" i="3" a="1"/>
  <c r="O122" i="3" a="1"/>
  <c r="W84" i="3" a="1"/>
  <c r="W14" i="3" a="1"/>
  <c r="O97" i="3" a="1"/>
  <c r="O26" i="3" a="1"/>
  <c r="O61" i="3" a="1"/>
  <c r="W80" i="3" a="1"/>
  <c r="W37" i="3" a="1"/>
  <c r="M36" i="3" a="1"/>
  <c r="W101" i="3" a="1"/>
  <c r="W127" i="3" a="1"/>
  <c r="O58" i="3" a="1"/>
  <c r="M102" i="3" a="1"/>
  <c r="M77" i="3" a="1"/>
  <c r="W138" i="3" a="1"/>
  <c r="O140" i="3" a="1"/>
  <c r="O82" i="3" a="1"/>
  <c r="M59" i="3" a="1"/>
  <c r="M116" i="3" a="1"/>
  <c r="M109" i="3" a="1"/>
  <c r="M136" i="3" a="1"/>
  <c r="W147" i="3" a="1"/>
  <c r="M30" i="3" a="1"/>
  <c r="M61" i="3" a="1"/>
  <c r="W74" i="3" a="1"/>
  <c r="M82" i="3" a="1"/>
  <c r="W40" i="3" a="1"/>
  <c r="O147" i="3" a="1"/>
  <c r="M80" i="3" a="1"/>
  <c r="O59" i="3" a="1"/>
  <c r="M20" i="3" a="1"/>
  <c r="O79" i="3" a="1"/>
  <c r="M18" i="3" a="1"/>
  <c r="W85" i="3" a="1"/>
  <c r="W78" i="3" a="1"/>
  <c r="M79" i="3" a="1"/>
  <c r="M12" i="3" a="1"/>
  <c r="W52" i="3" a="1"/>
  <c r="M31" i="3" a="1"/>
  <c r="W18" i="3" a="1"/>
  <c r="W149" i="3" a="1"/>
  <c r="M57" i="3" a="1"/>
  <c r="W107" i="3" a="1"/>
  <c r="O50" i="3" a="1"/>
  <c r="W91" i="3" a="1"/>
  <c r="W3" i="3" l="1"/>
  <c r="M8" i="3"/>
  <c r="M16" i="3"/>
  <c r="M24" i="3"/>
  <c r="M32" i="3"/>
  <c r="M40" i="3"/>
  <c r="M48" i="3"/>
  <c r="M56" i="3"/>
  <c r="M64" i="3"/>
  <c r="M72" i="3"/>
  <c r="M80" i="3"/>
  <c r="M88" i="3"/>
  <c r="M96" i="3"/>
  <c r="M104" i="3"/>
  <c r="M112" i="3"/>
  <c r="M120" i="3"/>
  <c r="M128" i="3"/>
  <c r="M136" i="3"/>
  <c r="M144" i="3"/>
  <c r="M17" i="3"/>
  <c r="M25" i="3"/>
  <c r="M49" i="3"/>
  <c r="M57" i="3"/>
  <c r="M81" i="3"/>
  <c r="M89" i="3"/>
  <c r="M113" i="3"/>
  <c r="M121" i="3"/>
  <c r="M145" i="3"/>
  <c r="M31" i="3"/>
  <c r="M111" i="3"/>
  <c r="M41" i="3"/>
  <c r="M73" i="3"/>
  <c r="M105" i="3"/>
  <c r="M137" i="3"/>
  <c r="M95" i="3"/>
  <c r="M9" i="3"/>
  <c r="M33" i="3"/>
  <c r="M65" i="3"/>
  <c r="M97" i="3"/>
  <c r="M129" i="3"/>
  <c r="M39" i="3"/>
  <c r="M18" i="3"/>
  <c r="M34" i="3"/>
  <c r="M50" i="3"/>
  <c r="M58" i="3"/>
  <c r="M74" i="3"/>
  <c r="M90" i="3"/>
  <c r="M106" i="3"/>
  <c r="M122" i="3"/>
  <c r="M130" i="3"/>
  <c r="M146" i="3"/>
  <c r="M100" i="3"/>
  <c r="M140" i="3"/>
  <c r="M47" i="3"/>
  <c r="M119" i="3"/>
  <c r="M10" i="3"/>
  <c r="M26" i="3"/>
  <c r="M42" i="3"/>
  <c r="M66" i="3"/>
  <c r="M82" i="3"/>
  <c r="M98" i="3"/>
  <c r="M114" i="3"/>
  <c r="M138" i="3"/>
  <c r="M84" i="3"/>
  <c r="M148" i="3"/>
  <c r="M55" i="3"/>
  <c r="M143" i="3"/>
  <c r="M3" i="3"/>
  <c r="M99" i="3"/>
  <c r="M123" i="3"/>
  <c r="M139" i="3"/>
  <c r="M28" i="3"/>
  <c r="M60" i="3"/>
  <c r="M92" i="3"/>
  <c r="M132" i="3"/>
  <c r="M71" i="3"/>
  <c r="M135" i="3"/>
  <c r="M11" i="3"/>
  <c r="M19" i="3"/>
  <c r="M27" i="3"/>
  <c r="M35" i="3"/>
  <c r="M43" i="3"/>
  <c r="M51" i="3"/>
  <c r="M59" i="3"/>
  <c r="M67" i="3"/>
  <c r="M75" i="3"/>
  <c r="M83" i="3"/>
  <c r="M91" i="3"/>
  <c r="M107" i="3"/>
  <c r="M115" i="3"/>
  <c r="M131" i="3"/>
  <c r="M147" i="3"/>
  <c r="M20" i="3"/>
  <c r="M44" i="3"/>
  <c r="M76" i="3"/>
  <c r="M108" i="3"/>
  <c r="M15" i="3"/>
  <c r="M79" i="3"/>
  <c r="M12" i="3"/>
  <c r="M52" i="3"/>
  <c r="M116" i="3"/>
  <c r="M4" i="3"/>
  <c r="M36" i="3"/>
  <c r="M68" i="3"/>
  <c r="M124" i="3"/>
  <c r="M63" i="3"/>
  <c r="M53" i="3"/>
  <c r="M77" i="3"/>
  <c r="M101" i="3"/>
  <c r="M125" i="3"/>
  <c r="M149" i="3"/>
  <c r="M127" i="3"/>
  <c r="M5" i="3"/>
  <c r="M13" i="3"/>
  <c r="M21" i="3"/>
  <c r="M29" i="3"/>
  <c r="M37" i="3"/>
  <c r="M45" i="3"/>
  <c r="M61" i="3"/>
  <c r="M69" i="3"/>
  <c r="M85" i="3"/>
  <c r="M93" i="3"/>
  <c r="M109" i="3"/>
  <c r="M117" i="3"/>
  <c r="M133" i="3"/>
  <c r="M141" i="3"/>
  <c r="M23" i="3"/>
  <c r="M54" i="3"/>
  <c r="M102" i="3"/>
  <c r="M134" i="3"/>
  <c r="M103" i="3"/>
  <c r="M6" i="3"/>
  <c r="M14" i="3"/>
  <c r="M22" i="3"/>
  <c r="M30" i="3"/>
  <c r="M38" i="3"/>
  <c r="M46" i="3"/>
  <c r="M62" i="3"/>
  <c r="M70" i="3"/>
  <c r="M78" i="3"/>
  <c r="M86" i="3"/>
  <c r="M94" i="3"/>
  <c r="M110" i="3"/>
  <c r="M118" i="3"/>
  <c r="M126" i="3"/>
  <c r="M142" i="3"/>
  <c r="M7" i="3"/>
  <c r="M87" i="3"/>
  <c r="W127" i="3"/>
  <c r="W115" i="3"/>
  <c r="W92" i="3"/>
  <c r="W80" i="3"/>
  <c r="W69" i="3"/>
  <c r="W57" i="3"/>
  <c r="W33" i="3"/>
  <c r="W19" i="3"/>
  <c r="W5" i="3"/>
  <c r="W138" i="3"/>
  <c r="W126" i="3"/>
  <c r="W114" i="3"/>
  <c r="W103" i="3"/>
  <c r="W91" i="3"/>
  <c r="W68" i="3"/>
  <c r="W56" i="3"/>
  <c r="W45" i="3"/>
  <c r="W32" i="3"/>
  <c r="W18" i="3"/>
  <c r="W4" i="3"/>
  <c r="W149" i="3"/>
  <c r="W137" i="3"/>
  <c r="W102" i="3"/>
  <c r="W90" i="3"/>
  <c r="W79" i="3"/>
  <c r="W67" i="3"/>
  <c r="W44" i="3"/>
  <c r="W17" i="3"/>
  <c r="W148" i="3"/>
  <c r="W136" i="3"/>
  <c r="W125" i="3"/>
  <c r="W113" i="3"/>
  <c r="W78" i="3"/>
  <c r="W66" i="3"/>
  <c r="W55" i="3"/>
  <c r="W43" i="3"/>
  <c r="W31" i="3"/>
  <c r="W16" i="3"/>
  <c r="W147" i="3"/>
  <c r="W124" i="3"/>
  <c r="W112" i="3"/>
  <c r="W101" i="3"/>
  <c r="W89" i="3"/>
  <c r="W54" i="3"/>
  <c r="W42" i="3"/>
  <c r="W30" i="3"/>
  <c r="W146" i="3"/>
  <c r="W135" i="3"/>
  <c r="W123" i="3"/>
  <c r="W100" i="3"/>
  <c r="W88" i="3"/>
  <c r="W77" i="3"/>
  <c r="W65" i="3"/>
  <c r="W29" i="3"/>
  <c r="W15" i="3"/>
  <c r="W134" i="3"/>
  <c r="W122" i="3"/>
  <c r="W111" i="3"/>
  <c r="W99" i="3"/>
  <c r="W76" i="3"/>
  <c r="W64" i="3"/>
  <c r="W53" i="3"/>
  <c r="W41" i="3"/>
  <c r="W28" i="3"/>
  <c r="W14" i="3"/>
  <c r="W145" i="3"/>
  <c r="W110" i="3"/>
  <c r="W98" i="3"/>
  <c r="W87" i="3"/>
  <c r="W75" i="3"/>
  <c r="W52" i="3"/>
  <c r="W40" i="3"/>
  <c r="W27" i="3"/>
  <c r="W13" i="3"/>
  <c r="W144" i="3"/>
  <c r="W133" i="3"/>
  <c r="W121" i="3"/>
  <c r="W86" i="3"/>
  <c r="W74" i="3"/>
  <c r="W63" i="3"/>
  <c r="W51" i="3"/>
  <c r="W26" i="3"/>
  <c r="W12" i="3"/>
  <c r="W132" i="3"/>
  <c r="W120" i="3"/>
  <c r="W109" i="3"/>
  <c r="W97" i="3"/>
  <c r="W62" i="3"/>
  <c r="W50" i="3"/>
  <c r="W39" i="3"/>
  <c r="W25" i="3"/>
  <c r="W11" i="3"/>
  <c r="W143" i="3"/>
  <c r="W131" i="3"/>
  <c r="W108" i="3"/>
  <c r="W96" i="3"/>
  <c r="W85" i="3"/>
  <c r="W73" i="3"/>
  <c r="W38" i="3"/>
  <c r="W24" i="3"/>
  <c r="W10" i="3"/>
  <c r="W142" i="3"/>
  <c r="W130" i="3"/>
  <c r="W119" i="3"/>
  <c r="W107" i="3"/>
  <c r="W84" i="3"/>
  <c r="W72" i="3"/>
  <c r="W61" i="3"/>
  <c r="W49" i="3"/>
  <c r="W9" i="3"/>
  <c r="W118" i="3"/>
  <c r="W106" i="3"/>
  <c r="W95" i="3"/>
  <c r="W83" i="3"/>
  <c r="W60" i="3"/>
  <c r="W48" i="3"/>
  <c r="W37" i="3"/>
  <c r="W23" i="3"/>
  <c r="W8" i="3"/>
  <c r="W141" i="3"/>
  <c r="W129" i="3"/>
  <c r="W94" i="3"/>
  <c r="W82" i="3"/>
  <c r="W71" i="3"/>
  <c r="W59" i="3"/>
  <c r="W36" i="3"/>
  <c r="W22" i="3"/>
  <c r="W140" i="3"/>
  <c r="W128" i="3"/>
  <c r="W117" i="3"/>
  <c r="W105" i="3"/>
  <c r="W70" i="3"/>
  <c r="W58" i="3"/>
  <c r="W47" i="3"/>
  <c r="W35" i="3"/>
  <c r="W21" i="3"/>
  <c r="W7" i="3"/>
  <c r="W139" i="3"/>
  <c r="W116" i="3"/>
  <c r="W104" i="3"/>
  <c r="W93" i="3"/>
  <c r="W81" i="3"/>
  <c r="W46" i="3"/>
  <c r="W34" i="3"/>
  <c r="W20" i="3"/>
  <c r="W6" i="3"/>
  <c r="O146" i="3"/>
  <c r="O138" i="3"/>
  <c r="O130" i="3"/>
  <c r="O122" i="3"/>
  <c r="O114" i="3"/>
  <c r="O106" i="3"/>
  <c r="O98" i="3"/>
  <c r="O90" i="3"/>
  <c r="O82" i="3"/>
  <c r="O74" i="3"/>
  <c r="O66" i="3"/>
  <c r="O58" i="3"/>
  <c r="O50" i="3"/>
  <c r="O42" i="3"/>
  <c r="O34" i="3"/>
  <c r="O26" i="3"/>
  <c r="O18" i="3"/>
  <c r="O10" i="3"/>
  <c r="O65" i="3"/>
  <c r="O17" i="3"/>
  <c r="O137" i="3"/>
  <c r="O105" i="3"/>
  <c r="O73" i="3"/>
  <c r="O57" i="3"/>
  <c r="O49" i="3"/>
  <c r="O41" i="3"/>
  <c r="O33" i="3"/>
  <c r="O25" i="3"/>
  <c r="O9" i="3"/>
  <c r="O120" i="3"/>
  <c r="O80" i="3"/>
  <c r="O56" i="3"/>
  <c r="O48" i="3"/>
  <c r="O40" i="3"/>
  <c r="O32" i="3"/>
  <c r="O16" i="3"/>
  <c r="O8" i="3"/>
  <c r="O121" i="3"/>
  <c r="O104" i="3"/>
  <c r="O64" i="3"/>
  <c r="O24" i="3"/>
  <c r="O112" i="3"/>
  <c r="O111" i="3"/>
  <c r="O95" i="3"/>
  <c r="O71" i="3"/>
  <c r="O47" i="3"/>
  <c r="O23" i="3"/>
  <c r="O7" i="3"/>
  <c r="O97" i="3"/>
  <c r="O136" i="3"/>
  <c r="O72" i="3"/>
  <c r="O127" i="3"/>
  <c r="O119" i="3"/>
  <c r="O103" i="3"/>
  <c r="O87" i="3"/>
  <c r="O79" i="3"/>
  <c r="O63" i="3"/>
  <c r="O55" i="3"/>
  <c r="O39" i="3"/>
  <c r="O31" i="3"/>
  <c r="O15" i="3"/>
  <c r="O128" i="3"/>
  <c r="O118" i="3"/>
  <c r="O70" i="3"/>
  <c r="O46" i="3"/>
  <c r="O22" i="3"/>
  <c r="O6" i="3"/>
  <c r="O89" i="3"/>
  <c r="O144" i="3"/>
  <c r="O88" i="3"/>
  <c r="O135" i="3"/>
  <c r="O134" i="3"/>
  <c r="O110" i="3"/>
  <c r="O102" i="3"/>
  <c r="O78" i="3"/>
  <c r="O62" i="3"/>
  <c r="O54" i="3"/>
  <c r="O38" i="3"/>
  <c r="O30" i="3"/>
  <c r="O14" i="3"/>
  <c r="O81" i="3"/>
  <c r="O96" i="3"/>
  <c r="O143" i="3"/>
  <c r="O142" i="3"/>
  <c r="O126" i="3"/>
  <c r="O94" i="3"/>
  <c r="O149" i="3"/>
  <c r="O141" i="3"/>
  <c r="O133" i="3"/>
  <c r="O125" i="3"/>
  <c r="O117" i="3"/>
  <c r="O109" i="3"/>
  <c r="O101" i="3"/>
  <c r="O93" i="3"/>
  <c r="O85" i="3"/>
  <c r="O77" i="3"/>
  <c r="O69" i="3"/>
  <c r="O61" i="3"/>
  <c r="O53" i="3"/>
  <c r="O45" i="3"/>
  <c r="O37" i="3"/>
  <c r="O29" i="3"/>
  <c r="O21" i="3"/>
  <c r="O13" i="3"/>
  <c r="O5" i="3"/>
  <c r="O145" i="3"/>
  <c r="O86" i="3"/>
  <c r="O148" i="3"/>
  <c r="O116" i="3"/>
  <c r="O92" i="3"/>
  <c r="O68" i="3"/>
  <c r="O52" i="3"/>
  <c r="O28" i="3"/>
  <c r="O4" i="3"/>
  <c r="O113" i="3"/>
  <c r="O140" i="3"/>
  <c r="O124" i="3"/>
  <c r="O100" i="3"/>
  <c r="O76" i="3"/>
  <c r="O60" i="3"/>
  <c r="O44" i="3"/>
  <c r="O36" i="3"/>
  <c r="O20" i="3"/>
  <c r="O12" i="3"/>
  <c r="O129" i="3"/>
  <c r="O132" i="3"/>
  <c r="O108" i="3"/>
  <c r="O84" i="3"/>
  <c r="O147" i="3"/>
  <c r="O139" i="3"/>
  <c r="O131" i="3"/>
  <c r="O123" i="3"/>
  <c r="O115" i="3"/>
  <c r="O107" i="3"/>
  <c r="O99" i="3"/>
  <c r="O91" i="3"/>
  <c r="O83" i="3"/>
  <c r="O75" i="3"/>
  <c r="O67" i="3"/>
  <c r="O59" i="3"/>
  <c r="O51" i="3"/>
  <c r="O43" i="3"/>
  <c r="O35" i="3"/>
  <c r="O27" i="3"/>
  <c r="O19" i="3"/>
  <c r="O11" i="3"/>
  <c r="O3" i="3"/>
  <c r="G140" i="3"/>
  <c r="H140" i="3"/>
  <c r="I140" i="3"/>
  <c r="J140" i="3"/>
  <c r="A55" i="13"/>
  <c r="L6" i="13"/>
  <c r="A59" i="13" s="1"/>
  <c r="G6" i="13"/>
  <c r="G56" i="3"/>
  <c r="H56" i="3"/>
  <c r="I56" i="3"/>
  <c r="J56" i="3"/>
  <c r="G15" i="3"/>
  <c r="G70" i="3"/>
  <c r="G109" i="3"/>
  <c r="H15" i="3"/>
  <c r="H70" i="3"/>
  <c r="H109" i="3"/>
  <c r="I15" i="3"/>
  <c r="I70" i="3"/>
  <c r="I109" i="3"/>
  <c r="J15" i="3"/>
  <c r="J70" i="3"/>
  <c r="J109" i="3"/>
  <c r="G119" i="3"/>
  <c r="H119" i="3"/>
  <c r="I119" i="3"/>
  <c r="J119" i="3"/>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G39" i="3"/>
  <c r="G44" i="3"/>
  <c r="G45" i="3"/>
  <c r="G47" i="3"/>
  <c r="G53" i="3"/>
  <c r="G54" i="3"/>
  <c r="G139" i="3"/>
  <c r="G122" i="3"/>
  <c r="G123" i="3"/>
  <c r="G124" i="3"/>
  <c r="G125" i="3"/>
  <c r="G126" i="3"/>
  <c r="G127" i="3"/>
  <c r="H39" i="3"/>
  <c r="H44" i="3"/>
  <c r="H45" i="3"/>
  <c r="H47" i="3"/>
  <c r="H53" i="3"/>
  <c r="H54" i="3"/>
  <c r="H139" i="3"/>
  <c r="H122" i="3"/>
  <c r="H123" i="3"/>
  <c r="H124" i="3"/>
  <c r="H125" i="3"/>
  <c r="H126" i="3"/>
  <c r="H127" i="3"/>
  <c r="I39" i="3"/>
  <c r="I44" i="3"/>
  <c r="I45" i="3"/>
  <c r="I47" i="3"/>
  <c r="I53" i="3"/>
  <c r="I54" i="3"/>
  <c r="I139" i="3"/>
  <c r="I122" i="3"/>
  <c r="I123" i="3"/>
  <c r="I124" i="3"/>
  <c r="I125" i="3"/>
  <c r="I126" i="3"/>
  <c r="I127" i="3"/>
  <c r="J39" i="3"/>
  <c r="J44" i="3"/>
  <c r="J45" i="3"/>
  <c r="J47" i="3"/>
  <c r="J53" i="3"/>
  <c r="J54" i="3"/>
  <c r="J139" i="3"/>
  <c r="J122" i="3"/>
  <c r="J123" i="3"/>
  <c r="J124" i="3"/>
  <c r="J125" i="3"/>
  <c r="J126" i="3"/>
  <c r="J127" i="3"/>
  <c r="G81" i="3"/>
  <c r="G23" i="3"/>
  <c r="G24" i="3"/>
  <c r="G25" i="3"/>
  <c r="G35" i="3"/>
  <c r="G28" i="3"/>
  <c r="G33" i="3"/>
  <c r="G34" i="3"/>
  <c r="G82" i="3"/>
  <c r="H81" i="3"/>
  <c r="H23" i="3"/>
  <c r="H24" i="3"/>
  <c r="H25" i="3"/>
  <c r="H35" i="3"/>
  <c r="H28" i="3"/>
  <c r="H33" i="3"/>
  <c r="H34" i="3"/>
  <c r="H82" i="3"/>
  <c r="I81" i="3"/>
  <c r="I23" i="3"/>
  <c r="I24" i="3"/>
  <c r="I25" i="3"/>
  <c r="I35" i="3"/>
  <c r="I28" i="3"/>
  <c r="I33" i="3"/>
  <c r="I34" i="3"/>
  <c r="I82" i="3"/>
  <c r="J81" i="3"/>
  <c r="J23" i="3"/>
  <c r="J24" i="3"/>
  <c r="J25" i="3"/>
  <c r="J35" i="3"/>
  <c r="J28" i="3"/>
  <c r="J33" i="3"/>
  <c r="J34" i="3"/>
  <c r="J82" i="3"/>
  <c r="D309" i="8"/>
  <c r="C306" i="8"/>
  <c r="D306" i="8" s="1"/>
  <c r="C307" i="8"/>
  <c r="D307" i="8" s="1"/>
  <c r="C308" i="8"/>
  <c r="D308" i="8" s="1"/>
  <c r="C310" i="8"/>
  <c r="D310" i="8" s="1"/>
  <c r="C311" i="8"/>
  <c r="D311" i="8" s="1"/>
  <c r="C312" i="8"/>
  <c r="D312" i="8" s="1"/>
  <c r="C313" i="8"/>
  <c r="D313" i="8" s="1"/>
  <c r="C314" i="8"/>
  <c r="D314" i="8" s="1"/>
  <c r="C315" i="8"/>
  <c r="D315" i="8" s="1"/>
  <c r="C316" i="8"/>
  <c r="D316" i="8" s="1"/>
  <c r="C317" i="8"/>
  <c r="D317" i="8" s="1"/>
  <c r="C318" i="8"/>
  <c r="D318" i="8" s="1"/>
  <c r="C319" i="8"/>
  <c r="D319" i="8" s="1"/>
  <c r="C320" i="8"/>
  <c r="D320" i="8" s="1"/>
  <c r="C321" i="8"/>
  <c r="D321" i="8" s="1"/>
  <c r="C322" i="8"/>
  <c r="D322" i="8" s="1"/>
  <c r="C323" i="8"/>
  <c r="D323" i="8" s="1"/>
  <c r="C324" i="8"/>
  <c r="D324" i="8" s="1"/>
  <c r="C325" i="8"/>
  <c r="D325" i="8" s="1"/>
  <c r="C326" i="8"/>
  <c r="D326" i="8" s="1"/>
  <c r="C327" i="8"/>
  <c r="D327" i="8" s="1"/>
  <c r="C328" i="8"/>
  <c r="D328" i="8" s="1"/>
  <c r="C329" i="8"/>
  <c r="D329" i="8" s="1"/>
  <c r="C330" i="8"/>
  <c r="D330" i="8" s="1"/>
  <c r="C331" i="8"/>
  <c r="D331" i="8" s="1"/>
  <c r="C332" i="8"/>
  <c r="D332" i="8" s="1"/>
  <c r="C333" i="8"/>
  <c r="D333" i="8" s="1"/>
  <c r="C334" i="8"/>
  <c r="D334" i="8" s="1"/>
  <c r="C335" i="8"/>
  <c r="D335" i="8" s="1"/>
  <c r="C336" i="8"/>
  <c r="D336" i="8" s="1"/>
  <c r="C305" i="8"/>
  <c r="D305" i="8" s="1"/>
  <c r="C278" i="8"/>
  <c r="D278" i="8" s="1"/>
  <c r="C279" i="8"/>
  <c r="D279" i="8" s="1"/>
  <c r="C280" i="8"/>
  <c r="D280" i="8" s="1"/>
  <c r="C281" i="8"/>
  <c r="D281" i="8" s="1"/>
  <c r="C282" i="8"/>
  <c r="D282" i="8" s="1"/>
  <c r="C283" i="8"/>
  <c r="D283" i="8" s="1"/>
  <c r="C284" i="8"/>
  <c r="D284" i="8" s="1"/>
  <c r="C285" i="8"/>
  <c r="D285" i="8" s="1"/>
  <c r="C286" i="8"/>
  <c r="D286" i="8" s="1"/>
  <c r="C287" i="8"/>
  <c r="D287" i="8" s="1"/>
  <c r="C288" i="8"/>
  <c r="D288" i="8" s="1"/>
  <c r="C289" i="8"/>
  <c r="D289" i="8" s="1"/>
  <c r="C290" i="8"/>
  <c r="D290" i="8" s="1"/>
  <c r="C291" i="8"/>
  <c r="D291" i="8" s="1"/>
  <c r="C292" i="8"/>
  <c r="D292" i="8" s="1"/>
  <c r="C293" i="8"/>
  <c r="D293" i="8" s="1"/>
  <c r="C294" i="8"/>
  <c r="D294" i="8" s="1"/>
  <c r="C295" i="8"/>
  <c r="D295" i="8" s="1"/>
  <c r="C296" i="8"/>
  <c r="D296" i="8" s="1"/>
  <c r="C297" i="8"/>
  <c r="D297" i="8" s="1"/>
  <c r="C298" i="8"/>
  <c r="D298" i="8" s="1"/>
  <c r="C299" i="8"/>
  <c r="D299" i="8" s="1"/>
  <c r="C300" i="8"/>
  <c r="D300" i="8" s="1"/>
  <c r="C301" i="8"/>
  <c r="D301" i="8" s="1"/>
  <c r="C302" i="8"/>
  <c r="D302" i="8" s="1"/>
  <c r="C248" i="8"/>
  <c r="D248" i="8" s="1"/>
  <c r="C249" i="8"/>
  <c r="D249" i="8" s="1"/>
  <c r="C250" i="8"/>
  <c r="D250" i="8" s="1"/>
  <c r="C251" i="8"/>
  <c r="D251" i="8" s="1"/>
  <c r="C252" i="8"/>
  <c r="D252" i="8" s="1"/>
  <c r="C253" i="8"/>
  <c r="D253" i="8" s="1"/>
  <c r="C254" i="8"/>
  <c r="D254" i="8" s="1"/>
  <c r="C255" i="8"/>
  <c r="D255" i="8" s="1"/>
  <c r="C256" i="8"/>
  <c r="D256" i="8" s="1"/>
  <c r="C257" i="8"/>
  <c r="D257" i="8" s="1"/>
  <c r="C258" i="8"/>
  <c r="D258" i="8" s="1"/>
  <c r="C259" i="8"/>
  <c r="D259" i="8" s="1"/>
  <c r="C260" i="8"/>
  <c r="D260" i="8" s="1"/>
  <c r="C261" i="8"/>
  <c r="D261" i="8" s="1"/>
  <c r="C262" i="8"/>
  <c r="D262" i="8" s="1"/>
  <c r="C263" i="8"/>
  <c r="D263" i="8" s="1"/>
  <c r="C264" i="8"/>
  <c r="D264" i="8" s="1"/>
  <c r="C265" i="8"/>
  <c r="D265" i="8" s="1"/>
  <c r="C266" i="8"/>
  <c r="D266" i="8" s="1"/>
  <c r="C267" i="8"/>
  <c r="D267" i="8" s="1"/>
  <c r="C268" i="8"/>
  <c r="D268" i="8" s="1"/>
  <c r="C269" i="8"/>
  <c r="D269" i="8" s="1"/>
  <c r="C270" i="8"/>
  <c r="D270" i="8" s="1"/>
  <c r="C271" i="8"/>
  <c r="D271" i="8" s="1"/>
  <c r="C272" i="8"/>
  <c r="D272" i="8" s="1"/>
  <c r="C273" i="8"/>
  <c r="D273" i="8" s="1"/>
  <c r="C274" i="8"/>
  <c r="D274" i="8" s="1"/>
  <c r="C275" i="8"/>
  <c r="D275" i="8" s="1"/>
  <c r="C247" i="8"/>
  <c r="D247" i="8" s="1"/>
  <c r="D216" i="8"/>
  <c r="C208" i="8"/>
  <c r="D208" i="8" s="1"/>
  <c r="C209" i="8"/>
  <c r="D209" i="8" s="1"/>
  <c r="C210" i="8"/>
  <c r="D210" i="8" s="1"/>
  <c r="C211" i="8"/>
  <c r="D211" i="8" s="1"/>
  <c r="C212" i="8"/>
  <c r="D212" i="8" s="1"/>
  <c r="C213" i="8"/>
  <c r="D213" i="8" s="1"/>
  <c r="C214" i="8"/>
  <c r="D214" i="8" s="1"/>
  <c r="C215" i="8"/>
  <c r="D215" i="8" s="1"/>
  <c r="C217" i="8"/>
  <c r="D217" i="8" s="1"/>
  <c r="C218" i="8"/>
  <c r="D218" i="8" s="1"/>
  <c r="C219" i="8"/>
  <c r="D219" i="8" s="1"/>
  <c r="C220" i="8"/>
  <c r="D220" i="8" s="1"/>
  <c r="C221" i="8"/>
  <c r="D221" i="8" s="1"/>
  <c r="D222" i="8"/>
  <c r="D223" i="8"/>
  <c r="D224" i="8"/>
  <c r="C207" i="8"/>
  <c r="D207" i="8" s="1"/>
  <c r="E204" i="8"/>
  <c r="C204" i="8"/>
  <c r="D204" i="8" s="1"/>
  <c r="B204" i="8"/>
  <c r="A204" i="8"/>
  <c r="E203" i="8"/>
  <c r="C203" i="8"/>
  <c r="D203" i="8" s="1"/>
  <c r="B203" i="8"/>
  <c r="A203" i="8"/>
  <c r="E202" i="8"/>
  <c r="C202" i="8"/>
  <c r="D202" i="8" s="1"/>
  <c r="B202" i="8"/>
  <c r="A202" i="8"/>
  <c r="E199" i="8"/>
  <c r="C199" i="8"/>
  <c r="D199" i="8" s="1"/>
  <c r="B199" i="8"/>
  <c r="A199" i="8"/>
  <c r="E198" i="8"/>
  <c r="C198" i="8"/>
  <c r="D198" i="8" s="1"/>
  <c r="B198" i="8"/>
  <c r="A198" i="8"/>
  <c r="E197" i="8"/>
  <c r="C197" i="8"/>
  <c r="D197" i="8" s="1"/>
  <c r="B197" i="8"/>
  <c r="A197" i="8"/>
  <c r="E194" i="8"/>
  <c r="C194" i="8"/>
  <c r="D194" i="8" s="1"/>
  <c r="B194" i="8"/>
  <c r="A194" i="8"/>
  <c r="E193" i="8"/>
  <c r="C193" i="8"/>
  <c r="D193" i="8" s="1"/>
  <c r="B193" i="8"/>
  <c r="A193" i="8"/>
  <c r="E192" i="8"/>
  <c r="C192" i="8"/>
  <c r="D192" i="8" s="1"/>
  <c r="B192" i="8"/>
  <c r="A192" i="8"/>
  <c r="E189" i="8"/>
  <c r="C189" i="8"/>
  <c r="D189" i="8" s="1"/>
  <c r="B189" i="8"/>
  <c r="A189" i="8"/>
  <c r="E188" i="8"/>
  <c r="C188" i="8"/>
  <c r="D188" i="8" s="1"/>
  <c r="B188" i="8"/>
  <c r="A188" i="8"/>
  <c r="E187" i="8"/>
  <c r="C187" i="8"/>
  <c r="D187" i="8" s="1"/>
  <c r="B187" i="8"/>
  <c r="A187" i="8"/>
  <c r="E184" i="8"/>
  <c r="C184" i="8"/>
  <c r="D184" i="8" s="1"/>
  <c r="B184" i="8"/>
  <c r="A184" i="8"/>
  <c r="E183" i="8"/>
  <c r="C183" i="8"/>
  <c r="D183" i="8" s="1"/>
  <c r="B183" i="8"/>
  <c r="A183" i="8"/>
  <c r="E182" i="8"/>
  <c r="C182" i="8"/>
  <c r="D182" i="8" s="1"/>
  <c r="B182" i="8"/>
  <c r="A182" i="8"/>
  <c r="C177" i="8"/>
  <c r="D177" i="8" s="1"/>
  <c r="C178" i="8"/>
  <c r="D178" i="8" s="1"/>
  <c r="C179" i="8"/>
  <c r="D179" i="8" s="1"/>
  <c r="E179" i="8"/>
  <c r="B179" i="8"/>
  <c r="A179" i="8"/>
  <c r="E178" i="8"/>
  <c r="B178" i="8"/>
  <c r="A178" i="8"/>
  <c r="E177" i="8"/>
  <c r="B177" i="8"/>
  <c r="A177" i="8"/>
  <c r="C96" i="8"/>
  <c r="C97" i="8"/>
  <c r="C98" i="8"/>
  <c r="C99" i="8"/>
  <c r="C100" i="8"/>
  <c r="C101" i="8"/>
  <c r="C102" i="8"/>
  <c r="C103" i="8"/>
  <c r="C104" i="8"/>
  <c r="C105" i="8"/>
  <c r="C106" i="8"/>
  <c r="C107" i="8"/>
  <c r="C108" i="8"/>
  <c r="C109" i="8"/>
  <c r="C110" i="8"/>
  <c r="C111" i="8"/>
  <c r="C112" i="8"/>
  <c r="C113" i="8"/>
  <c r="C114" i="8"/>
  <c r="C115" i="8"/>
  <c r="C116" i="8"/>
  <c r="C118" i="8"/>
  <c r="C119" i="8"/>
  <c r="C120" i="8"/>
  <c r="C121" i="8"/>
  <c r="C128" i="8"/>
  <c r="C129" i="8"/>
  <c r="C130" i="8"/>
  <c r="C131" i="8"/>
  <c r="C132" i="8"/>
  <c r="C133" i="8"/>
  <c r="C134" i="8"/>
  <c r="C135" i="8"/>
  <c r="C136" i="8"/>
  <c r="C137" i="8"/>
  <c r="C138" i="8"/>
  <c r="C139" i="8"/>
  <c r="C95" i="8"/>
  <c r="D26" i="8"/>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C17" i="8"/>
  <c r="D17" i="8" s="1"/>
  <c r="C18" i="8"/>
  <c r="D18" i="8" s="1"/>
  <c r="C19" i="8"/>
  <c r="D19" i="8" s="1"/>
  <c r="C20" i="8"/>
  <c r="D20" i="8" s="1"/>
  <c r="C21" i="8"/>
  <c r="D21" i="8" s="1"/>
  <c r="C22" i="8"/>
  <c r="D22" i="8" s="1"/>
  <c r="C23" i="8"/>
  <c r="D23" i="8" s="1"/>
  <c r="C24" i="8"/>
  <c r="D24" i="8" s="1"/>
  <c r="C25" i="8"/>
  <c r="D25" i="8" s="1"/>
  <c r="C27" i="8"/>
  <c r="D27"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44" i="8"/>
  <c r="D44" i="8" s="1"/>
  <c r="C45" i="8"/>
  <c r="D45" i="8" s="1"/>
  <c r="C46" i="8"/>
  <c r="D46" i="8" s="1"/>
  <c r="C3" i="8"/>
  <c r="D3" i="8" s="1"/>
  <c r="Q21" i="3" a="1"/>
  <c r="T131" i="3" a="1"/>
  <c r="P33" i="3" a="1"/>
  <c r="U125" i="3" a="1"/>
  <c r="S34" i="3" a="1"/>
  <c r="P139" i="3" a="1"/>
  <c r="U79" i="3" a="1"/>
  <c r="S139" i="3" a="1"/>
  <c r="R98" i="3" a="1"/>
  <c r="R9" i="3" a="1"/>
  <c r="P113" i="3" a="1"/>
  <c r="R5" i="3" a="1"/>
  <c r="U123" i="3" a="1"/>
  <c r="S98" i="3" a="1"/>
  <c r="R133" i="3" a="1"/>
  <c r="P109" i="3" a="1"/>
  <c r="U111" i="3" a="1"/>
  <c r="R137" i="3" a="1"/>
  <c r="T130" i="3" a="1"/>
  <c r="T58" i="3" a="1"/>
  <c r="Q146" i="3" a="1"/>
  <c r="R141" i="3" a="1"/>
  <c r="U56" i="3" a="1"/>
  <c r="S101" i="3" a="1"/>
  <c r="P17" i="3" a="1"/>
  <c r="P126" i="3" a="1"/>
  <c r="U59" i="3" a="1"/>
  <c r="S37" i="3" a="1"/>
  <c r="Q112" i="3" a="1"/>
  <c r="R22" i="3" a="1"/>
  <c r="U31" i="3" a="1"/>
  <c r="R73" i="3" a="1"/>
  <c r="S29" i="3" a="1"/>
  <c r="P44" i="3" a="1"/>
  <c r="R68" i="3" a="1"/>
  <c r="T122" i="3" a="1"/>
  <c r="P121" i="3" a="1"/>
  <c r="P6" i="3" a="1"/>
  <c r="R114" i="3" a="1"/>
  <c r="U8" i="3" a="1"/>
  <c r="T89" i="3" a="1"/>
  <c r="P138" i="3" a="1"/>
  <c r="Q84" i="3" a="1"/>
  <c r="Q59" i="3" a="1"/>
  <c r="R96" i="3" a="1"/>
  <c r="R67" i="3" a="1"/>
  <c r="U147" i="3" a="1"/>
  <c r="U50" i="3" a="1"/>
  <c r="Q143" i="3" a="1"/>
  <c r="U117" i="3" a="1"/>
  <c r="T84" i="3" a="1"/>
  <c r="Q85" i="3" a="1"/>
  <c r="R31" i="3" a="1"/>
  <c r="Q38" i="3" a="1"/>
  <c r="U34" i="3" a="1"/>
  <c r="S15" i="3" a="1"/>
  <c r="S79" i="3" a="1"/>
  <c r="R63" i="3" a="1"/>
  <c r="P106" i="3" a="1"/>
  <c r="U3" i="3" a="1"/>
  <c r="S20" i="3" a="1"/>
  <c r="T133" i="3" a="1"/>
  <c r="Q5" i="3" a="1"/>
  <c r="S95" i="3" a="1"/>
  <c r="P94" i="3" a="1"/>
  <c r="T114" i="3" a="1"/>
  <c r="P27" i="3" a="1"/>
  <c r="Q148" i="3" a="1"/>
  <c r="R93" i="3" a="1"/>
  <c r="R99" i="3" a="1"/>
  <c r="T67" i="3" a="1"/>
  <c r="S22" i="3" a="1"/>
  <c r="U95" i="3" a="1"/>
  <c r="T31" i="3" a="1"/>
  <c r="R140" i="3" a="1"/>
  <c r="Q54" i="3" a="1"/>
  <c r="P60" i="3" a="1"/>
  <c r="U134" i="3" a="1"/>
  <c r="T125" i="3" a="1"/>
  <c r="S38" i="3" a="1"/>
  <c r="P61" i="3" a="1"/>
  <c r="U102" i="3" a="1"/>
  <c r="P117" i="3" a="1"/>
  <c r="R148" i="3" a="1"/>
  <c r="P115" i="3" a="1"/>
  <c r="U140" i="3" a="1"/>
  <c r="S123" i="3" a="1"/>
  <c r="T135" i="3" a="1"/>
  <c r="Q16" i="3" a="1"/>
  <c r="T33" i="3" a="1"/>
  <c r="U67" i="3" a="1"/>
  <c r="S83" i="3" a="1"/>
  <c r="P142" i="3" a="1"/>
  <c r="S131" i="3" a="1"/>
  <c r="U40" i="3" a="1"/>
  <c r="T5" i="3" a="1"/>
  <c r="S124" i="3" a="1"/>
  <c r="Q119" i="3" a="1"/>
  <c r="U26" i="3" a="1"/>
  <c r="P18" i="3" a="1"/>
  <c r="R26" i="3" a="1"/>
  <c r="P78" i="3" a="1"/>
  <c r="T106" i="3" a="1"/>
  <c r="Q45" i="3" a="1"/>
  <c r="P102" i="3" a="1"/>
  <c r="U139" i="3" a="1"/>
  <c r="S5" i="3" a="1"/>
  <c r="Q76" i="3" a="1"/>
  <c r="R24" i="3" a="1"/>
  <c r="S73" i="3" a="1"/>
  <c r="U25" i="3" a="1"/>
  <c r="T121" i="3" a="1"/>
  <c r="U92" i="3" a="1"/>
  <c r="S60" i="3" a="1"/>
  <c r="S50" i="3" a="1"/>
  <c r="Q56" i="3" a="1"/>
  <c r="R33" i="3" a="1"/>
  <c r="T46" i="3" a="1"/>
  <c r="Q53" i="3" a="1"/>
  <c r="P16" i="3" a="1"/>
  <c r="P23" i="3" a="1"/>
  <c r="R55" i="3" a="1"/>
  <c r="R107" i="3" a="1"/>
  <c r="T63" i="3" a="1"/>
  <c r="Q46" i="3" a="1"/>
  <c r="P37" i="3" a="1"/>
  <c r="R131" i="3" a="1"/>
  <c r="Q15" i="3" a="1"/>
  <c r="P145" i="3" a="1"/>
  <c r="S28" i="3" a="1"/>
  <c r="U89" i="3" a="1"/>
  <c r="S74" i="3" a="1"/>
  <c r="P108" i="3" a="1"/>
  <c r="T29" i="3" a="1"/>
  <c r="U63" i="3" a="1"/>
  <c r="S9" i="3" a="1"/>
  <c r="T97" i="3" a="1"/>
  <c r="T91" i="3" a="1"/>
  <c r="U144" i="3" a="1"/>
  <c r="S35" i="3" a="1"/>
  <c r="T11" i="3" a="1"/>
  <c r="S88" i="3" a="1"/>
  <c r="U36" i="3" a="1"/>
  <c r="Q106" i="3" a="1"/>
  <c r="S62" i="3" a="1"/>
  <c r="P95" i="3" a="1"/>
  <c r="Q97" i="3" a="1"/>
  <c r="U83" i="3" a="1"/>
  <c r="R119" i="3" a="1"/>
  <c r="Q145" i="3" a="1"/>
  <c r="T126" i="3" a="1"/>
  <c r="U119" i="3" a="1"/>
  <c r="R27" i="3" a="1"/>
  <c r="U91" i="3" a="1"/>
  <c r="T32" i="3" a="1"/>
  <c r="U116" i="3" a="1"/>
  <c r="P5" i="3" a="1"/>
  <c r="T92" i="3" a="1"/>
  <c r="U143" i="3" a="1"/>
  <c r="S8" i="3" a="1"/>
  <c r="P98" i="3" a="1"/>
  <c r="R12" i="3" a="1"/>
  <c r="T146" i="3" a="1"/>
  <c r="P69" i="3" a="1"/>
  <c r="Q120" i="3" a="1"/>
  <c r="T70" i="3" a="1"/>
  <c r="Q24" i="3" a="1"/>
  <c r="T74" i="3" a="1"/>
  <c r="Q70" i="3" a="1"/>
  <c r="U137" i="3" a="1"/>
  <c r="T144" i="3" a="1"/>
  <c r="U58" i="3" a="1"/>
  <c r="Q7" i="3" a="1"/>
  <c r="Q8" i="3" a="1"/>
  <c r="S119" i="3" a="1"/>
  <c r="P111" i="3" a="1"/>
  <c r="T20" i="3" a="1"/>
  <c r="Q136" i="3" a="1"/>
  <c r="S72" i="3" a="1"/>
  <c r="P14" i="3" a="1"/>
  <c r="Q41" i="3" a="1"/>
  <c r="S41" i="3" a="1"/>
  <c r="U41" i="3" a="1"/>
  <c r="P13" i="3" a="1"/>
  <c r="R58" i="3" a="1"/>
  <c r="S140" i="3" a="1"/>
  <c r="Q118" i="3" a="1"/>
  <c r="R89" i="3" a="1"/>
  <c r="U54" i="3" a="1"/>
  <c r="R15" i="3" a="1"/>
  <c r="P93" i="3" a="1"/>
  <c r="S69" i="3" a="1"/>
  <c r="P65" i="3" a="1"/>
  <c r="T110" i="3" a="1"/>
  <c r="U98" i="3" a="1"/>
  <c r="T80" i="3" a="1"/>
  <c r="R88" i="3" a="1"/>
  <c r="R47" i="3" a="1"/>
  <c r="Q33" i="3" a="1"/>
  <c r="R115" i="3" a="1"/>
  <c r="Q98" i="3" a="1"/>
  <c r="T64" i="3" a="1"/>
  <c r="Q9" i="3" a="1"/>
  <c r="R21" i="3" a="1"/>
  <c r="T14" i="3" a="1"/>
  <c r="Q34" i="3" a="1"/>
  <c r="S16" i="3" a="1"/>
  <c r="T100" i="3" a="1"/>
  <c r="Q79" i="3" a="1"/>
  <c r="R112" i="3" a="1"/>
  <c r="S3" i="3" a="1"/>
  <c r="U73" i="3" a="1"/>
  <c r="U90" i="3" a="1"/>
  <c r="S115" i="3" a="1"/>
  <c r="Q86" i="3" a="1"/>
  <c r="R46" i="3" a="1"/>
  <c r="U145" i="3" a="1"/>
  <c r="T134" i="3" a="1"/>
  <c r="S128" i="3" a="1"/>
  <c r="U49" i="3" a="1"/>
  <c r="P12" i="3" a="1"/>
  <c r="S19" i="3" a="1"/>
  <c r="P30" i="3" a="1"/>
  <c r="Q108" i="3" a="1"/>
  <c r="Q121" i="3" a="1"/>
  <c r="R72" i="3" a="1"/>
  <c r="T38" i="3" a="1"/>
  <c r="U12" i="3" a="1"/>
  <c r="Q49" i="3" a="1"/>
  <c r="S145" i="3" a="1"/>
  <c r="T24" i="3" a="1"/>
  <c r="R7" i="3" a="1"/>
  <c r="P39" i="3" a="1"/>
  <c r="U96" i="3" a="1"/>
  <c r="R17" i="3" a="1"/>
  <c r="S57" i="3" a="1"/>
  <c r="U81" i="3" a="1"/>
  <c r="P124" i="3" a="1"/>
  <c r="Q96" i="3" a="1"/>
  <c r="U18" i="3" a="1"/>
  <c r="Q30" i="3" a="1"/>
  <c r="Q135" i="3" a="1"/>
  <c r="P54" i="3" a="1"/>
  <c r="T119" i="3" a="1"/>
  <c r="U33" i="3" a="1"/>
  <c r="U108" i="3" a="1"/>
  <c r="Q104" i="3" a="1"/>
  <c r="P71" i="3" a="1"/>
  <c r="S54" i="3" a="1"/>
  <c r="P104" i="3" a="1"/>
  <c r="R127" i="3" a="1"/>
  <c r="S127" i="3" a="1"/>
  <c r="P89" i="3" a="1"/>
  <c r="R138" i="3" a="1"/>
  <c r="P70" i="3" a="1"/>
  <c r="T3" i="3" a="1"/>
  <c r="U11" i="3" a="1"/>
  <c r="P56" i="3" a="1"/>
  <c r="S26" i="3" a="1"/>
  <c r="P36" i="3" a="1"/>
  <c r="S18" i="3" a="1"/>
  <c r="S111" i="3" a="1"/>
  <c r="S147" i="3" a="1"/>
  <c r="T94" i="3" a="1"/>
  <c r="Q93" i="3" a="1"/>
  <c r="P59" i="3" a="1"/>
  <c r="R144" i="3" a="1"/>
  <c r="T109" i="3" a="1"/>
  <c r="Q67" i="3" a="1"/>
  <c r="T51" i="3" a="1"/>
  <c r="U43" i="3" a="1"/>
  <c r="T107" i="3" a="1"/>
  <c r="Q58" i="3" a="1"/>
  <c r="R8" i="3" a="1"/>
  <c r="S24" i="3" a="1"/>
  <c r="T99" i="3" a="1"/>
  <c r="S149" i="3" a="1"/>
  <c r="Q114" i="3" a="1"/>
  <c r="R113" i="3" a="1"/>
  <c r="Q132" i="3" a="1"/>
  <c r="S100" i="3" a="1"/>
  <c r="Q35" i="3" a="1"/>
  <c r="Q69" i="3" a="1"/>
  <c r="R147" i="3" a="1"/>
  <c r="T13" i="3" a="1"/>
  <c r="T105" i="3" a="1"/>
  <c r="P8" i="3" a="1"/>
  <c r="T85" i="3" a="1"/>
  <c r="U68" i="3" a="1"/>
  <c r="U110" i="3" a="1"/>
  <c r="U9" i="3" a="1"/>
  <c r="R116" i="3" a="1"/>
  <c r="S126" i="3" a="1"/>
  <c r="P103" i="3" a="1"/>
  <c r="R65" i="3" a="1"/>
  <c r="Q52" i="3" a="1"/>
  <c r="T137" i="3" a="1"/>
  <c r="U45" i="3" a="1"/>
  <c r="S52" i="3" a="1"/>
  <c r="P85" i="3" a="1"/>
  <c r="U141" i="3" a="1"/>
  <c r="T4" i="3" a="1"/>
  <c r="U100" i="3" a="1"/>
  <c r="Q74" i="3" a="1"/>
  <c r="S110" i="3" a="1"/>
  <c r="P19" i="3" a="1"/>
  <c r="T45" i="3" a="1"/>
  <c r="U57" i="3" a="1"/>
  <c r="T52" i="3" a="1"/>
  <c r="T127" i="3" a="1"/>
  <c r="U75" i="3" a="1"/>
  <c r="Q90" i="3" a="1"/>
  <c r="R53" i="3" a="1"/>
  <c r="U104" i="3" a="1"/>
  <c r="Q51" i="3" a="1"/>
  <c r="Q116" i="3" a="1"/>
  <c r="R128" i="3" a="1"/>
  <c r="R57" i="3" a="1"/>
  <c r="S134" i="3" a="1"/>
  <c r="Q105" i="3" a="1"/>
  <c r="R76" i="3" a="1"/>
  <c r="T30" i="3" a="1"/>
  <c r="P63" i="3" a="1"/>
  <c r="S144" i="3" a="1"/>
  <c r="P26" i="3" a="1"/>
  <c r="R38" i="3" a="1"/>
  <c r="R81" i="3" a="1"/>
  <c r="S31" i="3" a="1"/>
  <c r="R77" i="3" a="1"/>
  <c r="U64" i="3" a="1"/>
  <c r="Q99" i="3" a="1"/>
  <c r="S99" i="3" a="1"/>
  <c r="Q75" i="3" a="1"/>
  <c r="T40" i="3" a="1"/>
  <c r="Q6" i="3" a="1"/>
  <c r="R25" i="3" a="1"/>
  <c r="U148" i="3" a="1"/>
  <c r="T128" i="3" a="1"/>
  <c r="S142" i="3" a="1"/>
  <c r="Q124" i="3" a="1"/>
  <c r="R143" i="3" a="1"/>
  <c r="T55" i="3" a="1"/>
  <c r="U84" i="3" a="1"/>
  <c r="S106" i="3" a="1"/>
  <c r="U16" i="3" a="1"/>
  <c r="T79" i="3" a="1"/>
  <c r="P101" i="3" a="1"/>
  <c r="P9" i="3" a="1"/>
  <c r="S129" i="3" a="1"/>
  <c r="S76" i="3" a="1"/>
  <c r="P137" i="3" a="1"/>
  <c r="S117" i="3" a="1"/>
  <c r="S96" i="3" a="1"/>
  <c r="S6" i="3" a="1"/>
  <c r="P53" i="3" a="1"/>
  <c r="T138" i="3" a="1"/>
  <c r="U114" i="3" a="1"/>
  <c r="P31" i="3" a="1"/>
  <c r="Q109" i="3" a="1"/>
  <c r="U82" i="3" a="1"/>
  <c r="U105" i="3" a="1"/>
  <c r="R50" i="3" a="1"/>
  <c r="S13" i="3" a="1"/>
  <c r="S130" i="3" a="1"/>
  <c r="T124" i="3" a="1"/>
  <c r="S94" i="3" a="1"/>
  <c r="S77" i="3" a="1"/>
  <c r="P127" i="3" a="1"/>
  <c r="R11" i="3" a="1"/>
  <c r="P42" i="3" a="1"/>
  <c r="R111" i="3" a="1"/>
  <c r="S65" i="3" a="1"/>
  <c r="T15" i="3" a="1"/>
  <c r="Q142" i="3" a="1"/>
  <c r="P84" i="3" a="1"/>
  <c r="S89" i="3" a="1"/>
  <c r="P66" i="3" a="1"/>
  <c r="U101" i="3" a="1"/>
  <c r="S44" i="3" a="1"/>
  <c r="T136" i="3" a="1"/>
  <c r="Q50" i="3" a="1"/>
  <c r="S56" i="3" a="1"/>
  <c r="P58" i="3" a="1"/>
  <c r="U126" i="3" a="1"/>
  <c r="Q127" i="3" a="1"/>
  <c r="Q40" i="3" a="1"/>
  <c r="P83" i="3" a="1"/>
  <c r="R136" i="3" a="1"/>
  <c r="P34" i="3" a="1"/>
  <c r="T118" i="3" a="1"/>
  <c r="Q4" i="3" a="1"/>
  <c r="S39" i="3" a="1"/>
  <c r="Q64" i="3" a="1"/>
  <c r="Q144" i="3" a="1"/>
  <c r="P46" i="3" a="1"/>
  <c r="R36" i="3" a="1"/>
  <c r="T78" i="3" a="1"/>
  <c r="R110" i="3" a="1"/>
  <c r="P86" i="3" a="1"/>
  <c r="U129" i="3" a="1"/>
  <c r="S14" i="3" a="1"/>
  <c r="T25" i="3" a="1"/>
  <c r="P10" i="3" a="1"/>
  <c r="U21" i="3" a="1"/>
  <c r="Q72" i="3" a="1"/>
  <c r="R105" i="3" a="1"/>
  <c r="P35" i="3" a="1"/>
  <c r="Q100" i="3" a="1"/>
  <c r="U135" i="3" a="1"/>
  <c r="S81" i="3" a="1"/>
  <c r="P22" i="3" a="1"/>
  <c r="S27" i="3" a="1"/>
  <c r="P57" i="3" a="1"/>
  <c r="S133" i="3" a="1"/>
  <c r="R42" i="3" a="1"/>
  <c r="P133" i="3" a="1"/>
  <c r="R97" i="3" a="1"/>
  <c r="T115" i="3" a="1"/>
  <c r="R79" i="3" a="1"/>
  <c r="T143" i="3" a="1"/>
  <c r="S112" i="3" a="1"/>
  <c r="Q130" i="3" a="1"/>
  <c r="P129" i="3" a="1"/>
  <c r="R59" i="3" a="1"/>
  <c r="S78" i="3" a="1"/>
  <c r="Q126" i="3" a="1"/>
  <c r="R121" i="3" a="1"/>
  <c r="T108" i="3" a="1"/>
  <c r="S80" i="3" a="1"/>
  <c r="Q125" i="3" a="1"/>
  <c r="Q31" i="3" a="1"/>
  <c r="P15" i="3" a="1"/>
  <c r="U44" i="3" a="1"/>
  <c r="Q149" i="3" a="1"/>
  <c r="R122" i="3" a="1"/>
  <c r="T54" i="3" a="1"/>
  <c r="R6" i="3" a="1"/>
  <c r="S114" i="3" a="1"/>
  <c r="S84" i="3" a="1"/>
  <c r="S108" i="3" a="1"/>
  <c r="Q95" i="3" a="1"/>
  <c r="P67" i="3" a="1"/>
  <c r="P77" i="3" a="1"/>
  <c r="S67" i="3" a="1"/>
  <c r="P51" i="3" a="1"/>
  <c r="P112" i="3" a="1"/>
  <c r="Q78" i="3" a="1"/>
  <c r="P62" i="3" a="1"/>
  <c r="Q141" i="3" a="1"/>
  <c r="Q12" i="3" a="1"/>
  <c r="R30" i="3" a="1"/>
  <c r="P143" i="3" a="1"/>
  <c r="S11" i="3" a="1"/>
  <c r="R134" i="3" a="1"/>
  <c r="T10" i="3" a="1"/>
  <c r="U60" i="3" a="1"/>
  <c r="S92" i="3" a="1"/>
  <c r="R66" i="3" a="1"/>
  <c r="R39" i="3" a="1"/>
  <c r="S68" i="3" a="1"/>
  <c r="U118" i="3" a="1"/>
  <c r="Q117" i="3" a="1"/>
  <c r="R75" i="3" a="1"/>
  <c r="R29" i="3" a="1"/>
  <c r="T6" i="3" a="1"/>
  <c r="P114" i="3" a="1"/>
  <c r="R106" i="3" a="1"/>
  <c r="Q29" i="3" a="1"/>
  <c r="S51" i="3" a="1"/>
  <c r="P64" i="3" a="1"/>
  <c r="T145" i="3" a="1"/>
  <c r="U122" i="3" a="1"/>
  <c r="S85" i="3" a="1"/>
  <c r="T83" i="3" a="1"/>
  <c r="Q129" i="3" a="1"/>
  <c r="Q13" i="3" a="1"/>
  <c r="S109" i="3" a="1"/>
  <c r="P105" i="3" a="1"/>
  <c r="R4" i="3" a="1"/>
  <c r="R92" i="3" a="1"/>
  <c r="T129" i="3" a="1"/>
  <c r="R90" i="3" a="1"/>
  <c r="T12" i="3" a="1"/>
  <c r="U62" i="3" a="1"/>
  <c r="S32" i="3" a="1"/>
  <c r="R49" i="3" a="1"/>
  <c r="P50" i="3" a="1"/>
  <c r="Q37" i="3" a="1"/>
  <c r="U112" i="3" a="1"/>
  <c r="T98" i="3" a="1"/>
  <c r="S55" i="3" a="1"/>
  <c r="S61" i="3" a="1"/>
  <c r="P20" i="3" a="1"/>
  <c r="T42" i="3" a="1"/>
  <c r="U32" i="3" a="1"/>
  <c r="Q57" i="3" a="1"/>
  <c r="S91" i="3" a="1"/>
  <c r="P132" i="3" a="1"/>
  <c r="U19" i="3" a="1"/>
  <c r="Q77" i="3" a="1"/>
  <c r="Q10" i="3" a="1"/>
  <c r="R10" i="3" a="1"/>
  <c r="T17" i="3" a="1"/>
  <c r="Q115" i="3" a="1"/>
  <c r="S10" i="3" a="1"/>
  <c r="P25" i="3" a="1"/>
  <c r="S30" i="3" a="1"/>
  <c r="P134" i="3" a="1"/>
  <c r="U35" i="3" a="1"/>
  <c r="R104" i="3" a="1"/>
  <c r="U15" i="3" a="1"/>
  <c r="U107" i="3" a="1"/>
  <c r="S146" i="3" a="1"/>
  <c r="Q44" i="3" a="1"/>
  <c r="S122" i="3" a="1"/>
  <c r="P47" i="3" a="1"/>
  <c r="S116" i="3" a="1"/>
  <c r="P45" i="3" a="1"/>
  <c r="S82" i="3" a="1"/>
  <c r="R124" i="3" a="1"/>
  <c r="P40" i="3" a="1"/>
  <c r="P4" i="3" a="1"/>
  <c r="U24" i="3" a="1"/>
  <c r="Q39" i="3" a="1"/>
  <c r="R14" i="3" a="1"/>
  <c r="R118" i="3" a="1"/>
  <c r="U46" i="3" a="1"/>
  <c r="T90" i="3" a="1"/>
  <c r="U38" i="3" a="1"/>
  <c r="R13" i="3" a="1"/>
  <c r="U7" i="3" a="1"/>
  <c r="R132" i="3" a="1"/>
  <c r="T75" i="3" a="1"/>
  <c r="Q42" i="3" a="1"/>
  <c r="R3" i="3" a="1"/>
  <c r="S107" i="3" a="1"/>
  <c r="Q73" i="3" a="1"/>
  <c r="R109" i="3" a="1"/>
  <c r="T69" i="3" a="1"/>
  <c r="P24" i="3" a="1"/>
  <c r="S33" i="3" a="1"/>
  <c r="T44" i="3" a="1"/>
  <c r="P147" i="3" a="1"/>
  <c r="R103" i="3" a="1"/>
  <c r="Q91" i="3" a="1"/>
  <c r="P146" i="3" a="1"/>
  <c r="P80" i="3" a="1"/>
  <c r="Q55" i="3" a="1"/>
  <c r="S4" i="3" a="1"/>
  <c r="R82" i="3" a="1"/>
  <c r="P149" i="3" a="1"/>
  <c r="U30" i="3" a="1"/>
  <c r="Q147" i="3" a="1"/>
  <c r="S49" i="3" a="1"/>
  <c r="T43" i="3" a="1"/>
  <c r="Q47" i="3" a="1"/>
  <c r="R19" i="3" a="1"/>
  <c r="R43" i="3" a="1"/>
  <c r="T61" i="3" a="1"/>
  <c r="U28" i="3" a="1"/>
  <c r="U4" i="3" a="1"/>
  <c r="P140" i="3" a="1"/>
  <c r="R102" i="3" a="1"/>
  <c r="T68" i="3" a="1"/>
  <c r="Q48" i="3" a="1"/>
  <c r="S25" i="3" a="1"/>
  <c r="T56" i="3" a="1"/>
  <c r="P90" i="3" a="1"/>
  <c r="Q111" i="3" a="1"/>
  <c r="U99" i="3" a="1"/>
  <c r="P41" i="3" a="1"/>
  <c r="T28" i="3" a="1"/>
  <c r="Q25" i="3" a="1"/>
  <c r="R64" i="3" a="1"/>
  <c r="S42" i="3" a="1"/>
  <c r="P43" i="3" a="1"/>
  <c r="R48" i="3" a="1"/>
  <c r="T120" i="3" a="1"/>
  <c r="P144" i="3" a="1"/>
  <c r="P97" i="3" a="1"/>
  <c r="P7" i="3" a="1"/>
  <c r="U48" i="3" a="1"/>
  <c r="U6" i="3" a="1"/>
  <c r="R123" i="3" a="1"/>
  <c r="P3" i="3" a="1"/>
  <c r="P118" i="3" a="1"/>
  <c r="U87" i="3" a="1"/>
  <c r="R34" i="3" a="1"/>
  <c r="P122" i="3" a="1"/>
  <c r="T22" i="3" a="1"/>
  <c r="U27" i="3" a="1"/>
  <c r="S58" i="3" a="1"/>
  <c r="U115" i="3" a="1"/>
  <c r="T36" i="3" a="1"/>
  <c r="Q131" i="3" a="1"/>
  <c r="R32" i="3" a="1"/>
  <c r="T101" i="3" a="1"/>
  <c r="T123" i="3" a="1"/>
  <c r="Q103" i="3" a="1"/>
  <c r="R60" i="3" a="1"/>
  <c r="Q134" i="3" a="1"/>
  <c r="R70" i="3" a="1"/>
  <c r="U61" i="3" a="1"/>
  <c r="Q113" i="3" a="1"/>
  <c r="R146" i="3" a="1"/>
  <c r="T65" i="3" a="1"/>
  <c r="R54" i="3" a="1"/>
  <c r="T102" i="3" a="1"/>
  <c r="U69" i="3" a="1"/>
  <c r="S141" i="3" a="1"/>
  <c r="S43" i="3" a="1"/>
  <c r="P52" i="3" a="1"/>
  <c r="R91" i="3" a="1"/>
  <c r="R130" i="3" a="1"/>
  <c r="S120" i="3" a="1"/>
  <c r="U146" i="3" a="1"/>
  <c r="Q92" i="3" a="1"/>
  <c r="P48" i="3" a="1"/>
  <c r="U120" i="3" a="1"/>
  <c r="Q36" i="3" a="1"/>
  <c r="U124" i="3" a="1"/>
  <c r="U10" i="3" a="1"/>
  <c r="S7" i="3" a="1"/>
  <c r="P99" i="3" a="1"/>
  <c r="Q107" i="3" a="1"/>
  <c r="U37" i="3" a="1"/>
  <c r="S103" i="3" a="1"/>
  <c r="T82" i="3" a="1"/>
  <c r="U103" i="3" a="1"/>
  <c r="P128" i="3" a="1"/>
  <c r="R69" i="3" a="1"/>
  <c r="T147" i="3" a="1"/>
  <c r="S104" i="3" a="1"/>
  <c r="Q102" i="3" a="1"/>
  <c r="R117" i="3" a="1"/>
  <c r="T47" i="3" a="1"/>
  <c r="Q138" i="3" a="1"/>
  <c r="Q11" i="3" a="1"/>
  <c r="R135" i="3" a="1"/>
  <c r="T88" i="3" a="1"/>
  <c r="T19" i="3" a="1"/>
  <c r="U51" i="3" a="1"/>
  <c r="U97" i="3" a="1"/>
  <c r="U22" i="3" a="1"/>
  <c r="S12" i="3" a="1"/>
  <c r="Q137" i="3" a="1"/>
  <c r="S64" i="3" a="1"/>
  <c r="U29" i="3" a="1"/>
  <c r="T53" i="3" a="1"/>
  <c r="P72" i="3" a="1"/>
  <c r="Q26" i="3" a="1"/>
  <c r="R145" i="3" a="1"/>
  <c r="P136" i="3" a="1"/>
  <c r="R51" i="3" a="1"/>
  <c r="T59" i="3" a="1"/>
  <c r="T71" i="3" a="1"/>
  <c r="Q128" i="3" a="1"/>
  <c r="P120" i="3" a="1"/>
  <c r="R83" i="3" a="1"/>
  <c r="T77" i="3" a="1"/>
  <c r="Q28" i="3" a="1"/>
  <c r="R139" i="3" a="1"/>
  <c r="T8" i="3" a="1"/>
  <c r="P107" i="3" a="1"/>
  <c r="T16" i="3" a="1"/>
  <c r="S66" i="3" a="1"/>
  <c r="R108" i="3" a="1"/>
  <c r="T50" i="3" a="1"/>
  <c r="P68" i="3" a="1"/>
  <c r="U77" i="3" a="1"/>
  <c r="Q63" i="3" a="1"/>
  <c r="T39" i="3" a="1"/>
  <c r="P100" i="3" a="1"/>
  <c r="U149" i="3" a="1"/>
  <c r="T81" i="3" a="1"/>
  <c r="T117" i="3" a="1"/>
  <c r="T139" i="3" a="1"/>
  <c r="Q94" i="3" a="1"/>
  <c r="P123" i="3" a="1"/>
  <c r="P74" i="3" a="1"/>
  <c r="S36" i="3" a="1"/>
  <c r="S23" i="3" a="1"/>
  <c r="S59" i="3" a="1"/>
  <c r="S97" i="3" a="1"/>
  <c r="P92" i="3" a="1"/>
  <c r="Q17" i="3" a="1"/>
  <c r="T140" i="3" a="1"/>
  <c r="Q62" i="3" a="1"/>
  <c r="Q133" i="3" a="1"/>
  <c r="T41" i="3" a="1"/>
  <c r="U78" i="3" a="1"/>
  <c r="S93" i="3" a="1"/>
  <c r="P148" i="3" a="1"/>
  <c r="U76" i="3" a="1"/>
  <c r="R100" i="3" a="1"/>
  <c r="P119" i="3" a="1"/>
  <c r="U131" i="3" a="1"/>
  <c r="S86" i="3" a="1"/>
  <c r="U106" i="3" a="1"/>
  <c r="R71" i="3" a="1"/>
  <c r="T35" i="3" a="1"/>
  <c r="T116" i="3" a="1"/>
  <c r="U80" i="3" a="1"/>
  <c r="R80" i="3" a="1"/>
  <c r="S113" i="3" a="1"/>
  <c r="T48" i="3" a="1"/>
  <c r="P76" i="3" a="1"/>
  <c r="R41" i="3" a="1"/>
  <c r="U88" i="3" a="1"/>
  <c r="T141" i="3" a="1"/>
  <c r="Q122" i="3" a="1"/>
  <c r="P82" i="3" a="1"/>
  <c r="U94" i="3" a="1"/>
  <c r="T57" i="3" a="1"/>
  <c r="Q87" i="3" a="1"/>
  <c r="T132" i="3" a="1"/>
  <c r="U93" i="3" a="1"/>
  <c r="S71" i="3" a="1"/>
  <c r="P32" i="3" a="1"/>
  <c r="R28" i="3" a="1"/>
  <c r="S17" i="3" a="1"/>
  <c r="T27" i="3" a="1"/>
  <c r="S118" i="3" a="1"/>
  <c r="P87" i="3" a="1"/>
  <c r="U86" i="3" a="1"/>
  <c r="P130" i="3" a="1"/>
  <c r="S48" i="3" a="1"/>
  <c r="P96" i="3" a="1"/>
  <c r="U130" i="3" a="1"/>
  <c r="S75" i="3" a="1"/>
  <c r="U109" i="3" a="1"/>
  <c r="Q32" i="3" a="1"/>
  <c r="R35" i="3" a="1"/>
  <c r="Q83" i="3" a="1"/>
  <c r="R84" i="3" a="1"/>
  <c r="Q139" i="3" a="1"/>
  <c r="U5" i="3" a="1"/>
  <c r="Q68" i="3" a="1"/>
  <c r="S143" i="3" a="1"/>
  <c r="U113" i="3" a="1"/>
  <c r="U133" i="3" a="1"/>
  <c r="S148" i="3" a="1"/>
  <c r="Q20" i="3" a="1"/>
  <c r="S121" i="3" a="1"/>
  <c r="Q27" i="3" a="1"/>
  <c r="P55" i="3" a="1"/>
  <c r="R16" i="3" a="1"/>
  <c r="S70" i="3" a="1"/>
  <c r="S138" i="3" a="1"/>
  <c r="Q110" i="3" a="1"/>
  <c r="U136" i="3" a="1"/>
  <c r="R94" i="3" a="1"/>
  <c r="R120" i="3" a="1"/>
  <c r="R45" i="3" a="1"/>
  <c r="U47" i="3" a="1"/>
  <c r="R85" i="3" a="1"/>
  <c r="T21" i="3" a="1"/>
  <c r="U52" i="3" a="1"/>
  <c r="S132" i="3" a="1"/>
  <c r="U65" i="3" a="1"/>
  <c r="Q81" i="3" a="1"/>
  <c r="R40" i="3" a="1"/>
  <c r="T112" i="3" a="1"/>
  <c r="R78" i="3" a="1"/>
  <c r="T86" i="3" a="1"/>
  <c r="Q66" i="3" a="1"/>
  <c r="S63" i="3" a="1"/>
  <c r="R126" i="3" a="1"/>
  <c r="T23" i="3" a="1"/>
  <c r="T148" i="3" a="1"/>
  <c r="Q123" i="3" a="1"/>
  <c r="R125" i="3" a="1"/>
  <c r="S87" i="3" a="1"/>
  <c r="P88" i="3" a="1"/>
  <c r="P79" i="3" a="1"/>
  <c r="U66" i="3" a="1"/>
  <c r="S21" i="3" a="1"/>
  <c r="R142" i="3" a="1"/>
  <c r="T96" i="3" a="1"/>
  <c r="U20" i="3" a="1"/>
  <c r="Q60" i="3" a="1"/>
  <c r="U72" i="3" a="1"/>
  <c r="T18" i="3" a="1"/>
  <c r="U71" i="3" a="1"/>
  <c r="S136" i="3" a="1"/>
  <c r="R44" i="3" a="1"/>
  <c r="P81" i="3" a="1"/>
  <c r="R86" i="3" a="1"/>
  <c r="Q14" i="3" a="1"/>
  <c r="R20" i="3" a="1"/>
  <c r="T104" i="3" a="1"/>
  <c r="P116" i="3" a="1"/>
  <c r="Q23" i="3" a="1"/>
  <c r="S135" i="3" a="1"/>
  <c r="R149" i="3" a="1"/>
  <c r="P125" i="3" a="1"/>
  <c r="U132" i="3" a="1"/>
  <c r="T60" i="3" a="1"/>
  <c r="U138" i="3" a="1"/>
  <c r="U39" i="3" a="1"/>
  <c r="S40" i="3" a="1"/>
  <c r="P141" i="3" a="1"/>
  <c r="T26" i="3" a="1"/>
  <c r="U74" i="3" a="1"/>
  <c r="U70" i="3" a="1"/>
  <c r="P131" i="3" a="1"/>
  <c r="U142" i="3" a="1"/>
  <c r="U42" i="3" a="1"/>
  <c r="T37" i="3" a="1"/>
  <c r="U55" i="3" a="1"/>
  <c r="U85" i="3" a="1"/>
  <c r="Q22" i="3" a="1"/>
  <c r="T72" i="3" a="1"/>
  <c r="T66" i="3" a="1"/>
  <c r="S90" i="3" a="1"/>
  <c r="P49" i="3" a="1"/>
  <c r="S137" i="3" a="1"/>
  <c r="U13" i="3" a="1"/>
  <c r="Q43" i="3" a="1"/>
  <c r="P110" i="3" a="1"/>
  <c r="T142" i="3" a="1"/>
  <c r="R23" i="3" a="1"/>
  <c r="P91" i="3" a="1"/>
  <c r="Q140" i="3" a="1"/>
  <c r="T95" i="3" a="1"/>
  <c r="Q18" i="3" a="1"/>
  <c r="R74" i="3" a="1"/>
  <c r="Q89" i="3" a="1"/>
  <c r="R61" i="3" a="1"/>
  <c r="T93" i="3" a="1"/>
  <c r="S46" i="3" a="1"/>
  <c r="S102" i="3" a="1"/>
  <c r="T9" i="3" a="1"/>
  <c r="Q3" i="3" a="1"/>
  <c r="T49" i="3" a="1"/>
  <c r="S45" i="3" a="1"/>
  <c r="U23" i="3" a="1"/>
  <c r="P29" i="3" a="1"/>
  <c r="R37" i="3" a="1"/>
  <c r="P135" i="3" a="1"/>
  <c r="Q71" i="3" a="1"/>
  <c r="S105" i="3" a="1"/>
  <c r="Q65" i="3" a="1"/>
  <c r="T7" i="3" a="1"/>
  <c r="T113" i="3" a="1"/>
  <c r="P11" i="3" a="1"/>
  <c r="S53" i="3" a="1"/>
  <c r="Q88" i="3" a="1"/>
  <c r="R62" i="3" a="1"/>
  <c r="T103" i="3" a="1"/>
  <c r="R87" i="3" a="1"/>
  <c r="R52" i="3" a="1"/>
  <c r="T87" i="3" a="1"/>
  <c r="U121" i="3" a="1"/>
  <c r="P28" i="3" a="1"/>
  <c r="U53" i="3" a="1"/>
  <c r="T34" i="3" a="1"/>
  <c r="S47" i="3" a="1"/>
  <c r="Q80" i="3" a="1"/>
  <c r="P38" i="3" a="1"/>
  <c r="R129" i="3" a="1"/>
  <c r="U14" i="3" a="1"/>
  <c r="P21" i="3" a="1"/>
  <c r="T62" i="3" a="1"/>
  <c r="R18" i="3" a="1"/>
  <c r="T73" i="3" a="1"/>
  <c r="U127" i="3" a="1"/>
  <c r="Q19" i="3" a="1"/>
  <c r="T149" i="3" a="1"/>
  <c r="Q101" i="3" a="1"/>
  <c r="R101" i="3" a="1"/>
  <c r="U17" i="3" a="1"/>
  <c r="P73" i="3" a="1"/>
  <c r="T76" i="3" a="1"/>
  <c r="T111" i="3" a="1"/>
  <c r="Q82" i="3" a="1"/>
  <c r="S125" i="3" a="1"/>
  <c r="Q61" i="3" a="1"/>
  <c r="R95" i="3" a="1"/>
  <c r="R56" i="3" a="1"/>
  <c r="P75" i="3" a="1"/>
  <c r="U128" i="3" a="1"/>
  <c r="S11" i="3" l="1"/>
  <c r="S21" i="3"/>
  <c r="S50" i="3"/>
  <c r="S70" i="3"/>
  <c r="S80" i="3"/>
  <c r="S12" i="3"/>
  <c r="S31" i="3"/>
  <c r="S41" i="3"/>
  <c r="S51" i="3"/>
  <c r="S61" i="3"/>
  <c r="S90" i="3"/>
  <c r="S99" i="3"/>
  <c r="S107" i="3"/>
  <c r="S115" i="3"/>
  <c r="S123" i="3"/>
  <c r="S131" i="3"/>
  <c r="S139" i="3"/>
  <c r="S147" i="3"/>
  <c r="S22" i="3"/>
  <c r="S32" i="3"/>
  <c r="S52" i="3"/>
  <c r="S71" i="3"/>
  <c r="S81" i="3"/>
  <c r="S91" i="3"/>
  <c r="S4" i="3"/>
  <c r="S23" i="3"/>
  <c r="S33" i="3"/>
  <c r="S43" i="3"/>
  <c r="S53" i="3"/>
  <c r="S82" i="3"/>
  <c r="S14" i="3"/>
  <c r="S24" i="3"/>
  <c r="S44" i="3"/>
  <c r="S63" i="3"/>
  <c r="S73" i="3"/>
  <c r="S83" i="3"/>
  <c r="S93" i="3"/>
  <c r="S101" i="3"/>
  <c r="S109" i="3"/>
  <c r="S117" i="3"/>
  <c r="S125" i="3"/>
  <c r="S133" i="3"/>
  <c r="S141" i="3"/>
  <c r="S149" i="3"/>
  <c r="S5" i="3"/>
  <c r="S34" i="3"/>
  <c r="S54" i="3"/>
  <c r="S64" i="3"/>
  <c r="S84" i="3"/>
  <c r="S15" i="3"/>
  <c r="S25" i="3"/>
  <c r="S35" i="3"/>
  <c r="S45" i="3"/>
  <c r="S74" i="3"/>
  <c r="S94" i="3"/>
  <c r="S102" i="3"/>
  <c r="S110" i="3"/>
  <c r="S118" i="3"/>
  <c r="S126" i="3"/>
  <c r="S134" i="3"/>
  <c r="S142" i="3"/>
  <c r="S6" i="3"/>
  <c r="S16" i="3"/>
  <c r="S36" i="3"/>
  <c r="S55" i="3"/>
  <c r="S65" i="3"/>
  <c r="S75" i="3"/>
  <c r="S85" i="3"/>
  <c r="S8" i="3"/>
  <c r="S28" i="3"/>
  <c r="S47" i="3"/>
  <c r="S57" i="3"/>
  <c r="S67" i="3"/>
  <c r="S77" i="3"/>
  <c r="S96" i="3"/>
  <c r="S104" i="3"/>
  <c r="S112" i="3"/>
  <c r="S120" i="3"/>
  <c r="S128" i="3"/>
  <c r="S136" i="3"/>
  <c r="S144" i="3"/>
  <c r="S13" i="3"/>
  <c r="S37" i="3"/>
  <c r="S58" i="3"/>
  <c r="S79" i="3"/>
  <c r="S103" i="3"/>
  <c r="S105" i="3"/>
  <c r="S135" i="3"/>
  <c r="S56" i="3"/>
  <c r="S38" i="3"/>
  <c r="S59" i="3"/>
  <c r="S121" i="3"/>
  <c r="S138" i="3"/>
  <c r="S86" i="3"/>
  <c r="S130" i="3"/>
  <c r="S9" i="3"/>
  <c r="S17" i="3"/>
  <c r="S60" i="3"/>
  <c r="S140" i="3"/>
  <c r="S18" i="3"/>
  <c r="S122" i="3"/>
  <c r="S98" i="3"/>
  <c r="S39" i="3"/>
  <c r="S62" i="3"/>
  <c r="S143" i="3"/>
  <c r="S19" i="3"/>
  <c r="S40" i="3"/>
  <c r="S87" i="3"/>
  <c r="S124" i="3"/>
  <c r="S20" i="3"/>
  <c r="S42" i="3"/>
  <c r="S66" i="3"/>
  <c r="S88" i="3"/>
  <c r="S106" i="3"/>
  <c r="S127" i="3"/>
  <c r="S116" i="3"/>
  <c r="S46" i="3"/>
  <c r="S68" i="3"/>
  <c r="S108" i="3"/>
  <c r="S145" i="3"/>
  <c r="S89" i="3"/>
  <c r="S111" i="3"/>
  <c r="S119" i="3"/>
  <c r="S26" i="3"/>
  <c r="S48" i="3"/>
  <c r="S69" i="3"/>
  <c r="S92" i="3"/>
  <c r="S129" i="3"/>
  <c r="S146" i="3"/>
  <c r="S114" i="3"/>
  <c r="S78" i="3"/>
  <c r="S3" i="3"/>
  <c r="S27" i="3"/>
  <c r="S95" i="3"/>
  <c r="S148" i="3"/>
  <c r="S49" i="3"/>
  <c r="S72" i="3"/>
  <c r="S113" i="3"/>
  <c r="S30" i="3"/>
  <c r="S7" i="3"/>
  <c r="S29" i="3"/>
  <c r="S76" i="3"/>
  <c r="S132" i="3"/>
  <c r="S97" i="3"/>
  <c r="S10" i="3"/>
  <c r="S100" i="3"/>
  <c r="S137" i="3"/>
  <c r="R10" i="3"/>
  <c r="R20" i="3"/>
  <c r="R30" i="3"/>
  <c r="R40" i="3"/>
  <c r="R69" i="3"/>
  <c r="R89" i="3"/>
  <c r="R99" i="3"/>
  <c r="R119" i="3"/>
  <c r="R138" i="3"/>
  <c r="R148" i="3"/>
  <c r="R11" i="3"/>
  <c r="R31" i="3"/>
  <c r="R50" i="3"/>
  <c r="R60" i="3"/>
  <c r="R70" i="3"/>
  <c r="R80" i="3"/>
  <c r="R109" i="3"/>
  <c r="R129" i="3"/>
  <c r="R139" i="3"/>
  <c r="R21" i="3"/>
  <c r="R41" i="3"/>
  <c r="R51" i="3"/>
  <c r="R71" i="3"/>
  <c r="R90" i="3"/>
  <c r="R100" i="3"/>
  <c r="R110" i="3"/>
  <c r="R120" i="3"/>
  <c r="R149" i="3"/>
  <c r="R3" i="3"/>
  <c r="R23" i="3"/>
  <c r="R42" i="3"/>
  <c r="R52" i="3"/>
  <c r="R62" i="3"/>
  <c r="R72" i="3"/>
  <c r="R101" i="3"/>
  <c r="R121" i="3"/>
  <c r="R131" i="3"/>
  <c r="R13" i="3"/>
  <c r="R33" i="3"/>
  <c r="R43" i="3"/>
  <c r="R63" i="3"/>
  <c r="R82" i="3"/>
  <c r="R92" i="3"/>
  <c r="R102" i="3"/>
  <c r="R112" i="3"/>
  <c r="R141" i="3"/>
  <c r="R4" i="3"/>
  <c r="R14" i="3"/>
  <c r="R24" i="3"/>
  <c r="R53" i="3"/>
  <c r="R73" i="3"/>
  <c r="R83" i="3"/>
  <c r="R103" i="3"/>
  <c r="R122" i="3"/>
  <c r="R132" i="3"/>
  <c r="R142" i="3"/>
  <c r="R15" i="3"/>
  <c r="R34" i="3"/>
  <c r="R44" i="3"/>
  <c r="R54" i="3"/>
  <c r="R64" i="3"/>
  <c r="R93" i="3"/>
  <c r="R113" i="3"/>
  <c r="R123" i="3"/>
  <c r="R143" i="3"/>
  <c r="R5" i="3"/>
  <c r="R25" i="3"/>
  <c r="R35" i="3"/>
  <c r="R55" i="3"/>
  <c r="R74" i="3"/>
  <c r="R84" i="3"/>
  <c r="R94" i="3"/>
  <c r="R104" i="3"/>
  <c r="R133" i="3"/>
  <c r="R17" i="3"/>
  <c r="R27" i="3"/>
  <c r="R47" i="3"/>
  <c r="R66" i="3"/>
  <c r="R76" i="3"/>
  <c r="R86" i="3"/>
  <c r="R96" i="3"/>
  <c r="R125" i="3"/>
  <c r="R145" i="3"/>
  <c r="R26" i="3"/>
  <c r="R48" i="3"/>
  <c r="R95" i="3"/>
  <c r="R116" i="3"/>
  <c r="R137" i="3"/>
  <c r="R6" i="3"/>
  <c r="R136" i="3"/>
  <c r="R7" i="3"/>
  <c r="R28" i="3"/>
  <c r="R49" i="3"/>
  <c r="R75" i="3"/>
  <c r="R117" i="3"/>
  <c r="R140" i="3"/>
  <c r="R88" i="3"/>
  <c r="R46" i="3"/>
  <c r="R8" i="3"/>
  <c r="R97" i="3"/>
  <c r="R118" i="3"/>
  <c r="R144" i="3"/>
  <c r="R67" i="3"/>
  <c r="R29" i="3"/>
  <c r="R45" i="3"/>
  <c r="R9" i="3"/>
  <c r="R32" i="3"/>
  <c r="R56" i="3"/>
  <c r="R77" i="3"/>
  <c r="R98" i="3"/>
  <c r="R124" i="3"/>
  <c r="R19" i="3"/>
  <c r="R57" i="3"/>
  <c r="R78" i="3"/>
  <c r="R146" i="3"/>
  <c r="R114" i="3"/>
  <c r="R12" i="3"/>
  <c r="R36" i="3"/>
  <c r="R79" i="3"/>
  <c r="R126" i="3"/>
  <c r="R147" i="3"/>
  <c r="R134" i="3"/>
  <c r="R111" i="3"/>
  <c r="R22" i="3"/>
  <c r="R16" i="3"/>
  <c r="R37" i="3"/>
  <c r="R58" i="3"/>
  <c r="R81" i="3"/>
  <c r="R105" i="3"/>
  <c r="R127" i="3"/>
  <c r="R135" i="3"/>
  <c r="R38" i="3"/>
  <c r="R59" i="3"/>
  <c r="R106" i="3"/>
  <c r="R108" i="3"/>
  <c r="R39" i="3"/>
  <c r="R61" i="3"/>
  <c r="R85" i="3"/>
  <c r="R107" i="3"/>
  <c r="R128" i="3"/>
  <c r="R18" i="3"/>
  <c r="R65" i="3"/>
  <c r="R87" i="3"/>
  <c r="R130" i="3"/>
  <c r="R68" i="3"/>
  <c r="R91" i="3"/>
  <c r="R115" i="3"/>
  <c r="U21" i="3"/>
  <c r="U32" i="3"/>
  <c r="U53" i="3"/>
  <c r="U64" i="3"/>
  <c r="U85" i="3"/>
  <c r="U96" i="3"/>
  <c r="U117" i="3"/>
  <c r="U128" i="3"/>
  <c r="U149" i="3"/>
  <c r="U12" i="3"/>
  <c r="U44" i="3"/>
  <c r="U76" i="3"/>
  <c r="U108" i="3"/>
  <c r="U140" i="3"/>
  <c r="U142" i="3"/>
  <c r="U134" i="3"/>
  <c r="U94" i="3"/>
  <c r="U138" i="3"/>
  <c r="U11" i="3"/>
  <c r="U22" i="3"/>
  <c r="U33" i="3"/>
  <c r="U43" i="3"/>
  <c r="U54" i="3"/>
  <c r="U65" i="3"/>
  <c r="U75" i="3"/>
  <c r="U86" i="3"/>
  <c r="U97" i="3"/>
  <c r="U107" i="3"/>
  <c r="U118" i="3"/>
  <c r="U129" i="3"/>
  <c r="U139" i="3"/>
  <c r="U34" i="3"/>
  <c r="U66" i="3"/>
  <c r="U119" i="3"/>
  <c r="U121" i="3"/>
  <c r="U93" i="3"/>
  <c r="U19" i="3"/>
  <c r="U115" i="3"/>
  <c r="U148" i="3"/>
  <c r="U23" i="3"/>
  <c r="U55" i="3"/>
  <c r="U98" i="3"/>
  <c r="U130" i="3"/>
  <c r="U131" i="3"/>
  <c r="U72" i="3"/>
  <c r="U30" i="3"/>
  <c r="U137" i="3"/>
  <c r="U87" i="3"/>
  <c r="U13" i="3"/>
  <c r="U24" i="3"/>
  <c r="U45" i="3"/>
  <c r="U56" i="3"/>
  <c r="U77" i="3"/>
  <c r="U88" i="3"/>
  <c r="U109" i="3"/>
  <c r="U120" i="3"/>
  <c r="U141" i="3"/>
  <c r="U102" i="3"/>
  <c r="U51" i="3"/>
  <c r="U3" i="3"/>
  <c r="U14" i="3"/>
  <c r="U25" i="3"/>
  <c r="U35" i="3"/>
  <c r="U46" i="3"/>
  <c r="U57" i="3"/>
  <c r="U67" i="3"/>
  <c r="U78" i="3"/>
  <c r="U89" i="3"/>
  <c r="U99" i="3"/>
  <c r="U110" i="3"/>
  <c r="U8" i="3"/>
  <c r="U125" i="3"/>
  <c r="U9" i="3"/>
  <c r="U105" i="3"/>
  <c r="U26" i="3"/>
  <c r="U68" i="3"/>
  <c r="U90" i="3"/>
  <c r="U111" i="3"/>
  <c r="U132" i="3"/>
  <c r="U16" i="3"/>
  <c r="U80" i="3"/>
  <c r="U144" i="3"/>
  <c r="U17" i="3"/>
  <c r="U49" i="3"/>
  <c r="U91" i="3"/>
  <c r="U145" i="3"/>
  <c r="U29" i="3"/>
  <c r="U41" i="3"/>
  <c r="U126" i="3"/>
  <c r="U106" i="3"/>
  <c r="U4" i="3"/>
  <c r="U15" i="3"/>
  <c r="U36" i="3"/>
  <c r="U47" i="3"/>
  <c r="U58" i="3"/>
  <c r="U79" i="3"/>
  <c r="U100" i="3"/>
  <c r="U122" i="3"/>
  <c r="U143" i="3"/>
  <c r="U37" i="3"/>
  <c r="U112" i="3"/>
  <c r="U6" i="3"/>
  <c r="U38" i="3"/>
  <c r="U70" i="3"/>
  <c r="U113" i="3"/>
  <c r="U136" i="3"/>
  <c r="U62" i="3"/>
  <c r="U147" i="3"/>
  <c r="U5" i="3"/>
  <c r="U48" i="3"/>
  <c r="U69" i="3"/>
  <c r="U101" i="3"/>
  <c r="U133" i="3"/>
  <c r="U27" i="3"/>
  <c r="U81" i="3"/>
  <c r="U123" i="3"/>
  <c r="U40" i="3"/>
  <c r="U73" i="3"/>
  <c r="U59" i="3"/>
  <c r="U61" i="3"/>
  <c r="U7" i="3"/>
  <c r="U18" i="3"/>
  <c r="U28" i="3"/>
  <c r="U39" i="3"/>
  <c r="U50" i="3"/>
  <c r="U60" i="3"/>
  <c r="U71" i="3"/>
  <c r="U82" i="3"/>
  <c r="U92" i="3"/>
  <c r="U103" i="3"/>
  <c r="U114" i="3"/>
  <c r="U124" i="3"/>
  <c r="U135" i="3"/>
  <c r="U146" i="3"/>
  <c r="U104" i="3"/>
  <c r="U83" i="3"/>
  <c r="U116" i="3"/>
  <c r="U10" i="3"/>
  <c r="U20" i="3"/>
  <c r="U31" i="3"/>
  <c r="U42" i="3"/>
  <c r="U52" i="3"/>
  <c r="U63" i="3"/>
  <c r="U74" i="3"/>
  <c r="U84" i="3"/>
  <c r="U95" i="3"/>
  <c r="U127" i="3"/>
  <c r="Q5" i="3"/>
  <c r="Q13" i="3"/>
  <c r="Q21" i="3"/>
  <c r="Q29" i="3"/>
  <c r="Q37" i="3"/>
  <c r="Q45" i="3"/>
  <c r="Q53" i="3"/>
  <c r="Q61" i="3"/>
  <c r="Q69" i="3"/>
  <c r="Q77" i="3"/>
  <c r="Q85" i="3"/>
  <c r="Q93" i="3"/>
  <c r="Q101" i="3"/>
  <c r="Q109" i="3"/>
  <c r="Q117" i="3"/>
  <c r="Q125" i="3"/>
  <c r="Q12" i="3"/>
  <c r="Q27" i="3"/>
  <c r="Q41" i="3"/>
  <c r="Q55" i="3"/>
  <c r="Q95" i="3"/>
  <c r="Q138" i="3"/>
  <c r="Q42" i="3"/>
  <c r="Q56" i="3"/>
  <c r="Q70" i="3"/>
  <c r="Q84" i="3"/>
  <c r="Q96" i="3"/>
  <c r="Q107" i="3"/>
  <c r="Q118" i="3"/>
  <c r="Q128" i="3"/>
  <c r="Q148" i="3"/>
  <c r="Q14" i="3"/>
  <c r="Q28" i="3"/>
  <c r="Q43" i="3"/>
  <c r="Q57" i="3"/>
  <c r="Q71" i="3"/>
  <c r="Q97" i="3"/>
  <c r="Q129" i="3"/>
  <c r="Q139" i="3"/>
  <c r="Q15" i="3"/>
  <c r="Q58" i="3"/>
  <c r="Q72" i="3"/>
  <c r="Q16" i="3"/>
  <c r="Q30" i="3"/>
  <c r="Q44" i="3"/>
  <c r="Q59" i="3"/>
  <c r="Q73" i="3"/>
  <c r="Q140" i="3"/>
  <c r="Q3" i="3"/>
  <c r="Q17" i="3"/>
  <c r="Q31" i="3"/>
  <c r="Q74" i="3"/>
  <c r="Q87" i="3"/>
  <c r="Q99" i="3"/>
  <c r="Q110" i="3"/>
  <c r="Q120" i="3"/>
  <c r="Q131" i="3"/>
  <c r="Q18" i="3"/>
  <c r="Q32" i="3"/>
  <c r="Q46" i="3"/>
  <c r="Q60" i="3"/>
  <c r="Q75" i="3"/>
  <c r="Q88" i="3"/>
  <c r="Q121" i="3"/>
  <c r="Q141" i="3"/>
  <c r="Q4" i="3"/>
  <c r="Q19" i="3"/>
  <c r="Q33" i="3"/>
  <c r="Q47" i="3"/>
  <c r="Q89" i="3"/>
  <c r="Q100" i="3"/>
  <c r="Q111" i="3"/>
  <c r="Q122" i="3"/>
  <c r="Q132" i="3"/>
  <c r="Q142" i="3"/>
  <c r="Q34" i="3"/>
  <c r="Q48" i="3"/>
  <c r="Q62" i="3"/>
  <c r="Q76" i="3"/>
  <c r="Q90" i="3"/>
  <c r="Q6" i="3"/>
  <c r="Q20" i="3"/>
  <c r="Q7" i="3"/>
  <c r="Q50" i="3"/>
  <c r="Q64" i="3"/>
  <c r="Q78" i="3"/>
  <c r="Q8" i="3"/>
  <c r="Q22" i="3"/>
  <c r="Q36" i="3"/>
  <c r="Q51" i="3"/>
  <c r="Q65" i="3"/>
  <c r="Q79" i="3"/>
  <c r="Q103" i="3"/>
  <c r="Q114" i="3"/>
  <c r="Q124" i="3"/>
  <c r="Q144" i="3"/>
  <c r="Q26" i="3"/>
  <c r="Q40" i="3"/>
  <c r="Q23" i="3"/>
  <c r="Q68" i="3"/>
  <c r="Q149" i="3"/>
  <c r="Q67" i="3"/>
  <c r="Q24" i="3"/>
  <c r="Q104" i="3"/>
  <c r="Q127" i="3"/>
  <c r="Q145" i="3"/>
  <c r="Q98" i="3"/>
  <c r="Q25" i="3"/>
  <c r="Q80" i="3"/>
  <c r="Q105" i="3"/>
  <c r="Q130" i="3"/>
  <c r="Q123" i="3"/>
  <c r="Q35" i="3"/>
  <c r="Q81" i="3"/>
  <c r="Q106" i="3"/>
  <c r="Q133" i="3"/>
  <c r="Q82" i="3"/>
  <c r="Q108" i="3"/>
  <c r="Q134" i="3"/>
  <c r="Q10" i="3"/>
  <c r="Q38" i="3"/>
  <c r="Q83" i="3"/>
  <c r="Q112" i="3"/>
  <c r="Q135" i="3"/>
  <c r="Q146" i="3"/>
  <c r="Q102" i="3"/>
  <c r="Q39" i="3"/>
  <c r="Q86" i="3"/>
  <c r="Q113" i="3"/>
  <c r="Q9" i="3"/>
  <c r="Q49" i="3"/>
  <c r="Q136" i="3"/>
  <c r="Q91" i="3"/>
  <c r="Q115" i="3"/>
  <c r="Q137" i="3"/>
  <c r="Q63" i="3"/>
  <c r="Q52" i="3"/>
  <c r="Q92" i="3"/>
  <c r="Q116" i="3"/>
  <c r="Q143" i="3"/>
  <c r="Q54" i="3"/>
  <c r="Q94" i="3"/>
  <c r="Q119" i="3"/>
  <c r="Q66" i="3"/>
  <c r="Q11" i="3"/>
  <c r="Q126" i="3"/>
  <c r="Q147" i="3"/>
  <c r="P8" i="3"/>
  <c r="P16" i="3"/>
  <c r="P24" i="3"/>
  <c r="P32" i="3"/>
  <c r="P40" i="3"/>
  <c r="P48" i="3"/>
  <c r="P56" i="3"/>
  <c r="P64" i="3"/>
  <c r="P72" i="3"/>
  <c r="P80" i="3"/>
  <c r="P88" i="3"/>
  <c r="P96" i="3"/>
  <c r="P104" i="3"/>
  <c r="P112" i="3"/>
  <c r="P120" i="3"/>
  <c r="P128" i="3"/>
  <c r="P136" i="3"/>
  <c r="P144" i="3"/>
  <c r="P9" i="3"/>
  <c r="P17" i="3"/>
  <c r="P25" i="3"/>
  <c r="P33" i="3"/>
  <c r="P4" i="3"/>
  <c r="P12" i="3"/>
  <c r="P20" i="3"/>
  <c r="P28" i="3"/>
  <c r="P36" i="3"/>
  <c r="P44" i="3"/>
  <c r="P52" i="3"/>
  <c r="P60" i="3"/>
  <c r="P68" i="3"/>
  <c r="P76" i="3"/>
  <c r="P84" i="3"/>
  <c r="P92" i="3"/>
  <c r="P100" i="3"/>
  <c r="P108" i="3"/>
  <c r="P116" i="3"/>
  <c r="P124" i="3"/>
  <c r="P35" i="3"/>
  <c r="P51" i="3"/>
  <c r="P67" i="3"/>
  <c r="P83" i="3"/>
  <c r="P99" i="3"/>
  <c r="P115" i="3"/>
  <c r="P131" i="3"/>
  <c r="P145" i="3"/>
  <c r="P18" i="3"/>
  <c r="P37" i="3"/>
  <c r="P53" i="3"/>
  <c r="P69" i="3"/>
  <c r="P85" i="3"/>
  <c r="P101" i="3"/>
  <c r="P117" i="3"/>
  <c r="P132" i="3"/>
  <c r="P146" i="3"/>
  <c r="P19" i="3"/>
  <c r="P38" i="3"/>
  <c r="P54" i="3"/>
  <c r="P70" i="3"/>
  <c r="P86" i="3"/>
  <c r="P102" i="3"/>
  <c r="P118" i="3"/>
  <c r="P133" i="3"/>
  <c r="P147" i="3"/>
  <c r="P21" i="3"/>
  <c r="P134" i="3"/>
  <c r="P148" i="3"/>
  <c r="P3" i="3"/>
  <c r="P22" i="3"/>
  <c r="P39" i="3"/>
  <c r="P55" i="3"/>
  <c r="P71" i="3"/>
  <c r="P87" i="3"/>
  <c r="P103" i="3"/>
  <c r="P119" i="3"/>
  <c r="P149" i="3"/>
  <c r="P5" i="3"/>
  <c r="P135" i="3"/>
  <c r="P6" i="3"/>
  <c r="P23" i="3"/>
  <c r="P41" i="3"/>
  <c r="P57" i="3"/>
  <c r="P73" i="3"/>
  <c r="P89" i="3"/>
  <c r="P105" i="3"/>
  <c r="P121" i="3"/>
  <c r="P42" i="3"/>
  <c r="P58" i="3"/>
  <c r="P74" i="3"/>
  <c r="P90" i="3"/>
  <c r="P106" i="3"/>
  <c r="P122" i="3"/>
  <c r="P137" i="3"/>
  <c r="P7" i="3"/>
  <c r="P26" i="3"/>
  <c r="P43" i="3"/>
  <c r="P59" i="3"/>
  <c r="P75" i="3"/>
  <c r="P91" i="3"/>
  <c r="P107" i="3"/>
  <c r="P123" i="3"/>
  <c r="P138" i="3"/>
  <c r="P27" i="3"/>
  <c r="P45" i="3"/>
  <c r="P61" i="3"/>
  <c r="P77" i="3"/>
  <c r="P93" i="3"/>
  <c r="P109" i="3"/>
  <c r="P125" i="3"/>
  <c r="P139" i="3"/>
  <c r="P10" i="3"/>
  <c r="P29" i="3"/>
  <c r="P46" i="3"/>
  <c r="P62" i="3"/>
  <c r="P78" i="3"/>
  <c r="P94" i="3"/>
  <c r="P110" i="3"/>
  <c r="P126" i="3"/>
  <c r="P140" i="3"/>
  <c r="P11" i="3"/>
  <c r="P30" i="3"/>
  <c r="P141" i="3"/>
  <c r="P15" i="3"/>
  <c r="P34" i="3"/>
  <c r="P50" i="3"/>
  <c r="P66" i="3"/>
  <c r="P82" i="3"/>
  <c r="P98" i="3"/>
  <c r="P114" i="3"/>
  <c r="P130" i="3"/>
  <c r="P81" i="3"/>
  <c r="P143" i="3"/>
  <c r="P65" i="3"/>
  <c r="P95" i="3"/>
  <c r="P13" i="3"/>
  <c r="P14" i="3"/>
  <c r="P97" i="3"/>
  <c r="P111" i="3"/>
  <c r="P31" i="3"/>
  <c r="P113" i="3"/>
  <c r="P127" i="3"/>
  <c r="P47" i="3"/>
  <c r="P79" i="3"/>
  <c r="P129" i="3"/>
  <c r="P49" i="3"/>
  <c r="P142" i="3"/>
  <c r="P63" i="3"/>
  <c r="T8" i="3"/>
  <c r="T16" i="3"/>
  <c r="T24" i="3"/>
  <c r="T32" i="3"/>
  <c r="T40" i="3"/>
  <c r="T48" i="3"/>
  <c r="T56" i="3"/>
  <c r="T64" i="3"/>
  <c r="T10" i="3"/>
  <c r="T18" i="3"/>
  <c r="T26" i="3"/>
  <c r="T34" i="3"/>
  <c r="T42" i="3"/>
  <c r="T3" i="3"/>
  <c r="T11" i="3"/>
  <c r="T19" i="3"/>
  <c r="T27" i="3"/>
  <c r="T35" i="3"/>
  <c r="T43" i="3"/>
  <c r="T51" i="3"/>
  <c r="T59" i="3"/>
  <c r="T67" i="3"/>
  <c r="T5" i="3"/>
  <c r="T13" i="3"/>
  <c r="T21" i="3"/>
  <c r="T29" i="3"/>
  <c r="T9" i="3"/>
  <c r="T45" i="3"/>
  <c r="T60" i="3"/>
  <c r="T72" i="3"/>
  <c r="T83" i="3"/>
  <c r="T104" i="3"/>
  <c r="T115" i="3"/>
  <c r="T136" i="3"/>
  <c r="T147" i="3"/>
  <c r="T106" i="3"/>
  <c r="T113" i="3"/>
  <c r="T44" i="3"/>
  <c r="T12" i="3"/>
  <c r="T73" i="3"/>
  <c r="T84" i="3"/>
  <c r="T94" i="3"/>
  <c r="T105" i="3"/>
  <c r="T116" i="3"/>
  <c r="T126" i="3"/>
  <c r="T137" i="3"/>
  <c r="T148" i="3"/>
  <c r="T95" i="3"/>
  <c r="T149" i="3"/>
  <c r="T112" i="3"/>
  <c r="T70" i="3"/>
  <c r="T57" i="3"/>
  <c r="T30" i="3"/>
  <c r="T46" i="3"/>
  <c r="T61" i="3"/>
  <c r="T74" i="3"/>
  <c r="T85" i="3"/>
  <c r="T127" i="3"/>
  <c r="T138" i="3"/>
  <c r="T4" i="3"/>
  <c r="T80" i="3"/>
  <c r="T41" i="3"/>
  <c r="T117" i="3"/>
  <c r="T38" i="3"/>
  <c r="T25" i="3"/>
  <c r="T14" i="3"/>
  <c r="T31" i="3"/>
  <c r="T47" i="3"/>
  <c r="T62" i="3"/>
  <c r="T75" i="3"/>
  <c r="T96" i="3"/>
  <c r="T107" i="3"/>
  <c r="T128" i="3"/>
  <c r="T139" i="3"/>
  <c r="T144" i="3"/>
  <c r="T81" i="3"/>
  <c r="T33" i="3"/>
  <c r="T49" i="3"/>
  <c r="T76" i="3"/>
  <c r="T86" i="3"/>
  <c r="T97" i="3"/>
  <c r="T108" i="3"/>
  <c r="T118" i="3"/>
  <c r="T129" i="3"/>
  <c r="T140" i="3"/>
  <c r="T39" i="3"/>
  <c r="T15" i="3"/>
  <c r="T36" i="3"/>
  <c r="T50" i="3"/>
  <c r="T63" i="3"/>
  <c r="T68" i="3"/>
  <c r="T121" i="3"/>
  <c r="T91" i="3"/>
  <c r="T92" i="3"/>
  <c r="T17" i="3"/>
  <c r="T52" i="3"/>
  <c r="T65" i="3"/>
  <c r="T77" i="3"/>
  <c r="T87" i="3"/>
  <c r="T98" i="3"/>
  <c r="T109" i="3"/>
  <c r="T119" i="3"/>
  <c r="T130" i="3"/>
  <c r="T141" i="3"/>
  <c r="T89" i="3"/>
  <c r="T110" i="3"/>
  <c r="T123" i="3"/>
  <c r="T55" i="3"/>
  <c r="T145" i="3"/>
  <c r="T20" i="3"/>
  <c r="T37" i="3"/>
  <c r="T66" i="3"/>
  <c r="T88" i="3"/>
  <c r="T99" i="3"/>
  <c r="T120" i="3"/>
  <c r="T131" i="3"/>
  <c r="T78" i="3"/>
  <c r="T132" i="3"/>
  <c r="T6" i="3"/>
  <c r="T124" i="3"/>
  <c r="T53" i="3"/>
  <c r="T100" i="3"/>
  <c r="T142" i="3"/>
  <c r="T102" i="3"/>
  <c r="T22" i="3"/>
  <c r="T54" i="3"/>
  <c r="T69" i="3"/>
  <c r="T79" i="3"/>
  <c r="T90" i="3"/>
  <c r="T101" i="3"/>
  <c r="T111" i="3"/>
  <c r="T122" i="3"/>
  <c r="T133" i="3"/>
  <c r="T143" i="3"/>
  <c r="T23" i="3"/>
  <c r="T134" i="3"/>
  <c r="T7" i="3"/>
  <c r="T28" i="3"/>
  <c r="T58" i="3"/>
  <c r="T71" i="3"/>
  <c r="T82" i="3"/>
  <c r="T93" i="3"/>
  <c r="T103" i="3"/>
  <c r="T114" i="3"/>
  <c r="T125" i="3"/>
  <c r="T135" i="3"/>
  <c r="T146" i="3"/>
  <c r="A57" i="13"/>
  <c r="A58" i="13"/>
  <c r="A274" i="8"/>
  <c r="B274" i="8"/>
  <c r="E274" i="8"/>
  <c r="G16" i="3"/>
  <c r="H16" i="3"/>
  <c r="I16" i="3"/>
  <c r="J16" i="3"/>
  <c r="G108" i="3"/>
  <c r="H108" i="3"/>
  <c r="I108" i="3"/>
  <c r="J108" i="3"/>
  <c r="L5" i="11"/>
  <c r="G5" i="11"/>
  <c r="N60" i="10" l="1"/>
  <c r="N59" i="10"/>
  <c r="N36" i="10"/>
  <c r="N37" i="10"/>
  <c r="N38" i="10"/>
  <c r="N39" i="10"/>
  <c r="N40" i="10"/>
  <c r="N41" i="10"/>
  <c r="N42" i="10"/>
  <c r="N43" i="10"/>
  <c r="N44" i="10"/>
  <c r="N45" i="10"/>
  <c r="N46" i="10"/>
  <c r="N47" i="10"/>
  <c r="N48" i="10"/>
  <c r="N49" i="10"/>
  <c r="N50" i="10"/>
  <c r="N51" i="10"/>
  <c r="N52" i="10"/>
  <c r="N53" i="10"/>
  <c r="N54" i="10"/>
  <c r="N55" i="10"/>
  <c r="N56" i="10"/>
  <c r="N57" i="10"/>
  <c r="N58" i="10"/>
  <c r="G116" i="3"/>
  <c r="H116" i="3"/>
  <c r="I116" i="3"/>
  <c r="J116" i="3"/>
  <c r="J49" i="10"/>
  <c r="J48" i="10"/>
  <c r="J47" i="10"/>
  <c r="J46" i="10"/>
  <c r="J45" i="10"/>
  <c r="J44" i="10"/>
  <c r="J43" i="10"/>
  <c r="J42" i="10"/>
  <c r="J41" i="10"/>
  <c r="J40" i="10"/>
  <c r="J39" i="10"/>
  <c r="J38" i="10"/>
  <c r="J37" i="10"/>
  <c r="J36" i="10"/>
  <c r="F37" i="10"/>
  <c r="F38" i="10"/>
  <c r="F39" i="10"/>
  <c r="F40" i="10"/>
  <c r="F41" i="10"/>
  <c r="F42" i="10"/>
  <c r="F43" i="10"/>
  <c r="F44" i="10"/>
  <c r="F45" i="10"/>
  <c r="F46" i="10"/>
  <c r="F47" i="10"/>
  <c r="F48" i="10"/>
  <c r="F49" i="10"/>
  <c r="F50" i="10"/>
  <c r="F51" i="10"/>
  <c r="F52" i="10"/>
  <c r="F53" i="10"/>
  <c r="F54" i="10"/>
  <c r="F36" i="10"/>
  <c r="G117" i="3" l="1"/>
  <c r="G10" i="3"/>
  <c r="G7" i="3"/>
  <c r="G8" i="3"/>
  <c r="G9" i="3"/>
  <c r="G105" i="3"/>
  <c r="G103" i="3"/>
  <c r="G106" i="3"/>
  <c r="H117" i="3"/>
  <c r="H10" i="3"/>
  <c r="H7" i="3"/>
  <c r="H8" i="3"/>
  <c r="H9" i="3"/>
  <c r="H105" i="3"/>
  <c r="H103" i="3"/>
  <c r="H106" i="3"/>
  <c r="I117" i="3"/>
  <c r="I10" i="3"/>
  <c r="I7" i="3"/>
  <c r="I8" i="3"/>
  <c r="I9" i="3"/>
  <c r="I105" i="3"/>
  <c r="I103" i="3"/>
  <c r="I106" i="3"/>
  <c r="J117" i="3"/>
  <c r="J10" i="3"/>
  <c r="J7" i="3"/>
  <c r="J8" i="3"/>
  <c r="J9" i="3"/>
  <c r="J105" i="3"/>
  <c r="J103" i="3"/>
  <c r="J106" i="3"/>
  <c r="G115" i="3" l="1"/>
  <c r="G5" i="3"/>
  <c r="G144" i="3"/>
  <c r="G145" i="3"/>
  <c r="H115" i="3"/>
  <c r="H5" i="3"/>
  <c r="H144" i="3"/>
  <c r="H145" i="3"/>
  <c r="I115" i="3"/>
  <c r="I5" i="3"/>
  <c r="I144" i="3"/>
  <c r="I145" i="3"/>
  <c r="J115" i="3"/>
  <c r="J5" i="3"/>
  <c r="J144" i="3"/>
  <c r="J145" i="3"/>
  <c r="A306" i="8" l="1"/>
  <c r="B306" i="8"/>
  <c r="E306" i="8"/>
  <c r="A307" i="8"/>
  <c r="B307" i="8"/>
  <c r="E307" i="8"/>
  <c r="A308" i="8"/>
  <c r="B308" i="8"/>
  <c r="E308" i="8"/>
  <c r="A309" i="8"/>
  <c r="B309" i="8"/>
  <c r="E309" i="8"/>
  <c r="A310" i="8"/>
  <c r="B310" i="8"/>
  <c r="E310" i="8"/>
  <c r="A311" i="8"/>
  <c r="B311" i="8"/>
  <c r="E311" i="8"/>
  <c r="A312" i="8"/>
  <c r="B312" i="8"/>
  <c r="E312" i="8"/>
  <c r="A313" i="8"/>
  <c r="B313" i="8"/>
  <c r="E313" i="8"/>
  <c r="A314" i="8"/>
  <c r="B314" i="8"/>
  <c r="E314" i="8"/>
  <c r="A315" i="8"/>
  <c r="B315" i="8"/>
  <c r="E315" i="8"/>
  <c r="A316" i="8"/>
  <c r="B316" i="8"/>
  <c r="E316" i="8"/>
  <c r="A317" i="8"/>
  <c r="B317" i="8"/>
  <c r="E317" i="8"/>
  <c r="A318" i="8"/>
  <c r="B318" i="8"/>
  <c r="E318" i="8"/>
  <c r="A319" i="8"/>
  <c r="B319" i="8"/>
  <c r="E319" i="8"/>
  <c r="A320" i="8"/>
  <c r="B320" i="8"/>
  <c r="E320" i="8"/>
  <c r="A321" i="8"/>
  <c r="B321" i="8"/>
  <c r="E321" i="8"/>
  <c r="A322" i="8"/>
  <c r="B322" i="8"/>
  <c r="E322" i="8"/>
  <c r="A323" i="8"/>
  <c r="B323" i="8"/>
  <c r="E323" i="8"/>
  <c r="A324" i="8"/>
  <c r="B324" i="8"/>
  <c r="E324" i="8"/>
  <c r="A325" i="8"/>
  <c r="B325" i="8"/>
  <c r="E325" i="8"/>
  <c r="A326" i="8"/>
  <c r="B326" i="8"/>
  <c r="E326" i="8"/>
  <c r="A327" i="8"/>
  <c r="B327" i="8"/>
  <c r="E327" i="8"/>
  <c r="A328" i="8"/>
  <c r="B328" i="8"/>
  <c r="E328" i="8"/>
  <c r="A329" i="8"/>
  <c r="B329" i="8"/>
  <c r="E329" i="8"/>
  <c r="A330" i="8"/>
  <c r="B330" i="8"/>
  <c r="E330" i="8"/>
  <c r="A331" i="8"/>
  <c r="B331" i="8"/>
  <c r="E331" i="8"/>
  <c r="A332" i="8"/>
  <c r="B332" i="8"/>
  <c r="E332" i="8"/>
  <c r="A333" i="8"/>
  <c r="B333" i="8"/>
  <c r="E333" i="8"/>
  <c r="A334" i="8"/>
  <c r="B334" i="8"/>
  <c r="E334" i="8"/>
  <c r="A335" i="8"/>
  <c r="B335" i="8"/>
  <c r="E335" i="8"/>
  <c r="A336" i="8"/>
  <c r="B336" i="8"/>
  <c r="E336" i="8"/>
  <c r="A279" i="8"/>
  <c r="B279" i="8"/>
  <c r="E279" i="8"/>
  <c r="A280" i="8"/>
  <c r="B280" i="8"/>
  <c r="E280" i="8"/>
  <c r="A281" i="8"/>
  <c r="B281" i="8"/>
  <c r="E281" i="8"/>
  <c r="A282" i="8"/>
  <c r="B282" i="8"/>
  <c r="E282" i="8"/>
  <c r="A283" i="8"/>
  <c r="B283" i="8"/>
  <c r="E283" i="8"/>
  <c r="A284" i="8"/>
  <c r="B284" i="8"/>
  <c r="E284" i="8"/>
  <c r="A285" i="8"/>
  <c r="B285" i="8"/>
  <c r="E285" i="8"/>
  <c r="A286" i="8"/>
  <c r="B286" i="8"/>
  <c r="E286" i="8"/>
  <c r="A287" i="8"/>
  <c r="B287" i="8"/>
  <c r="E287" i="8"/>
  <c r="A288" i="8"/>
  <c r="B288" i="8"/>
  <c r="E288" i="8"/>
  <c r="A289" i="8"/>
  <c r="B289" i="8"/>
  <c r="E289" i="8"/>
  <c r="A290" i="8"/>
  <c r="B290" i="8"/>
  <c r="E290" i="8"/>
  <c r="A291" i="8"/>
  <c r="B291" i="8"/>
  <c r="E291" i="8"/>
  <c r="A292" i="8"/>
  <c r="B292" i="8"/>
  <c r="E292" i="8"/>
  <c r="A293" i="8"/>
  <c r="B293" i="8"/>
  <c r="E293" i="8"/>
  <c r="A294" i="8"/>
  <c r="B294" i="8"/>
  <c r="E294" i="8"/>
  <c r="A295" i="8"/>
  <c r="B295" i="8"/>
  <c r="E295" i="8"/>
  <c r="A296" i="8"/>
  <c r="B296" i="8"/>
  <c r="E296" i="8"/>
  <c r="A297" i="8"/>
  <c r="B297" i="8"/>
  <c r="E297" i="8"/>
  <c r="A298" i="8"/>
  <c r="B298" i="8"/>
  <c r="E298" i="8"/>
  <c r="A299" i="8"/>
  <c r="B299" i="8"/>
  <c r="E299" i="8"/>
  <c r="A300" i="8"/>
  <c r="B300" i="8"/>
  <c r="E300" i="8"/>
  <c r="A301" i="8"/>
  <c r="B301" i="8"/>
  <c r="E301" i="8"/>
  <c r="A302" i="8"/>
  <c r="B302" i="8"/>
  <c r="E302" i="8"/>
  <c r="A248" i="8"/>
  <c r="B248" i="8"/>
  <c r="E248" i="8"/>
  <c r="A249" i="8"/>
  <c r="B249" i="8"/>
  <c r="E249" i="8"/>
  <c r="A250" i="8"/>
  <c r="B250" i="8"/>
  <c r="E250" i="8"/>
  <c r="A251" i="8"/>
  <c r="B251" i="8"/>
  <c r="E251" i="8"/>
  <c r="A252" i="8"/>
  <c r="B252" i="8"/>
  <c r="E252" i="8"/>
  <c r="A253" i="8"/>
  <c r="B253" i="8"/>
  <c r="E253" i="8"/>
  <c r="A254" i="8"/>
  <c r="B254" i="8"/>
  <c r="E254" i="8"/>
  <c r="A255" i="8"/>
  <c r="B255" i="8"/>
  <c r="E255" i="8"/>
  <c r="A256" i="8"/>
  <c r="B256" i="8"/>
  <c r="E256" i="8"/>
  <c r="A257" i="8"/>
  <c r="B257" i="8"/>
  <c r="E257" i="8"/>
  <c r="A258" i="8"/>
  <c r="B258" i="8"/>
  <c r="E258" i="8"/>
  <c r="A259" i="8"/>
  <c r="B259" i="8"/>
  <c r="E259" i="8"/>
  <c r="A260" i="8"/>
  <c r="B260" i="8"/>
  <c r="E260" i="8"/>
  <c r="A261" i="8"/>
  <c r="B261" i="8"/>
  <c r="E261" i="8"/>
  <c r="A262" i="8"/>
  <c r="B262" i="8"/>
  <c r="E262" i="8"/>
  <c r="A263" i="8"/>
  <c r="B263" i="8"/>
  <c r="E263" i="8"/>
  <c r="A264" i="8"/>
  <c r="B264" i="8"/>
  <c r="E264" i="8"/>
  <c r="A265" i="8"/>
  <c r="B265" i="8"/>
  <c r="E265" i="8"/>
  <c r="A266" i="8"/>
  <c r="B266" i="8"/>
  <c r="E266" i="8"/>
  <c r="A267" i="8"/>
  <c r="B267" i="8"/>
  <c r="E267" i="8"/>
  <c r="A268" i="8"/>
  <c r="B268" i="8"/>
  <c r="E268" i="8"/>
  <c r="A269" i="8"/>
  <c r="B269" i="8"/>
  <c r="E269" i="8"/>
  <c r="A270" i="8"/>
  <c r="B270" i="8"/>
  <c r="E270" i="8"/>
  <c r="A271" i="8"/>
  <c r="B271" i="8"/>
  <c r="E271" i="8"/>
  <c r="A272" i="8"/>
  <c r="B272" i="8"/>
  <c r="E272" i="8"/>
  <c r="A273" i="8"/>
  <c r="B273" i="8"/>
  <c r="E273" i="8"/>
  <c r="A275" i="8"/>
  <c r="B275" i="8"/>
  <c r="E275" i="8"/>
  <c r="G78" i="3"/>
  <c r="G79" i="3"/>
  <c r="G6" i="3"/>
  <c r="G58" i="3"/>
  <c r="G60" i="3"/>
  <c r="G59" i="3"/>
  <c r="G63" i="3"/>
  <c r="G62" i="3"/>
  <c r="G118" i="3"/>
  <c r="G120" i="3"/>
  <c r="G121" i="3"/>
  <c r="H78" i="3"/>
  <c r="H79" i="3"/>
  <c r="H6" i="3"/>
  <c r="H58" i="3"/>
  <c r="H60" i="3"/>
  <c r="H59" i="3"/>
  <c r="H63" i="3"/>
  <c r="H62" i="3"/>
  <c r="H118" i="3"/>
  <c r="H120" i="3"/>
  <c r="H121" i="3"/>
  <c r="I78" i="3"/>
  <c r="I79" i="3"/>
  <c r="I6" i="3"/>
  <c r="I58" i="3"/>
  <c r="I60" i="3"/>
  <c r="I59" i="3"/>
  <c r="I63" i="3"/>
  <c r="I62" i="3"/>
  <c r="I118" i="3"/>
  <c r="I120" i="3"/>
  <c r="I121" i="3"/>
  <c r="J78" i="3"/>
  <c r="J79" i="3"/>
  <c r="J6" i="3"/>
  <c r="J58" i="3"/>
  <c r="J60" i="3"/>
  <c r="J59" i="3"/>
  <c r="J63" i="3"/>
  <c r="J62" i="3"/>
  <c r="J118" i="3"/>
  <c r="J120" i="3"/>
  <c r="J121" i="3"/>
  <c r="A222" i="8" l="1"/>
  <c r="B222" i="8"/>
  <c r="E222" i="8"/>
  <c r="G85" i="3"/>
  <c r="G86" i="3"/>
  <c r="G101" i="3"/>
  <c r="H85" i="3"/>
  <c r="H86" i="3"/>
  <c r="H101" i="3"/>
  <c r="I85" i="3"/>
  <c r="I86" i="3"/>
  <c r="I101" i="3"/>
  <c r="J85" i="3"/>
  <c r="J86" i="3"/>
  <c r="J101" i="3"/>
  <c r="A139" i="8" l="1"/>
  <c r="B139" i="8"/>
  <c r="E139" i="8"/>
  <c r="G80" i="3" l="1"/>
  <c r="H80" i="3"/>
  <c r="I80" i="3"/>
  <c r="J80" i="3"/>
  <c r="L56" i="11" l="1"/>
  <c r="K56" i="11"/>
  <c r="J56" i="11"/>
  <c r="I56" i="11"/>
  <c r="H56" i="11"/>
  <c r="L45" i="11"/>
  <c r="K45" i="11"/>
  <c r="J45" i="11"/>
  <c r="I45" i="11"/>
  <c r="H45" i="11"/>
  <c r="L33" i="11"/>
  <c r="K33" i="11"/>
  <c r="J33" i="11"/>
  <c r="I33" i="11"/>
  <c r="H33" i="11"/>
  <c r="L21" i="11"/>
  <c r="K21" i="11"/>
  <c r="J21" i="11"/>
  <c r="I21" i="11"/>
  <c r="H21" i="11"/>
  <c r="H55" i="11"/>
  <c r="G7" i="11"/>
  <c r="H55" i="13"/>
  <c r="L56" i="13"/>
  <c r="K56" i="13"/>
  <c r="J56" i="13"/>
  <c r="I56" i="13"/>
  <c r="H56" i="13"/>
  <c r="L45" i="13"/>
  <c r="K45" i="13"/>
  <c r="J45" i="13"/>
  <c r="I45" i="13"/>
  <c r="H45" i="13"/>
  <c r="L33" i="13"/>
  <c r="K33" i="13"/>
  <c r="J33" i="13"/>
  <c r="I33" i="13"/>
  <c r="H33" i="13"/>
  <c r="L21" i="13"/>
  <c r="K21" i="13"/>
  <c r="J21" i="13"/>
  <c r="I21" i="13"/>
  <c r="H21" i="13"/>
  <c r="G7" i="13"/>
  <c r="H54" i="5"/>
  <c r="L55" i="5"/>
  <c r="K55" i="5"/>
  <c r="J55" i="5"/>
  <c r="I55" i="5"/>
  <c r="H55" i="5"/>
  <c r="L44" i="5"/>
  <c r="K44" i="5"/>
  <c r="J44" i="5"/>
  <c r="I44" i="5"/>
  <c r="H44" i="5"/>
  <c r="L32" i="5"/>
  <c r="K32" i="5"/>
  <c r="J32" i="5"/>
  <c r="I32" i="5"/>
  <c r="H32" i="5"/>
  <c r="L20" i="5"/>
  <c r="K20" i="5"/>
  <c r="J20" i="5"/>
  <c r="I20" i="5"/>
  <c r="H20" i="5"/>
  <c r="G6" i="5"/>
  <c r="L1" i="3"/>
  <c r="K1" i="3"/>
  <c r="J1" i="3"/>
  <c r="I1" i="3"/>
  <c r="H1" i="3"/>
  <c r="G1" i="3"/>
  <c r="F1" i="3"/>
  <c r="E1" i="3"/>
  <c r="D1" i="3"/>
  <c r="C1" i="3"/>
  <c r="B1" i="3"/>
  <c r="A1" i="3"/>
  <c r="A35" i="8" l="1"/>
  <c r="A36" i="8"/>
  <c r="B35" i="8"/>
  <c r="B36" i="8"/>
  <c r="E35" i="8"/>
  <c r="E36" i="8"/>
  <c r="J149" i="3" l="1"/>
  <c r="I149" i="3"/>
  <c r="H149" i="3"/>
  <c r="G149" i="3"/>
  <c r="J148" i="3"/>
  <c r="I148" i="3"/>
  <c r="H148" i="3"/>
  <c r="G148" i="3"/>
  <c r="J147" i="3"/>
  <c r="I147" i="3"/>
  <c r="H147" i="3"/>
  <c r="G147" i="3"/>
  <c r="J146" i="3"/>
  <c r="I146" i="3"/>
  <c r="H146" i="3"/>
  <c r="G146" i="3"/>
  <c r="J143" i="3"/>
  <c r="I143" i="3"/>
  <c r="H143" i="3"/>
  <c r="G143" i="3"/>
  <c r="J142" i="3"/>
  <c r="I142" i="3"/>
  <c r="H142" i="3"/>
  <c r="G142" i="3"/>
  <c r="J141" i="3"/>
  <c r="I141" i="3"/>
  <c r="H141" i="3"/>
  <c r="G141" i="3"/>
  <c r="J138" i="3"/>
  <c r="I138" i="3"/>
  <c r="H138" i="3"/>
  <c r="G138" i="3"/>
  <c r="J137" i="3"/>
  <c r="I137" i="3"/>
  <c r="H137" i="3"/>
  <c r="G137" i="3"/>
  <c r="J136" i="3"/>
  <c r="I136" i="3"/>
  <c r="H136" i="3"/>
  <c r="G136" i="3"/>
  <c r="J135" i="3"/>
  <c r="I135" i="3"/>
  <c r="H135" i="3"/>
  <c r="G135" i="3"/>
  <c r="J134" i="3"/>
  <c r="I134" i="3"/>
  <c r="H134" i="3"/>
  <c r="G134" i="3"/>
  <c r="J133" i="3"/>
  <c r="I133" i="3"/>
  <c r="H133" i="3"/>
  <c r="G133" i="3"/>
  <c r="J132" i="3"/>
  <c r="I132" i="3"/>
  <c r="H132" i="3"/>
  <c r="G132" i="3"/>
  <c r="J131" i="3"/>
  <c r="I131" i="3"/>
  <c r="H131" i="3"/>
  <c r="G131" i="3"/>
  <c r="J130" i="3"/>
  <c r="I130" i="3"/>
  <c r="H130" i="3"/>
  <c r="G130" i="3"/>
  <c r="J129" i="3"/>
  <c r="I129" i="3"/>
  <c r="H129" i="3"/>
  <c r="G129" i="3"/>
  <c r="J128" i="3"/>
  <c r="I128" i="3"/>
  <c r="H128" i="3"/>
  <c r="G128" i="3"/>
  <c r="J114" i="3"/>
  <c r="I114" i="3"/>
  <c r="H114" i="3"/>
  <c r="G114" i="3"/>
  <c r="J113" i="3"/>
  <c r="I113" i="3"/>
  <c r="H113" i="3"/>
  <c r="G113" i="3"/>
  <c r="J112" i="3"/>
  <c r="I112" i="3"/>
  <c r="H112" i="3"/>
  <c r="G112" i="3"/>
  <c r="J111" i="3"/>
  <c r="I111" i="3"/>
  <c r="H111" i="3"/>
  <c r="G111" i="3"/>
  <c r="J110" i="3"/>
  <c r="I110" i="3"/>
  <c r="H110" i="3"/>
  <c r="G110" i="3"/>
  <c r="J107" i="3"/>
  <c r="I107" i="3"/>
  <c r="H107" i="3"/>
  <c r="G107" i="3"/>
  <c r="J104" i="3"/>
  <c r="I104" i="3"/>
  <c r="H104" i="3"/>
  <c r="G104" i="3"/>
  <c r="J102" i="3"/>
  <c r="I102" i="3"/>
  <c r="H102" i="3"/>
  <c r="G102" i="3"/>
  <c r="J100" i="3"/>
  <c r="I100" i="3"/>
  <c r="H100" i="3"/>
  <c r="G100" i="3"/>
  <c r="J99" i="3"/>
  <c r="I99" i="3"/>
  <c r="H99" i="3"/>
  <c r="G99" i="3"/>
  <c r="J98" i="3"/>
  <c r="I98" i="3"/>
  <c r="H98" i="3"/>
  <c r="G98" i="3"/>
  <c r="J97" i="3"/>
  <c r="I97" i="3"/>
  <c r="H97" i="3"/>
  <c r="G97" i="3"/>
  <c r="J96" i="3"/>
  <c r="I96" i="3"/>
  <c r="H96" i="3"/>
  <c r="G96" i="3"/>
  <c r="J95" i="3"/>
  <c r="I95" i="3"/>
  <c r="H95" i="3"/>
  <c r="G95" i="3"/>
  <c r="J94" i="3"/>
  <c r="I94" i="3"/>
  <c r="H94" i="3"/>
  <c r="G94" i="3"/>
  <c r="J93" i="3"/>
  <c r="I93" i="3"/>
  <c r="H93" i="3"/>
  <c r="G93" i="3"/>
  <c r="J92" i="3"/>
  <c r="I92" i="3"/>
  <c r="H92" i="3"/>
  <c r="G92" i="3"/>
  <c r="J91" i="3"/>
  <c r="I91" i="3"/>
  <c r="H91" i="3"/>
  <c r="G91" i="3"/>
  <c r="J90" i="3"/>
  <c r="I90" i="3"/>
  <c r="H90" i="3"/>
  <c r="G90" i="3"/>
  <c r="J89" i="3"/>
  <c r="I89" i="3"/>
  <c r="H89" i="3"/>
  <c r="G89" i="3"/>
  <c r="J88" i="3"/>
  <c r="I88" i="3"/>
  <c r="H88" i="3"/>
  <c r="G88" i="3"/>
  <c r="J87" i="3"/>
  <c r="I87" i="3"/>
  <c r="H87" i="3"/>
  <c r="G87" i="3"/>
  <c r="J84" i="3"/>
  <c r="I84" i="3"/>
  <c r="H84" i="3"/>
  <c r="G84" i="3"/>
  <c r="J83" i="3"/>
  <c r="I83" i="3"/>
  <c r="H83" i="3"/>
  <c r="G83" i="3"/>
  <c r="J77" i="3"/>
  <c r="I77" i="3"/>
  <c r="H77" i="3"/>
  <c r="G77" i="3"/>
  <c r="J76" i="3"/>
  <c r="I76" i="3"/>
  <c r="H76" i="3"/>
  <c r="G76" i="3"/>
  <c r="J75" i="3"/>
  <c r="I75" i="3"/>
  <c r="H75" i="3"/>
  <c r="G75" i="3"/>
  <c r="J74" i="3"/>
  <c r="I74" i="3"/>
  <c r="H74" i="3"/>
  <c r="G74" i="3"/>
  <c r="J73" i="3"/>
  <c r="I73" i="3"/>
  <c r="H73" i="3"/>
  <c r="G73" i="3"/>
  <c r="J72" i="3"/>
  <c r="I72" i="3"/>
  <c r="H72" i="3"/>
  <c r="G72" i="3"/>
  <c r="J71" i="3"/>
  <c r="I71" i="3"/>
  <c r="H71" i="3"/>
  <c r="G71" i="3"/>
  <c r="J69" i="3"/>
  <c r="I69" i="3"/>
  <c r="H69" i="3"/>
  <c r="G69" i="3"/>
  <c r="J68" i="3"/>
  <c r="I68" i="3"/>
  <c r="H68" i="3"/>
  <c r="G68" i="3"/>
  <c r="J67" i="3"/>
  <c r="I67" i="3"/>
  <c r="H67" i="3"/>
  <c r="G67" i="3"/>
  <c r="J66" i="3"/>
  <c r="I66" i="3"/>
  <c r="H66" i="3"/>
  <c r="G66" i="3"/>
  <c r="J65" i="3"/>
  <c r="I65" i="3"/>
  <c r="H65" i="3"/>
  <c r="G65" i="3"/>
  <c r="J64" i="3"/>
  <c r="I64" i="3"/>
  <c r="H64" i="3"/>
  <c r="G64" i="3"/>
  <c r="J61" i="3"/>
  <c r="I61" i="3"/>
  <c r="H61" i="3"/>
  <c r="G61" i="3"/>
  <c r="J57" i="3"/>
  <c r="I57" i="3"/>
  <c r="H57" i="3"/>
  <c r="G57" i="3"/>
  <c r="J55" i="3"/>
  <c r="I55" i="3"/>
  <c r="H55" i="3"/>
  <c r="G55" i="3"/>
  <c r="J52" i="3"/>
  <c r="I52" i="3"/>
  <c r="H52" i="3"/>
  <c r="G52" i="3"/>
  <c r="J51" i="3"/>
  <c r="I51" i="3"/>
  <c r="H51" i="3"/>
  <c r="G51" i="3"/>
  <c r="J50" i="3"/>
  <c r="I50" i="3"/>
  <c r="H50" i="3"/>
  <c r="G50" i="3"/>
  <c r="J49" i="3"/>
  <c r="I49" i="3"/>
  <c r="H49" i="3"/>
  <c r="G49" i="3"/>
  <c r="J48" i="3"/>
  <c r="I48" i="3"/>
  <c r="H48" i="3"/>
  <c r="G48" i="3"/>
  <c r="J46" i="3"/>
  <c r="I46" i="3"/>
  <c r="H46" i="3"/>
  <c r="G46" i="3"/>
  <c r="J43" i="3"/>
  <c r="I43" i="3"/>
  <c r="H43" i="3"/>
  <c r="G43" i="3"/>
  <c r="J42" i="3"/>
  <c r="I42" i="3"/>
  <c r="H42" i="3"/>
  <c r="G42" i="3"/>
  <c r="J41" i="3"/>
  <c r="I41" i="3"/>
  <c r="H41" i="3"/>
  <c r="G41" i="3"/>
  <c r="J40" i="3"/>
  <c r="I40" i="3"/>
  <c r="H40" i="3"/>
  <c r="G40" i="3"/>
  <c r="J38" i="3"/>
  <c r="I38" i="3"/>
  <c r="H38" i="3"/>
  <c r="G38" i="3"/>
  <c r="J37" i="3"/>
  <c r="I37" i="3"/>
  <c r="H37" i="3"/>
  <c r="G37" i="3"/>
  <c r="J36" i="3"/>
  <c r="I36" i="3"/>
  <c r="H36" i="3"/>
  <c r="G36" i="3"/>
  <c r="J32" i="3"/>
  <c r="I32" i="3"/>
  <c r="H32" i="3"/>
  <c r="G32" i="3"/>
  <c r="J31" i="3"/>
  <c r="I31" i="3"/>
  <c r="H31" i="3"/>
  <c r="G31" i="3"/>
  <c r="J30" i="3"/>
  <c r="I30" i="3"/>
  <c r="H30" i="3"/>
  <c r="G30" i="3"/>
  <c r="J29" i="3"/>
  <c r="I29" i="3"/>
  <c r="H29" i="3"/>
  <c r="G29" i="3"/>
  <c r="J27" i="3"/>
  <c r="I27" i="3"/>
  <c r="H27" i="3"/>
  <c r="G27" i="3"/>
  <c r="J26" i="3"/>
  <c r="I26" i="3"/>
  <c r="H26" i="3"/>
  <c r="G26" i="3"/>
  <c r="J22" i="3"/>
  <c r="I22" i="3"/>
  <c r="H22" i="3"/>
  <c r="G22" i="3"/>
  <c r="J21" i="3"/>
  <c r="I21" i="3"/>
  <c r="H21" i="3"/>
  <c r="G21" i="3"/>
  <c r="J20" i="3"/>
  <c r="I20" i="3"/>
  <c r="H20" i="3"/>
  <c r="G20" i="3"/>
  <c r="J19" i="3"/>
  <c r="I19" i="3"/>
  <c r="H19" i="3"/>
  <c r="G19" i="3"/>
  <c r="J18" i="3"/>
  <c r="I18" i="3"/>
  <c r="H18" i="3"/>
  <c r="G18" i="3"/>
  <c r="J17" i="3"/>
  <c r="I17" i="3"/>
  <c r="H17" i="3"/>
  <c r="G17" i="3"/>
  <c r="J14" i="3"/>
  <c r="I14" i="3"/>
  <c r="H14" i="3"/>
  <c r="G14" i="3"/>
  <c r="J13" i="3"/>
  <c r="I13" i="3"/>
  <c r="H13" i="3"/>
  <c r="G13" i="3"/>
  <c r="J12" i="3"/>
  <c r="I12" i="3"/>
  <c r="H12" i="3"/>
  <c r="G12" i="3"/>
  <c r="J11" i="3"/>
  <c r="I11" i="3"/>
  <c r="H11" i="3"/>
  <c r="G11" i="3"/>
  <c r="J4" i="3"/>
  <c r="I4" i="3"/>
  <c r="H4" i="3"/>
  <c r="G4" i="3"/>
  <c r="G5" i="13" l="1"/>
  <c r="L5" i="13"/>
  <c r="A20" i="13" s="1"/>
  <c r="H20" i="13" l="1"/>
  <c r="G20" i="13"/>
  <c r="F20" i="13"/>
  <c r="K20" i="13"/>
  <c r="C20" i="13"/>
  <c r="D20" i="13"/>
  <c r="B20" i="13"/>
  <c r="J20" i="13"/>
  <c r="I20" i="13"/>
  <c r="G59" i="13"/>
  <c r="F59" i="13"/>
  <c r="C59" i="13"/>
  <c r="D59" i="13"/>
  <c r="B59" i="13"/>
  <c r="A53" i="13"/>
  <c r="E53" i="13" s="1"/>
  <c r="A10" i="13"/>
  <c r="A22" i="13"/>
  <c r="A25" i="13"/>
  <c r="A13" i="13"/>
  <c r="A34" i="13"/>
  <c r="A37" i="13"/>
  <c r="A46" i="13"/>
  <c r="E46" i="13" s="1"/>
  <c r="A49" i="13"/>
  <c r="E49" i="13" s="1"/>
  <c r="A32" i="13"/>
  <c r="A52" i="13"/>
  <c r="E52" i="13" s="1"/>
  <c r="A40" i="13"/>
  <c r="A28" i="13"/>
  <c r="A16" i="13"/>
  <c r="A47" i="13"/>
  <c r="A35" i="13"/>
  <c r="A23" i="13"/>
  <c r="A11" i="13"/>
  <c r="A43" i="13"/>
  <c r="A31" i="13"/>
  <c r="A19" i="13"/>
  <c r="A50" i="13"/>
  <c r="A38" i="13"/>
  <c r="A26" i="13"/>
  <c r="A14" i="13"/>
  <c r="A41" i="13"/>
  <c r="A29" i="13"/>
  <c r="A17" i="13"/>
  <c r="A44" i="13"/>
  <c r="E50" i="13" l="1"/>
  <c r="E47" i="13"/>
  <c r="D14" i="13"/>
  <c r="K14" i="13"/>
  <c r="C14" i="13"/>
  <c r="J14" i="13"/>
  <c r="B14" i="13"/>
  <c r="I14" i="13"/>
  <c r="G14" i="13"/>
  <c r="F14" i="13"/>
  <c r="H14" i="13"/>
  <c r="E22" i="13"/>
  <c r="E23" i="13" s="1"/>
  <c r="D22" i="13"/>
  <c r="K22" i="13"/>
  <c r="C22" i="13"/>
  <c r="J22" i="13"/>
  <c r="B22" i="13"/>
  <c r="H22" i="13"/>
  <c r="I22" i="13"/>
  <c r="G22" i="13"/>
  <c r="F22" i="13"/>
  <c r="D26" i="13"/>
  <c r="K26" i="13"/>
  <c r="C26" i="13"/>
  <c r="J26" i="13"/>
  <c r="B26" i="13"/>
  <c r="I26" i="13"/>
  <c r="G26" i="13"/>
  <c r="H26" i="13"/>
  <c r="F26" i="13"/>
  <c r="J35" i="13"/>
  <c r="B35" i="13"/>
  <c r="I35" i="13"/>
  <c r="H35" i="13"/>
  <c r="G35" i="13"/>
  <c r="C35" i="13"/>
  <c r="K35" i="13"/>
  <c r="F35" i="13"/>
  <c r="D35" i="13"/>
  <c r="D57" i="13"/>
  <c r="C57" i="13"/>
  <c r="B57" i="13"/>
  <c r="F57" i="13"/>
  <c r="G57" i="13"/>
  <c r="B58" i="13"/>
  <c r="F58" i="13"/>
  <c r="G58" i="13"/>
  <c r="D58" i="13"/>
  <c r="C58" i="13"/>
  <c r="G49" i="13"/>
  <c r="F49" i="13"/>
  <c r="D49" i="13"/>
  <c r="J49" i="13"/>
  <c r="B49" i="13"/>
  <c r="I49" i="13"/>
  <c r="C49" i="13"/>
  <c r="K49" i="13"/>
  <c r="H49" i="13"/>
  <c r="H32" i="13"/>
  <c r="G32" i="13"/>
  <c r="F32" i="13"/>
  <c r="K32" i="13"/>
  <c r="C32" i="13"/>
  <c r="B32" i="13"/>
  <c r="I32" i="13"/>
  <c r="J32" i="13"/>
  <c r="D32" i="13"/>
  <c r="G13" i="13"/>
  <c r="F13" i="13"/>
  <c r="E13" i="13"/>
  <c r="E14" i="13" s="1"/>
  <c r="D13" i="13"/>
  <c r="J13" i="13"/>
  <c r="B13" i="13"/>
  <c r="K13" i="13"/>
  <c r="I13" i="13"/>
  <c r="H13" i="13"/>
  <c r="C13" i="13"/>
  <c r="D38" i="13"/>
  <c r="K38" i="13"/>
  <c r="C38" i="13"/>
  <c r="J38" i="13"/>
  <c r="B38" i="13"/>
  <c r="I38" i="13"/>
  <c r="G38" i="13"/>
  <c r="F38" i="13"/>
  <c r="H38" i="13"/>
  <c r="J47" i="13"/>
  <c r="B47" i="13"/>
  <c r="I47" i="13"/>
  <c r="H47" i="13"/>
  <c r="G47" i="13"/>
  <c r="K47" i="13"/>
  <c r="D47" i="13"/>
  <c r="F47" i="13"/>
  <c r="C47" i="13"/>
  <c r="D46" i="13"/>
  <c r="K46" i="13"/>
  <c r="C46" i="13"/>
  <c r="J46" i="13"/>
  <c r="B46" i="13"/>
  <c r="H46" i="13"/>
  <c r="I46" i="13"/>
  <c r="F46" i="13"/>
  <c r="G46" i="13"/>
  <c r="E10" i="13"/>
  <c r="E11" i="13" s="1"/>
  <c r="D10" i="13"/>
  <c r="K10" i="13"/>
  <c r="C10" i="13"/>
  <c r="J10" i="13"/>
  <c r="B10" i="13"/>
  <c r="H10" i="13"/>
  <c r="I10" i="13"/>
  <c r="G10" i="13"/>
  <c r="F10" i="13"/>
  <c r="D50" i="13"/>
  <c r="K50" i="13"/>
  <c r="C50" i="13"/>
  <c r="J50" i="13"/>
  <c r="B50" i="13"/>
  <c r="I50" i="13"/>
  <c r="G50" i="13"/>
  <c r="H50" i="13"/>
  <c r="F50" i="13"/>
  <c r="I16" i="13"/>
  <c r="H16" i="13"/>
  <c r="G16" i="13"/>
  <c r="F16" i="13"/>
  <c r="D16" i="13"/>
  <c r="K16" i="13"/>
  <c r="J16" i="13"/>
  <c r="E16" i="13"/>
  <c r="E17" i="13" s="1"/>
  <c r="C16" i="13"/>
  <c r="B16" i="13"/>
  <c r="G53" i="13"/>
  <c r="F53" i="13"/>
  <c r="D53" i="13"/>
  <c r="B53" i="13"/>
  <c r="C53" i="13"/>
  <c r="F41" i="13"/>
  <c r="D41" i="13"/>
  <c r="K41" i="13"/>
  <c r="C41" i="13"/>
  <c r="I41" i="13"/>
  <c r="J41" i="13"/>
  <c r="H41" i="13"/>
  <c r="G41" i="13"/>
  <c r="B41" i="13"/>
  <c r="K19" i="13"/>
  <c r="C19" i="13"/>
  <c r="J19" i="13"/>
  <c r="B19" i="13"/>
  <c r="I19" i="13"/>
  <c r="H19" i="13"/>
  <c r="F19" i="13"/>
  <c r="G19" i="13"/>
  <c r="E19" i="13"/>
  <c r="E20" i="13" s="1"/>
  <c r="D19" i="13"/>
  <c r="I28" i="13"/>
  <c r="H28" i="13"/>
  <c r="G28" i="13"/>
  <c r="F28" i="13"/>
  <c r="D28" i="13"/>
  <c r="J28" i="13"/>
  <c r="E28" i="13"/>
  <c r="E29" i="13" s="1"/>
  <c r="C28" i="13"/>
  <c r="K28" i="13"/>
  <c r="B28" i="13"/>
  <c r="G37" i="13"/>
  <c r="F37" i="13"/>
  <c r="E37" i="13"/>
  <c r="E38" i="13" s="1"/>
  <c r="D37" i="13"/>
  <c r="J37" i="13"/>
  <c r="B37" i="13"/>
  <c r="K37" i="13"/>
  <c r="H37" i="13"/>
  <c r="I37" i="13"/>
  <c r="C37" i="13"/>
  <c r="G25" i="13"/>
  <c r="F25" i="13"/>
  <c r="E25" i="13"/>
  <c r="E26" i="13" s="1"/>
  <c r="D25" i="13"/>
  <c r="J25" i="13"/>
  <c r="B25" i="13"/>
  <c r="I25" i="13"/>
  <c r="H25" i="13"/>
  <c r="C25" i="13"/>
  <c r="K25" i="13"/>
  <c r="J23" i="13"/>
  <c r="B23" i="13"/>
  <c r="I23" i="13"/>
  <c r="H23" i="13"/>
  <c r="G23" i="13"/>
  <c r="D23" i="13"/>
  <c r="C23" i="13"/>
  <c r="K23" i="13"/>
  <c r="F23" i="13"/>
  <c r="F17" i="13"/>
  <c r="D17" i="13"/>
  <c r="K17" i="13"/>
  <c r="C17" i="13"/>
  <c r="I17" i="13"/>
  <c r="G17" i="13"/>
  <c r="J17" i="13"/>
  <c r="B17" i="13"/>
  <c r="H17" i="13"/>
  <c r="K31" i="13"/>
  <c r="C31" i="13"/>
  <c r="J31" i="13"/>
  <c r="B31" i="13"/>
  <c r="I31" i="13"/>
  <c r="H31" i="13"/>
  <c r="F31" i="13"/>
  <c r="G31" i="13"/>
  <c r="E31" i="13"/>
  <c r="E32" i="13" s="1"/>
  <c r="D31" i="13"/>
  <c r="I40" i="13"/>
  <c r="H40" i="13"/>
  <c r="G40" i="13"/>
  <c r="F40" i="13"/>
  <c r="D40" i="13"/>
  <c r="K40" i="13"/>
  <c r="E40" i="13"/>
  <c r="E41" i="13" s="1"/>
  <c r="J40" i="13"/>
  <c r="C40" i="13"/>
  <c r="B40" i="13"/>
  <c r="E34" i="13"/>
  <c r="E35" i="13" s="1"/>
  <c r="D34" i="13"/>
  <c r="K34" i="13"/>
  <c r="C34" i="13"/>
  <c r="J34" i="13"/>
  <c r="B34" i="13"/>
  <c r="H34" i="13"/>
  <c r="G34" i="13"/>
  <c r="F34" i="13"/>
  <c r="I34" i="13"/>
  <c r="J11" i="13"/>
  <c r="B11" i="13"/>
  <c r="I11" i="13"/>
  <c r="H11" i="13"/>
  <c r="G11" i="13"/>
  <c r="F11" i="13"/>
  <c r="C11" i="13"/>
  <c r="D11" i="13"/>
  <c r="K11" i="13"/>
  <c r="H44" i="13"/>
  <c r="G44" i="13"/>
  <c r="F44" i="13"/>
  <c r="K44" i="13"/>
  <c r="C44" i="13"/>
  <c r="J44" i="13"/>
  <c r="D44" i="13"/>
  <c r="I44" i="13"/>
  <c r="B44" i="13"/>
  <c r="F29" i="13"/>
  <c r="D29" i="13"/>
  <c r="K29" i="13"/>
  <c r="C29" i="13"/>
  <c r="I29" i="13"/>
  <c r="B29" i="13"/>
  <c r="H29" i="13"/>
  <c r="J29" i="13"/>
  <c r="G29" i="13"/>
  <c r="K43" i="13"/>
  <c r="C43" i="13"/>
  <c r="J43" i="13"/>
  <c r="B43" i="13"/>
  <c r="I43" i="13"/>
  <c r="H43" i="13"/>
  <c r="F43" i="13"/>
  <c r="E43" i="13"/>
  <c r="E44" i="13" s="1"/>
  <c r="D43" i="13"/>
  <c r="G43" i="13"/>
  <c r="J52" i="13"/>
  <c r="I52" i="13"/>
  <c r="H52" i="13"/>
  <c r="G52" i="13"/>
  <c r="D52" i="13"/>
  <c r="K52" i="13"/>
  <c r="C52" i="13"/>
  <c r="B52" i="13"/>
  <c r="F52" i="13"/>
  <c r="H57" i="13" l="1"/>
  <c r="I57" i="13"/>
  <c r="J57" i="13"/>
  <c r="K57" i="13"/>
  <c r="J33" i="2"/>
  <c r="J32" i="2"/>
  <c r="J31" i="2"/>
  <c r="J30" i="2"/>
  <c r="J29" i="2"/>
  <c r="J28" i="2"/>
  <c r="J27" i="2"/>
  <c r="J26" i="2"/>
  <c r="J25" i="2"/>
  <c r="J24" i="2"/>
  <c r="J23" i="2"/>
  <c r="J22" i="2"/>
  <c r="J21" i="2"/>
  <c r="J20" i="2"/>
  <c r="J19" i="2"/>
  <c r="J18" i="2"/>
  <c r="J17" i="2"/>
  <c r="J16" i="2"/>
  <c r="J15" i="2"/>
  <c r="J14" i="2"/>
  <c r="J13" i="2"/>
  <c r="J12" i="2"/>
  <c r="J11" i="2"/>
  <c r="J10" i="2"/>
  <c r="J9" i="2"/>
  <c r="J8" i="2"/>
  <c r="J7" i="2"/>
  <c r="J6" i="2"/>
  <c r="J5" i="2"/>
  <c r="J4" i="2"/>
  <c r="H33" i="2"/>
  <c r="H32" i="2"/>
  <c r="H31" i="2"/>
  <c r="H29" i="2"/>
  <c r="H28" i="2"/>
  <c r="H27" i="2"/>
  <c r="H26" i="2"/>
  <c r="H25" i="2"/>
  <c r="H24" i="2"/>
  <c r="H23" i="2"/>
  <c r="H22" i="2"/>
  <c r="H21" i="2"/>
  <c r="H20" i="2"/>
  <c r="H19" i="2"/>
  <c r="H18" i="2"/>
  <c r="H17" i="2"/>
  <c r="H16" i="2"/>
  <c r="H15" i="2"/>
  <c r="H14" i="2"/>
  <c r="H13" i="2"/>
  <c r="H12" i="2"/>
  <c r="H11" i="2"/>
  <c r="H10" i="2"/>
  <c r="H9" i="2"/>
  <c r="H8" i="2"/>
  <c r="H7" i="2"/>
  <c r="H6" i="2"/>
  <c r="H5" i="2"/>
  <c r="H4" i="2"/>
  <c r="K59" i="13" l="1"/>
  <c r="J59" i="13"/>
  <c r="I59" i="13"/>
  <c r="H59" i="13"/>
  <c r="K58" i="13"/>
  <c r="J58" i="13"/>
  <c r="I58" i="13"/>
  <c r="H58" i="13"/>
  <c r="J3" i="3"/>
  <c r="I3" i="3"/>
  <c r="H3" i="3"/>
  <c r="G3" i="3"/>
  <c r="H53" i="13" l="1"/>
  <c r="I53" i="13"/>
  <c r="J53" i="13"/>
  <c r="K53" i="13"/>
  <c r="E305" i="8" l="1"/>
  <c r="B305" i="8"/>
  <c r="A305" i="8"/>
  <c r="Z131" i="3" a="1"/>
  <c r="Z20" i="3" a="1"/>
  <c r="Z116" i="3" a="1"/>
  <c r="Z82" i="3" a="1"/>
  <c r="Z81" i="3" a="1"/>
  <c r="Z123" i="3" a="1"/>
  <c r="Z69" i="3" a="1"/>
  <c r="Z135" i="3" a="1"/>
  <c r="Z99" i="3" a="1"/>
  <c r="Z107" i="3" a="1"/>
  <c r="Z24" i="3" a="1"/>
  <c r="Z56" i="3" a="1"/>
  <c r="Z105" i="3" a="1"/>
  <c r="Z149" i="3" a="1"/>
  <c r="Z134" i="3" a="1"/>
  <c r="Z25" i="3" a="1"/>
  <c r="Z95" i="3" a="1"/>
  <c r="Z114" i="3" a="1"/>
  <c r="Z137" i="3" a="1"/>
  <c r="Z9" i="3" a="1"/>
  <c r="Z47" i="3" a="1"/>
  <c r="Z65" i="3" a="1"/>
  <c r="Z72" i="3" a="1"/>
  <c r="Z12" i="3" a="1"/>
  <c r="Z52" i="3" a="1"/>
  <c r="Z40" i="3" a="1"/>
  <c r="Z90" i="3" a="1"/>
  <c r="Z46" i="3" a="1"/>
  <c r="Z144" i="3" a="1"/>
  <c r="Z119" i="3" a="1"/>
  <c r="Z94" i="3" a="1"/>
  <c r="Z51" i="3" a="1"/>
  <c r="Z103" i="3" a="1"/>
  <c r="Z132" i="3" a="1"/>
  <c r="Z73" i="3" a="1"/>
  <c r="Z27" i="3" a="1"/>
  <c r="Z71" i="3" a="1"/>
  <c r="Z29" i="3" a="1"/>
  <c r="Z83" i="3" a="1"/>
  <c r="Z115" i="3" a="1"/>
  <c r="Z14" i="3" a="1"/>
  <c r="Z143" i="3" a="1"/>
  <c r="Z128" i="3" a="1"/>
  <c r="Z147" i="3" a="1"/>
  <c r="Z74" i="3" a="1"/>
  <c r="Z18" i="3" a="1"/>
  <c r="Z35" i="3" a="1"/>
  <c r="Z96" i="3" a="1"/>
  <c r="Z111" i="3" a="1"/>
  <c r="Z100" i="3" a="1"/>
  <c r="Z67" i="3" a="1"/>
  <c r="Z21" i="3" a="1"/>
  <c r="Z87" i="3" a="1"/>
  <c r="Z44" i="3" a="1"/>
  <c r="Z77" i="3" a="1"/>
  <c r="Z142" i="3" a="1"/>
  <c r="Z42" i="3" a="1"/>
  <c r="Z141" i="3" a="1"/>
  <c r="Z78" i="3" a="1"/>
  <c r="Z80" i="3" a="1"/>
  <c r="Z57" i="3" a="1"/>
  <c r="Z110" i="3" a="1"/>
  <c r="Z140" i="3" a="1"/>
  <c r="Z41" i="3" a="1"/>
  <c r="Z63" i="3" a="1"/>
  <c r="Z97" i="3" a="1"/>
  <c r="Z43" i="3" a="1"/>
  <c r="Z28" i="3" a="1"/>
  <c r="Z5" i="3" a="1"/>
  <c r="Z50" i="3" a="1"/>
  <c r="Z7" i="3" a="1"/>
  <c r="Z16" i="3" a="1"/>
  <c r="Z60" i="3" a="1"/>
  <c r="Z121" i="3" a="1"/>
  <c r="Z75" i="3" a="1"/>
  <c r="Z26" i="3" a="1"/>
  <c r="Z37" i="3" a="1"/>
  <c r="Z79" i="3" a="1"/>
  <c r="Z58" i="3" a="1"/>
  <c r="Z113" i="3" a="1"/>
  <c r="Z98" i="3" a="1"/>
  <c r="Z112" i="3" a="1"/>
  <c r="Z117" i="3" a="1"/>
  <c r="Z133" i="3" a="1"/>
  <c r="Z89" i="3" a="1"/>
  <c r="Z146" i="3" a="1"/>
  <c r="Z15" i="3" a="1"/>
  <c r="Z11" i="3" a="1"/>
  <c r="Z106" i="3" a="1"/>
  <c r="Z93" i="3" a="1"/>
  <c r="Z91" i="3" a="1"/>
  <c r="Z139" i="3" a="1"/>
  <c r="Z34" i="3" a="1"/>
  <c r="Z118" i="3" a="1"/>
  <c r="Z68" i="3" a="1"/>
  <c r="Z66" i="3" a="1"/>
  <c r="Z109" i="3" a="1"/>
  <c r="Z108" i="3" a="1"/>
  <c r="Z130" i="3" a="1"/>
  <c r="Z120" i="3" a="1"/>
  <c r="Z85" i="3" a="1"/>
  <c r="Z31" i="3" a="1"/>
  <c r="Z33" i="3" a="1"/>
  <c r="Z6" i="3" a="1"/>
  <c r="Z138" i="3" a="1"/>
  <c r="Z3" i="3" a="1"/>
  <c r="Z61" i="3" a="1"/>
  <c r="Z136" i="3" a="1"/>
  <c r="Z10" i="3" a="1"/>
  <c r="Z23" i="3" a="1"/>
  <c r="Z4" i="3" a="1"/>
  <c r="Z39" i="3" a="1"/>
  <c r="Z102" i="3" a="1"/>
  <c r="Z84" i="3" a="1"/>
  <c r="Z76" i="3" a="1"/>
  <c r="Z92" i="3" a="1"/>
  <c r="Z45" i="3" a="1"/>
  <c r="Z64" i="3" a="1"/>
  <c r="Z70" i="3" a="1"/>
  <c r="Z129" i="3" a="1"/>
  <c r="Z62" i="3" a="1"/>
  <c r="Z101" i="3" a="1"/>
  <c r="Z125" i="3" a="1"/>
  <c r="Z88" i="3" a="1"/>
  <c r="Z17" i="3" a="1"/>
  <c r="Z127" i="3" a="1"/>
  <c r="Z48" i="3" a="1"/>
  <c r="Z55" i="3" a="1"/>
  <c r="Z126" i="3" a="1"/>
  <c r="Z124" i="3" a="1"/>
  <c r="Z148" i="3" a="1"/>
  <c r="Z22" i="3" a="1"/>
  <c r="Z59" i="3" a="1"/>
  <c r="Z8" i="3" a="1"/>
  <c r="Z104" i="3" a="1"/>
  <c r="Z145" i="3" a="1"/>
  <c r="Z122" i="3" a="1"/>
  <c r="Z19" i="3" a="1"/>
  <c r="Z36" i="3" a="1"/>
  <c r="Z86" i="3" a="1"/>
  <c r="Z38" i="3" a="1"/>
  <c r="Z53" i="3" a="1"/>
  <c r="Z49" i="3" a="1"/>
  <c r="Z54" i="3" a="1"/>
  <c r="Z30" i="3" a="1"/>
  <c r="Z13" i="3" a="1"/>
  <c r="Z32" i="3" a="1"/>
  <c r="Z3" i="3" l="1"/>
  <c r="Z6" i="3"/>
  <c r="Z15" i="3"/>
  <c r="Z32" i="3"/>
  <c r="Z49" i="3"/>
  <c r="Z66" i="3"/>
  <c r="Z75" i="3"/>
  <c r="Z92" i="3"/>
  <c r="Z100" i="3"/>
  <c r="Z108" i="3"/>
  <c r="Z116" i="3"/>
  <c r="Z124" i="3"/>
  <c r="Z132" i="3"/>
  <c r="Z140" i="3"/>
  <c r="Z148" i="3"/>
  <c r="Z7" i="3"/>
  <c r="Z76" i="3"/>
  <c r="Z117" i="3"/>
  <c r="Z133" i="3"/>
  <c r="Z24" i="3"/>
  <c r="Z41" i="3"/>
  <c r="Z58" i="3"/>
  <c r="Z67" i="3"/>
  <c r="Z84" i="3"/>
  <c r="Z16" i="3"/>
  <c r="Z33" i="3"/>
  <c r="Z50" i="3"/>
  <c r="Z93" i="3"/>
  <c r="Z109" i="3"/>
  <c r="Z125" i="3"/>
  <c r="Z141" i="3"/>
  <c r="Z59" i="3"/>
  <c r="Z101" i="3"/>
  <c r="Z149" i="3"/>
  <c r="Z26" i="3"/>
  <c r="Z35" i="3"/>
  <c r="Z52" i="3"/>
  <c r="Z69" i="3"/>
  <c r="Z86" i="3"/>
  <c r="Z9" i="3"/>
  <c r="Z18" i="3"/>
  <c r="Z27" i="3"/>
  <c r="Z44" i="3"/>
  <c r="Z61" i="3"/>
  <c r="Z78" i="3"/>
  <c r="Z95" i="3"/>
  <c r="Z103" i="3"/>
  <c r="Z111" i="3"/>
  <c r="Z119" i="3"/>
  <c r="Z127" i="3"/>
  <c r="Z135" i="3"/>
  <c r="Z143" i="3"/>
  <c r="Z55" i="3"/>
  <c r="Z10" i="3"/>
  <c r="Z19" i="3"/>
  <c r="Z36" i="3"/>
  <c r="Z53" i="3"/>
  <c r="Z70" i="3"/>
  <c r="Z87" i="3"/>
  <c r="Z71" i="3"/>
  <c r="Z72" i="3"/>
  <c r="Z11" i="3"/>
  <c r="Z28" i="3"/>
  <c r="Z45" i="3"/>
  <c r="Z62" i="3"/>
  <c r="Z79" i="3"/>
  <c r="Z96" i="3"/>
  <c r="Z104" i="3"/>
  <c r="Z112" i="3"/>
  <c r="Z120" i="3"/>
  <c r="Z128" i="3"/>
  <c r="Z136" i="3"/>
  <c r="Z144" i="3"/>
  <c r="Z20" i="3"/>
  <c r="Z37" i="3"/>
  <c r="Z54" i="3"/>
  <c r="Z21" i="3"/>
  <c r="Z88" i="3"/>
  <c r="Z12" i="3"/>
  <c r="Z29" i="3"/>
  <c r="Z46" i="3"/>
  <c r="Z63" i="3"/>
  <c r="Z80" i="3"/>
  <c r="Z97" i="3"/>
  <c r="Z105" i="3"/>
  <c r="Z113" i="3"/>
  <c r="Z121" i="3"/>
  <c r="Z129" i="3"/>
  <c r="Z137" i="3"/>
  <c r="Z145" i="3"/>
  <c r="Z38" i="3"/>
  <c r="Z22" i="3"/>
  <c r="Z39" i="3"/>
  <c r="Z56" i="3"/>
  <c r="Z73" i="3"/>
  <c r="Z90" i="3"/>
  <c r="Z5" i="3"/>
  <c r="Z14" i="3"/>
  <c r="Z31" i="3"/>
  <c r="Z48" i="3"/>
  <c r="Z65" i="3"/>
  <c r="Z82" i="3"/>
  <c r="Z91" i="3"/>
  <c r="Z99" i="3"/>
  <c r="Z107" i="3"/>
  <c r="Z115" i="3"/>
  <c r="Z123" i="3"/>
  <c r="Z131" i="3"/>
  <c r="Z139" i="3"/>
  <c r="Z147" i="3"/>
  <c r="Z13" i="3"/>
  <c r="Z47" i="3"/>
  <c r="Z106" i="3"/>
  <c r="Z81" i="3"/>
  <c r="Z51" i="3"/>
  <c r="Z83" i="3"/>
  <c r="Z134" i="3"/>
  <c r="Z85" i="3"/>
  <c r="Z4" i="3"/>
  <c r="Z77" i="3"/>
  <c r="Z68" i="3"/>
  <c r="Z17" i="3"/>
  <c r="Z138" i="3"/>
  <c r="Z110" i="3"/>
  <c r="Z23" i="3"/>
  <c r="Z57" i="3"/>
  <c r="Z89" i="3"/>
  <c r="Z114" i="3"/>
  <c r="Z102" i="3"/>
  <c r="Z25" i="3"/>
  <c r="Z94" i="3"/>
  <c r="Z43" i="3"/>
  <c r="Z60" i="3"/>
  <c r="Z142" i="3"/>
  <c r="Z30" i="3"/>
  <c r="Z64" i="3"/>
  <c r="Z118" i="3"/>
  <c r="Z146" i="3"/>
  <c r="Z122" i="3"/>
  <c r="Z98" i="3"/>
  <c r="Z130" i="3"/>
  <c r="Z34" i="3"/>
  <c r="Z8" i="3"/>
  <c r="Z40" i="3"/>
  <c r="Z74" i="3"/>
  <c r="Z126" i="3"/>
  <c r="Z42" i="3"/>
  <c r="E278" i="8"/>
  <c r="B278" i="8"/>
  <c r="A278" i="8"/>
  <c r="Y84" i="3" a="1"/>
  <c r="Y50" i="3" a="1"/>
  <c r="Y116" i="3" a="1"/>
  <c r="Y24" i="3" a="1"/>
  <c r="Y25" i="3" a="1"/>
  <c r="Y139" i="3" a="1"/>
  <c r="Y11" i="3" a="1"/>
  <c r="Y141" i="3" a="1"/>
  <c r="Y26" i="3" a="1"/>
  <c r="Y134" i="3" a="1"/>
  <c r="Y28" i="3" a="1"/>
  <c r="Y79" i="3" a="1"/>
  <c r="Y71" i="3" a="1"/>
  <c r="Y36" i="3" a="1"/>
  <c r="Y104" i="3" a="1"/>
  <c r="Y13" i="3" a="1"/>
  <c r="Y95" i="3" a="1"/>
  <c r="Y19" i="3" a="1"/>
  <c r="Y40" i="3" a="1"/>
  <c r="Y48" i="3" a="1"/>
  <c r="Y106" i="3" a="1"/>
  <c r="Y61" i="3" a="1"/>
  <c r="Y58" i="3" a="1"/>
  <c r="Y62" i="3" a="1"/>
  <c r="Y97" i="3" a="1"/>
  <c r="Y75" i="3" a="1"/>
  <c r="Y69" i="3" a="1"/>
  <c r="Y133" i="3" a="1"/>
  <c r="Y93" i="3" a="1"/>
  <c r="Y20" i="3" a="1"/>
  <c r="Y54" i="3" a="1"/>
  <c r="Y46" i="3" a="1"/>
  <c r="Y33" i="3" a="1"/>
  <c r="Y4" i="3" a="1"/>
  <c r="Y120" i="3" a="1"/>
  <c r="Y99" i="3" a="1"/>
  <c r="Y55" i="3" a="1"/>
  <c r="Y88" i="3" a="1"/>
  <c r="Y130" i="3" a="1"/>
  <c r="Y76" i="3" a="1"/>
  <c r="Y87" i="3" a="1"/>
  <c r="Y101" i="3" a="1"/>
  <c r="Y80" i="3" a="1"/>
  <c r="Y142" i="3" a="1"/>
  <c r="Y77" i="3" a="1"/>
  <c r="Y107" i="3" a="1"/>
  <c r="Y14" i="3" a="1"/>
  <c r="Y102" i="3" a="1"/>
  <c r="Y123" i="3" a="1"/>
  <c r="Y127" i="3" a="1"/>
  <c r="Y85" i="3" a="1"/>
  <c r="Y118" i="3" a="1"/>
  <c r="Y44" i="3" a="1"/>
  <c r="Y31" i="3" a="1"/>
  <c r="Y12" i="3" a="1"/>
  <c r="Y122" i="3" a="1"/>
  <c r="Y91" i="3" a="1"/>
  <c r="Y10" i="3" a="1"/>
  <c r="Y60" i="3" a="1"/>
  <c r="Y35" i="3" a="1"/>
  <c r="Y92" i="3" a="1"/>
  <c r="Y140" i="3" a="1"/>
  <c r="Y9" i="3" a="1"/>
  <c r="Y143" i="3" a="1"/>
  <c r="Y117" i="3" a="1"/>
  <c r="Y78" i="3" a="1"/>
  <c r="Y66" i="3" a="1"/>
  <c r="Y126" i="3" a="1"/>
  <c r="Y56" i="3" a="1"/>
  <c r="Y115" i="3" a="1"/>
  <c r="Y148" i="3" a="1"/>
  <c r="Y103" i="3" a="1"/>
  <c r="Y112" i="3" a="1"/>
  <c r="Y59" i="3" a="1"/>
  <c r="Y18" i="3" a="1"/>
  <c r="Y100" i="3" a="1"/>
  <c r="Y137" i="3" a="1"/>
  <c r="Y38" i="3" a="1"/>
  <c r="Y129" i="3" a="1"/>
  <c r="Y83" i="3" a="1"/>
  <c r="Y124" i="3" a="1"/>
  <c r="Y94" i="3" a="1"/>
  <c r="Y41" i="3" a="1"/>
  <c r="Y32" i="3" a="1"/>
  <c r="Y64" i="3" a="1"/>
  <c r="Y6" i="3" a="1"/>
  <c r="Y17" i="3" a="1"/>
  <c r="Y30" i="3" a="1"/>
  <c r="Y132" i="3" a="1"/>
  <c r="Y67" i="3" a="1"/>
  <c r="Y8" i="3" a="1"/>
  <c r="Y7" i="3" a="1"/>
  <c r="Y68" i="3" a="1"/>
  <c r="Y65" i="3" a="1"/>
  <c r="Y22" i="3" a="1"/>
  <c r="Y70" i="3" a="1"/>
  <c r="Y136" i="3" a="1"/>
  <c r="Y37" i="3" a="1"/>
  <c r="Y145" i="3" a="1"/>
  <c r="Y72" i="3" a="1"/>
  <c r="Y82" i="3" a="1"/>
  <c r="Y86" i="3" a="1"/>
  <c r="Y63" i="3" a="1"/>
  <c r="Y98" i="3" a="1"/>
  <c r="Y49" i="3" a="1"/>
  <c r="Y147" i="3" a="1"/>
  <c r="Y90" i="3" a="1"/>
  <c r="Y81" i="3" a="1"/>
  <c r="Y114" i="3" a="1"/>
  <c r="Y52" i="3" a="1"/>
  <c r="Y34" i="3" a="1"/>
  <c r="Y42" i="3" a="1"/>
  <c r="Y29" i="3" a="1"/>
  <c r="Y89" i="3" a="1"/>
  <c r="Y73" i="3" a="1"/>
  <c r="Y105" i="3" a="1"/>
  <c r="Y43" i="3" a="1"/>
  <c r="Y3" i="3" a="1"/>
  <c r="Y119" i="3" a="1"/>
  <c r="Y131" i="3" a="1"/>
  <c r="Y146" i="3" a="1"/>
  <c r="Y74" i="3" a="1"/>
  <c r="Y16" i="3" a="1"/>
  <c r="Y125" i="3" a="1"/>
  <c r="Y144" i="3" a="1"/>
  <c r="Y57" i="3" a="1"/>
  <c r="Y110" i="3" a="1"/>
  <c r="Y109" i="3" a="1"/>
  <c r="Y108" i="3" a="1"/>
  <c r="Y128" i="3" a="1"/>
  <c r="Y27" i="3" a="1"/>
  <c r="Y113" i="3" a="1"/>
  <c r="Y121" i="3" a="1"/>
  <c r="Y47" i="3" a="1"/>
  <c r="Y5" i="3" a="1"/>
  <c r="Y45" i="3" a="1"/>
  <c r="Y53" i="3" a="1"/>
  <c r="Y135" i="3" a="1"/>
  <c r="Y138" i="3" a="1"/>
  <c r="Y23" i="3" a="1"/>
  <c r="Y21" i="3" a="1"/>
  <c r="Y149" i="3" a="1"/>
  <c r="Y15" i="3" a="1"/>
  <c r="Y51" i="3" a="1"/>
  <c r="Y96" i="3" a="1"/>
  <c r="Y111" i="3" a="1"/>
  <c r="Y39" i="3" a="1"/>
  <c r="Y3" i="3" l="1"/>
  <c r="Y7" i="3"/>
  <c r="Y16" i="3"/>
  <c r="Y25" i="3"/>
  <c r="Y34" i="3"/>
  <c r="Y43" i="3"/>
  <c r="Y52" i="3"/>
  <c r="Y62" i="3"/>
  <c r="Y71" i="3"/>
  <c r="Y80" i="3"/>
  <c r="Y89" i="3"/>
  <c r="Y98" i="3"/>
  <c r="Y107" i="3"/>
  <c r="Y116" i="3"/>
  <c r="Y126" i="3"/>
  <c r="Y135" i="3"/>
  <c r="Y144" i="3"/>
  <c r="Y53" i="3"/>
  <c r="Y117" i="3"/>
  <c r="Y8" i="3"/>
  <c r="Y26" i="3"/>
  <c r="Y35" i="3"/>
  <c r="Y54" i="3"/>
  <c r="Y63" i="3"/>
  <c r="Y81" i="3"/>
  <c r="Y90" i="3"/>
  <c r="Y108" i="3"/>
  <c r="Y118" i="3"/>
  <c r="Y136" i="3"/>
  <c r="Y17" i="3"/>
  <c r="Y44" i="3"/>
  <c r="Y72" i="3"/>
  <c r="Y99" i="3"/>
  <c r="Y127" i="3"/>
  <c r="Y145" i="3"/>
  <c r="Y37" i="3"/>
  <c r="Y101" i="3"/>
  <c r="Y10" i="3"/>
  <c r="Y19" i="3"/>
  <c r="Y28" i="3"/>
  <c r="Y38" i="3"/>
  <c r="Y47" i="3"/>
  <c r="Y56" i="3"/>
  <c r="Y65" i="3"/>
  <c r="Y74" i="3"/>
  <c r="Y83" i="3"/>
  <c r="Y92" i="3"/>
  <c r="Y102" i="3"/>
  <c r="Y111" i="3"/>
  <c r="Y120" i="3"/>
  <c r="Y129" i="3"/>
  <c r="Y138" i="3"/>
  <c r="Y147" i="3"/>
  <c r="Y13" i="3"/>
  <c r="Y29" i="3"/>
  <c r="Y93" i="3"/>
  <c r="Y141" i="3"/>
  <c r="Y11" i="3"/>
  <c r="Y20" i="3"/>
  <c r="Y30" i="3"/>
  <c r="Y39" i="3"/>
  <c r="Y48" i="3"/>
  <c r="Y57" i="3"/>
  <c r="Y66" i="3"/>
  <c r="Y75" i="3"/>
  <c r="Y84" i="3"/>
  <c r="Y94" i="3"/>
  <c r="Y103" i="3"/>
  <c r="Y112" i="3"/>
  <c r="Y121" i="3"/>
  <c r="Y130" i="3"/>
  <c r="Y139" i="3"/>
  <c r="Y148" i="3"/>
  <c r="Y21" i="3"/>
  <c r="Y149" i="3"/>
  <c r="Y85" i="3"/>
  <c r="Y12" i="3"/>
  <c r="Y22" i="3"/>
  <c r="Y31" i="3"/>
  <c r="Y40" i="3"/>
  <c r="Y49" i="3"/>
  <c r="Y58" i="3"/>
  <c r="Y67" i="3"/>
  <c r="Y76" i="3"/>
  <c r="Y86" i="3"/>
  <c r="Y95" i="3"/>
  <c r="Y104" i="3"/>
  <c r="Y113" i="3"/>
  <c r="Y122" i="3"/>
  <c r="Y131" i="3"/>
  <c r="Y140" i="3"/>
  <c r="Y77" i="3"/>
  <c r="Y5" i="3"/>
  <c r="Y69" i="3"/>
  <c r="Y133" i="3"/>
  <c r="Y6" i="3"/>
  <c r="Y15" i="3"/>
  <c r="Y24" i="3"/>
  <c r="Y33" i="3"/>
  <c r="Y42" i="3"/>
  <c r="Y51" i="3"/>
  <c r="Y60" i="3"/>
  <c r="Y70" i="3"/>
  <c r="Y79" i="3"/>
  <c r="Y88" i="3"/>
  <c r="Y97" i="3"/>
  <c r="Y106" i="3"/>
  <c r="Y115" i="3"/>
  <c r="Y124" i="3"/>
  <c r="Y134" i="3"/>
  <c r="Y143" i="3"/>
  <c r="Y50" i="3"/>
  <c r="Y87" i="3"/>
  <c r="Y123" i="3"/>
  <c r="Y125" i="3"/>
  <c r="Y18" i="3"/>
  <c r="Y91" i="3"/>
  <c r="Y23" i="3"/>
  <c r="Y59" i="3"/>
  <c r="Y132" i="3"/>
  <c r="Y128" i="3"/>
  <c r="Y96" i="3"/>
  <c r="Y78" i="3"/>
  <c r="Y46" i="3"/>
  <c r="Y55" i="3"/>
  <c r="Y119" i="3"/>
  <c r="Y61" i="3"/>
  <c r="Y146" i="3"/>
  <c r="Y109" i="3"/>
  <c r="Y114" i="3"/>
  <c r="Y27" i="3"/>
  <c r="Y64" i="3"/>
  <c r="Y100" i="3"/>
  <c r="Y137" i="3"/>
  <c r="Y32" i="3"/>
  <c r="Y105" i="3"/>
  <c r="Y14" i="3"/>
  <c r="Y68" i="3"/>
  <c r="Y142" i="3"/>
  <c r="Y4" i="3"/>
  <c r="Y36" i="3"/>
  <c r="Y73" i="3"/>
  <c r="Y110" i="3"/>
  <c r="Y41" i="3"/>
  <c r="Y9" i="3"/>
  <c r="Y45" i="3"/>
  <c r="Y82" i="3"/>
  <c r="E247" i="8"/>
  <c r="B247" i="8"/>
  <c r="A247" i="8"/>
  <c r="X106" i="3" a="1"/>
  <c r="X94" i="3" a="1"/>
  <c r="X141" i="3" a="1"/>
  <c r="X23" i="3" a="1"/>
  <c r="X97" i="3" a="1"/>
  <c r="X71" i="3" a="1"/>
  <c r="X140" i="3" a="1"/>
  <c r="X16" i="3" a="1"/>
  <c r="X31" i="3" a="1"/>
  <c r="X53" i="3" a="1"/>
  <c r="X6" i="3" a="1"/>
  <c r="X35" i="3" a="1"/>
  <c r="X77" i="3" a="1"/>
  <c r="X131" i="3" a="1"/>
  <c r="X84" i="3" a="1"/>
  <c r="X145" i="3" a="1"/>
  <c r="X123" i="3" a="1"/>
  <c r="X135" i="3" a="1"/>
  <c r="X74" i="3" a="1"/>
  <c r="X119" i="3" a="1"/>
  <c r="X134" i="3" a="1"/>
  <c r="X24" i="3" a="1"/>
  <c r="X87" i="3" a="1"/>
  <c r="X67" i="3" a="1"/>
  <c r="X57" i="3" a="1"/>
  <c r="X69" i="3" a="1"/>
  <c r="X79" i="3" a="1"/>
  <c r="X137" i="3" a="1"/>
  <c r="X149" i="3" a="1"/>
  <c r="X21" i="3" a="1"/>
  <c r="X58" i="3" a="1"/>
  <c r="X102" i="3" a="1"/>
  <c r="X44" i="3" a="1"/>
  <c r="X81" i="3" a="1"/>
  <c r="X120" i="3" a="1"/>
  <c r="X142" i="3" a="1"/>
  <c r="X40" i="3" a="1"/>
  <c r="X33" i="3" a="1"/>
  <c r="X93" i="3" a="1"/>
  <c r="X112" i="3" a="1"/>
  <c r="X105" i="3" a="1"/>
  <c r="X113" i="3" a="1"/>
  <c r="X26" i="3" a="1"/>
  <c r="X59" i="3" a="1"/>
  <c r="X88" i="3" a="1"/>
  <c r="X29" i="3" a="1"/>
  <c r="X121" i="3" a="1"/>
  <c r="X64" i="3" a="1"/>
  <c r="X89" i="3" a="1"/>
  <c r="X10" i="3" a="1"/>
  <c r="X92" i="3" a="1"/>
  <c r="X122" i="3" a="1"/>
  <c r="X27" i="3" a="1"/>
  <c r="X37" i="3" a="1"/>
  <c r="X5" i="3" a="1"/>
  <c r="X30" i="3" a="1"/>
  <c r="X108" i="3" a="1"/>
  <c r="X11" i="3" a="1"/>
  <c r="X68" i="3" a="1"/>
  <c r="X133" i="3" a="1"/>
  <c r="X85" i="3" a="1"/>
  <c r="X86" i="3" a="1"/>
  <c r="X95" i="3" a="1"/>
  <c r="X65" i="3" a="1"/>
  <c r="X18" i="3" a="1"/>
  <c r="X103" i="3" a="1"/>
  <c r="X8" i="3" a="1"/>
  <c r="X143" i="3" a="1"/>
  <c r="X19" i="3" a="1"/>
  <c r="X147" i="3" a="1"/>
  <c r="X32" i="3" a="1"/>
  <c r="X20" i="3" a="1"/>
  <c r="X96" i="3" a="1"/>
  <c r="X22" i="3" a="1"/>
  <c r="X43" i="3" a="1"/>
  <c r="X111" i="3" a="1"/>
  <c r="X3" i="3" a="1"/>
  <c r="X55" i="3" a="1"/>
  <c r="X115" i="3" a="1"/>
  <c r="X47" i="3" a="1"/>
  <c r="X46" i="3" a="1"/>
  <c r="X61" i="3" a="1"/>
  <c r="X125" i="3" a="1"/>
  <c r="X28" i="3" a="1"/>
  <c r="X130" i="3" a="1"/>
  <c r="X101" i="3" a="1"/>
  <c r="X4" i="3" a="1"/>
  <c r="X80" i="3" a="1"/>
  <c r="X132" i="3" a="1"/>
  <c r="X7" i="3" a="1"/>
  <c r="X90" i="3" a="1"/>
  <c r="X110" i="3" a="1"/>
  <c r="X114" i="3" a="1"/>
  <c r="X126" i="3" a="1"/>
  <c r="X17" i="3" a="1"/>
  <c r="X70" i="3" a="1"/>
  <c r="X50" i="3" a="1"/>
  <c r="X56" i="3" a="1"/>
  <c r="X146" i="3" a="1"/>
  <c r="X51" i="3" a="1"/>
  <c r="X66" i="3" a="1"/>
  <c r="X45" i="3" a="1"/>
  <c r="X34" i="3" a="1"/>
  <c r="X54" i="3" a="1"/>
  <c r="X128" i="3" a="1"/>
  <c r="X48" i="3" a="1"/>
  <c r="X129" i="3" a="1"/>
  <c r="X104" i="3" a="1"/>
  <c r="X12" i="3" a="1"/>
  <c r="X62" i="3" a="1"/>
  <c r="X109" i="3" a="1"/>
  <c r="X75" i="3" a="1"/>
  <c r="X99" i="3" a="1"/>
  <c r="X52" i="3" a="1"/>
  <c r="X127" i="3" a="1"/>
  <c r="X83" i="3" a="1"/>
  <c r="X100" i="3" a="1"/>
  <c r="X72" i="3" a="1"/>
  <c r="X49" i="3" a="1"/>
  <c r="X13" i="3" a="1"/>
  <c r="X124" i="3" a="1"/>
  <c r="X73" i="3" a="1"/>
  <c r="X60" i="3" a="1"/>
  <c r="X25" i="3" a="1"/>
  <c r="X38" i="3" a="1"/>
  <c r="X136" i="3" a="1"/>
  <c r="X14" i="3" a="1"/>
  <c r="X148" i="3" a="1"/>
  <c r="X98" i="3" a="1"/>
  <c r="X36" i="3" a="1"/>
  <c r="X117" i="3" a="1"/>
  <c r="X76" i="3" a="1"/>
  <c r="X118" i="3" a="1"/>
  <c r="X15" i="3" a="1"/>
  <c r="X144" i="3" a="1"/>
  <c r="X91" i="3" a="1"/>
  <c r="X82" i="3" a="1"/>
  <c r="X139" i="3" a="1"/>
  <c r="X41" i="3" a="1"/>
  <c r="X9" i="3" a="1"/>
  <c r="X42" i="3" a="1"/>
  <c r="X116" i="3" a="1"/>
  <c r="X78" i="3" a="1"/>
  <c r="X138" i="3" a="1"/>
  <c r="X107" i="3" a="1"/>
  <c r="X63" i="3" a="1"/>
  <c r="X39" i="3" a="1"/>
  <c r="X3" i="3" l="1"/>
  <c r="X4" i="3"/>
  <c r="X26" i="3"/>
  <c r="X36" i="3"/>
  <c r="X58" i="3"/>
  <c r="X68" i="3"/>
  <c r="X87" i="3"/>
  <c r="X98" i="3"/>
  <c r="X117" i="3"/>
  <c r="X126" i="3"/>
  <c r="X135" i="3"/>
  <c r="X145" i="3"/>
  <c r="X15" i="3"/>
  <c r="X47" i="3"/>
  <c r="X78" i="3"/>
  <c r="X88" i="3"/>
  <c r="X108" i="3"/>
  <c r="X136" i="3"/>
  <c r="X16" i="3"/>
  <c r="X69" i="3"/>
  <c r="X99" i="3"/>
  <c r="X118" i="3"/>
  <c r="X137" i="3"/>
  <c r="X146" i="3"/>
  <c r="X5" i="3"/>
  <c r="X27" i="3"/>
  <c r="X37" i="3"/>
  <c r="X48" i="3"/>
  <c r="X59" i="3"/>
  <c r="X89" i="3"/>
  <c r="X127" i="3"/>
  <c r="X6" i="3"/>
  <c r="X17" i="3"/>
  <c r="X38" i="3"/>
  <c r="X49" i="3"/>
  <c r="X79" i="3"/>
  <c r="X90" i="3"/>
  <c r="X109" i="3"/>
  <c r="X18" i="3"/>
  <c r="X28" i="3"/>
  <c r="X50" i="3"/>
  <c r="X60" i="3"/>
  <c r="X70" i="3"/>
  <c r="X80" i="3"/>
  <c r="X100" i="3"/>
  <c r="X7" i="3"/>
  <c r="X39" i="3"/>
  <c r="X81" i="3"/>
  <c r="X91" i="3"/>
  <c r="X110" i="3"/>
  <c r="X120" i="3"/>
  <c r="X8" i="3"/>
  <c r="X19" i="3"/>
  <c r="X29" i="3"/>
  <c r="X40" i="3"/>
  <c r="X51" i="3"/>
  <c r="X61" i="3"/>
  <c r="X71" i="3"/>
  <c r="X82" i="3"/>
  <c r="X101" i="3"/>
  <c r="X121" i="3"/>
  <c r="X130" i="3"/>
  <c r="X139" i="3"/>
  <c r="X148" i="3"/>
  <c r="X9" i="3"/>
  <c r="X30" i="3"/>
  <c r="X41" i="3"/>
  <c r="X62" i="3"/>
  <c r="X72" i="3"/>
  <c r="X92" i="3"/>
  <c r="X111" i="3"/>
  <c r="X75" i="3"/>
  <c r="X10" i="3"/>
  <c r="X20" i="3"/>
  <c r="X42" i="3"/>
  <c r="X52" i="3"/>
  <c r="X73" i="3"/>
  <c r="X83" i="3"/>
  <c r="X102" i="3"/>
  <c r="X112" i="3"/>
  <c r="X122" i="3"/>
  <c r="X131" i="3"/>
  <c r="X140" i="3"/>
  <c r="X149" i="3"/>
  <c r="X113" i="3"/>
  <c r="X54" i="3"/>
  <c r="X104" i="3"/>
  <c r="X31" i="3"/>
  <c r="X63" i="3"/>
  <c r="X74" i="3"/>
  <c r="X93" i="3"/>
  <c r="X11" i="3"/>
  <c r="X21" i="3"/>
  <c r="X32" i="3"/>
  <c r="X43" i="3"/>
  <c r="X53" i="3"/>
  <c r="X64" i="3"/>
  <c r="X84" i="3"/>
  <c r="X103" i="3"/>
  <c r="X114" i="3"/>
  <c r="X123" i="3"/>
  <c r="X132" i="3"/>
  <c r="X141" i="3"/>
  <c r="X22" i="3"/>
  <c r="X33" i="3"/>
  <c r="X65" i="3"/>
  <c r="X94" i="3"/>
  <c r="X12" i="3"/>
  <c r="X34" i="3"/>
  <c r="X44" i="3"/>
  <c r="X66" i="3"/>
  <c r="X85" i="3"/>
  <c r="X105" i="3"/>
  <c r="X115" i="3"/>
  <c r="X23" i="3"/>
  <c r="X55" i="3"/>
  <c r="X76" i="3"/>
  <c r="X95" i="3"/>
  <c r="X106" i="3"/>
  <c r="X13" i="3"/>
  <c r="X24" i="3"/>
  <c r="X35" i="3"/>
  <c r="X45" i="3"/>
  <c r="X56" i="3"/>
  <c r="X67" i="3"/>
  <c r="X86" i="3"/>
  <c r="X96" i="3"/>
  <c r="X116" i="3"/>
  <c r="X125" i="3"/>
  <c r="X134" i="3"/>
  <c r="X143" i="3"/>
  <c r="X128" i="3"/>
  <c r="X14" i="3"/>
  <c r="X147" i="3"/>
  <c r="X129" i="3"/>
  <c r="X25" i="3"/>
  <c r="X133" i="3"/>
  <c r="X46" i="3"/>
  <c r="X57" i="3"/>
  <c r="X138" i="3"/>
  <c r="X142" i="3"/>
  <c r="X77" i="3"/>
  <c r="X144" i="3"/>
  <c r="X97" i="3"/>
  <c r="X107" i="3"/>
  <c r="X119" i="3"/>
  <c r="X124" i="3"/>
  <c r="E224" i="8"/>
  <c r="B224" i="8"/>
  <c r="A224" i="8"/>
  <c r="E223" i="8"/>
  <c r="B223" i="8"/>
  <c r="A223" i="8"/>
  <c r="E221" i="8"/>
  <c r="B221" i="8"/>
  <c r="A221" i="8"/>
  <c r="E220" i="8"/>
  <c r="B220" i="8"/>
  <c r="A220" i="8"/>
  <c r="E219" i="8"/>
  <c r="B219" i="8"/>
  <c r="A219" i="8"/>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V148" i="3" a="1"/>
  <c r="V128" i="3" a="1"/>
  <c r="V32" i="3" a="1"/>
  <c r="V22" i="3" a="1"/>
  <c r="V34" i="3" a="1"/>
  <c r="V88" i="3" a="1"/>
  <c r="V73" i="3" a="1"/>
  <c r="V55" i="3" a="1"/>
  <c r="V114" i="3" a="1"/>
  <c r="V125" i="3" a="1"/>
  <c r="V117" i="3" a="1"/>
  <c r="V137" i="3" a="1"/>
  <c r="V66" i="3" a="1"/>
  <c r="V149" i="3" a="1"/>
  <c r="V129" i="3" a="1"/>
  <c r="V142" i="3" a="1"/>
  <c r="V57" i="3" a="1"/>
  <c r="V118" i="3" a="1"/>
  <c r="V147" i="3" a="1"/>
  <c r="V61" i="3" a="1"/>
  <c r="V144" i="3" a="1"/>
  <c r="V95" i="3" a="1"/>
  <c r="V136" i="3" a="1"/>
  <c r="V51" i="3" a="1"/>
  <c r="V109" i="3" a="1"/>
  <c r="V111" i="3" a="1"/>
  <c r="V37" i="3" a="1"/>
  <c r="V29" i="3" a="1"/>
  <c r="V45" i="3" a="1"/>
  <c r="V17" i="3" a="1"/>
  <c r="V13" i="3" a="1"/>
  <c r="V146" i="3" a="1"/>
  <c r="V113" i="3" a="1"/>
  <c r="V31" i="3" a="1"/>
  <c r="V9" i="3" a="1"/>
  <c r="V18" i="3" a="1"/>
  <c r="V97" i="3" a="1"/>
  <c r="V40" i="3" a="1"/>
  <c r="V11" i="3" a="1"/>
  <c r="V64" i="3" a="1"/>
  <c r="V105" i="3" a="1"/>
  <c r="V15" i="3" a="1"/>
  <c r="V16" i="3" a="1"/>
  <c r="V83" i="3" a="1"/>
  <c r="V48" i="3" a="1"/>
  <c r="V82" i="3" a="1"/>
  <c r="V89" i="3" a="1"/>
  <c r="V120" i="3" a="1"/>
  <c r="V130" i="3" a="1"/>
  <c r="V93" i="3" a="1"/>
  <c r="V70" i="3" a="1"/>
  <c r="V8" i="3" a="1"/>
  <c r="V74" i="3" a="1"/>
  <c r="V139" i="3" a="1"/>
  <c r="V123" i="3" a="1"/>
  <c r="V21" i="3" a="1"/>
  <c r="V68" i="3" a="1"/>
  <c r="V127" i="3" a="1"/>
  <c r="V80" i="3" a="1"/>
  <c r="V10" i="3" a="1"/>
  <c r="V96" i="3" a="1"/>
  <c r="V132" i="3" a="1"/>
  <c r="V25" i="3" a="1"/>
  <c r="V53" i="3" a="1"/>
  <c r="V90" i="3" a="1"/>
  <c r="V126" i="3" a="1"/>
  <c r="V50" i="3" a="1"/>
  <c r="V99" i="3" a="1"/>
  <c r="V98" i="3" a="1"/>
  <c r="V78" i="3" a="1"/>
  <c r="V101" i="3" a="1"/>
  <c r="V108" i="3" a="1"/>
  <c r="V77" i="3" a="1"/>
  <c r="V79" i="3" a="1"/>
  <c r="V7" i="3" a="1"/>
  <c r="V69" i="3" a="1"/>
  <c r="V116" i="3" a="1"/>
  <c r="V145" i="3" a="1"/>
  <c r="V58" i="3" a="1"/>
  <c r="V84" i="3" a="1"/>
  <c r="V75" i="3" a="1"/>
  <c r="V43" i="3" a="1"/>
  <c r="V106" i="3" a="1"/>
  <c r="V141" i="3" a="1"/>
  <c r="V104" i="3" a="1"/>
  <c r="V49" i="3" a="1"/>
  <c r="V76" i="3" a="1"/>
  <c r="V86" i="3" a="1"/>
  <c r="V4" i="3" a="1"/>
  <c r="V121" i="3" a="1"/>
  <c r="V60" i="3" a="1"/>
  <c r="V42" i="3" a="1"/>
  <c r="V85" i="3" a="1"/>
  <c r="V20" i="3" a="1"/>
  <c r="V24" i="3" a="1"/>
  <c r="V100" i="3" a="1"/>
  <c r="V3" i="3" a="1"/>
  <c r="V102" i="3" a="1"/>
  <c r="V62" i="3" a="1"/>
  <c r="V52" i="3" a="1"/>
  <c r="V143" i="3" a="1"/>
  <c r="V122" i="3" a="1"/>
  <c r="V59" i="3" a="1"/>
  <c r="V30" i="3" a="1"/>
  <c r="V131" i="3" a="1"/>
  <c r="V134" i="3" a="1"/>
  <c r="V110" i="3" a="1"/>
  <c r="V124" i="3" a="1"/>
  <c r="V94" i="3" a="1"/>
  <c r="V12" i="3" a="1"/>
  <c r="V6" i="3" a="1"/>
  <c r="V91" i="3" a="1"/>
  <c r="V107" i="3" a="1"/>
  <c r="V56" i="3" a="1"/>
  <c r="V5" i="3" a="1"/>
  <c r="V35" i="3" a="1"/>
  <c r="V27" i="3" a="1"/>
  <c r="V71" i="3" a="1"/>
  <c r="V23" i="3" a="1"/>
  <c r="V41" i="3" a="1"/>
  <c r="V87" i="3" a="1"/>
  <c r="V33" i="3" a="1"/>
  <c r="V47" i="3" a="1"/>
  <c r="V38" i="3" a="1"/>
  <c r="V140" i="3" a="1"/>
  <c r="V133" i="3" a="1"/>
  <c r="V28" i="3" a="1"/>
  <c r="V112" i="3" a="1"/>
  <c r="V14" i="3" a="1"/>
  <c r="V115" i="3" a="1"/>
  <c r="V26" i="3" a="1"/>
  <c r="V103" i="3" a="1"/>
  <c r="V72" i="3" a="1"/>
  <c r="V19" i="3" a="1"/>
  <c r="V39" i="3" a="1"/>
  <c r="V54" i="3" a="1"/>
  <c r="V81" i="3" a="1"/>
  <c r="V65" i="3" a="1"/>
  <c r="V63" i="3" a="1"/>
  <c r="V135" i="3" a="1"/>
  <c r="V92" i="3" a="1"/>
  <c r="V119" i="3" a="1"/>
  <c r="V44" i="3" a="1"/>
  <c r="V46" i="3" a="1"/>
  <c r="V67" i="3" a="1"/>
  <c r="V36" i="3" a="1"/>
  <c r="V138" i="3" a="1"/>
  <c r="V3" i="3" l="1"/>
  <c r="V11" i="3"/>
  <c r="V19" i="3"/>
  <c r="V27" i="3"/>
  <c r="V35" i="3"/>
  <c r="V43" i="3"/>
  <c r="V51" i="3"/>
  <c r="V59" i="3"/>
  <c r="V67" i="3"/>
  <c r="V75" i="3"/>
  <c r="V83" i="3"/>
  <c r="V91" i="3"/>
  <c r="V99" i="3"/>
  <c r="V107" i="3"/>
  <c r="V115" i="3"/>
  <c r="V123" i="3"/>
  <c r="V131" i="3"/>
  <c r="V139" i="3"/>
  <c r="V147" i="3"/>
  <c r="V4" i="3"/>
  <c r="V12" i="3"/>
  <c r="V20" i="3"/>
  <c r="V28" i="3"/>
  <c r="V36" i="3"/>
  <c r="V44" i="3"/>
  <c r="V5" i="3"/>
  <c r="V6" i="3"/>
  <c r="V14" i="3"/>
  <c r="V22" i="3"/>
  <c r="V30" i="3"/>
  <c r="V38" i="3"/>
  <c r="V46" i="3"/>
  <c r="V54" i="3"/>
  <c r="V62" i="3"/>
  <c r="V70" i="3"/>
  <c r="V78" i="3"/>
  <c r="V86" i="3"/>
  <c r="V94" i="3"/>
  <c r="V102" i="3"/>
  <c r="V110" i="3"/>
  <c r="V118" i="3"/>
  <c r="V126" i="3"/>
  <c r="V134" i="3"/>
  <c r="V142" i="3"/>
  <c r="V7" i="3"/>
  <c r="V15" i="3"/>
  <c r="V23" i="3"/>
  <c r="V31" i="3"/>
  <c r="V39" i="3"/>
  <c r="V8" i="3"/>
  <c r="V16" i="3"/>
  <c r="V24" i="3"/>
  <c r="V32" i="3"/>
  <c r="V40" i="3"/>
  <c r="V48" i="3"/>
  <c r="V9" i="3"/>
  <c r="V10" i="3"/>
  <c r="V18" i="3"/>
  <c r="V26" i="3"/>
  <c r="V34" i="3"/>
  <c r="V42" i="3"/>
  <c r="V50" i="3"/>
  <c r="V58" i="3"/>
  <c r="V66" i="3"/>
  <c r="V74" i="3"/>
  <c r="V82" i="3"/>
  <c r="V90" i="3"/>
  <c r="V98" i="3"/>
  <c r="V106" i="3"/>
  <c r="V114" i="3"/>
  <c r="V122" i="3"/>
  <c r="V130" i="3"/>
  <c r="V72" i="3"/>
  <c r="V93" i="3"/>
  <c r="V136" i="3"/>
  <c r="V13" i="3"/>
  <c r="V52" i="3"/>
  <c r="V73" i="3"/>
  <c r="V95" i="3"/>
  <c r="V116" i="3"/>
  <c r="V137" i="3"/>
  <c r="V17" i="3"/>
  <c r="V53" i="3"/>
  <c r="V96" i="3"/>
  <c r="V117" i="3"/>
  <c r="V138" i="3"/>
  <c r="V55" i="3"/>
  <c r="V76" i="3"/>
  <c r="V97" i="3"/>
  <c r="V119" i="3"/>
  <c r="V21" i="3"/>
  <c r="V56" i="3"/>
  <c r="V77" i="3"/>
  <c r="V120" i="3"/>
  <c r="V140" i="3"/>
  <c r="V25" i="3"/>
  <c r="V57" i="3"/>
  <c r="V79" i="3"/>
  <c r="V100" i="3"/>
  <c r="V121" i="3"/>
  <c r="V141" i="3"/>
  <c r="V80" i="3"/>
  <c r="V101" i="3"/>
  <c r="V143" i="3"/>
  <c r="V29" i="3"/>
  <c r="V60" i="3"/>
  <c r="V81" i="3"/>
  <c r="V103" i="3"/>
  <c r="V124" i="3"/>
  <c r="V144" i="3"/>
  <c r="V33" i="3"/>
  <c r="V61" i="3"/>
  <c r="V104" i="3"/>
  <c r="V125" i="3"/>
  <c r="V145" i="3"/>
  <c r="V63" i="3"/>
  <c r="V84" i="3"/>
  <c r="V105" i="3"/>
  <c r="V127" i="3"/>
  <c r="V146" i="3"/>
  <c r="V37" i="3"/>
  <c r="V64" i="3"/>
  <c r="V85" i="3"/>
  <c r="V128" i="3"/>
  <c r="V41" i="3"/>
  <c r="V65" i="3"/>
  <c r="V87" i="3"/>
  <c r="V108" i="3"/>
  <c r="V129" i="3"/>
  <c r="V148" i="3"/>
  <c r="V88" i="3"/>
  <c r="V109" i="3"/>
  <c r="V149" i="3"/>
  <c r="V45" i="3"/>
  <c r="V68" i="3"/>
  <c r="V89" i="3"/>
  <c r="V111" i="3"/>
  <c r="V132" i="3"/>
  <c r="V47" i="3"/>
  <c r="V69" i="3"/>
  <c r="V112" i="3"/>
  <c r="V133" i="3"/>
  <c r="V49" i="3"/>
  <c r="V92" i="3"/>
  <c r="V135" i="3"/>
  <c r="V71" i="3"/>
  <c r="V113" i="3"/>
  <c r="E46" i="8"/>
  <c r="B46" i="8"/>
  <c r="A46" i="8"/>
  <c r="E45" i="8"/>
  <c r="B45" i="8"/>
  <c r="A45" i="8"/>
  <c r="E44" i="8"/>
  <c r="B44" i="8"/>
  <c r="A44" i="8"/>
  <c r="E43" i="8"/>
  <c r="B43" i="8"/>
  <c r="A43" i="8"/>
  <c r="E42" i="8"/>
  <c r="B42" i="8"/>
  <c r="A42" i="8"/>
  <c r="E41" i="8"/>
  <c r="B41" i="8"/>
  <c r="A41" i="8"/>
  <c r="E40" i="8"/>
  <c r="B40" i="8"/>
  <c r="A40" i="8"/>
  <c r="E39" i="8"/>
  <c r="B39" i="8"/>
  <c r="A39" i="8"/>
  <c r="E38" i="8"/>
  <c r="B38" i="8"/>
  <c r="A38" i="8"/>
  <c r="E37" i="8"/>
  <c r="B37" i="8"/>
  <c r="A37" i="8"/>
  <c r="E34" i="8"/>
  <c r="B34" i="8"/>
  <c r="A34" i="8"/>
  <c r="E33" i="8"/>
  <c r="B33" i="8"/>
  <c r="A33" i="8"/>
  <c r="E32" i="8"/>
  <c r="B32" i="8"/>
  <c r="A32" i="8"/>
  <c r="E31" i="8"/>
  <c r="B31" i="8"/>
  <c r="A31" i="8"/>
  <c r="E30" i="8"/>
  <c r="B30" i="8"/>
  <c r="A30" i="8"/>
  <c r="E29" i="8"/>
  <c r="B29" i="8"/>
  <c r="A29" i="8"/>
  <c r="E28" i="8"/>
  <c r="B28" i="8"/>
  <c r="A28" i="8"/>
  <c r="E27" i="8"/>
  <c r="B27" i="8"/>
  <c r="A27" i="8"/>
  <c r="E26" i="8"/>
  <c r="B26" i="8"/>
  <c r="A26" i="8"/>
  <c r="E25" i="8"/>
  <c r="B25" i="8"/>
  <c r="A25" i="8"/>
  <c r="E24" i="8"/>
  <c r="B24" i="8"/>
  <c r="A24" i="8"/>
  <c r="E23" i="8"/>
  <c r="B23" i="8"/>
  <c r="A23" i="8"/>
  <c r="E22" i="8"/>
  <c r="B22" i="8"/>
  <c r="A22" i="8"/>
  <c r="E21" i="8"/>
  <c r="B21" i="8"/>
  <c r="A21" i="8"/>
  <c r="E20" i="8"/>
  <c r="B20" i="8"/>
  <c r="A20" i="8"/>
  <c r="E19" i="8"/>
  <c r="B19" i="8"/>
  <c r="A19" i="8"/>
  <c r="E18" i="8"/>
  <c r="B18" i="8"/>
  <c r="A18" i="8"/>
  <c r="E17" i="8"/>
  <c r="B17" i="8"/>
  <c r="A17" i="8"/>
  <c r="E16" i="8"/>
  <c r="B16" i="8"/>
  <c r="A16" i="8"/>
  <c r="E15" i="8"/>
  <c r="B15" i="8"/>
  <c r="A15" i="8"/>
  <c r="E14" i="8"/>
  <c r="B14" i="8"/>
  <c r="A14" i="8"/>
  <c r="E13" i="8"/>
  <c r="B13" i="8"/>
  <c r="A13" i="8"/>
  <c r="E12" i="8"/>
  <c r="B12" i="8"/>
  <c r="A12" i="8"/>
  <c r="E11" i="8"/>
  <c r="B11" i="8"/>
  <c r="A11" i="8"/>
  <c r="E10" i="8"/>
  <c r="B10" i="8"/>
  <c r="A10" i="8"/>
  <c r="E9" i="8"/>
  <c r="B9" i="8"/>
  <c r="A9" i="8"/>
  <c r="E8" i="8"/>
  <c r="B8" i="8"/>
  <c r="A8" i="8"/>
  <c r="E7" i="8"/>
  <c r="B7" i="8"/>
  <c r="A7" i="8"/>
  <c r="E6" i="8"/>
  <c r="B6" i="8"/>
  <c r="A6" i="8"/>
  <c r="E5" i="8"/>
  <c r="B5" i="8"/>
  <c r="A5" i="8"/>
  <c r="E4" i="8"/>
  <c r="B4" i="8"/>
  <c r="A4" i="8"/>
  <c r="E3" i="8"/>
  <c r="B3" i="8"/>
  <c r="A3" i="8"/>
  <c r="L129" i="3" a="1"/>
  <c r="L46" i="3" a="1"/>
  <c r="L66" i="3" a="1"/>
  <c r="L128" i="3" a="1"/>
  <c r="L137" i="3" a="1"/>
  <c r="L29" i="3" a="1"/>
  <c r="L99" i="3" a="1"/>
  <c r="L20" i="3" a="1"/>
  <c r="L122" i="3" a="1"/>
  <c r="L90" i="3" a="1"/>
  <c r="L133" i="3" a="1"/>
  <c r="L30" i="3" a="1"/>
  <c r="L12" i="3" a="1"/>
  <c r="L55" i="3" a="1"/>
  <c r="L32" i="3" a="1"/>
  <c r="L79" i="3" a="1"/>
  <c r="L13" i="3" a="1"/>
  <c r="L107" i="3" a="1"/>
  <c r="L116" i="3" a="1"/>
  <c r="L77" i="3" a="1"/>
  <c r="L127" i="3" a="1"/>
  <c r="L17" i="3" a="1"/>
  <c r="L69" i="3" a="1"/>
  <c r="L72" i="3" a="1"/>
  <c r="L58" i="3" a="1"/>
  <c r="L33" i="3" a="1"/>
  <c r="L144" i="3" a="1"/>
  <c r="L132" i="3" a="1"/>
  <c r="L114" i="3" a="1"/>
  <c r="L39" i="3" a="1"/>
  <c r="L51" i="3" a="1"/>
  <c r="L19" i="3" a="1"/>
  <c r="L85" i="3" a="1"/>
  <c r="L126" i="3" a="1"/>
  <c r="L9" i="3" a="1"/>
  <c r="L87" i="3" a="1"/>
  <c r="L35" i="3" a="1"/>
  <c r="L37" i="3" a="1"/>
  <c r="L97" i="3" a="1"/>
  <c r="L130" i="3" a="1"/>
  <c r="L115" i="3" a="1"/>
  <c r="L11" i="3" a="1"/>
  <c r="L16" i="3" a="1"/>
  <c r="L31" i="3" a="1"/>
  <c r="L57" i="3" a="1"/>
  <c r="L103" i="3" a="1"/>
  <c r="L138" i="3" a="1"/>
  <c r="L10" i="3" a="1"/>
  <c r="L68" i="3" a="1"/>
  <c r="L21" i="3" a="1"/>
  <c r="L82" i="3" a="1"/>
  <c r="L91" i="3" a="1"/>
  <c r="L109" i="3" a="1"/>
  <c r="L148" i="3" a="1"/>
  <c r="L136" i="3" a="1"/>
  <c r="L135" i="3" a="1"/>
  <c r="L54" i="3" a="1"/>
  <c r="L24" i="3" a="1"/>
  <c r="L8" i="3" a="1"/>
  <c r="L106" i="3" a="1"/>
  <c r="L96" i="3" a="1"/>
  <c r="L26" i="3" a="1"/>
  <c r="L42" i="3" a="1"/>
  <c r="L34" i="3" a="1"/>
  <c r="L121" i="3" a="1"/>
  <c r="L74" i="3" a="1"/>
  <c r="L140" i="3" a="1"/>
  <c r="L23" i="3" a="1"/>
  <c r="L53" i="3" a="1"/>
  <c r="L6" i="3" a="1"/>
  <c r="L49" i="3" a="1"/>
  <c r="L83" i="3" a="1"/>
  <c r="L142" i="3" a="1"/>
  <c r="L48" i="3" a="1"/>
  <c r="L149" i="3" a="1"/>
  <c r="L100" i="3" a="1"/>
  <c r="L123" i="3" a="1"/>
  <c r="L75" i="3" a="1"/>
  <c r="L145" i="3" a="1"/>
  <c r="L5" i="3" a="1"/>
  <c r="L111" i="3" a="1"/>
  <c r="L120" i="3" a="1"/>
  <c r="L86" i="3" a="1"/>
  <c r="L38" i="3" a="1"/>
  <c r="L27" i="3" a="1"/>
  <c r="L3" i="3" a="1"/>
  <c r="L105" i="3" a="1"/>
  <c r="L61" i="3" a="1"/>
  <c r="L93" i="3" a="1"/>
  <c r="L45" i="3" a="1"/>
  <c r="L65" i="3" a="1"/>
  <c r="L108" i="3" a="1"/>
  <c r="L43" i="3" a="1"/>
  <c r="L67" i="3" a="1"/>
  <c r="L70" i="3" a="1"/>
  <c r="L139" i="3" a="1"/>
  <c r="L102" i="3" a="1"/>
  <c r="L119" i="3" a="1"/>
  <c r="L14" i="3" a="1"/>
  <c r="L52" i="3" a="1"/>
  <c r="L15" i="3" a="1"/>
  <c r="L124" i="3" a="1"/>
  <c r="L60" i="3" a="1"/>
  <c r="L62" i="3" a="1"/>
  <c r="L125" i="3" a="1"/>
  <c r="L41" i="3" a="1"/>
  <c r="L84" i="3" a="1"/>
  <c r="L47" i="3" a="1"/>
  <c r="L94" i="3" a="1"/>
  <c r="L63" i="3" a="1"/>
  <c r="L98" i="3" a="1"/>
  <c r="L81" i="3" a="1"/>
  <c r="L78" i="3" a="1"/>
  <c r="L18" i="3" a="1"/>
  <c r="L4" i="3" a="1"/>
  <c r="L71" i="3" a="1"/>
  <c r="L56" i="3" a="1"/>
  <c r="L95" i="3" a="1"/>
  <c r="L134" i="3" a="1"/>
  <c r="L50" i="3" a="1"/>
  <c r="L110" i="3" a="1"/>
  <c r="L73" i="3" a="1"/>
  <c r="L36" i="3" a="1"/>
  <c r="L22" i="3" a="1"/>
  <c r="L143" i="3" a="1"/>
  <c r="L117" i="3" a="1"/>
  <c r="L147" i="3" a="1"/>
  <c r="L7" i="3" a="1"/>
  <c r="L112" i="3" a="1"/>
  <c r="L92" i="3" a="1"/>
  <c r="L59" i="3" a="1"/>
  <c r="L146" i="3" a="1"/>
  <c r="L101" i="3" a="1"/>
  <c r="L104" i="3" a="1"/>
  <c r="L76" i="3" a="1"/>
  <c r="L64" i="3" a="1"/>
  <c r="L113" i="3" a="1"/>
  <c r="L141" i="3" a="1"/>
  <c r="L25" i="3" a="1"/>
  <c r="L89" i="3" a="1"/>
  <c r="L118" i="3" a="1"/>
  <c r="L28" i="3" a="1"/>
  <c r="L40" i="3" a="1"/>
  <c r="L44" i="3" a="1"/>
  <c r="L131" i="3" a="1"/>
  <c r="L80" i="3" a="1"/>
  <c r="L88" i="3" a="1"/>
  <c r="L3" i="3" l="1"/>
  <c r="L11" i="3"/>
  <c r="L19" i="3"/>
  <c r="L27" i="3"/>
  <c r="L35" i="3"/>
  <c r="L43" i="3"/>
  <c r="L51" i="3"/>
  <c r="L59" i="3"/>
  <c r="L67" i="3"/>
  <c r="L75" i="3"/>
  <c r="L83" i="3"/>
  <c r="L91" i="3"/>
  <c r="L99" i="3"/>
  <c r="L107" i="3"/>
  <c r="L115" i="3"/>
  <c r="L123" i="3"/>
  <c r="L131" i="3"/>
  <c r="L139" i="3"/>
  <c r="L147" i="3"/>
  <c r="L116" i="3"/>
  <c r="L140" i="3"/>
  <c r="L10" i="3"/>
  <c r="L106" i="3"/>
  <c r="L36" i="3"/>
  <c r="L84" i="3"/>
  <c r="L100" i="3"/>
  <c r="L124" i="3"/>
  <c r="L148" i="3"/>
  <c r="L66" i="3"/>
  <c r="L4" i="3"/>
  <c r="L12" i="3"/>
  <c r="L20" i="3"/>
  <c r="L28" i="3"/>
  <c r="L44" i="3"/>
  <c r="L52" i="3"/>
  <c r="L60" i="3"/>
  <c r="L68" i="3"/>
  <c r="L76" i="3"/>
  <c r="L92" i="3"/>
  <c r="L108" i="3"/>
  <c r="L132" i="3"/>
  <c r="L34" i="3"/>
  <c r="L61" i="3"/>
  <c r="L125" i="3"/>
  <c r="L149" i="3"/>
  <c r="L18" i="3"/>
  <c r="L130" i="3"/>
  <c r="L5" i="3"/>
  <c r="L13" i="3"/>
  <c r="L21" i="3"/>
  <c r="L29" i="3"/>
  <c r="L37" i="3"/>
  <c r="L45" i="3"/>
  <c r="L53" i="3"/>
  <c r="L69" i="3"/>
  <c r="L77" i="3"/>
  <c r="L85" i="3"/>
  <c r="L93" i="3"/>
  <c r="L101" i="3"/>
  <c r="L109" i="3"/>
  <c r="L117" i="3"/>
  <c r="L133" i="3"/>
  <c r="L141" i="3"/>
  <c r="L114" i="3"/>
  <c r="L103" i="3"/>
  <c r="L135" i="3"/>
  <c r="L42" i="3"/>
  <c r="L146" i="3"/>
  <c r="L6" i="3"/>
  <c r="L14" i="3"/>
  <c r="L22" i="3"/>
  <c r="L30" i="3"/>
  <c r="L38" i="3"/>
  <c r="L46" i="3"/>
  <c r="L54" i="3"/>
  <c r="L62" i="3"/>
  <c r="L70" i="3"/>
  <c r="L78" i="3"/>
  <c r="L86" i="3"/>
  <c r="L94" i="3"/>
  <c r="L102" i="3"/>
  <c r="L110" i="3"/>
  <c r="L118" i="3"/>
  <c r="L126" i="3"/>
  <c r="L134" i="3"/>
  <c r="L142" i="3"/>
  <c r="L111" i="3"/>
  <c r="L143" i="3"/>
  <c r="L50" i="3"/>
  <c r="L138" i="3"/>
  <c r="L47" i="3"/>
  <c r="L119" i="3"/>
  <c r="L98" i="3"/>
  <c r="L7" i="3"/>
  <c r="L15" i="3"/>
  <c r="L23" i="3"/>
  <c r="L31" i="3"/>
  <c r="L39" i="3"/>
  <c r="L55" i="3"/>
  <c r="L63" i="3"/>
  <c r="L71" i="3"/>
  <c r="L79" i="3"/>
  <c r="L87" i="3"/>
  <c r="L95" i="3"/>
  <c r="L127" i="3"/>
  <c r="L58" i="3"/>
  <c r="L136" i="3"/>
  <c r="L122" i="3"/>
  <c r="L8" i="3"/>
  <c r="L16" i="3"/>
  <c r="L24" i="3"/>
  <c r="L32" i="3"/>
  <c r="L40" i="3"/>
  <c r="L48" i="3"/>
  <c r="L56" i="3"/>
  <c r="L64" i="3"/>
  <c r="L72" i="3"/>
  <c r="L80" i="3"/>
  <c r="L88" i="3"/>
  <c r="L96" i="3"/>
  <c r="L104" i="3"/>
  <c r="L112" i="3"/>
  <c r="L120" i="3"/>
  <c r="L128" i="3"/>
  <c r="L144" i="3"/>
  <c r="L74" i="3"/>
  <c r="L105" i="3"/>
  <c r="L82" i="3"/>
  <c r="L9" i="3"/>
  <c r="L17" i="3"/>
  <c r="L25" i="3"/>
  <c r="L33" i="3"/>
  <c r="L41" i="3"/>
  <c r="L49" i="3"/>
  <c r="L57" i="3"/>
  <c r="L65" i="3"/>
  <c r="L73" i="3"/>
  <c r="L81" i="3"/>
  <c r="L89" i="3"/>
  <c r="L97" i="3"/>
  <c r="L113" i="3"/>
  <c r="L121" i="3"/>
  <c r="L129" i="3"/>
  <c r="L137" i="3"/>
  <c r="L145" i="3"/>
  <c r="L26" i="3"/>
  <c r="L90" i="3"/>
  <c r="G6" i="11"/>
  <c r="L6" i="11"/>
  <c r="A80" i="11" s="1"/>
  <c r="K80" i="11" l="1"/>
  <c r="G80" i="11"/>
  <c r="C80" i="11"/>
  <c r="J80" i="11"/>
  <c r="H80" i="11"/>
  <c r="I80" i="11"/>
  <c r="B80" i="11"/>
  <c r="D80" i="11"/>
  <c r="F80" i="11"/>
  <c r="A75" i="11"/>
  <c r="A67" i="11"/>
  <c r="A59" i="11"/>
  <c r="A73" i="11"/>
  <c r="A57" i="11"/>
  <c r="A72" i="11"/>
  <c r="A79" i="11"/>
  <c r="A74" i="11"/>
  <c r="A66" i="11"/>
  <c r="A58" i="11"/>
  <c r="A65" i="11"/>
  <c r="A81" i="11"/>
  <c r="A64" i="11"/>
  <c r="A71" i="11"/>
  <c r="A63" i="11"/>
  <c r="A78" i="11"/>
  <c r="A70" i="11"/>
  <c r="A62" i="11"/>
  <c r="A77" i="11"/>
  <c r="A69" i="11"/>
  <c r="A61" i="11"/>
  <c r="A76" i="11"/>
  <c r="A68" i="11"/>
  <c r="A60" i="11"/>
  <c r="A13" i="11"/>
  <c r="A10" i="11"/>
  <c r="A16" i="11"/>
  <c r="A53" i="11"/>
  <c r="E53" i="11" s="1"/>
  <c r="A41" i="11"/>
  <c r="A29" i="11"/>
  <c r="A40" i="11"/>
  <c r="E40" i="11" s="1"/>
  <c r="A28" i="11"/>
  <c r="E28" i="11" s="1"/>
  <c r="A50" i="11"/>
  <c r="A26" i="11"/>
  <c r="A52" i="11"/>
  <c r="E52" i="11" s="1"/>
  <c r="A38" i="11"/>
  <c r="A49" i="11"/>
  <c r="E49" i="11" s="1"/>
  <c r="A37" i="11"/>
  <c r="E37" i="11" s="1"/>
  <c r="A25" i="11"/>
  <c r="A46" i="11"/>
  <c r="A22" i="11"/>
  <c r="E22" i="11" s="1"/>
  <c r="A32" i="11"/>
  <c r="A47" i="11"/>
  <c r="A35" i="11"/>
  <c r="A23" i="11"/>
  <c r="A34" i="11"/>
  <c r="E34" i="11" s="1"/>
  <c r="A44" i="11"/>
  <c r="A43" i="11"/>
  <c r="E43" i="11" s="1"/>
  <c r="A31" i="11"/>
  <c r="E31" i="11" s="1"/>
  <c r="A11" i="11"/>
  <c r="A14" i="11"/>
  <c r="A20" i="11"/>
  <c r="A19" i="11"/>
  <c r="E19" i="11" s="1"/>
  <c r="A17" i="11"/>
  <c r="K68" i="11" l="1"/>
  <c r="H68" i="11"/>
  <c r="C68" i="11"/>
  <c r="I68" i="11"/>
  <c r="D68" i="11"/>
  <c r="F68" i="11"/>
  <c r="B68" i="11"/>
  <c r="G68" i="11"/>
  <c r="J68" i="11"/>
  <c r="K60" i="11"/>
  <c r="J60" i="11"/>
  <c r="D60" i="11"/>
  <c r="B60" i="11"/>
  <c r="G60" i="11"/>
  <c r="I60" i="11"/>
  <c r="H60" i="11"/>
  <c r="C60" i="11"/>
  <c r="F60" i="11"/>
  <c r="G78" i="11"/>
  <c r="I78" i="11"/>
  <c r="K78" i="11"/>
  <c r="F78" i="11"/>
  <c r="J78" i="11"/>
  <c r="B78" i="11"/>
  <c r="H78" i="11"/>
  <c r="C78" i="11"/>
  <c r="D78" i="11"/>
  <c r="G74" i="11"/>
  <c r="B74" i="11"/>
  <c r="F74" i="11"/>
  <c r="I74" i="11"/>
  <c r="D74" i="11"/>
  <c r="H74" i="11"/>
  <c r="J74" i="11"/>
  <c r="C74" i="11"/>
  <c r="K74" i="11"/>
  <c r="K76" i="11"/>
  <c r="B76" i="11"/>
  <c r="H76" i="11"/>
  <c r="C76" i="11"/>
  <c r="J76" i="11"/>
  <c r="I76" i="11"/>
  <c r="F76" i="11"/>
  <c r="G76" i="11"/>
  <c r="D76" i="11"/>
  <c r="D71" i="11"/>
  <c r="C71" i="11"/>
  <c r="I71" i="11"/>
  <c r="G71" i="11"/>
  <c r="F71" i="11"/>
  <c r="H71" i="11"/>
  <c r="B71" i="11"/>
  <c r="J71" i="11"/>
  <c r="K71" i="11"/>
  <c r="K72" i="11"/>
  <c r="F72" i="11"/>
  <c r="H72" i="11"/>
  <c r="I72" i="11"/>
  <c r="J72" i="11"/>
  <c r="G72" i="11"/>
  <c r="B72" i="11"/>
  <c r="D72" i="11"/>
  <c r="C72" i="11"/>
  <c r="I61" i="11"/>
  <c r="J61" i="11"/>
  <c r="D61" i="11"/>
  <c r="B61" i="11"/>
  <c r="F61" i="11"/>
  <c r="K61" i="11"/>
  <c r="G61" i="11"/>
  <c r="H61" i="11"/>
  <c r="C61" i="11"/>
  <c r="K64" i="11"/>
  <c r="G64" i="11"/>
  <c r="H64" i="11"/>
  <c r="B64" i="11"/>
  <c r="F64" i="11"/>
  <c r="D64" i="11"/>
  <c r="C64" i="11"/>
  <c r="J64" i="11"/>
  <c r="I64" i="11"/>
  <c r="I69" i="11"/>
  <c r="J69" i="11"/>
  <c r="K69" i="11"/>
  <c r="G69" i="11"/>
  <c r="H69" i="11"/>
  <c r="F69" i="11"/>
  <c r="B69" i="11"/>
  <c r="C69" i="11"/>
  <c r="D69" i="11"/>
  <c r="K81" i="11"/>
  <c r="J81" i="11"/>
  <c r="I81" i="11"/>
  <c r="D81" i="11"/>
  <c r="F81" i="11"/>
  <c r="G81" i="11"/>
  <c r="C81" i="11"/>
  <c r="H81" i="11"/>
  <c r="B81" i="11"/>
  <c r="I73" i="11"/>
  <c r="B73" i="11"/>
  <c r="J73" i="11"/>
  <c r="C73" i="11"/>
  <c r="H73" i="11"/>
  <c r="K73" i="11"/>
  <c r="G73" i="11"/>
  <c r="D73" i="11"/>
  <c r="F73" i="11"/>
  <c r="D63" i="11"/>
  <c r="H63" i="11"/>
  <c r="C63" i="11"/>
  <c r="G63" i="11"/>
  <c r="F63" i="11"/>
  <c r="B63" i="11"/>
  <c r="J63" i="11"/>
  <c r="K63" i="11"/>
  <c r="I63" i="11"/>
  <c r="I77" i="11"/>
  <c r="C77" i="11"/>
  <c r="D77" i="11"/>
  <c r="J77" i="11"/>
  <c r="F77" i="11"/>
  <c r="B77" i="11"/>
  <c r="H77" i="11"/>
  <c r="K77" i="11"/>
  <c r="G77" i="11"/>
  <c r="I65" i="11"/>
  <c r="F65" i="11"/>
  <c r="J65" i="11"/>
  <c r="K65" i="11"/>
  <c r="G65" i="11"/>
  <c r="D65" i="11"/>
  <c r="C65" i="11"/>
  <c r="H65" i="11"/>
  <c r="B65" i="11"/>
  <c r="D59" i="11"/>
  <c r="B59" i="11"/>
  <c r="K59" i="11"/>
  <c r="C59" i="11"/>
  <c r="I59" i="11"/>
  <c r="F59" i="11"/>
  <c r="H59" i="11"/>
  <c r="J59" i="11"/>
  <c r="G59" i="11"/>
  <c r="G62" i="11"/>
  <c r="I62" i="11"/>
  <c r="H62" i="11"/>
  <c r="J62" i="11"/>
  <c r="D62" i="11"/>
  <c r="C62" i="11"/>
  <c r="B62" i="11"/>
  <c r="F62" i="11"/>
  <c r="K62" i="11"/>
  <c r="G58" i="11"/>
  <c r="F58" i="11"/>
  <c r="B58" i="11"/>
  <c r="J58" i="11"/>
  <c r="K58" i="11"/>
  <c r="C58" i="11"/>
  <c r="H58" i="11"/>
  <c r="I58" i="11"/>
  <c r="D58" i="11"/>
  <c r="D67" i="11"/>
  <c r="K67" i="11"/>
  <c r="G67" i="11"/>
  <c r="F67" i="11"/>
  <c r="H67" i="11"/>
  <c r="B67" i="11"/>
  <c r="J67" i="11"/>
  <c r="I67" i="11"/>
  <c r="C67" i="11"/>
  <c r="D79" i="11"/>
  <c r="G79" i="11"/>
  <c r="B79" i="11"/>
  <c r="K79" i="11"/>
  <c r="H79" i="11"/>
  <c r="I79" i="11"/>
  <c r="F79" i="11"/>
  <c r="J79" i="11"/>
  <c r="C79" i="11"/>
  <c r="G70" i="11"/>
  <c r="B70" i="11"/>
  <c r="C70" i="11"/>
  <c r="K70" i="11"/>
  <c r="H70" i="11"/>
  <c r="I70" i="11"/>
  <c r="J70" i="11"/>
  <c r="D70" i="11"/>
  <c r="F70" i="11"/>
  <c r="G66" i="11"/>
  <c r="H66" i="11"/>
  <c r="I66" i="11"/>
  <c r="J66" i="11"/>
  <c r="D66" i="11"/>
  <c r="B66" i="11"/>
  <c r="F66" i="11"/>
  <c r="K66" i="11"/>
  <c r="C66" i="11"/>
  <c r="D75" i="11"/>
  <c r="F75" i="11"/>
  <c r="C75" i="11"/>
  <c r="J75" i="11"/>
  <c r="G75" i="11"/>
  <c r="B75" i="11"/>
  <c r="H75" i="11"/>
  <c r="I75" i="11"/>
  <c r="K75" i="11"/>
  <c r="K16" i="11"/>
  <c r="I16" i="11"/>
  <c r="C16" i="11"/>
  <c r="E16" i="11"/>
  <c r="E17" i="11" s="1"/>
  <c r="G16" i="11"/>
  <c r="H16" i="11"/>
  <c r="B16" i="11"/>
  <c r="J16" i="11"/>
  <c r="D16" i="11"/>
  <c r="F16" i="11"/>
  <c r="I10" i="11"/>
  <c r="G10" i="11"/>
  <c r="D10" i="11"/>
  <c r="H10" i="11"/>
  <c r="J10" i="11"/>
  <c r="E10" i="11"/>
  <c r="E11" i="11" s="1"/>
  <c r="F10" i="11"/>
  <c r="B10" i="11"/>
  <c r="C10" i="11"/>
  <c r="K10" i="11"/>
  <c r="I13" i="11"/>
  <c r="E13" i="11"/>
  <c r="E14" i="11" s="1"/>
  <c r="H13" i="11"/>
  <c r="C13" i="11"/>
  <c r="K13" i="11"/>
  <c r="J13" i="11"/>
  <c r="G13" i="11"/>
  <c r="F13" i="11"/>
  <c r="B13" i="11"/>
  <c r="D13" i="11"/>
  <c r="E29" i="11"/>
  <c r="E50" i="11"/>
  <c r="E23" i="11"/>
  <c r="E35" i="11"/>
  <c r="K11" i="11"/>
  <c r="I11" i="11"/>
  <c r="D11" i="11"/>
  <c r="J11" i="11"/>
  <c r="H11" i="11"/>
  <c r="B11" i="11"/>
  <c r="C11" i="11"/>
  <c r="F11" i="11"/>
  <c r="G11" i="11"/>
  <c r="E25" i="11"/>
  <c r="E26" i="11" s="1"/>
  <c r="J25" i="11"/>
  <c r="I25" i="11"/>
  <c r="B25" i="11"/>
  <c r="H25" i="11"/>
  <c r="G25" i="11"/>
  <c r="F25" i="11"/>
  <c r="D25" i="11"/>
  <c r="K25" i="11"/>
  <c r="C25" i="11"/>
  <c r="E41" i="11"/>
  <c r="K14" i="11"/>
  <c r="G14" i="11"/>
  <c r="D14" i="11"/>
  <c r="H14" i="11"/>
  <c r="F14" i="11"/>
  <c r="J14" i="11"/>
  <c r="I14" i="11"/>
  <c r="C14" i="11"/>
  <c r="B14" i="11"/>
  <c r="E32" i="11"/>
  <c r="D46" i="11"/>
  <c r="E46" i="11"/>
  <c r="E47" i="11" s="1"/>
  <c r="D17" i="11"/>
  <c r="E44" i="11"/>
  <c r="E38" i="11"/>
  <c r="E20" i="11"/>
  <c r="D32" i="11"/>
  <c r="D57" i="11"/>
  <c r="G26" i="11"/>
  <c r="G38" i="11"/>
  <c r="B37" i="11"/>
  <c r="D20" i="11"/>
  <c r="B44" i="11"/>
  <c r="D22" i="11"/>
  <c r="G22" i="11"/>
  <c r="C22" i="11"/>
  <c r="F22" i="11"/>
  <c r="C17" i="11"/>
  <c r="B46" i="11"/>
  <c r="G17" i="11"/>
  <c r="F46" i="11"/>
  <c r="F17" i="11"/>
  <c r="C46" i="11"/>
  <c r="B17" i="11"/>
  <c r="G46" i="11"/>
  <c r="B22" i="11"/>
  <c r="D53" i="11"/>
  <c r="C53" i="11"/>
  <c r="B53" i="11"/>
  <c r="G53" i="11"/>
  <c r="F53" i="11"/>
  <c r="G52" i="11"/>
  <c r="F52" i="11"/>
  <c r="B52" i="11"/>
  <c r="C52" i="11"/>
  <c r="D52" i="11"/>
  <c r="F50" i="11"/>
  <c r="D50" i="11"/>
  <c r="C50" i="11"/>
  <c r="G50" i="11"/>
  <c r="B50" i="11"/>
  <c r="D23" i="11"/>
  <c r="C23" i="11"/>
  <c r="B23" i="11"/>
  <c r="G23" i="11"/>
  <c r="F23" i="11"/>
  <c r="G31" i="11"/>
  <c r="F31" i="11"/>
  <c r="D31" i="11"/>
  <c r="B31" i="11"/>
  <c r="C31" i="11"/>
  <c r="C49" i="11"/>
  <c r="B49" i="11"/>
  <c r="D49" i="11"/>
  <c r="F49" i="11"/>
  <c r="G49" i="11"/>
  <c r="D34" i="11"/>
  <c r="C34" i="11"/>
  <c r="B34" i="11"/>
  <c r="F34" i="11"/>
  <c r="G34" i="11"/>
  <c r="G47" i="11"/>
  <c r="F47" i="11"/>
  <c r="D47" i="11"/>
  <c r="C47" i="11"/>
  <c r="B47" i="11"/>
  <c r="G35" i="11"/>
  <c r="F35" i="11"/>
  <c r="D35" i="11"/>
  <c r="C35" i="11"/>
  <c r="B35" i="11"/>
  <c r="G43" i="11"/>
  <c r="F43" i="11"/>
  <c r="D43" i="11"/>
  <c r="C43" i="11"/>
  <c r="B43" i="11"/>
  <c r="D29" i="11"/>
  <c r="C29" i="11"/>
  <c r="B29" i="11"/>
  <c r="G29" i="11"/>
  <c r="F29" i="11"/>
  <c r="G28" i="11"/>
  <c r="F28" i="11"/>
  <c r="B28" i="11"/>
  <c r="D28" i="11"/>
  <c r="C28" i="11"/>
  <c r="B19" i="11"/>
  <c r="F19" i="11"/>
  <c r="D19" i="11"/>
  <c r="C19" i="11"/>
  <c r="G19" i="11"/>
  <c r="D41" i="11"/>
  <c r="C41" i="11"/>
  <c r="B41" i="11"/>
  <c r="F41" i="11"/>
  <c r="G41" i="11"/>
  <c r="G40" i="11"/>
  <c r="F40" i="11"/>
  <c r="B40" i="11"/>
  <c r="D40" i="11"/>
  <c r="C40" i="11"/>
  <c r="B32" i="11" l="1"/>
  <c r="F32" i="11"/>
  <c r="C32" i="11"/>
  <c r="G32" i="11"/>
  <c r="F57" i="11"/>
  <c r="G57" i="11"/>
  <c r="C57" i="11"/>
  <c r="B57" i="11"/>
  <c r="B26" i="11"/>
  <c r="D37" i="11"/>
  <c r="C37" i="11"/>
  <c r="D44" i="11"/>
  <c r="C44" i="11"/>
  <c r="F20" i="11"/>
  <c r="B38" i="11"/>
  <c r="D38" i="11"/>
  <c r="D26" i="11"/>
  <c r="C26" i="11"/>
  <c r="F26" i="11"/>
  <c r="C38" i="11"/>
  <c r="F37" i="11"/>
  <c r="B20" i="11"/>
  <c r="F38" i="11"/>
  <c r="G37" i="11"/>
  <c r="C20" i="11"/>
  <c r="F44" i="11"/>
  <c r="G44" i="11"/>
  <c r="G20" i="11"/>
  <c r="J32" i="11"/>
  <c r="H52" i="11" l="1"/>
  <c r="H28" i="11"/>
  <c r="I41" i="11"/>
  <c r="I46" i="11"/>
  <c r="K41" i="11"/>
  <c r="K46" i="11"/>
  <c r="H17" i="11"/>
  <c r="I52" i="11"/>
  <c r="I28" i="11"/>
  <c r="J41" i="11"/>
  <c r="J46" i="11"/>
  <c r="K52" i="11"/>
  <c r="K28" i="11"/>
  <c r="H22" i="11"/>
  <c r="H47" i="11"/>
  <c r="I22" i="11"/>
  <c r="I53" i="11"/>
  <c r="J40" i="11"/>
  <c r="K22" i="11"/>
  <c r="K53" i="11"/>
  <c r="H53" i="11"/>
  <c r="I40" i="11"/>
  <c r="I17" i="11"/>
  <c r="J52" i="11"/>
  <c r="J28" i="11"/>
  <c r="K17" i="11"/>
  <c r="I47" i="11"/>
  <c r="J22" i="11"/>
  <c r="J53" i="11"/>
  <c r="K47" i="11"/>
  <c r="K40" i="11"/>
  <c r="H41" i="11"/>
  <c r="H46" i="11"/>
  <c r="J17" i="11"/>
  <c r="H40" i="11"/>
  <c r="J47" i="11"/>
  <c r="J38" i="11"/>
  <c r="K57" i="11"/>
  <c r="H57" i="11"/>
  <c r="J57" i="11"/>
  <c r="I57" i="11"/>
  <c r="I50" i="11"/>
  <c r="J50" i="11"/>
  <c r="K50" i="11"/>
  <c r="H50" i="11"/>
  <c r="K20" i="11"/>
  <c r="H20" i="11"/>
  <c r="J29" i="11"/>
  <c r="I20" i="11"/>
  <c r="H32" i="11"/>
  <c r="H44" i="11"/>
  <c r="K38" i="11"/>
  <c r="K35" i="11"/>
  <c r="K26" i="11"/>
  <c r="J19" i="11"/>
  <c r="J43" i="11"/>
  <c r="J35" i="11"/>
  <c r="K49" i="11"/>
  <c r="H35" i="11"/>
  <c r="K23" i="11"/>
  <c r="K29" i="11"/>
  <c r="K31" i="11"/>
  <c r="I35" i="11"/>
  <c r="I38" i="11"/>
  <c r="I31" i="11"/>
  <c r="I32" i="11"/>
  <c r="K44" i="11"/>
  <c r="J26" i="11"/>
  <c r="K37" i="11"/>
  <c r="J44" i="11"/>
  <c r="H19" i="11"/>
  <c r="I19" i="11"/>
  <c r="J49" i="11"/>
  <c r="H49" i="11"/>
  <c r="H34" i="11"/>
  <c r="J23" i="11"/>
  <c r="K19" i="11"/>
  <c r="K43" i="11"/>
  <c r="H38" i="11"/>
  <c r="H43" i="11"/>
  <c r="H29" i="11"/>
  <c r="I26" i="11"/>
  <c r="I37" i="11"/>
  <c r="J31" i="11"/>
  <c r="H23" i="11"/>
  <c r="K32" i="11"/>
  <c r="H31" i="11"/>
  <c r="I49" i="11"/>
  <c r="I44" i="11"/>
  <c r="J20" i="11"/>
  <c r="I43" i="11"/>
  <c r="I29" i="11"/>
  <c r="J37" i="11"/>
  <c r="I23" i="11"/>
  <c r="H26" i="11"/>
  <c r="H37" i="11"/>
  <c r="I34" i="11"/>
  <c r="K34" i="11"/>
  <c r="J34" i="11"/>
  <c r="A124" i="8" l="1"/>
  <c r="A125" i="8"/>
  <c r="A126" i="8"/>
  <c r="A127" i="8"/>
  <c r="A128" i="8"/>
  <c r="A129" i="8"/>
  <c r="A130" i="8"/>
  <c r="A131" i="8"/>
  <c r="A132" i="8"/>
  <c r="A133" i="8"/>
  <c r="A134" i="8"/>
  <c r="A135" i="8"/>
  <c r="A136" i="8"/>
  <c r="A137" i="8"/>
  <c r="A138" i="8"/>
  <c r="B124" i="8"/>
  <c r="B125" i="8"/>
  <c r="B126" i="8"/>
  <c r="B127" i="8"/>
  <c r="B128" i="8"/>
  <c r="B129" i="8"/>
  <c r="B130" i="8"/>
  <c r="B131" i="8"/>
  <c r="B132" i="8"/>
  <c r="B133" i="8"/>
  <c r="B134" i="8"/>
  <c r="B135" i="8"/>
  <c r="B136" i="8"/>
  <c r="B137" i="8"/>
  <c r="B138" i="8"/>
  <c r="E124" i="8"/>
  <c r="E125" i="8"/>
  <c r="E126" i="8"/>
  <c r="E127" i="8"/>
  <c r="E128" i="8"/>
  <c r="E129" i="8"/>
  <c r="E130" i="8"/>
  <c r="E131" i="8"/>
  <c r="E132" i="8"/>
  <c r="E133" i="8"/>
  <c r="E134" i="8"/>
  <c r="E135" i="8"/>
  <c r="E136" i="8"/>
  <c r="E137" i="8"/>
  <c r="E138" i="8"/>
  <c r="A123" i="8" l="1"/>
  <c r="B123" i="8"/>
  <c r="E123" i="8"/>
  <c r="A121" i="8" l="1"/>
  <c r="B121" i="8"/>
  <c r="E121" i="8"/>
  <c r="A122" i="8"/>
  <c r="B122" i="8"/>
  <c r="E122" i="8"/>
  <c r="A99" i="8" l="1"/>
  <c r="A100" i="8"/>
  <c r="B99" i="8"/>
  <c r="B100" i="8"/>
  <c r="E99" i="8"/>
  <c r="E100" i="8"/>
  <c r="A120" i="8"/>
  <c r="B120" i="8"/>
  <c r="E120" i="8"/>
  <c r="G5" i="5" l="1"/>
  <c r="L54" i="5" l="1"/>
  <c r="A73" i="5" l="1"/>
  <c r="A75" i="5"/>
  <c r="A74" i="5"/>
  <c r="A71" i="5"/>
  <c r="A72" i="5"/>
  <c r="A61" i="5"/>
  <c r="A56" i="5"/>
  <c r="A64" i="5"/>
  <c r="A65" i="5"/>
  <c r="A63" i="5"/>
  <c r="A70" i="5"/>
  <c r="A62" i="5"/>
  <c r="A57" i="5"/>
  <c r="A69" i="5"/>
  <c r="A60" i="5"/>
  <c r="A67" i="5"/>
  <c r="D67" i="5" s="1"/>
  <c r="A59" i="5"/>
  <c r="A68" i="5"/>
  <c r="A66" i="5"/>
  <c r="A58" i="5"/>
  <c r="H75" i="5" l="1"/>
  <c r="G75" i="5"/>
  <c r="F75" i="5"/>
  <c r="D75" i="5"/>
  <c r="I75" i="5"/>
  <c r="B75" i="5"/>
  <c r="J75" i="5"/>
  <c r="C75" i="5"/>
  <c r="I72" i="5"/>
  <c r="F72" i="5"/>
  <c r="D72" i="5"/>
  <c r="G72" i="5"/>
  <c r="H72" i="5"/>
  <c r="B72" i="5"/>
  <c r="C72" i="5"/>
  <c r="J72" i="5"/>
  <c r="H73" i="5"/>
  <c r="I73" i="5"/>
  <c r="F73" i="5"/>
  <c r="B73" i="5"/>
  <c r="C73" i="5"/>
  <c r="D73" i="5"/>
  <c r="J73" i="5"/>
  <c r="G73" i="5"/>
  <c r="H71" i="5"/>
  <c r="G71" i="5"/>
  <c r="C71" i="5"/>
  <c r="I71" i="5"/>
  <c r="J71" i="5"/>
  <c r="F71" i="5"/>
  <c r="B71" i="5"/>
  <c r="D71" i="5"/>
  <c r="I74" i="5"/>
  <c r="F74" i="5"/>
  <c r="D74" i="5"/>
  <c r="J74" i="5"/>
  <c r="G74" i="5"/>
  <c r="H74" i="5"/>
  <c r="B74" i="5"/>
  <c r="C74" i="5"/>
  <c r="G66" i="5"/>
  <c r="J66" i="5"/>
  <c r="I66" i="5"/>
  <c r="H66" i="5"/>
  <c r="C68" i="5"/>
  <c r="H68" i="5"/>
  <c r="J68" i="5"/>
  <c r="I68" i="5"/>
  <c r="F70" i="5"/>
  <c r="J70" i="5"/>
  <c r="I70" i="5"/>
  <c r="H70" i="5"/>
  <c r="D61" i="5"/>
  <c r="J61" i="5"/>
  <c r="I61" i="5"/>
  <c r="H61" i="5"/>
  <c r="D62" i="5"/>
  <c r="J62" i="5"/>
  <c r="I62" i="5"/>
  <c r="H62" i="5"/>
  <c r="F59" i="5"/>
  <c r="H59" i="5"/>
  <c r="J59" i="5"/>
  <c r="I59" i="5"/>
  <c r="B63" i="5"/>
  <c r="H63" i="5"/>
  <c r="J63" i="5"/>
  <c r="I63" i="5"/>
  <c r="B57" i="5"/>
  <c r="J57" i="5"/>
  <c r="I57" i="5"/>
  <c r="H57" i="5"/>
  <c r="B65" i="5"/>
  <c r="J65" i="5"/>
  <c r="I65" i="5"/>
  <c r="H65" i="5"/>
  <c r="B60" i="5"/>
  <c r="H60" i="5"/>
  <c r="J60" i="5"/>
  <c r="I60" i="5"/>
  <c r="F64" i="5"/>
  <c r="H64" i="5"/>
  <c r="J64" i="5"/>
  <c r="I64" i="5"/>
  <c r="G58" i="5"/>
  <c r="J58" i="5"/>
  <c r="I58" i="5"/>
  <c r="H58" i="5"/>
  <c r="F67" i="5"/>
  <c r="J67" i="5"/>
  <c r="H67" i="5"/>
  <c r="I67" i="5"/>
  <c r="G69" i="5"/>
  <c r="J69" i="5"/>
  <c r="H69" i="5"/>
  <c r="I69" i="5"/>
  <c r="H56" i="5"/>
  <c r="J56" i="5"/>
  <c r="I56" i="5"/>
  <c r="B61" i="5"/>
  <c r="D63" i="5"/>
  <c r="B69" i="5"/>
  <c r="D69" i="5"/>
  <c r="C69" i="5"/>
  <c r="C58" i="5"/>
  <c r="F69" i="5"/>
  <c r="G62" i="5"/>
  <c r="B66" i="5"/>
  <c r="F62" i="5"/>
  <c r="D58" i="5"/>
  <c r="D64" i="5"/>
  <c r="C60" i="5"/>
  <c r="F61" i="5"/>
  <c r="F58" i="5"/>
  <c r="B58" i="5"/>
  <c r="D68" i="5"/>
  <c r="F68" i="5"/>
  <c r="G68" i="5"/>
  <c r="F66" i="5"/>
  <c r="D60" i="5"/>
  <c r="G60" i="5"/>
  <c r="F60" i="5"/>
  <c r="B68" i="5"/>
  <c r="F63" i="5"/>
  <c r="G63" i="5"/>
  <c r="C65" i="5"/>
  <c r="D65" i="5"/>
  <c r="G65" i="5"/>
  <c r="F65" i="5"/>
  <c r="C61" i="5"/>
  <c r="G64" i="5"/>
  <c r="B64" i="5"/>
  <c r="C64" i="5"/>
  <c r="D70" i="5"/>
  <c r="G61" i="5"/>
  <c r="G70" i="5"/>
  <c r="B62" i="5"/>
  <c r="C62" i="5"/>
  <c r="C57" i="5"/>
  <c r="G57" i="5"/>
  <c r="F57" i="5"/>
  <c r="D57" i="5"/>
  <c r="D66" i="5"/>
  <c r="C63" i="5"/>
  <c r="C66" i="5"/>
  <c r="G67" i="5"/>
  <c r="C67" i="5"/>
  <c r="B67" i="5"/>
  <c r="G59" i="5"/>
  <c r="C59" i="5"/>
  <c r="B59" i="5"/>
  <c r="D59" i="5"/>
  <c r="B70" i="5"/>
  <c r="C70" i="5"/>
  <c r="G56" i="5"/>
  <c r="F56" i="5"/>
  <c r="D56" i="5"/>
  <c r="C56" i="5"/>
  <c r="B56" i="5"/>
  <c r="A102" i="8" l="1"/>
  <c r="A103" i="8"/>
  <c r="A104" i="8"/>
  <c r="A105" i="8"/>
  <c r="B102" i="8"/>
  <c r="B103" i="8"/>
  <c r="B104" i="8"/>
  <c r="B105" i="8"/>
  <c r="E102" i="8"/>
  <c r="E103" i="8"/>
  <c r="E104" i="8"/>
  <c r="E105" i="8"/>
  <c r="A106" i="8" l="1"/>
  <c r="B106" i="8"/>
  <c r="E106" i="8"/>
  <c r="A107" i="8"/>
  <c r="B107" i="8"/>
  <c r="E107" i="8"/>
  <c r="A108" i="8"/>
  <c r="B108" i="8"/>
  <c r="E108" i="8"/>
  <c r="A109" i="8"/>
  <c r="B109" i="8"/>
  <c r="E109" i="8"/>
  <c r="A110" i="8"/>
  <c r="B110" i="8"/>
  <c r="E110" i="8"/>
  <c r="A111" i="8"/>
  <c r="B111" i="8"/>
  <c r="E111" i="8"/>
  <c r="A112" i="8"/>
  <c r="B112" i="8"/>
  <c r="E112" i="8"/>
  <c r="A113" i="8"/>
  <c r="B113" i="8"/>
  <c r="E113" i="8"/>
  <c r="A114" i="8"/>
  <c r="B114" i="8"/>
  <c r="E114" i="8"/>
  <c r="A115" i="8"/>
  <c r="B115" i="8"/>
  <c r="E115" i="8"/>
  <c r="A116" i="8"/>
  <c r="B116" i="8"/>
  <c r="E116" i="8"/>
  <c r="A117" i="8"/>
  <c r="B117" i="8"/>
  <c r="E117" i="8"/>
  <c r="A118" i="8"/>
  <c r="B118" i="8"/>
  <c r="E118" i="8"/>
  <c r="A119" i="8"/>
  <c r="B119" i="8"/>
  <c r="E119" i="8"/>
  <c r="A101" i="8"/>
  <c r="B101" i="8"/>
  <c r="E101" i="8"/>
  <c r="E95" i="8" l="1"/>
  <c r="E96" i="8"/>
  <c r="E97" i="8"/>
  <c r="E98" i="8"/>
  <c r="B95" i="8"/>
  <c r="B96" i="8"/>
  <c r="B97" i="8"/>
  <c r="B98" i="8"/>
  <c r="A95" i="8"/>
  <c r="A96" i="8"/>
  <c r="A97" i="8"/>
  <c r="A98" i="8"/>
  <c r="N63" i="3" a="1"/>
  <c r="N145" i="3" a="1"/>
  <c r="N65" i="3" a="1"/>
  <c r="N107" i="3" a="1"/>
  <c r="N57" i="3" a="1"/>
  <c r="N139" i="3" a="1"/>
  <c r="N122" i="3" a="1"/>
  <c r="N58" i="3" a="1"/>
  <c r="N78" i="3" a="1"/>
  <c r="N120" i="3" a="1"/>
  <c r="N33" i="3" a="1"/>
  <c r="N10" i="3" a="1"/>
  <c r="N96" i="3" a="1"/>
  <c r="N71" i="3" a="1"/>
  <c r="N105" i="3" a="1"/>
  <c r="N38" i="3" a="1"/>
  <c r="N8" i="3" a="1"/>
  <c r="N12" i="3" a="1"/>
  <c r="N81" i="3" a="1"/>
  <c r="N136" i="3" a="1"/>
  <c r="N140" i="3" a="1"/>
  <c r="N7" i="3" a="1"/>
  <c r="N149" i="3" a="1"/>
  <c r="N17" i="3" a="1"/>
  <c r="N99" i="3" a="1"/>
  <c r="N29" i="3" a="1"/>
  <c r="N110" i="3" a="1"/>
  <c r="N143" i="3" a="1"/>
  <c r="N129" i="3" a="1"/>
  <c r="N89" i="3" a="1"/>
  <c r="N42" i="3" a="1"/>
  <c r="N41" i="3" a="1"/>
  <c r="N28" i="3" a="1"/>
  <c r="N45" i="3" a="1"/>
  <c r="N64" i="3" a="1"/>
  <c r="N106" i="3" a="1"/>
  <c r="N15" i="3" a="1"/>
  <c r="N115" i="3" a="1"/>
  <c r="N31" i="3" a="1"/>
  <c r="N130" i="3" a="1"/>
  <c r="N48" i="3" a="1"/>
  <c r="N6" i="3" a="1"/>
  <c r="N117" i="3" a="1"/>
  <c r="N85" i="3" a="1"/>
  <c r="N54" i="3" a="1"/>
  <c r="N83" i="3" a="1"/>
  <c r="N11" i="3" a="1"/>
  <c r="N82" i="3" a="1"/>
  <c r="N5" i="3" a="1"/>
  <c r="N93" i="3" a="1"/>
  <c r="N68" i="3" a="1"/>
  <c r="N21" i="3" a="1"/>
  <c r="N119" i="3" a="1"/>
  <c r="N67" i="3" a="1"/>
  <c r="N84" i="3" a="1"/>
  <c r="N13" i="3" a="1"/>
  <c r="N138" i="3" a="1"/>
  <c r="N39" i="3" a="1"/>
  <c r="N19" i="3" a="1"/>
  <c r="N141" i="3" a="1"/>
  <c r="N108" i="3" a="1"/>
  <c r="N24" i="3" a="1"/>
  <c r="N76" i="3" a="1"/>
  <c r="N37" i="3" a="1"/>
  <c r="N131" i="3" a="1"/>
  <c r="N90" i="3" a="1"/>
  <c r="N124" i="3" a="1"/>
  <c r="N66" i="3" a="1"/>
  <c r="N47" i="3" a="1"/>
  <c r="N14" i="3" a="1"/>
  <c r="N133" i="3" a="1"/>
  <c r="N109" i="3" a="1"/>
  <c r="N92" i="3" a="1"/>
  <c r="N22" i="3" a="1"/>
  <c r="N50" i="3" a="1"/>
  <c r="N91" i="3" a="1"/>
  <c r="N118" i="3" a="1"/>
  <c r="N25" i="3" a="1"/>
  <c r="N142" i="3" a="1"/>
  <c r="N56" i="3" a="1"/>
  <c r="N62" i="3" a="1"/>
  <c r="N112" i="3" a="1"/>
  <c r="N3" i="3" a="1"/>
  <c r="N132" i="3" a="1"/>
  <c r="N60" i="3" a="1"/>
  <c r="N70" i="3" a="1"/>
  <c r="N52" i="3" a="1"/>
  <c r="N40" i="3" a="1"/>
  <c r="N135" i="3" a="1"/>
  <c r="N104" i="3" a="1"/>
  <c r="N137" i="3" a="1"/>
  <c r="N16" i="3" a="1"/>
  <c r="N55" i="3" a="1"/>
  <c r="N94" i="3" a="1"/>
  <c r="N121" i="3" a="1"/>
  <c r="N134" i="3" a="1"/>
  <c r="N20" i="3" a="1"/>
  <c r="N128" i="3" a="1"/>
  <c r="N125" i="3" a="1"/>
  <c r="N146" i="3" a="1"/>
  <c r="N73" i="3" a="1"/>
  <c r="N111" i="3" a="1"/>
  <c r="N49" i="3" a="1"/>
  <c r="N9" i="3" a="1"/>
  <c r="N23" i="3" a="1"/>
  <c r="N103" i="3" a="1"/>
  <c r="N113" i="3" a="1"/>
  <c r="N86" i="3" a="1"/>
  <c r="N88" i="3" a="1"/>
  <c r="N80" i="3" a="1"/>
  <c r="N43" i="3" a="1"/>
  <c r="N97" i="3" a="1"/>
  <c r="N101" i="3" a="1"/>
  <c r="N126" i="3" a="1"/>
  <c r="N95" i="3" a="1"/>
  <c r="N123" i="3" a="1"/>
  <c r="N100" i="3" a="1"/>
  <c r="N59" i="3" a="1"/>
  <c r="N77" i="3" a="1"/>
  <c r="N18" i="3" a="1"/>
  <c r="N116" i="3" a="1"/>
  <c r="N98" i="3" a="1"/>
  <c r="N148" i="3" a="1"/>
  <c r="N44" i="3" a="1"/>
  <c r="N75" i="3" a="1"/>
  <c r="N36" i="3" a="1"/>
  <c r="N32" i="3" a="1"/>
  <c r="N34" i="3" a="1"/>
  <c r="N46" i="3" a="1"/>
  <c r="N4" i="3" a="1"/>
  <c r="N102" i="3" a="1"/>
  <c r="N74" i="3" a="1"/>
  <c r="N72" i="3" a="1"/>
  <c r="N147" i="3" a="1"/>
  <c r="N61" i="3" a="1"/>
  <c r="N35" i="3" a="1"/>
  <c r="N26" i="3" a="1"/>
  <c r="N127" i="3" a="1"/>
  <c r="N30" i="3" a="1"/>
  <c r="N53" i="3" a="1"/>
  <c r="N69" i="3" a="1"/>
  <c r="N27" i="3" a="1"/>
  <c r="N114" i="3" a="1"/>
  <c r="N144" i="3" a="1"/>
  <c r="N51" i="3" a="1"/>
  <c r="N87" i="3" a="1"/>
  <c r="N79" i="3" a="1"/>
  <c r="N3" i="3" l="1"/>
  <c r="N11" i="3"/>
  <c r="N19" i="3"/>
  <c r="N27" i="3"/>
  <c r="N35" i="3"/>
  <c r="N43" i="3"/>
  <c r="N51" i="3"/>
  <c r="N59" i="3"/>
  <c r="N67" i="3"/>
  <c r="N75" i="3"/>
  <c r="N83" i="3"/>
  <c r="N91" i="3"/>
  <c r="N99" i="3"/>
  <c r="N107" i="3"/>
  <c r="N115" i="3"/>
  <c r="N123" i="3"/>
  <c r="N131" i="3"/>
  <c r="N139" i="3"/>
  <c r="N147" i="3"/>
  <c r="N4" i="3"/>
  <c r="N12" i="3"/>
  <c r="N20" i="3"/>
  <c r="N28" i="3"/>
  <c r="N36" i="3"/>
  <c r="N44" i="3"/>
  <c r="N52" i="3"/>
  <c r="N60" i="3"/>
  <c r="N68" i="3"/>
  <c r="N76" i="3"/>
  <c r="N84" i="3"/>
  <c r="N92" i="3"/>
  <c r="N100" i="3"/>
  <c r="N108" i="3"/>
  <c r="N116" i="3"/>
  <c r="N124" i="3"/>
  <c r="N132" i="3"/>
  <c r="N140" i="3"/>
  <c r="N148" i="3"/>
  <c r="N5" i="3"/>
  <c r="N13" i="3"/>
  <c r="N6" i="3"/>
  <c r="N14" i="3"/>
  <c r="N22" i="3"/>
  <c r="N30" i="3"/>
  <c r="N38" i="3"/>
  <c r="N46" i="3"/>
  <c r="N54" i="3"/>
  <c r="N62" i="3"/>
  <c r="N70" i="3"/>
  <c r="N78" i="3"/>
  <c r="N86" i="3"/>
  <c r="N7" i="3"/>
  <c r="N15" i="3"/>
  <c r="N23" i="3"/>
  <c r="N31" i="3"/>
  <c r="N39" i="3"/>
  <c r="N47" i="3"/>
  <c r="N55" i="3"/>
  <c r="N63" i="3"/>
  <c r="N71" i="3"/>
  <c r="N79" i="3"/>
  <c r="N87" i="3"/>
  <c r="N95" i="3"/>
  <c r="N103" i="3"/>
  <c r="N111" i="3"/>
  <c r="N119" i="3"/>
  <c r="N127" i="3"/>
  <c r="N135" i="3"/>
  <c r="N143" i="3"/>
  <c r="N8" i="3"/>
  <c r="N16" i="3"/>
  <c r="N24" i="3"/>
  <c r="N32" i="3"/>
  <c r="N40" i="3"/>
  <c r="N48" i="3"/>
  <c r="N56" i="3"/>
  <c r="N64" i="3"/>
  <c r="N72" i="3"/>
  <c r="N80" i="3"/>
  <c r="N9" i="3"/>
  <c r="N10" i="3"/>
  <c r="N18" i="3"/>
  <c r="N26" i="3"/>
  <c r="N66" i="3"/>
  <c r="N90" i="3"/>
  <c r="N109" i="3"/>
  <c r="N128" i="3"/>
  <c r="N42" i="3"/>
  <c r="N110" i="3"/>
  <c r="N129" i="3"/>
  <c r="N146" i="3"/>
  <c r="N17" i="3"/>
  <c r="N69" i="3"/>
  <c r="N93" i="3"/>
  <c r="N112" i="3"/>
  <c r="N45" i="3"/>
  <c r="N73" i="3"/>
  <c r="N94" i="3"/>
  <c r="N113" i="3"/>
  <c r="N130" i="3"/>
  <c r="N149" i="3"/>
  <c r="N49" i="3"/>
  <c r="N96" i="3"/>
  <c r="N21" i="3"/>
  <c r="N74" i="3"/>
  <c r="N97" i="3"/>
  <c r="N114" i="3"/>
  <c r="N133" i="3"/>
  <c r="N25" i="3"/>
  <c r="N50" i="3"/>
  <c r="N134" i="3"/>
  <c r="N77" i="3"/>
  <c r="N98" i="3"/>
  <c r="N117" i="3"/>
  <c r="N136" i="3"/>
  <c r="N53" i="3"/>
  <c r="N81" i="3"/>
  <c r="N118" i="3"/>
  <c r="N137" i="3"/>
  <c r="N29" i="3"/>
  <c r="N57" i="3"/>
  <c r="N101" i="3"/>
  <c r="N120" i="3"/>
  <c r="N33" i="3"/>
  <c r="N82" i="3"/>
  <c r="N102" i="3"/>
  <c r="N121" i="3"/>
  <c r="N138" i="3"/>
  <c r="N58" i="3"/>
  <c r="N104" i="3"/>
  <c r="N41" i="3"/>
  <c r="N126" i="3"/>
  <c r="N145" i="3"/>
  <c r="N34" i="3"/>
  <c r="N142" i="3"/>
  <c r="N144" i="3"/>
  <c r="N37" i="3"/>
  <c r="N61" i="3"/>
  <c r="N65" i="3"/>
  <c r="N85" i="3"/>
  <c r="N88" i="3"/>
  <c r="N89" i="3"/>
  <c r="N105" i="3"/>
  <c r="N106" i="3"/>
  <c r="N122" i="3"/>
  <c r="N125" i="3"/>
  <c r="N141" i="3"/>
  <c r="K56" i="5"/>
  <c r="K73" i="5"/>
  <c r="K65" i="5"/>
  <c r="K57" i="5"/>
  <c r="K61" i="5"/>
  <c r="K69" i="5"/>
  <c r="K68" i="5"/>
  <c r="K74" i="5"/>
  <c r="K75" i="5"/>
  <c r="K66" i="5"/>
  <c r="K58" i="5"/>
  <c r="K62" i="5"/>
  <c r="K63" i="5"/>
  <c r="K70" i="5"/>
  <c r="K59" i="5"/>
  <c r="K60" i="5"/>
  <c r="K64" i="5"/>
  <c r="K71" i="5"/>
  <c r="K67" i="5"/>
  <c r="K72" i="5"/>
  <c r="L5" i="5"/>
  <c r="A48" i="5" s="1"/>
  <c r="E48" i="5" s="1"/>
  <c r="C48" i="5" l="1"/>
  <c r="K48" i="5"/>
  <c r="H48" i="5"/>
  <c r="G48" i="5"/>
  <c r="D48" i="5"/>
  <c r="F48" i="5"/>
  <c r="J48" i="5"/>
  <c r="B48" i="5"/>
  <c r="I48" i="5"/>
  <c r="A45" i="5"/>
  <c r="E45" i="5" s="1"/>
  <c r="A43" i="5"/>
  <c r="A31" i="5"/>
  <c r="A19" i="5"/>
  <c r="A34" i="5"/>
  <c r="A33" i="5"/>
  <c r="E33" i="5" s="1"/>
  <c r="A42" i="5"/>
  <c r="E42" i="5" s="1"/>
  <c r="A30" i="5"/>
  <c r="E30" i="5" s="1"/>
  <c r="A18" i="5"/>
  <c r="E18" i="5" s="1"/>
  <c r="A27" i="5"/>
  <c r="E27" i="5" s="1"/>
  <c r="A40" i="5"/>
  <c r="A28" i="5"/>
  <c r="A16" i="5"/>
  <c r="A52" i="5"/>
  <c r="E52" i="5" s="1"/>
  <c r="A15" i="5"/>
  <c r="E15" i="5" s="1"/>
  <c r="A22" i="5"/>
  <c r="A39" i="5"/>
  <c r="E39" i="5" s="1"/>
  <c r="A51" i="5"/>
  <c r="E51" i="5" s="1"/>
  <c r="A37" i="5"/>
  <c r="A25" i="5"/>
  <c r="A13" i="5"/>
  <c r="A49" i="5"/>
  <c r="E49" i="5" s="1"/>
  <c r="A36" i="5"/>
  <c r="E36" i="5" s="1"/>
  <c r="A24" i="5"/>
  <c r="E24" i="5" s="1"/>
  <c r="A12" i="5"/>
  <c r="E12" i="5" s="1"/>
  <c r="A10" i="5"/>
  <c r="A46" i="5"/>
  <c r="A21" i="5"/>
  <c r="E21" i="5" s="1"/>
  <c r="A9" i="5"/>
  <c r="E34" i="5" l="1"/>
  <c r="E43" i="5"/>
  <c r="E19" i="5"/>
  <c r="E22" i="5"/>
  <c r="E13" i="5"/>
  <c r="E16" i="5"/>
  <c r="E25" i="5"/>
  <c r="G9" i="5"/>
  <c r="E9" i="5"/>
  <c r="E10" i="5" s="1"/>
  <c r="E28" i="5"/>
  <c r="E40" i="5"/>
  <c r="E46" i="5"/>
  <c r="E31" i="5"/>
  <c r="E37" i="5"/>
  <c r="G21" i="5"/>
  <c r="B21" i="5"/>
  <c r="F21" i="5"/>
  <c r="D21" i="5"/>
  <c r="C21" i="5"/>
  <c r="G13" i="5"/>
  <c r="D13" i="5"/>
  <c r="F13" i="5"/>
  <c r="C13" i="5"/>
  <c r="B13" i="5"/>
  <c r="F16" i="5"/>
  <c r="G16" i="5"/>
  <c r="C16" i="5"/>
  <c r="D16" i="5"/>
  <c r="B16" i="5"/>
  <c r="F52" i="5"/>
  <c r="B52" i="5"/>
  <c r="C52" i="5"/>
  <c r="G52" i="5"/>
  <c r="D52" i="5"/>
  <c r="F46" i="5"/>
  <c r="C46" i="5"/>
  <c r="B46" i="5"/>
  <c r="G46" i="5"/>
  <c r="D46" i="5"/>
  <c r="C25" i="5"/>
  <c r="B25" i="5"/>
  <c r="D25" i="5"/>
  <c r="F25" i="5"/>
  <c r="G25" i="5"/>
  <c r="G28" i="5"/>
  <c r="F28" i="5"/>
  <c r="D28" i="5"/>
  <c r="B28" i="5"/>
  <c r="C28" i="5"/>
  <c r="B33" i="5"/>
  <c r="G33" i="5"/>
  <c r="C33" i="5"/>
  <c r="D33" i="5"/>
  <c r="F33" i="5"/>
  <c r="D40" i="5"/>
  <c r="B40" i="5"/>
  <c r="F40" i="5"/>
  <c r="G40" i="5"/>
  <c r="C40" i="5"/>
  <c r="F34" i="5"/>
  <c r="D34" i="5"/>
  <c r="G34" i="5"/>
  <c r="B34" i="5"/>
  <c r="C34" i="5"/>
  <c r="C37" i="5"/>
  <c r="B37" i="5"/>
  <c r="G37" i="5"/>
  <c r="D37" i="5"/>
  <c r="F37" i="5"/>
  <c r="C51" i="5"/>
  <c r="D51" i="5"/>
  <c r="G51" i="5"/>
  <c r="B51" i="5"/>
  <c r="F51" i="5"/>
  <c r="B19" i="5"/>
  <c r="D19" i="5"/>
  <c r="C19" i="5"/>
  <c r="F19" i="5"/>
  <c r="G19" i="5"/>
  <c r="B10" i="5"/>
  <c r="F10" i="5"/>
  <c r="C10" i="5"/>
  <c r="G10" i="5"/>
  <c r="D10" i="5"/>
  <c r="C12" i="5"/>
  <c r="D12" i="5"/>
  <c r="F12" i="5"/>
  <c r="G12" i="5"/>
  <c r="B12" i="5"/>
  <c r="F39" i="5"/>
  <c r="G39" i="5"/>
  <c r="B39" i="5"/>
  <c r="D39" i="5"/>
  <c r="C39" i="5"/>
  <c r="G27" i="5"/>
  <c r="F27" i="5"/>
  <c r="C27" i="5"/>
  <c r="D27" i="5"/>
  <c r="B27" i="5"/>
  <c r="G31" i="5"/>
  <c r="C31" i="5"/>
  <c r="D31" i="5"/>
  <c r="B31" i="5"/>
  <c r="F31" i="5"/>
  <c r="B42" i="5"/>
  <c r="G42" i="5"/>
  <c r="C42" i="5"/>
  <c r="F42" i="5"/>
  <c r="D42" i="5"/>
  <c r="G22" i="5"/>
  <c r="D22" i="5"/>
  <c r="C22" i="5"/>
  <c r="B22" i="5"/>
  <c r="F22" i="5"/>
  <c r="D18" i="5"/>
  <c r="C18" i="5"/>
  <c r="B18" i="5"/>
  <c r="F18" i="5"/>
  <c r="G18" i="5"/>
  <c r="B43" i="5"/>
  <c r="F43" i="5"/>
  <c r="C43" i="5"/>
  <c r="D43" i="5"/>
  <c r="G43" i="5"/>
  <c r="G49" i="5"/>
  <c r="C49" i="5"/>
  <c r="F49" i="5"/>
  <c r="B49" i="5"/>
  <c r="D49" i="5"/>
  <c r="F24" i="5"/>
  <c r="G24" i="5"/>
  <c r="B24" i="5"/>
  <c r="C24" i="5"/>
  <c r="D24" i="5"/>
  <c r="G36" i="5"/>
  <c r="D36" i="5"/>
  <c r="B36" i="5"/>
  <c r="C36" i="5"/>
  <c r="F36" i="5"/>
  <c r="D15" i="5"/>
  <c r="G15" i="5"/>
  <c r="F15" i="5"/>
  <c r="B15" i="5"/>
  <c r="C15" i="5"/>
  <c r="G30" i="5"/>
  <c r="F30" i="5"/>
  <c r="C30" i="5"/>
  <c r="B30" i="5"/>
  <c r="D30" i="5"/>
  <c r="C45" i="5"/>
  <c r="F45" i="5"/>
  <c r="G45" i="5"/>
  <c r="D45" i="5"/>
  <c r="B45" i="5"/>
  <c r="H9" i="5"/>
  <c r="I9" i="5"/>
  <c r="B9" i="5"/>
  <c r="H52" i="5"/>
  <c r="J52" i="5"/>
  <c r="I52" i="5"/>
  <c r="K52" i="5"/>
  <c r="I46" i="5"/>
  <c r="H46" i="5"/>
  <c r="J46" i="5"/>
  <c r="K46" i="5"/>
  <c r="I49" i="5"/>
  <c r="K49" i="5"/>
  <c r="J49" i="5"/>
  <c r="H49" i="5"/>
  <c r="H51" i="5"/>
  <c r="K51" i="5"/>
  <c r="I51" i="5"/>
  <c r="J51" i="5"/>
  <c r="H45" i="5"/>
  <c r="J45" i="5"/>
  <c r="I45" i="5"/>
  <c r="K45" i="5"/>
  <c r="K9" i="5"/>
  <c r="C9" i="5"/>
  <c r="D9" i="5"/>
  <c r="F9" i="5"/>
  <c r="J9" i="5"/>
  <c r="H33" i="5"/>
  <c r="I33" i="5"/>
  <c r="J33" i="5"/>
  <c r="K33" i="5"/>
  <c r="J39" i="5"/>
  <c r="K39" i="5"/>
  <c r="I39" i="5"/>
  <c r="H39" i="5"/>
  <c r="I34" i="5"/>
  <c r="H34" i="5"/>
  <c r="J34" i="5"/>
  <c r="K34" i="5"/>
  <c r="K40" i="5"/>
  <c r="J40" i="5"/>
  <c r="I40" i="5"/>
  <c r="H40" i="5"/>
  <c r="J42" i="5"/>
  <c r="H42" i="5"/>
  <c r="I42" i="5"/>
  <c r="K42" i="5"/>
  <c r="H36" i="5"/>
  <c r="K36" i="5"/>
  <c r="J36" i="5"/>
  <c r="I36" i="5"/>
  <c r="K43" i="5"/>
  <c r="I43" i="5"/>
  <c r="J43" i="5"/>
  <c r="H43" i="5"/>
  <c r="I37" i="5"/>
  <c r="J37" i="5"/>
  <c r="H37" i="5"/>
  <c r="K37" i="5"/>
  <c r="J12" i="5"/>
  <c r="I12" i="5"/>
  <c r="H12" i="5"/>
  <c r="K12" i="5"/>
  <c r="J28" i="5"/>
  <c r="I28" i="5"/>
  <c r="H28" i="5"/>
  <c r="K28" i="5"/>
  <c r="J22" i="5"/>
  <c r="H22" i="5"/>
  <c r="K22" i="5"/>
  <c r="I22" i="5"/>
  <c r="J16" i="5"/>
  <c r="H16" i="5"/>
  <c r="K16" i="5"/>
  <c r="I16" i="5"/>
  <c r="K25" i="5"/>
  <c r="J25" i="5"/>
  <c r="H25" i="5"/>
  <c r="I25" i="5"/>
  <c r="H15" i="5"/>
  <c r="K15" i="5"/>
  <c r="J15" i="5"/>
  <c r="I15" i="5"/>
  <c r="J30" i="5"/>
  <c r="I30" i="5"/>
  <c r="H30" i="5"/>
  <c r="K30" i="5"/>
  <c r="J24" i="5"/>
  <c r="I24" i="5"/>
  <c r="H24" i="5"/>
  <c r="K24" i="5"/>
  <c r="H27" i="5"/>
  <c r="K27" i="5"/>
  <c r="J27" i="5"/>
  <c r="I27" i="5"/>
  <c r="K19" i="5"/>
  <c r="J19" i="5"/>
  <c r="I19" i="5"/>
  <c r="H19" i="5"/>
  <c r="J10" i="5"/>
  <c r="I10" i="5"/>
  <c r="H10" i="5"/>
  <c r="K10" i="5"/>
  <c r="H21" i="5"/>
  <c r="K21" i="5"/>
  <c r="J21" i="5"/>
  <c r="I21" i="5"/>
  <c r="K31" i="5"/>
  <c r="H31" i="5"/>
  <c r="J31" i="5"/>
  <c r="I31" i="5"/>
  <c r="J18" i="5"/>
  <c r="I18" i="5"/>
  <c r="H18" i="5"/>
  <c r="K18" i="5"/>
  <c r="K13" i="5"/>
  <c r="J13" i="5"/>
  <c r="I13" i="5"/>
  <c r="H1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<sst xmlns="http://schemas.openxmlformats.org/spreadsheetml/2006/main" count="3673" uniqueCount="724">
  <si>
    <t>UDC</t>
  </si>
  <si>
    <t>Ver</t>
  </si>
  <si>
    <t>OUA Cd</t>
  </si>
  <si>
    <t>Unit Title</t>
  </si>
  <si>
    <t>Pre-reqs</t>
  </si>
  <si>
    <t>Credits</t>
  </si>
  <si>
    <t>Availabilities</t>
  </si>
  <si>
    <t>Progress Notes</t>
  </si>
  <si>
    <r>
      <t>Curtin University</t>
    </r>
    <r>
      <rPr>
        <sz val="11"/>
        <color theme="0"/>
        <rFont val="Arial"/>
        <family val="2"/>
      </rPr>
      <t xml:space="preserve">
School of Education</t>
    </r>
  </si>
  <si>
    <t>Course:</t>
  </si>
  <si>
    <t>Bachelor of Education (Early Childhood Education) (OpenUnis)</t>
  </si>
  <si>
    <t>Course version:</t>
  </si>
  <si>
    <t>Commencing:</t>
  </si>
  <si>
    <t>Study Period 1 (February - May)</t>
  </si>
  <si>
    <t>Credits to Complete:</t>
  </si>
  <si>
    <t>Year 1</t>
  </si>
  <si>
    <t>OUA Code</t>
  </si>
  <si>
    <t>Study Period</t>
  </si>
  <si>
    <t>Pre-Requisite(s)</t>
  </si>
  <si>
    <t>CP</t>
  </si>
  <si>
    <t>SP1</t>
  </si>
  <si>
    <t>SP2</t>
  </si>
  <si>
    <t>SP3</t>
  </si>
  <si>
    <t>SP4</t>
  </si>
  <si>
    <t>Notes / Progress</t>
  </si>
  <si>
    <t>Year 2</t>
  </si>
  <si>
    <t>Year 3</t>
  </si>
  <si>
    <t>Year 4</t>
  </si>
  <si>
    <t>Specified Electives (see Enrolment Guidelines note)</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</si>
  <si>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</si>
  <si>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</si>
  <si>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</si>
  <si>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</si>
  <si>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Bachelor of Education (Primary Education) (OpenUnis)</t>
  </si>
  <si>
    <t>Study Period 3 (August - November)</t>
  </si>
  <si>
    <t>Bachelor of Education</t>
  </si>
  <si>
    <t>RangeUnitSets</t>
  </si>
  <si>
    <t>OB-EDECSP1</t>
  </si>
  <si>
    <t>OB-EDECSP2</t>
  </si>
  <si>
    <t>OB-EDECSP3</t>
  </si>
  <si>
    <t>OB-EDECSP4</t>
  </si>
  <si>
    <t>OB-EDPRSP1</t>
  </si>
  <si>
    <t>OB-EDPRSP2</t>
  </si>
  <si>
    <t>OB-EDPRSP3</t>
  </si>
  <si>
    <t>OB-EDPRSP4</t>
  </si>
  <si>
    <t>Y1SP1</t>
  </si>
  <si>
    <t>EDUC1020</t>
  </si>
  <si>
    <t>Y1SP2</t>
  </si>
  <si>
    <t>EDUC1024</t>
  </si>
  <si>
    <t>Y1SP3</t>
  </si>
  <si>
    <t>Y1SP4</t>
  </si>
  <si>
    <t>EDUC1022</t>
  </si>
  <si>
    <t>TableCourses</t>
  </si>
  <si>
    <t>EDUC1026</t>
  </si>
  <si>
    <t>Choose your Education Course</t>
  </si>
  <si>
    <t>SM Version</t>
  </si>
  <si>
    <t>SM Effective Date</t>
  </si>
  <si>
    <t>Akari Iteration</t>
  </si>
  <si>
    <t>Akari Effective Date</t>
  </si>
  <si>
    <t>Credit Points</t>
  </si>
  <si>
    <t>SM Availabilities</t>
  </si>
  <si>
    <t>Bachelor of Education (Early Childhood Education) (OpenUnis CSP)</t>
  </si>
  <si>
    <t>OU-EDEC</t>
  </si>
  <si>
    <t xml:space="preserve">800 credit points required </t>
  </si>
  <si>
    <t>SP1; SP2; SP3; SP4</t>
  </si>
  <si>
    <t>EDUC1032</t>
  </si>
  <si>
    <t>OB-EDEC</t>
  </si>
  <si>
    <t>EDUC1028</t>
  </si>
  <si>
    <t>Bachelor of Education (Primary Education) (OpenUnis CSP)</t>
  </si>
  <si>
    <t>OU-EDPR</t>
  </si>
  <si>
    <t>EDUC1030</t>
  </si>
  <si>
    <t>EDUC1038</t>
  </si>
  <si>
    <t>OB-EDPR</t>
  </si>
  <si>
    <t>Bachelor of Education (Secondary Education)(OpenUnis)</t>
  </si>
  <si>
    <t>OB-EDSC1</t>
  </si>
  <si>
    <t>v.4</t>
  </si>
  <si>
    <t>SP1; SP3</t>
  </si>
  <si>
    <t>Bachelor of Education (Secondary Education)(OpenUnis CSP)</t>
  </si>
  <si>
    <t>OU-EDSC1</t>
  </si>
  <si>
    <t>Y2SP1</t>
  </si>
  <si>
    <t>EDUC2006</t>
  </si>
  <si>
    <t>Y2SP2</t>
  </si>
  <si>
    <t>EDEC2018</t>
  </si>
  <si>
    <t>Y2SP3</t>
  </si>
  <si>
    <t>Y2SP4</t>
  </si>
  <si>
    <t>EDUC2008</t>
  </si>
  <si>
    <t>EDPR2013</t>
  </si>
  <si>
    <t>EDPR2010</t>
  </si>
  <si>
    <t>EDEC2022</t>
  </si>
  <si>
    <t>EDPR2006</t>
  </si>
  <si>
    <t>EDPR2017</t>
  </si>
  <si>
    <t>TableStudyPeriods</t>
  </si>
  <si>
    <t>EDPR2015</t>
  </si>
  <si>
    <t>Choose your commencing study period (drop-down list)</t>
  </si>
  <si>
    <t>START</t>
  </si>
  <si>
    <t>Next</t>
  </si>
  <si>
    <t>Next2</t>
  </si>
  <si>
    <t>Next3</t>
  </si>
  <si>
    <t>EDEC2020</t>
  </si>
  <si>
    <t>EDEC2026</t>
  </si>
  <si>
    <t>EDEC2024</t>
  </si>
  <si>
    <t>Study Period 2 (May - August)</t>
  </si>
  <si>
    <t>EDEC2028</t>
  </si>
  <si>
    <t>SpecElec</t>
  </si>
  <si>
    <t>Study Period 4 (November - February)</t>
  </si>
  <si>
    <t>Y3SP1</t>
  </si>
  <si>
    <t>EDEC3023</t>
  </si>
  <si>
    <t>Y3SP2</t>
  </si>
  <si>
    <t>EDEC3025</t>
  </si>
  <si>
    <t>Y3SP3</t>
  </si>
  <si>
    <t>Y3SP4</t>
  </si>
  <si>
    <t>EDPR3007</t>
  </si>
  <si>
    <t>EDPR3011</t>
  </si>
  <si>
    <t>INED3001</t>
  </si>
  <si>
    <t>EDEC3017</t>
  </si>
  <si>
    <t>EDPR3010</t>
  </si>
  <si>
    <t>7/06/2024 - It looks like the Specified Electives for PRIMARY have issues with availabilities and sequencing in the main course, do they all need the same availabilities?</t>
  </si>
  <si>
    <t>EDEC3019</t>
  </si>
  <si>
    <t>EDPR3006</t>
  </si>
  <si>
    <t>EDEC3021</t>
  </si>
  <si>
    <t>EDEC3006</t>
  </si>
  <si>
    <t>EDPR3013</t>
  </si>
  <si>
    <t>EDPR3015</t>
  </si>
  <si>
    <t>Y4SP1</t>
  </si>
  <si>
    <t>EDEC4007</t>
  </si>
  <si>
    <t>Y4SP2</t>
  </si>
  <si>
    <t>EDUC4050</t>
  </si>
  <si>
    <t>Y4SP3</t>
  </si>
  <si>
    <t>Y4SP4</t>
  </si>
  <si>
    <t>EDPR4004</t>
  </si>
  <si>
    <t>EDEC4005</t>
  </si>
  <si>
    <t>EDPR4002</t>
  </si>
  <si>
    <t>EDUC4041</t>
  </si>
  <si>
    <t>-</t>
  </si>
  <si>
    <t>RangeOptions</t>
  </si>
  <si>
    <t>SE.iStem</t>
  </si>
  <si>
    <t>EDUC4026</t>
  </si>
  <si>
    <t>EDUC4033</t>
  </si>
  <si>
    <t>EDUC4035</t>
  </si>
  <si>
    <t>SE.ELL</t>
  </si>
  <si>
    <t>EDUC4024</t>
  </si>
  <si>
    <t>EDUC4025</t>
  </si>
  <si>
    <t>EDUC4037</t>
  </si>
  <si>
    <t>SE.LNDP</t>
  </si>
  <si>
    <t>EDUC4028</t>
  </si>
  <si>
    <t>EDUC4043</t>
  </si>
  <si>
    <t>EDUC4045</t>
  </si>
  <si>
    <t>SE.T</t>
  </si>
  <si>
    <t>EDUC4030</t>
  </si>
  <si>
    <t>EDUC4039</t>
  </si>
  <si>
    <t>EDUC4047</t>
  </si>
  <si>
    <t>SE.CE</t>
  </si>
  <si>
    <t>CTED4004</t>
  </si>
  <si>
    <t>CTED4007</t>
  </si>
  <si>
    <t>CTED4009</t>
  </si>
  <si>
    <t>SE.HPE</t>
  </si>
  <si>
    <t>EDUC4003</t>
  </si>
  <si>
    <t>EDUC4010</t>
  </si>
  <si>
    <t>EDUC4054</t>
  </si>
  <si>
    <t>Major:</t>
  </si>
  <si>
    <t>Humanities and Social Sciences Education Major (Geography) (BEd Secondary) (OpenUnis)</t>
  </si>
  <si>
    <t>Major Version:</t>
  </si>
  <si>
    <t>Alternate Core and Specified Elective Subjects (see Enrolment Guidelines note)</t>
  </si>
  <si>
    <t>TableMajors</t>
  </si>
  <si>
    <t>RangeUnitSetsSec</t>
  </si>
  <si>
    <t>OUMU-ARVA1SP1</t>
  </si>
  <si>
    <t>OUMU-ARVA1SP3</t>
  </si>
  <si>
    <t>OUMU-ENGL1SP1</t>
  </si>
  <si>
    <t>OUMU-ENGL1SP3</t>
  </si>
  <si>
    <t>OUMU-HSGE1SP1</t>
  </si>
  <si>
    <t>OUMU-HSGE1SP3</t>
  </si>
  <si>
    <t>Choose your Major first (drop-down list)</t>
  </si>
  <si>
    <t>The Arts Education Major (Visual Arts) (BEd Secondary) (OpenUnis)</t>
  </si>
  <si>
    <t>OUMU-ARVA1</t>
  </si>
  <si>
    <t>v.1</t>
  </si>
  <si>
    <t xml:space="preserve">375 credit points required </t>
  </si>
  <si>
    <t>English Education Major (BEd Secondary) (OpenUnis)</t>
  </si>
  <si>
    <t>OUMU-ENGL1</t>
  </si>
  <si>
    <t>OUMU-HSGE1</t>
  </si>
  <si>
    <t>EDUC1037</t>
  </si>
  <si>
    <t>EDUC1036</t>
  </si>
  <si>
    <t>TableStudyPeriodsSec</t>
  </si>
  <si>
    <t>VISA1014</t>
  </si>
  <si>
    <t>CWRI1004</t>
  </si>
  <si>
    <t>GEOG1001</t>
  </si>
  <si>
    <t>VISA1013</t>
  </si>
  <si>
    <t>LCST1005</t>
  </si>
  <si>
    <t>COMS1012</t>
  </si>
  <si>
    <t>EDSC4033</t>
  </si>
  <si>
    <t>EDSC4031</t>
  </si>
  <si>
    <t>EDSC4025</t>
  </si>
  <si>
    <t>EDSC2014</t>
  </si>
  <si>
    <t>AC-ARVA1</t>
  </si>
  <si>
    <t>PWRP1001</t>
  </si>
  <si>
    <t>ECON1000</t>
  </si>
  <si>
    <t>EDSC2015</t>
  </si>
  <si>
    <t>VISA1008</t>
  </si>
  <si>
    <t>LCST2008</t>
  </si>
  <si>
    <t>PHGY1001</t>
  </si>
  <si>
    <t>EDSC2016</t>
  </si>
  <si>
    <t>LCST2009</t>
  </si>
  <si>
    <t>AC-HSGE11</t>
  </si>
  <si>
    <t>VISA2013</t>
  </si>
  <si>
    <t>EDSC4027</t>
  </si>
  <si>
    <t>EDSC4029</t>
  </si>
  <si>
    <t>EDSC4019</t>
  </si>
  <si>
    <t>VISA2027</t>
  </si>
  <si>
    <t>EDUC4025 only available SP3</t>
  </si>
  <si>
    <t>EDSC3014</t>
  </si>
  <si>
    <t>AC-HSGE12</t>
  </si>
  <si>
    <t>EDSC3016</t>
  </si>
  <si>
    <t>EDSC3008</t>
  </si>
  <si>
    <t>EDUC4024 only available SP2</t>
  </si>
  <si>
    <t>GEOG3003</t>
  </si>
  <si>
    <t>VISA3013</t>
  </si>
  <si>
    <t>LCST3008</t>
  </si>
  <si>
    <t>AC-HSGE13</t>
  </si>
  <si>
    <t>VISA3015</t>
  </si>
  <si>
    <t>LCST3009</t>
  </si>
  <si>
    <t>Opt-ENGL1</t>
  </si>
  <si>
    <t>VISA2011</t>
  </si>
  <si>
    <t>GEOG2005</t>
  </si>
  <si>
    <t>VISA2012</t>
  </si>
  <si>
    <t>PHGY2001</t>
  </si>
  <si>
    <t xml:space="preserve"> </t>
  </si>
  <si>
    <t>Opt-ARVA1</t>
  </si>
  <si>
    <t>GEOG2003</t>
  </si>
  <si>
    <t>GEOG2004</t>
  </si>
  <si>
    <t>GEOG3002</t>
  </si>
  <si>
    <t>PHGY3001</t>
  </si>
  <si>
    <t>Opt-HSGE1</t>
  </si>
  <si>
    <t>RangeMajorsOptions</t>
  </si>
  <si>
    <t>SE.IB</t>
  </si>
  <si>
    <t>EDIB4004</t>
  </si>
  <si>
    <t>EDIB4006</t>
  </si>
  <si>
    <t>EDIB4007</t>
  </si>
  <si>
    <t>Title</t>
  </si>
  <si>
    <t>Notes</t>
  </si>
  <si>
    <t>OUMU-ENGLT</t>
  </si>
  <si>
    <t>OUMU-HUSGE</t>
  </si>
  <si>
    <t>Please note this is a 100CP subject</t>
  </si>
  <si>
    <t>--</t>
  </si>
  <si>
    <t>Not applicable to this course / selection</t>
  </si>
  <si>
    <t>Study either VSW210 or VSW220 (see below)</t>
  </si>
  <si>
    <t>See below</t>
  </si>
  <si>
    <t>AC-EDSC1</t>
  </si>
  <si>
    <t>Choose your Major</t>
  </si>
  <si>
    <t>Study either GEOG2005 or PHGY2001 (see below)</t>
  </si>
  <si>
    <t>Availabilities - Sits in SP3 in sequence, however one unit only available SP2/SP4</t>
  </si>
  <si>
    <t>Study either GEOG2004 or GEOG2003 (see below)</t>
  </si>
  <si>
    <t>Availabilities - Sits in SP2 in sequence, however one unit only available SP1/SP3</t>
  </si>
  <si>
    <t>Study either PHGY3001 or GEOG3002 (see below)</t>
  </si>
  <si>
    <t>Availabilities - Sits in SP1 or SP3 in sequence, however one unit only available in SP3</t>
  </si>
  <si>
    <t>COM155</t>
  </si>
  <si>
    <t>Culture to Cultures</t>
  </si>
  <si>
    <t>Nil</t>
  </si>
  <si>
    <t>EDC484</t>
  </si>
  <si>
    <t>Teaching About Sacraments in Catholic Schools</t>
  </si>
  <si>
    <t>EDC430</t>
  </si>
  <si>
    <t>Teaching About Jesus in Catholic Schools</t>
  </si>
  <si>
    <t>EDC435</t>
  </si>
  <si>
    <t>Teaching About the Gospels in Catholic Schools</t>
  </si>
  <si>
    <t>MCA110</t>
  </si>
  <si>
    <t>Engaging Narrative</t>
  </si>
  <si>
    <t>Introductory Economics</t>
  </si>
  <si>
    <t>OUA One Code</t>
  </si>
  <si>
    <t>ECON1002</t>
  </si>
  <si>
    <t>EDE292</t>
  </si>
  <si>
    <t>Early Learning Through the Humanities and Social Sciences</t>
  </si>
  <si>
    <t>EDC175</t>
  </si>
  <si>
    <t>EDE220</t>
  </si>
  <si>
    <t>Early Childhood Professional Experience 1: Learning and Teaching in Junior Primary</t>
  </si>
  <si>
    <t>EDE255</t>
  </si>
  <si>
    <t>Engaging Children in Science</t>
  </si>
  <si>
    <t>EDE252</t>
  </si>
  <si>
    <t>Visual and Media Arts for Early Childhood</t>
  </si>
  <si>
    <t>EDC153</t>
  </si>
  <si>
    <t>EDE225</t>
  </si>
  <si>
    <t>Mathematics for the Early Years</t>
  </si>
  <si>
    <t>EDC145</t>
  </si>
  <si>
    <t>EDE260</t>
  </si>
  <si>
    <t>Health and Physical Education in Early Childhood</t>
  </si>
  <si>
    <t>EDC135</t>
  </si>
  <si>
    <t>EDE392</t>
  </si>
  <si>
    <t>Pedagogical Contexts for Play</t>
  </si>
  <si>
    <t>EDE360</t>
  </si>
  <si>
    <t>Early Childhood Professional Experience 2: Quality Frameworks in Early Learning Centres</t>
  </si>
  <si>
    <t>EDE310</t>
  </si>
  <si>
    <t>Early Childhood Professional Experience 3: Kindergarten to Pre-primary Learning Environments</t>
  </si>
  <si>
    <t>EDE345</t>
  </si>
  <si>
    <t>Leadership in Early Childhood Education</t>
  </si>
  <si>
    <t>EDE323</t>
  </si>
  <si>
    <t>Mathematics during the First Five Years of Life</t>
  </si>
  <si>
    <t>EDE355</t>
  </si>
  <si>
    <t>Early Childhood Literacies</t>
  </si>
  <si>
    <t>EDC235</t>
  </si>
  <si>
    <t>EDE425</t>
  </si>
  <si>
    <t>Curriculum Integration and Differentiation</t>
  </si>
  <si>
    <t>EDE413</t>
  </si>
  <si>
    <t>Social Justice and Diversity in Early Childhood</t>
  </si>
  <si>
    <t>EDP243</t>
  </si>
  <si>
    <t>Children as Mathematical Learners</t>
  </si>
  <si>
    <t>EDP273</t>
  </si>
  <si>
    <t>Inquiry in the Science Classroom</t>
  </si>
  <si>
    <t>Pre Req - Listed as Concurrent in S1 but not in Akari.</t>
  </si>
  <si>
    <t>EDP210</t>
  </si>
  <si>
    <t>Primary Professional Experience 1: Planning for Teaching</t>
  </si>
  <si>
    <t>EDP227</t>
  </si>
  <si>
    <t>Primary Professional Experience 2: Leadership &amp; Stewardship for Diverse Learners</t>
  </si>
  <si>
    <t>EDP255</t>
  </si>
  <si>
    <t>Health and Physical Education</t>
  </si>
  <si>
    <t>EDP343</t>
  </si>
  <si>
    <t>Inquiry in the Mathematics Classroom</t>
  </si>
  <si>
    <t>EDP311</t>
  </si>
  <si>
    <t>Cultural Contexts in Primary Education</t>
  </si>
  <si>
    <t>EDC140</t>
  </si>
  <si>
    <t>EDP373</t>
  </si>
  <si>
    <t>Inquiry in the Humanities and Social Sciences Classroom</t>
  </si>
  <si>
    <t>EDP333</t>
  </si>
  <si>
    <t>English Pedagogies and the Integrated Curriculum</t>
  </si>
  <si>
    <t>EDP320</t>
  </si>
  <si>
    <t>Primary Professional Experience 3: Evaluating Learning</t>
  </si>
  <si>
    <t>EDP385</t>
  </si>
  <si>
    <t>Visual and Media Arts Education</t>
  </si>
  <si>
    <t>EDP443</t>
  </si>
  <si>
    <t>Mathematics Pedagogies and Integrated Curriculum</t>
  </si>
  <si>
    <t>EDP415</t>
  </si>
  <si>
    <t>The Literacy Researcher</t>
  </si>
  <si>
    <t>EDS215</t>
  </si>
  <si>
    <t>Educating Adolescents: Diversity, Differentiation and Inclusion</t>
  </si>
  <si>
    <t>EDS225</t>
  </si>
  <si>
    <t>EDC185</t>
  </si>
  <si>
    <t>EDS220</t>
  </si>
  <si>
    <t>EDS225 or EDS210</t>
  </si>
  <si>
    <t>EDS355</t>
  </si>
  <si>
    <t>Curriculum and Culture in Secondary Schools</t>
  </si>
  <si>
    <t>EDS320</t>
  </si>
  <si>
    <t>EDS220 or EDS261</t>
  </si>
  <si>
    <t>EDS315</t>
  </si>
  <si>
    <t>EDS365</t>
  </si>
  <si>
    <t>Curriculum and Instruction Senior Secondary: English</t>
  </si>
  <si>
    <t>EDS133</t>
  </si>
  <si>
    <t>EDS144</t>
  </si>
  <si>
    <t>Curriculum and Instruction Lower Secondary: Humanities and Social Sciences</t>
  </si>
  <si>
    <t>EDS375</t>
  </si>
  <si>
    <t>Curriculum and Instruction Senior Secondary: Humanities and Social Sciences</t>
  </si>
  <si>
    <t>EDS310</t>
  </si>
  <si>
    <t>Curriculum and Instruction Senior Secondary: The Arts</t>
  </si>
  <si>
    <t>EDS155</t>
  </si>
  <si>
    <t>Curriculum and Instruction Lower Secondary: English</t>
  </si>
  <si>
    <t>Curriculum and Instruction Lower Secondary: The Arts</t>
  </si>
  <si>
    <t>EDC105</t>
  </si>
  <si>
    <t>Teaching and Learning in the Digital World</t>
  </si>
  <si>
    <t>Child Development for Educators</t>
  </si>
  <si>
    <t>EDC121</t>
  </si>
  <si>
    <t>Introducing Language, Literacy and Literature for Educators</t>
  </si>
  <si>
    <t>Exploring and Contesting Curriculum</t>
  </si>
  <si>
    <t>Educators Inquiring About the World</t>
  </si>
  <si>
    <t>Performing Arts for Educators</t>
  </si>
  <si>
    <t>The Numerate Educator</t>
  </si>
  <si>
    <t>EDC190</t>
  </si>
  <si>
    <t>Professional Teaching Practice 1</t>
  </si>
  <si>
    <t>EDC181</t>
  </si>
  <si>
    <t>Communication Skills for Educators</t>
  </si>
  <si>
    <t>EDC245</t>
  </si>
  <si>
    <t>Learning Theories, Diversity and Differentiation</t>
  </si>
  <si>
    <t>Teaching Language, Literacy and Literature in Junior Primary</t>
  </si>
  <si>
    <t>EDC121 or EDS107</t>
  </si>
  <si>
    <t>EDC420</t>
  </si>
  <si>
    <t>100CP</t>
  </si>
  <si>
    <t>EDC425</t>
  </si>
  <si>
    <t>EDC486</t>
  </si>
  <si>
    <t>Creating and Responding to Literature</t>
  </si>
  <si>
    <t>EDC487</t>
  </si>
  <si>
    <t>Creative Literacies</t>
  </si>
  <si>
    <t>EDC488</t>
  </si>
  <si>
    <t>Project-based iSTEM Education</t>
  </si>
  <si>
    <t>EDC490</t>
  </si>
  <si>
    <t>Supporting Literacy and Numeracy Development for Diverse Learners</t>
  </si>
  <si>
    <t>EDC491</t>
  </si>
  <si>
    <t>Technologies: Coding for Teachers</t>
  </si>
  <si>
    <t>EDC492</t>
  </si>
  <si>
    <t>iSTEM Education through Digital Stories</t>
  </si>
  <si>
    <t>EDC493</t>
  </si>
  <si>
    <t>iSTEM: Social Issues</t>
  </si>
  <si>
    <t>EDC494</t>
  </si>
  <si>
    <t>Language and Diversity</t>
  </si>
  <si>
    <t>EDC495</t>
  </si>
  <si>
    <t>Technologies: Design Solutions</t>
  </si>
  <si>
    <t>EDC450</t>
  </si>
  <si>
    <t>Professional Experience 4: The Internship</t>
  </si>
  <si>
    <t>All other units</t>
  </si>
  <si>
    <t>EDC465</t>
  </si>
  <si>
    <t>Alternative Approaches to Teaching Literacy and Numeracy</t>
  </si>
  <si>
    <t>EDC460</t>
  </si>
  <si>
    <t>Literacy and Numeracy for First Nations Peoples of Australia</t>
  </si>
  <si>
    <t>EDC470</t>
  </si>
  <si>
    <t>Technologies: Digital Solutions</t>
  </si>
  <si>
    <t>EDC445</t>
  </si>
  <si>
    <t>The Professional Educator: Transition to the Profession</t>
  </si>
  <si>
    <t>Pre Req - EDSC3006 EDS360 is deactivating</t>
  </si>
  <si>
    <t>EDC440</t>
  </si>
  <si>
    <t>GPH100</t>
  </si>
  <si>
    <t>Human Geography</t>
  </si>
  <si>
    <t>GPH220</t>
  </si>
  <si>
    <t>Geographies of Migration</t>
  </si>
  <si>
    <t>GPH200</t>
  </si>
  <si>
    <t>Geographies of Food Security</t>
  </si>
  <si>
    <t>GPH210</t>
  </si>
  <si>
    <t>Fieldwork Skills</t>
  </si>
  <si>
    <t>GPH320</t>
  </si>
  <si>
    <t>Urban Geographies</t>
  </si>
  <si>
    <t>GPH300</t>
  </si>
  <si>
    <t>Sustainable Livelihoods</t>
  </si>
  <si>
    <t>Indigenous Australian Education</t>
  </si>
  <si>
    <t>INED3002</t>
  </si>
  <si>
    <t>ENG100</t>
  </si>
  <si>
    <t>Introduction to Cultural Studies</t>
  </si>
  <si>
    <t>ENG200</t>
  </si>
  <si>
    <t>Genre and Classic Texts</t>
  </si>
  <si>
    <t>ENG210</t>
  </si>
  <si>
    <t>Reading Gender</t>
  </si>
  <si>
    <t>ENG300</t>
  </si>
  <si>
    <t>Decolonising Place</t>
  </si>
  <si>
    <t>ENG310</t>
  </si>
  <si>
    <t>Textual Futures</t>
  </si>
  <si>
    <t>Study any FOUR specified electives from this list</t>
  </si>
  <si>
    <t>GPH110</t>
  </si>
  <si>
    <t>Physical Geography</t>
  </si>
  <si>
    <t>GPH230</t>
  </si>
  <si>
    <t>Natural Hazards</t>
  </si>
  <si>
    <t>GPH311</t>
  </si>
  <si>
    <t>Cultural Landscapes</t>
  </si>
  <si>
    <t>PWP110</t>
  </si>
  <si>
    <t>Introduction to Creative and Professional Writing</t>
  </si>
  <si>
    <t>Catholic Education Specified Electives</t>
  </si>
  <si>
    <t>English Language and Literacy Specified Electives</t>
  </si>
  <si>
    <t>Health and Physical Education Specified Electives</t>
  </si>
  <si>
    <t>SE.iSTEM</t>
  </si>
  <si>
    <t>iSTEM Specified Electives</t>
  </si>
  <si>
    <t>Literacy and Numeracy in Diverse Populations Specified Electives</t>
  </si>
  <si>
    <t>Technologies Specified Electives</t>
  </si>
  <si>
    <t>Study a Specified Elective subject from the list below</t>
  </si>
  <si>
    <t>VIS18</t>
  </si>
  <si>
    <t>Introduction to History of Art and Design</t>
  </si>
  <si>
    <t>VSW14</t>
  </si>
  <si>
    <t>Fine Art Studio Methods</t>
  </si>
  <si>
    <t>VAR110</t>
  </si>
  <si>
    <t>Drawing</t>
  </si>
  <si>
    <t>VSW210</t>
  </si>
  <si>
    <t>Fine Art Studio Strategies</t>
  </si>
  <si>
    <t>VSW220</t>
  </si>
  <si>
    <t>Fine Art Studio Processes</t>
  </si>
  <si>
    <t>VSW230</t>
  </si>
  <si>
    <t>Fine Art Studio Extension</t>
  </si>
  <si>
    <t>EDS155 or VSW210 or VSW220</t>
  </si>
  <si>
    <t>VIS24</t>
  </si>
  <si>
    <t>Australian Art</t>
  </si>
  <si>
    <t xml:space="preserve">Pre Req - Akari has no Pre Reqs listed, however contains further information recommending VIS18 </t>
  </si>
  <si>
    <t>VSW31</t>
  </si>
  <si>
    <t>Fine Art Studio Practice</t>
  </si>
  <si>
    <t>VSW330</t>
  </si>
  <si>
    <t>Fine Art Concepts and Contexts</t>
  </si>
  <si>
    <t>EDS310 or VSW240</t>
  </si>
  <si>
    <t>Downloaded:</t>
  </si>
  <si>
    <t>CheckTables</t>
  </si>
  <si>
    <t>Version</t>
  </si>
  <si>
    <t>CPs</t>
  </si>
  <si>
    <t>No.</t>
  </si>
  <si>
    <t>Component Type</t>
  </si>
  <si>
    <t>Year Level</t>
  </si>
  <si>
    <t>Study Package Code</t>
  </si>
  <si>
    <t>Structure Line</t>
  </si>
  <si>
    <t>Effective</t>
  </si>
  <si>
    <t>Discont.</t>
  </si>
  <si>
    <t>Column1</t>
  </si>
  <si>
    <t>Column2</t>
  </si>
  <si>
    <t>Core</t>
  </si>
  <si>
    <t>NA</t>
  </si>
  <si>
    <t>EDC105 Teaching and Learning in the Digital World</t>
  </si>
  <si>
    <t>EDC135 Child Development for Educators</t>
  </si>
  <si>
    <t>EDC140 Exploring and Contesting Curriculum</t>
  </si>
  <si>
    <t>EDC145 The Numerate Educator</t>
  </si>
  <si>
    <t>EDC153 Performing Arts for Educators</t>
  </si>
  <si>
    <t>EDC181 Communication Skills for Educators</t>
  </si>
  <si>
    <t>EDC175 Educators Inquiring About the World</t>
  </si>
  <si>
    <t>EDE252 Visual and Media Arts for Early Childhood</t>
  </si>
  <si>
    <t>EDE255 Engaging Children in Science</t>
  </si>
  <si>
    <t>EDE260 Health and Physical Education in Early Childhood</t>
  </si>
  <si>
    <t>EDE292 Early Learning Through the Humanities and Social Sciences</t>
  </si>
  <si>
    <t>EDE345 Leadership in Early Childhood Education</t>
  </si>
  <si>
    <t>EDE392 Pedagogical Contexts for Play</t>
  </si>
  <si>
    <t>Option</t>
  </si>
  <si>
    <t>EDC445 The Professional Educator: Transition to the Profession</t>
  </si>
  <si>
    <t>EDE413 Social Justice and Diversity in Early Childhood</t>
  </si>
  <si>
    <t>EDE425 Curriculum Integration and Differentiation</t>
  </si>
  <si>
    <t>EDC450 Professional Experience 4: The Internship</t>
  </si>
  <si>
    <t>EDC484 Teaching About Sacraments in Catholic Schools</t>
  </si>
  <si>
    <t>EDC430 Teaching About Jesus in Catholic Schools</t>
  </si>
  <si>
    <t>EDC435 Teaching About the Gospels in Catholic Schools</t>
  </si>
  <si>
    <t>EDC486 Creating and Responding to Literature</t>
  </si>
  <si>
    <t>EDC487 Creative Literacies</t>
  </si>
  <si>
    <t>EDC488 Project-based iSTEM Education</t>
  </si>
  <si>
    <t>EDC490 Supporting Literacy and Numeracy Development for Diverse Learners</t>
  </si>
  <si>
    <t>EDC491 Technologies: Coding for Teachers</t>
  </si>
  <si>
    <t>EDC492 iSTEM Education through Digital Stories</t>
  </si>
  <si>
    <t>EDC493 iSTEM: Social Issues</t>
  </si>
  <si>
    <t>EDC494 Language and Diversity</t>
  </si>
  <si>
    <t>EDC495 Technologies: Design Solutions</t>
  </si>
  <si>
    <t>EDC465 Alternative Approaches to Teaching Literacy and Numeracy</t>
  </si>
  <si>
    <t>EDC460 Literacy and Numeracy for First Nations Peoples of Australia</t>
  </si>
  <si>
    <t>EDC470 Technologies: Digital Solutions</t>
  </si>
  <si>
    <t>EDP273 Inquiry in the Science Classroom</t>
  </si>
  <si>
    <t>EDP255 Health and Physical Education</t>
  </si>
  <si>
    <t>EDP243 Children as Mathematical Learners</t>
  </si>
  <si>
    <t>EDP343 Inquiry in the Mathematics Classroom</t>
  </si>
  <si>
    <t>EDP373 Inquiry in the Humanities and Social Sciences Classroom</t>
  </si>
  <si>
    <t>EDP385 Visual and Media Arts Education</t>
  </si>
  <si>
    <t>EDP415 The Literacy Researcher</t>
  </si>
  <si>
    <t>EDP443 Mathematics Pedagogies and Integrated Curriculum</t>
  </si>
  <si>
    <t>EDC420 Physical Education Pedagogy</t>
  </si>
  <si>
    <t>EDC425 Primary Physical Education: Curriculum &amp; Assessment</t>
  </si>
  <si>
    <t>EDC440 Teaching Health Education in Primary Schools</t>
  </si>
  <si>
    <t>EDC185 Professional Experience 1</t>
  </si>
  <si>
    <t>EDC190 Professional Teaching Practice 1</t>
  </si>
  <si>
    <t>AltCore</t>
  </si>
  <si>
    <t>Choose Your Major</t>
  </si>
  <si>
    <t>EDS215 Educating Adolescents: Diversity, Differentiation and Inclusion</t>
  </si>
  <si>
    <t>EDS220 Secondary Professional Experience 2</t>
  </si>
  <si>
    <t>EDS225 Secondary Professional Teaching Practice 2</t>
  </si>
  <si>
    <t>EDS315 Secondary Professional Experience 3</t>
  </si>
  <si>
    <t>EDS320 Secondary Professional Teaching Practice 3</t>
  </si>
  <si>
    <t>EDS355 Curriculum and Culture in Secondary Schools</t>
  </si>
  <si>
    <t>Choose Options</t>
  </si>
  <si>
    <t/>
  </si>
  <si>
    <t>EDS155 Curriculum and Instruction Lower Secondary: The Arts</t>
  </si>
  <si>
    <t>VAR110 Drawing</t>
  </si>
  <si>
    <t>VSW14 Fine Art Studio Methods</t>
  </si>
  <si>
    <t>EDS310 Curriculum and Instruction Senior Secondary: The Arts</t>
  </si>
  <si>
    <t>VIS18 Introduction to History of Art and Design</t>
  </si>
  <si>
    <t>VSW230 Fine Art Studio Extension</t>
  </si>
  <si>
    <t>Choose VISA2011 or VISA2012</t>
  </si>
  <si>
    <t>VIS24 Australian Art</t>
  </si>
  <si>
    <t>VSW31 Fine Art Studio Practice</t>
  </si>
  <si>
    <t>VSW330 Fine Art Concepts and Contexts</t>
  </si>
  <si>
    <t>VSW210 Fine Art Studio Strategies</t>
  </si>
  <si>
    <t>VSW220 Fine Art Studio Processes</t>
  </si>
  <si>
    <t>EDS133 Curriculum and Instruction Lower Secondary: English</t>
  </si>
  <si>
    <t>ENG100 Introduction to Cultural Studies</t>
  </si>
  <si>
    <t>EDS365 Curriculum and Instruction Senior Secondary: English</t>
  </si>
  <si>
    <t>ENG200 Genre and Classic Texts</t>
  </si>
  <si>
    <t>ENG210 Reading Gender</t>
  </si>
  <si>
    <t>ENG300 Decolonising Place</t>
  </si>
  <si>
    <t>ENG310 Textual Futures</t>
  </si>
  <si>
    <t>COM155 Culture to Cultures</t>
  </si>
  <si>
    <t>EDS144 Curriculum and Instruction Lower Secondary: Humanities and Social Sciences</t>
  </si>
  <si>
    <t>GPH100 Human Geography</t>
  </si>
  <si>
    <t>EDS375 Curriculum and Instruction Senior Secondary: Humanities and Social Sciences</t>
  </si>
  <si>
    <t>GPH110 Physical Geography</t>
  </si>
  <si>
    <t>Choose GEOG2005 or PHGY2001</t>
  </si>
  <si>
    <t>Choose GEOG2004 or GEOG2003</t>
  </si>
  <si>
    <t>GPH300 Sustainable Livelihoods</t>
  </si>
  <si>
    <t>Choose PHGY3001 or GEOG3002</t>
  </si>
  <si>
    <t>GPH210 Fieldwork Skills</t>
  </si>
  <si>
    <t>GPH230 Natural Hazards</t>
  </si>
  <si>
    <t>GPH220 Geographies of Migration</t>
  </si>
  <si>
    <t>GPH200 Geographies of Food Security</t>
  </si>
  <si>
    <t>GPH320 Urban Geographies</t>
  </si>
  <si>
    <t>GPH311 Cultural Landscapes</t>
  </si>
  <si>
    <t>Row Labels</t>
  </si>
  <si>
    <t>OpenUnis SP 1</t>
  </si>
  <si>
    <t>OpenUnis SP 2</t>
  </si>
  <si>
    <t>OpenUnis SP 3</t>
  </si>
  <si>
    <t>OpenUnis SP 4</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</si>
  <si>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</si>
  <si>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</si>
  <si>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</si>
  <si>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</si>
  <si>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</si>
  <si>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</si>
  <si>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</si>
  <si>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</si>
  <si>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</si>
  <si>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Previous</t>
  </si>
  <si>
    <t>2026 Availabilities</t>
  </si>
  <si>
    <t>2026 Full-Time Enrolment Planner</t>
  </si>
  <si>
    <t>EDC121 + EDC145 + EDC163</t>
  </si>
  <si>
    <t>Planned</t>
  </si>
  <si>
    <t>v.2</t>
  </si>
  <si>
    <t>EDUC1040</t>
  </si>
  <si>
    <t>EDUC1040 English: The Early Years</t>
  </si>
  <si>
    <t>EDEC2030</t>
  </si>
  <si>
    <t>EDEC2030 Literacies for Young Children: Birth to 4-Year-Olds</t>
  </si>
  <si>
    <t>EDEC2032</t>
  </si>
  <si>
    <t>EDEC2032 Mathematics during the First Five Years of Life</t>
  </si>
  <si>
    <t>EDEC2034</t>
  </si>
  <si>
    <t>EDEC2034 Early Childhood Professional Experience: Learning Environments for Birth to 4-year-olds</t>
  </si>
  <si>
    <t>Choose an Option for Level 2</t>
  </si>
  <si>
    <t>EDEC3032</t>
  </si>
  <si>
    <t>EDEC3032 Early Childhood Professional Experience: Formal Learning Environments for 5 to 8-year-olds</t>
  </si>
  <si>
    <t>EDEC3028</t>
  </si>
  <si>
    <t>EDEC3028 Mathematics for the Early Years</t>
  </si>
  <si>
    <t>EDEC3030</t>
  </si>
  <si>
    <t>EDEC3030 Language, Literacy and Literature for 3 to 5-Year-Olds</t>
  </si>
  <si>
    <t>EDUC2002</t>
  </si>
  <si>
    <t>EDUC2002 English: Teaching Reading and Writing</t>
  </si>
  <si>
    <t>Choose an Option for Level 4</t>
  </si>
  <si>
    <t>EDPR2009</t>
  </si>
  <si>
    <t>EDPR2009 Theory in Practice: Inclusion and Differentiation</t>
  </si>
  <si>
    <t>EDPR2019</t>
  </si>
  <si>
    <t>EDPR2019 Primary Professional Experience 1: Introduction to Classroom Skills</t>
  </si>
  <si>
    <t>EDPR2021</t>
  </si>
  <si>
    <t>EDPR2021 Primary Professional Experience 2: Classroom Skills for Diversity and Inclusion</t>
  </si>
  <si>
    <t>EDP311 Policy in Practice: The Classroom in Context</t>
  </si>
  <si>
    <t>EDPR3017</t>
  </si>
  <si>
    <t>EDPR3017 English: Extending Reading and Writing</t>
  </si>
  <si>
    <t>EDPR3019</t>
  </si>
  <si>
    <t>EDPR3019 Primary Professional Experience 3: Advanced Classroom Skills</t>
  </si>
  <si>
    <t>Choose a Teaching Area Stream.</t>
  </si>
  <si>
    <t>Stream</t>
  </si>
  <si>
    <t>OUSU-CATHL</t>
  </si>
  <si>
    <t>Catholic Education Stream (BEdPri OpenUnis)</t>
  </si>
  <si>
    <t>OUSU-ENGLL</t>
  </si>
  <si>
    <t>English Language and Literacy Stream (BEdPri OpenUnis)</t>
  </si>
  <si>
    <t>OUSU-HLTPE</t>
  </si>
  <si>
    <t>Health and Physical Education Stream (BEdPri OpenUnis)</t>
  </si>
  <si>
    <t>OUSU-ISTEM</t>
  </si>
  <si>
    <t>iSTEM Stream (BEdPri OpenUnis)</t>
  </si>
  <si>
    <t>OUSU-LITNU</t>
  </si>
  <si>
    <t>Literacy and Numeracy in Diverse Populations Stream (BEdPri OpenUnis)</t>
  </si>
  <si>
    <t>OUSU-TECHS</t>
  </si>
  <si>
    <t>Technologies Stream (BEdPri OpenUnis)</t>
  </si>
  <si>
    <t>TableStreams</t>
  </si>
  <si>
    <t xml:space="preserve">75 credit points required </t>
  </si>
  <si>
    <t>EDE310 Early Childhood Professional Experience: Learning Environments for 3 to 5-year-olds</t>
  </si>
  <si>
    <t>CWRI1008</t>
  </si>
  <si>
    <t>CWRI1008 Engaging Narrative</t>
  </si>
  <si>
    <t>EDSC4036</t>
  </si>
  <si>
    <t>LANG1002</t>
  </si>
  <si>
    <t>LANG1002 Introduction to Creative and Professional Writing</t>
  </si>
  <si>
    <t>English: The Early Years</t>
  </si>
  <si>
    <t>Literacies for Young Children: Birth to 4-Year-Olds</t>
  </si>
  <si>
    <t>Early Childhood Professional Experience: Learning Environments for Birth to 4-year-olds</t>
  </si>
  <si>
    <t>Early Childhood Professional Experience: Formal Learning Environments for 5 to 8-year-olds</t>
  </si>
  <si>
    <t>Early Childhood Professional Experience: Learning Environments for 3 to 5-year-olds</t>
  </si>
  <si>
    <t>Language, Literacy and Literature for 3 to 5-Year-Olds</t>
  </si>
  <si>
    <t>English: Teaching Reading and Writing</t>
  </si>
  <si>
    <t>Theory in Practice: Inclusion and Differentiation</t>
  </si>
  <si>
    <t>Primary Professional Experience 1: Introduction to Classroom Skills</t>
  </si>
  <si>
    <t>Primary Professional Experience 2: Classroom Skills for Diversity and Inclusion</t>
  </si>
  <si>
    <t>Policy in Practice: The Classroom in Context</t>
  </si>
  <si>
    <t>English: Extending Reading and Writing</t>
  </si>
  <si>
    <t>Primary Professional Experience 3: Advanced Classroom Skills</t>
  </si>
  <si>
    <t>CWRI1004.DE</t>
  </si>
  <si>
    <t>Deactivating 31/12/2025</t>
  </si>
  <si>
    <t>EDEC3019.PO</t>
  </si>
  <si>
    <t>Phasing Out</t>
  </si>
  <si>
    <t>New Version</t>
  </si>
  <si>
    <t>EDPR3007.PO</t>
  </si>
  <si>
    <t>English: Researching the Field</t>
  </si>
  <si>
    <t>EDPR4004.PO</t>
  </si>
  <si>
    <t>OUMU-ENGL1.PO</t>
  </si>
  <si>
    <t>RangeStreams</t>
  </si>
  <si>
    <t>Choose your Stream (drop-down list)</t>
  </si>
  <si>
    <t>Stream version:</t>
  </si>
  <si>
    <t>Stream Subjects</t>
  </si>
  <si>
    <t>Teaching Area Stream:</t>
  </si>
  <si>
    <t>Some units not actually updated in SM structure lists yet, not even discontinued date (e.g. EDPR4004)</t>
  </si>
  <si>
    <t>TAS</t>
  </si>
  <si>
    <t>Study one subject from your Teaching Area Stream (see below)</t>
  </si>
  <si>
    <t>EDEC2020.DE</t>
  </si>
  <si>
    <t>EDEC2026.DE</t>
  </si>
  <si>
    <t>EDEC3023.DE</t>
  </si>
  <si>
    <t>EDEC3025.DE</t>
  </si>
  <si>
    <t>Deactivating 30/06/2026</t>
  </si>
  <si>
    <t>EDPR2013.DE</t>
  </si>
  <si>
    <t>EDPR2015.DE</t>
  </si>
  <si>
    <t>EDPR3011.DE</t>
  </si>
  <si>
    <t>EDPR3013.DE</t>
  </si>
  <si>
    <t>EDSC4031.DE</t>
  </si>
  <si>
    <t>Deactivating 30/06/2025</t>
  </si>
  <si>
    <t>EDUC1024.DE</t>
  </si>
  <si>
    <t>EDUC2006.DE</t>
  </si>
  <si>
    <t>EDUC2008.DE</t>
  </si>
  <si>
    <t>Secondary Professional Teaching Practice 2</t>
  </si>
  <si>
    <t>Secondary Professional Experience 2</t>
  </si>
  <si>
    <t>Secondary Professional Teaching Practice 3</t>
  </si>
  <si>
    <t>Professional Experience 1</t>
  </si>
  <si>
    <t>Physical Education Pedagogy</t>
  </si>
  <si>
    <t>Primary Physical Education: Curriculum &amp; Assessment</t>
  </si>
  <si>
    <t>Teaching Health Education in Primary Schools</t>
  </si>
  <si>
    <t>PWRP1001.DE</t>
  </si>
  <si>
    <t>SP1 availability coming in 2027</t>
  </si>
  <si>
    <t>SP1 availability coming in 2027.</t>
  </si>
  <si>
    <t>GEOG3003 only available SP2</t>
  </si>
  <si>
    <t>Not Used</t>
  </si>
  <si>
    <t>Choose an Option</t>
  </si>
  <si>
    <t>Still pending Planned courses</t>
  </si>
  <si>
    <t>Pre-reqs (12/01/2026)</t>
  </si>
  <si>
    <t>100CP + EDC175</t>
  </si>
  <si>
    <t>200CP</t>
  </si>
  <si>
    <t>100CP + EDC135</t>
  </si>
  <si>
    <t>150CP + EDUC1040</t>
  </si>
  <si>
    <t>150CP + EDC145</t>
  </si>
  <si>
    <t>350CP</t>
  </si>
  <si>
    <r>
      <t xml:space="preserve">Amended to allow “teaching out” of this unit to existing students who have already successfully completed EDEC2020 EDE220. It will be offered for the final time in OpenUnis SP2 2026. </t>
    </r>
    <r>
      <rPr>
        <b/>
        <sz val="10"/>
        <rFont val="Arial"/>
        <family val="2"/>
      </rPr>
      <t>Deactivating 31/12/2026</t>
    </r>
  </si>
  <si>
    <t>EDEC2034 or EDE360</t>
  </si>
  <si>
    <t>400CP</t>
  </si>
  <si>
    <t>100CP + (EDEC2032 or EDE323)</t>
  </si>
  <si>
    <t>EDEC2030 or EDC121</t>
  </si>
  <si>
    <t>550CP + (EDEC3032 or EDE310)</t>
  </si>
  <si>
    <t>100CP + EDC145</t>
  </si>
  <si>
    <t>100CP + EDC175*</t>
  </si>
  <si>
    <t>See OUA Website</t>
  </si>
  <si>
    <t>300CP + (EDPR2021 or EDC140)</t>
  </si>
  <si>
    <t>150CP + (EDC175 or EDS144)</t>
  </si>
  <si>
    <t>300CP + (EDC153 or EDS155)</t>
  </si>
  <si>
    <t>EDUC2002 or EDC235</t>
  </si>
  <si>
    <t>450CP + (EDPR2021 or EDP227)</t>
  </si>
  <si>
    <t>EDPR3017 or EDP333</t>
  </si>
  <si>
    <t>EDC190 or (EDS110 and EDC163)</t>
  </si>
  <si>
    <t>EDUC1040 or EDC121</t>
  </si>
  <si>
    <t>(EDPR2009 or EDC245)* + (EDPR2019 or EDP210)</t>
  </si>
  <si>
    <t>Secondary Professional Experience 3 (details coming)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</si>
</sst>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2"/>
      <color theme="1"/>
      <name val="Calibri"/>
      <family val="2"/>
      <scheme val="minor"/>
    </font>
    <font>
      <sz val="11"/>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12"/>
      <color rgb="FF000000"/>
      <name val="Calibri"/>
      <family val="2"/>
      <scheme val="minor"/>
    </font>
    <font>
      <b/>
      <sz val="11"/>
      <color theme="0"/>
      <name val="Arial"/>
      <family val="2"/>
    </font>
    <font>
      <sz val="11"/>
      <color theme="0"/>
      <name val="Arial"/>
      <family val="2"/>
    </font>
    <font>
      <b/>
      <sz val="11"/>
      <color rgb="FFFF0000"/>
      <name val="Segoe UI"/>
      <family val="2"/>
    </font>
    <font>
      <b/>
      <sz val="9"/>
      <name val="Segoe UI"/>
      <family val="2"/>
    </font>
    <font>
      <sz val="12"/>
      <color rgb="FFFF0000"/>
      <name val="Calibri"/>
      <family val="2"/>
      <scheme val="minor"/>
    </font>
    <font>
      <b/>
      <i/>
      <sz val="12"/>
      <color rgb="FFC00000"/>
      <name val="Calibri"/>
      <family val="2"/>
      <scheme val="minor"/>
    </font>
    <font>
      <b/>
      <sz val="11"/>
      <color rgb="FFFFFFFF"/>
      <name val="Segoe UI"/>
      <family val="2"/>
    </font>
    <font>
      <b/>
      <sz val="9"/>
      <color rgb="FFFFFFFF"/>
      <name val="Segoe UI"/>
      <family val="2"/>
    </font>
    <font>
      <sz val="9"/>
      <color rgb="FFFFFFFF"/>
      <name val="Segoe UI"/>
      <family val="2"/>
    </font>
    <font>
      <b/>
      <sz val="8"/>
      <color rgb="FFFFFFFF"/>
      <name val="Segoe UI"/>
      <family val="2"/>
    </font>
    <font>
      <b/>
      <sz val="18"/>
      <color theme="1"/>
      <name val="Segoe UI"/>
      <family val="2"/>
    </font>
    <font>
      <b/>
      <i/>
      <sz val="12"/>
      <color theme="0" tint="-0.249977111117893"/>
      <name val="Calibri"/>
      <family val="2"/>
      <scheme val="minor"/>
    </font>
    <font>
      <b/>
      <i/>
      <sz val="10"/>
      <color theme="0" tint="-0.499984740745262"/>
      <name val="Arial"/>
      <family val="2"/>
    </font>
    <font>
      <sz val="12"/>
      <name val="Calibri"/>
      <family val="2"/>
      <scheme val="minor"/>
    </font>
    <font>
      <b/>
      <sz val="8"/>
      <name val="Arial"/>
      <family val="2"/>
    </font>
    <font>
      <b/>
      <sz val="10"/>
      <color rgb="FFFFFFFF"/>
      <name val="Arial"/>
      <family val="2"/>
    </font>
    <font>
      <sz val="12"/>
      <color theme="1"/>
      <name val="Calibri"/>
      <family val="2"/>
      <scheme val="minor"/>
    </font>
    <font>
      <i/>
      <sz val="8"/>
      <color theme="0" tint="-0.34998626667073579"/>
      <name val="Arial"/>
      <family val="2"/>
    </font>
    <font>
      <b/>
      <sz val="11"/>
      <color theme="0"/>
      <name val="Segoe UI"/>
      <family val="2"/>
    </font>
    <font>
      <b/>
      <sz val="11"/>
      <name val="Segoe UI"/>
      <family val="2"/>
    </font>
    <font>
      <b/>
      <sz val="11"/>
      <color theme="7" tint="-0.249977111117893"/>
      <name val="Segoe UI"/>
      <family val="2"/>
    </font>
    <font>
      <b/>
      <sz val="9"/>
      <color theme="0"/>
      <name val="Segoe UI"/>
      <family val="2"/>
    </font>
    <font>
      <sz val="11"/>
      <color rgb="FF9C6500"/>
      <name val="Calibri"/>
      <family val="2"/>
      <scheme val="minor"/>
    </font>
    <font>
      <sz val="10"/>
      <color theme="0" tint="-0.499984740745262"/>
      <name val="Arial"/>
      <family val="2"/>
    </font>
    <font>
      <i/>
      <sz val="12"/>
      <color theme="0" tint="-0.499984740745262"/>
      <name val="Calibri"/>
      <family val="2"/>
      <scheme val="minor"/>
    </font>
    <font>
      <b/>
      <sz val="16"/>
      <color theme="1"/>
      <name val="Segoe UI"/>
      <family val="2"/>
    </font>
    <font>
      <sz val="9"/>
      <color theme="0"/>
      <name val="Segoe UI"/>
      <family val="2"/>
    </font>
    <font>
      <sz val="11"/>
      <color rgb="FF006100"/>
      <name val="Calibri"/>
      <family val="2"/>
      <scheme val="minor"/>
    </font>
    <font>
      <sz val="10"/>
      <color rgb="FF00B050"/>
      <name val="Arial"/>
      <family val="2"/>
    </font>
    <font>
      <b/>
      <i/>
      <sz val="12"/>
      <color rgb="FF00B050"/>
      <name val="Calibri"/>
      <family val="2"/>
      <scheme val="minor"/>
    </font>
    <font>
      <sz val="10"/>
      <color theme="1"/>
      <name val="Arial"/>
      <family val="2"/>
    </font>
    <font>
      <sz val="12"/>
      <color rgb="FF000000"/>
      <name val="Calibri"/>
      <family val="2"/>
      <scheme val="minor"/>
    </font>
    <font>
      <b/>
      <i/>
      <sz val="12"/>
      <name val="Calibri"/>
      <family val="2"/>
      <scheme val="minor"/>
    </font>
    <font>
      <b/>
      <sz val="12"/>
      <name val="Calibri"/>
      <family val="2"/>
      <scheme val="minor"/>
    </font>
    <font>
      <sz val="8"/>
      <name val="Calibri"/>
      <family val="2"/>
      <scheme val="minor"/>
    </font>
    <font>
      <b/>
      <sz val="10"/>
      <name val="Segoe UI"/>
      <family val="2"/>
    </font>
    <font>
      <sz val="8"/>
      <color theme="4"/>
      <name val="Arial"/>
      <family val="2"/>
    </font>
    <font>
      <b/>
      <sz val="10"/>
      <name val="Arial"/>
      <family val="2"/>
    </font>
  </fonts>
  <fills count="21">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7" tint="-0.249977111117893"/>
        <bgColor indexed="64"/>
      </patternFill>
    </fill>
    <fill>
      <patternFill patternType="solid">
        <fgColor theme="1"/>
        <bgColor indexed="64"/>
      </patternFill>
    </fill>
    <fill>
      <patternFill patternType="solid">
        <fgColor theme="7" tint="-0.249977111117893"/>
        <bgColor rgb="FF000000"/>
      </patternFill>
    </fill>
    <fill>
      <patternFill patternType="solid">
        <fgColor theme="9" tint="0.79998168889431442"/>
        <bgColor indexed="64"/>
      </patternFill>
    </fill>
    <fill>
      <patternFill patternType="solid">
        <fgColor theme="4" tint="0.79998168889431442"/>
        <bgColor rgb="FF000000"/>
      </patternFill>
    </fill>
    <fill>
      <patternFill patternType="solid">
        <fgColor rgb="FF000000"/>
        <bgColor rgb="FF000000"/>
      </patternFill>
    </fill>
    <fill>
      <patternFill patternType="solid">
        <fgColor rgb="FFFFEB9C"/>
      </patternFill>
    </fill>
    <fill>
      <patternFill patternType="solid">
        <fgColor theme="0" tint="-0.14999847407452621"/>
        <bgColor indexed="64"/>
      </patternFill>
    </fill>
    <fill>
      <patternFill patternType="solid">
        <fgColor rgb="FFC6EFCE"/>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s>
  <borders count="4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style="thin">
        <color rgb="FFD9D9D9"/>
      </left>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0" tint="-0.14993743705557422"/>
      </bottom>
      <diagonal/>
    </border>
    <border>
      <left/>
      <right style="thin">
        <color rgb="FFD9D9D9"/>
      </right>
      <top/>
      <bottom/>
      <diagonal/>
    </border>
    <border>
      <left style="thin">
        <color theme="0" tint="-0.14990691854609822"/>
      </left>
      <right style="thin">
        <color theme="0" tint="-0.14990691854609822"/>
      </right>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rgb="FFD9D9D9"/>
      </left>
      <right style="thin">
        <color theme="0" tint="-0.14990691854609822"/>
      </right>
      <top/>
      <bottom style="thin">
        <color theme="0" tint="-0.14993743705557422"/>
      </bottom>
      <diagonal/>
    </border>
    <border>
      <left style="thin">
        <color theme="0" tint="-0.14990691854609822"/>
      </left>
      <right style="thin">
        <color rgb="FFD9D9D9"/>
      </right>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8764000366222"/>
      </left>
      <right style="thin">
        <color theme="0" tint="-0.14990691854609822"/>
      </right>
      <top/>
      <bottom style="thin">
        <color theme="0" tint="-0.1499374370555742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
    <xf numFmtId="0" fontId="0" fillId="0" borderId="0"/>
    <xf numFmtId="0" fontId="2" fillId="0" borderId="0"/>
    <xf numFmtId="0" fontId="25" fillId="0" borderId="0" applyNumberFormat="0" applyFill="0" applyBorder="0" applyAlignment="0" applyProtection="0"/>
    <xf numFmtId="0" fontId="10" fillId="0" borderId="0"/>
    <xf numFmtId="0" fontId="52" fillId="0" borderId="0"/>
    <xf numFmtId="0" fontId="1" fillId="0" borderId="0"/>
    <xf numFmtId="0" fontId="52" fillId="0" borderId="0"/>
    <xf numFmtId="0" fontId="58" fillId="15" borderId="0" applyNumberFormat="0" applyBorder="0" applyAlignment="0" applyProtection="0"/>
    <xf numFmtId="0" fontId="63" fillId="17" borderId="0" applyNumberFormat="0" applyBorder="0" applyAlignment="0" applyProtection="0"/>
  </cellStyleXfs>
  <cellXfs count="368">
    <xf numFmtId="0" fontId="0" fillId="0" borderId="0" xfId="0"/>
    <xf numFmtId="0" fontId="3" fillId="3" borderId="1" xfId="0" applyFont="1" applyFill="1" applyBorder="1"/>
    <xf numFmtId="0" fontId="3" fillId="3" borderId="3"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xf>
    <xf numFmtId="0" fontId="7" fillId="0" borderId="0" xfId="0" applyFont="1"/>
    <xf numFmtId="0" fontId="7" fillId="0" borderId="0" xfId="0" applyFont="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right"/>
    </xf>
    <xf numFmtId="0" fontId="6" fillId="0" borderId="0" xfId="0" applyFont="1" applyAlignment="1">
      <alignment horizontal="right"/>
    </xf>
    <xf numFmtId="0" fontId="7" fillId="0" borderId="0" xfId="0" applyFont="1" applyAlignment="1">
      <alignment horizontal="right"/>
    </xf>
    <xf numFmtId="0" fontId="3" fillId="3" borderId="3" xfId="0" applyFont="1" applyFill="1" applyBorder="1" applyAlignment="1">
      <alignment horizontal="right" vertical="center"/>
    </xf>
    <xf numFmtId="0" fontId="3" fillId="4" borderId="2" xfId="0" applyFont="1" applyFill="1" applyBorder="1" applyAlignment="1">
      <alignment horizontal="right" vertical="center"/>
    </xf>
    <xf numFmtId="0" fontId="3" fillId="3" borderId="2" xfId="0" applyFont="1" applyFill="1" applyBorder="1" applyAlignment="1">
      <alignment horizontal="right" vertical="center"/>
    </xf>
    <xf numFmtId="0" fontId="10" fillId="0" borderId="0" xfId="0" applyFont="1" applyAlignment="1">
      <alignment horizontal="left"/>
    </xf>
    <xf numFmtId="0" fontId="14" fillId="0" borderId="0" xfId="0" applyFont="1" applyAlignment="1">
      <alignment horizontal="left"/>
    </xf>
    <xf numFmtId="0" fontId="12" fillId="0" borderId="0" xfId="0" applyFont="1"/>
    <xf numFmtId="0" fontId="13" fillId="0" borderId="0" xfId="0" applyFont="1"/>
    <xf numFmtId="0" fontId="11" fillId="0" borderId="0" xfId="0" applyFont="1" applyAlignment="1">
      <alignment horizontal="center" vertical="center"/>
    </xf>
    <xf numFmtId="0" fontId="3" fillId="3" borderId="1" xfId="0" applyFont="1" applyFill="1" applyBorder="1" applyAlignment="1">
      <alignment horizontal="center" vertical="center"/>
    </xf>
    <xf numFmtId="0" fontId="2" fillId="0" borderId="0" xfId="1"/>
    <xf numFmtId="0" fontId="2" fillId="0" borderId="0" xfId="1" applyAlignment="1">
      <alignment horizontal="center"/>
    </xf>
    <xf numFmtId="0" fontId="2" fillId="0" borderId="0" xfId="1" applyProtection="1">
      <protection locked="0"/>
    </xf>
    <xf numFmtId="0" fontId="22" fillId="2" borderId="0" xfId="1" applyFont="1" applyFill="1" applyAlignment="1" applyProtection="1">
      <alignment vertical="center"/>
      <protection locked="0"/>
    </xf>
    <xf numFmtId="0" fontId="22" fillId="2" borderId="0" xfId="1" applyFont="1" applyFill="1" applyAlignment="1">
      <alignment vertical="center"/>
    </xf>
    <xf numFmtId="0" fontId="22" fillId="2" borderId="0" xfId="1" applyFont="1" applyFill="1" applyAlignment="1" applyProtection="1">
      <alignment wrapText="1"/>
      <protection locked="0"/>
    </xf>
    <xf numFmtId="0" fontId="22" fillId="2" borderId="0" xfId="1" applyFont="1" applyFill="1" applyAlignment="1">
      <alignment wrapText="1"/>
    </xf>
    <xf numFmtId="0" fontId="22" fillId="2" borderId="0" xfId="1" applyFont="1" applyFill="1" applyProtection="1">
      <protection locked="0"/>
    </xf>
    <xf numFmtId="0" fontId="22" fillId="2" borderId="0" xfId="1" applyFont="1" applyFill="1"/>
    <xf numFmtId="0" fontId="29" fillId="2" borderId="0" xfId="1" applyFont="1" applyFill="1" applyProtection="1">
      <protection locked="0"/>
    </xf>
    <xf numFmtId="0" fontId="29" fillId="2" borderId="0" xfId="1" applyFont="1" applyFill="1"/>
    <xf numFmtId="0" fontId="12" fillId="2" borderId="0" xfId="1" applyFont="1" applyFill="1" applyProtection="1">
      <protection locked="0"/>
    </xf>
    <xf numFmtId="0" fontId="12" fillId="2" borderId="0" xfId="1" applyFont="1" applyFill="1"/>
    <xf numFmtId="0" fontId="2" fillId="0" borderId="0" xfId="1" applyAlignment="1" applyProtection="1">
      <alignment horizontal="center" vertical="top"/>
      <protection locked="0"/>
    </xf>
    <xf numFmtId="0" fontId="2" fillId="0" borderId="0" xfId="1" applyAlignment="1">
      <alignment horizontal="center" vertical="top"/>
    </xf>
    <xf numFmtId="0" fontId="15" fillId="0" borderId="0" xfId="0" applyFont="1"/>
    <xf numFmtId="0" fontId="35" fillId="0" borderId="0" xfId="0" applyFont="1" applyAlignment="1">
      <alignment horizontal="left"/>
    </xf>
    <xf numFmtId="0" fontId="3" fillId="3" borderId="1" xfId="0" applyFont="1" applyFill="1" applyBorder="1" applyAlignment="1">
      <alignment horizontal="right" vertical="center"/>
    </xf>
    <xf numFmtId="0" fontId="19" fillId="2" borderId="18" xfId="1" applyFont="1" applyFill="1" applyBorder="1" applyAlignment="1" applyProtection="1">
      <alignment horizontal="center" vertical="center" wrapText="1"/>
      <protection locked="0"/>
    </xf>
    <xf numFmtId="0" fontId="19" fillId="0" borderId="18" xfId="1" applyFont="1" applyBorder="1" applyAlignment="1" applyProtection="1">
      <alignment horizontal="center" vertical="center" wrapText="1"/>
      <protection locked="0"/>
    </xf>
    <xf numFmtId="0" fontId="41" fillId="0" borderId="0" xfId="0" applyFont="1"/>
    <xf numFmtId="0" fontId="41" fillId="0" borderId="0" xfId="0" applyFont="1" applyAlignment="1">
      <alignment horizontal="center"/>
    </xf>
    <xf numFmtId="0" fontId="0" fillId="0" borderId="20" xfId="0" applyBorder="1" applyAlignment="1">
      <alignment horizontal="center"/>
    </xf>
    <xf numFmtId="0" fontId="40" fillId="0" borderId="0" xfId="0" applyFont="1" applyAlignment="1">
      <alignment horizontal="right" wrapText="1"/>
    </xf>
    <xf numFmtId="0" fontId="47" fillId="0" borderId="0" xfId="0" applyFont="1" applyAlignment="1">
      <alignment horizontal="right"/>
    </xf>
    <xf numFmtId="0" fontId="26" fillId="7" borderId="0" xfId="2" applyFont="1" applyFill="1" applyAlignment="1" applyProtection="1">
      <alignment vertical="center"/>
    </xf>
    <xf numFmtId="0" fontId="25" fillId="7" borderId="0" xfId="2" applyFill="1" applyAlignment="1" applyProtection="1">
      <alignment vertical="center"/>
    </xf>
    <xf numFmtId="0" fontId="0" fillId="0" borderId="0" xfId="0" applyAlignment="1">
      <alignment wrapText="1"/>
    </xf>
    <xf numFmtId="0" fontId="0" fillId="0" borderId="0" xfId="0" applyAlignment="1">
      <alignment horizontal="center" wrapText="1"/>
    </xf>
    <xf numFmtId="0" fontId="0" fillId="0" borderId="20" xfId="0" applyBorder="1" applyAlignment="1">
      <alignment horizontal="center" wrapText="1"/>
    </xf>
    <xf numFmtId="0" fontId="9" fillId="0" borderId="0" xfId="1" applyFont="1" applyAlignment="1">
      <alignment horizontal="center"/>
    </xf>
    <xf numFmtId="0" fontId="16" fillId="0" borderId="0" xfId="1" applyFont="1" applyAlignment="1">
      <alignment horizontal="center"/>
    </xf>
    <xf numFmtId="0" fontId="16" fillId="0" borderId="0" xfId="1" applyFont="1"/>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8" fillId="0" borderId="0" xfId="0" applyFont="1" applyAlignment="1">
      <alignment horizontal="left"/>
    </xf>
    <xf numFmtId="14" fontId="0" fillId="0" borderId="0" xfId="0" applyNumberFormat="1"/>
    <xf numFmtId="0" fontId="4" fillId="12" borderId="8" xfId="0" applyFont="1" applyFill="1" applyBorder="1" applyAlignment="1">
      <alignment horizontal="center" vertical="center"/>
    </xf>
    <xf numFmtId="0" fontId="49" fillId="0" borderId="0" xfId="0" applyFont="1"/>
    <xf numFmtId="0" fontId="51" fillId="14" borderId="0" xfId="0" applyFont="1" applyFill="1" applyAlignment="1">
      <alignment horizontal="left"/>
    </xf>
    <xf numFmtId="0" fontId="51" fillId="14" borderId="0" xfId="0" applyFont="1" applyFill="1"/>
    <xf numFmtId="0" fontId="10" fillId="0" borderId="0" xfId="3" pivotButton="1"/>
    <xf numFmtId="0" fontId="10" fillId="0" borderId="0" xfId="3" applyAlignment="1">
      <alignment horizontal="left"/>
    </xf>
    <xf numFmtId="14" fontId="4" fillId="0" borderId="6" xfId="0" applyNumberFormat="1" applyFont="1" applyBorder="1" applyAlignment="1">
      <alignment horizontal="center" vertical="center"/>
    </xf>
    <xf numFmtId="14" fontId="4" fillId="0" borderId="4" xfId="0" applyNumberFormat="1" applyFont="1" applyBorder="1" applyAlignment="1">
      <alignment horizontal="center" vertical="center"/>
    </xf>
    <xf numFmtId="0" fontId="4" fillId="0" borderId="8" xfId="0" quotePrefix="1" applyFont="1" applyBorder="1" applyAlignment="1">
      <alignment horizontal="center" vertical="center"/>
    </xf>
    <xf numFmtId="0" fontId="10" fillId="5" borderId="0" xfId="0" applyFont="1" applyFill="1" applyAlignment="1">
      <alignment horizontal="center"/>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23" xfId="0" quotePrefix="1" applyFont="1" applyBorder="1" applyAlignment="1">
      <alignment horizontal="center" vertical="center"/>
    </xf>
    <xf numFmtId="0" fontId="50" fillId="12" borderId="4" xfId="0" applyFont="1" applyFill="1" applyBorder="1"/>
    <xf numFmtId="0" fontId="50" fillId="12" borderId="5" xfId="0" applyFont="1" applyFill="1" applyBorder="1" applyAlignment="1">
      <alignment horizontal="right" vertical="center"/>
    </xf>
    <xf numFmtId="0" fontId="50" fillId="12" borderId="4" xfId="0" applyFont="1" applyFill="1" applyBorder="1" applyAlignment="1">
      <alignment horizontal="center" vertical="center"/>
    </xf>
    <xf numFmtId="0" fontId="4" fillId="12" borderId="5" xfId="0" quotePrefix="1" applyFont="1" applyFill="1" applyBorder="1" applyAlignment="1">
      <alignment horizontal="center" vertical="center"/>
    </xf>
    <xf numFmtId="0" fontId="40" fillId="0" borderId="0" xfId="0" applyFont="1"/>
    <xf numFmtId="0" fontId="53" fillId="0" borderId="7" xfId="0" applyFont="1" applyBorder="1" applyAlignment="1">
      <alignment horizontal="center" vertical="center"/>
    </xf>
    <xf numFmtId="0" fontId="53" fillId="0" borderId="8" xfId="0" applyFont="1" applyBorder="1" applyAlignment="1">
      <alignment horizontal="center" vertical="center"/>
    </xf>
    <xf numFmtId="0" fontId="50" fillId="13" borderId="24" xfId="0" applyFont="1" applyFill="1" applyBorder="1" applyAlignment="1">
      <alignment horizontal="right" vertical="center"/>
    </xf>
    <xf numFmtId="0" fontId="4" fillId="0" borderId="24" xfId="0" quotePrefix="1" applyFont="1" applyBorder="1" applyAlignment="1">
      <alignment horizontal="center" vertical="center"/>
    </xf>
    <xf numFmtId="0" fontId="4" fillId="0" borderId="22" xfId="0" applyFont="1" applyBorder="1" applyAlignment="1">
      <alignment horizontal="center" vertical="center"/>
    </xf>
    <xf numFmtId="0" fontId="4" fillId="0" borderId="25" xfId="0" applyFont="1" applyBorder="1" applyAlignment="1">
      <alignment horizontal="center" vertical="center"/>
    </xf>
    <xf numFmtId="14" fontId="49" fillId="0" borderId="0" xfId="0" applyNumberFormat="1" applyFont="1"/>
    <xf numFmtId="0" fontId="36" fillId="9" borderId="0" xfId="1" applyFont="1" applyFill="1" applyAlignment="1">
      <alignment vertical="center" wrapText="1"/>
    </xf>
    <xf numFmtId="0" fontId="18" fillId="2" borderId="0" xfId="1" applyFont="1" applyFill="1" applyAlignment="1">
      <alignment horizontal="right" vertical="center" indent="1"/>
    </xf>
    <xf numFmtId="0" fontId="19" fillId="2" borderId="0" xfId="1" applyFont="1" applyFill="1" applyAlignment="1">
      <alignment horizontal="right" vertical="center" indent="1"/>
    </xf>
    <xf numFmtId="0" fontId="55" fillId="2" borderId="0" xfId="1" applyFont="1" applyFill="1" applyAlignment="1">
      <alignment vertical="center"/>
    </xf>
    <xf numFmtId="0" fontId="18" fillId="2" borderId="0" xfId="1" applyFont="1" applyFill="1" applyAlignment="1">
      <alignment vertical="center"/>
    </xf>
    <xf numFmtId="0" fontId="18" fillId="2" borderId="0" xfId="1" applyFont="1" applyFill="1" applyAlignment="1">
      <alignment horizontal="right" vertical="center"/>
    </xf>
    <xf numFmtId="0" fontId="18" fillId="2" borderId="0" xfId="1" applyFont="1" applyFill="1" applyAlignment="1">
      <alignment horizontal="left" vertical="center"/>
    </xf>
    <xf numFmtId="0" fontId="18" fillId="2" borderId="0" xfId="1" applyFont="1" applyFill="1" applyAlignment="1">
      <alignment horizontal="left" vertical="center" indent="1"/>
    </xf>
    <xf numFmtId="0" fontId="19" fillId="2" borderId="0" xfId="1" applyFont="1" applyFill="1" applyAlignment="1">
      <alignment horizontal="left" vertical="center" wrapText="1"/>
    </xf>
    <xf numFmtId="0" fontId="19" fillId="0" borderId="0" xfId="1" applyFont="1" applyAlignment="1">
      <alignment vertical="top" wrapText="1"/>
    </xf>
    <xf numFmtId="0" fontId="20" fillId="10" borderId="0" xfId="1" applyFont="1" applyFill="1" applyAlignment="1">
      <alignment horizontal="center" vertical="center"/>
    </xf>
    <xf numFmtId="0" fontId="20" fillId="10" borderId="0" xfId="1" applyFont="1" applyFill="1" applyAlignment="1">
      <alignment horizontal="left" vertical="center" indent="1"/>
    </xf>
    <xf numFmtId="0" fontId="20" fillId="10" borderId="0" xfId="1" applyFont="1" applyFill="1" applyAlignment="1">
      <alignment vertical="center"/>
    </xf>
    <xf numFmtId="0" fontId="20" fillId="10" borderId="19" xfId="1" applyFont="1" applyFill="1" applyBorder="1" applyAlignment="1">
      <alignment horizontal="left" vertical="center"/>
    </xf>
    <xf numFmtId="0" fontId="20" fillId="10" borderId="0" xfId="1" applyFont="1" applyFill="1" applyAlignment="1">
      <alignment horizontal="left" vertical="center"/>
    </xf>
    <xf numFmtId="0" fontId="20" fillId="10" borderId="15" xfId="1" applyFont="1" applyFill="1" applyBorder="1" applyAlignment="1">
      <alignment horizontal="left" vertical="center"/>
    </xf>
    <xf numFmtId="0" fontId="21" fillId="2" borderId="0" xfId="1" applyFont="1" applyFill="1" applyAlignment="1">
      <alignment vertical="center"/>
    </xf>
    <xf numFmtId="0" fontId="20" fillId="10" borderId="0" xfId="1" applyFont="1" applyFill="1" applyAlignment="1">
      <alignment horizontal="center" vertical="center" wrapText="1"/>
    </xf>
    <xf numFmtId="0" fontId="19" fillId="2" borderId="16" xfId="1" applyFont="1" applyFill="1" applyBorder="1" applyAlignment="1">
      <alignment horizontal="center" vertical="center" wrapText="1"/>
    </xf>
    <xf numFmtId="0" fontId="19" fillId="2" borderId="17" xfId="1" applyFont="1" applyFill="1" applyBorder="1" applyAlignment="1">
      <alignment horizontal="center" vertical="center" wrapText="1"/>
    </xf>
    <xf numFmtId="0" fontId="19" fillId="2" borderId="17" xfId="1" applyFont="1" applyFill="1" applyBorder="1" applyAlignment="1">
      <alignment vertical="center" wrapText="1"/>
    </xf>
    <xf numFmtId="0" fontId="22" fillId="2" borderId="17" xfId="1" applyFont="1" applyFill="1" applyBorder="1" applyAlignment="1">
      <alignment horizontal="center" vertical="center" wrapText="1"/>
    </xf>
    <xf numFmtId="0" fontId="23" fillId="0" borderId="0" xfId="1" applyFont="1" applyAlignment="1">
      <alignment horizontal="center" vertical="center" wrapText="1"/>
    </xf>
    <xf numFmtId="0" fontId="21" fillId="2" borderId="0" xfId="1" applyFont="1" applyFill="1" applyAlignment="1">
      <alignment wrapText="1"/>
    </xf>
    <xf numFmtId="0" fontId="19" fillId="0" borderId="17" xfId="1" applyFont="1" applyBorder="1" applyAlignment="1">
      <alignment horizontal="center" vertical="center" wrapText="1"/>
    </xf>
    <xf numFmtId="0" fontId="23" fillId="12" borderId="0" xfId="1" applyFont="1" applyFill="1" applyAlignment="1">
      <alignment horizontal="center" vertical="center" wrapText="1"/>
    </xf>
    <xf numFmtId="0" fontId="21" fillId="2" borderId="0" xfId="1" applyFont="1" applyFill="1"/>
    <xf numFmtId="0" fontId="20" fillId="10" borderId="0" xfId="1" applyFont="1" applyFill="1" applyAlignment="1">
      <alignment horizontal="left" vertical="center" wrapText="1"/>
    </xf>
    <xf numFmtId="0" fontId="21" fillId="2" borderId="0" xfId="1" applyFont="1" applyFill="1" applyAlignment="1">
      <alignment horizontal="center" vertical="center"/>
    </xf>
    <xf numFmtId="0" fontId="19" fillId="0" borderId="17" xfId="1" applyFont="1" applyBorder="1" applyAlignment="1">
      <alignment vertical="center" wrapText="1"/>
    </xf>
    <xf numFmtId="0" fontId="19" fillId="0" borderId="16" xfId="1" applyFont="1" applyBorder="1" applyAlignment="1">
      <alignment horizontal="center" vertical="center" wrapText="1"/>
    </xf>
    <xf numFmtId="0" fontId="19" fillId="0" borderId="17" xfId="1" applyFont="1" applyBorder="1" applyAlignment="1">
      <alignment horizontal="left" vertical="center" wrapText="1"/>
    </xf>
    <xf numFmtId="0" fontId="22" fillId="0" borderId="17" xfId="1" applyFont="1" applyBorder="1" applyAlignment="1">
      <alignment horizontal="center" vertical="center" wrapText="1"/>
    </xf>
    <xf numFmtId="0" fontId="30" fillId="2" borderId="0" xfId="1" applyFont="1" applyFill="1" applyAlignment="1">
      <alignment horizontal="left" vertical="center" wrapText="1"/>
    </xf>
    <xf numFmtId="0" fontId="31" fillId="2" borderId="0" xfId="1" applyFont="1" applyFill="1" applyAlignment="1">
      <alignment horizontal="left" vertical="center" wrapText="1"/>
    </xf>
    <xf numFmtId="0" fontId="32" fillId="2" borderId="0" xfId="1" applyFont="1" applyFill="1" applyAlignment="1">
      <alignment vertical="center"/>
    </xf>
    <xf numFmtId="0" fontId="33" fillId="2" borderId="0" xfId="1" applyFont="1" applyFill="1" applyAlignment="1">
      <alignment horizontal="center" vertical="center"/>
    </xf>
    <xf numFmtId="0" fontId="33" fillId="2" borderId="0" xfId="1" applyFont="1" applyFill="1"/>
    <xf numFmtId="0" fontId="42" fillId="11" borderId="0" xfId="0" applyFont="1" applyFill="1" applyAlignment="1">
      <alignment vertical="center" readingOrder="1"/>
    </xf>
    <xf numFmtId="0" fontId="43" fillId="11" borderId="0" xfId="0" applyFont="1" applyFill="1" applyAlignment="1">
      <alignment horizontal="left" vertical="center" readingOrder="1"/>
    </xf>
    <xf numFmtId="0" fontId="44" fillId="11" borderId="0" xfId="0" applyFont="1" applyFill="1" applyAlignment="1">
      <alignment horizontal="left" vertical="center" readingOrder="1"/>
    </xf>
    <xf numFmtId="0" fontId="42" fillId="11" borderId="0" xfId="0" applyFont="1" applyFill="1" applyAlignment="1">
      <alignment horizontal="center" vertical="center" readingOrder="1"/>
    </xf>
    <xf numFmtId="0" fontId="20" fillId="11" borderId="21" xfId="0" applyFont="1" applyFill="1" applyBorder="1" applyAlignment="1">
      <alignment vertical="center" readingOrder="1"/>
    </xf>
    <xf numFmtId="0" fontId="56" fillId="11" borderId="0" xfId="0" applyFont="1" applyFill="1" applyAlignment="1">
      <alignment horizontal="right" vertical="center" readingOrder="1"/>
    </xf>
    <xf numFmtId="0" fontId="2" fillId="0" borderId="0" xfId="1" applyAlignment="1">
      <alignment horizontal="center" vertical="center"/>
    </xf>
    <xf numFmtId="0" fontId="45" fillId="11" borderId="0" xfId="0" applyFont="1" applyFill="1" applyAlignment="1">
      <alignment horizontal="center" vertical="center"/>
    </xf>
    <xf numFmtId="0" fontId="45" fillId="11" borderId="0" xfId="0" applyFont="1" applyFill="1" applyAlignment="1">
      <alignment horizontal="left" vertical="center" readingOrder="1"/>
    </xf>
    <xf numFmtId="0" fontId="34" fillId="0" borderId="16" xfId="1" applyFont="1" applyBorder="1" applyAlignment="1">
      <alignment horizontal="left" vertical="center"/>
    </xf>
    <xf numFmtId="0" fontId="34" fillId="0" borderId="17" xfId="1" applyFont="1" applyBorder="1" applyAlignment="1">
      <alignment horizontal="left" vertical="center"/>
    </xf>
    <xf numFmtId="0" fontId="34" fillId="0" borderId="17" xfId="1" applyFont="1" applyBorder="1" applyAlignment="1">
      <alignment vertical="center"/>
    </xf>
    <xf numFmtId="0" fontId="34" fillId="0" borderId="17" xfId="1" applyFont="1" applyBorder="1" applyAlignment="1">
      <alignment vertical="center" wrapText="1"/>
    </xf>
    <xf numFmtId="0" fontId="34" fillId="0" borderId="17" xfId="1" applyFont="1" applyBorder="1" applyAlignment="1">
      <alignment horizontal="center" vertical="center" wrapText="1"/>
    </xf>
    <xf numFmtId="0" fontId="34" fillId="0" borderId="17" xfId="1" applyFont="1" applyBorder="1" applyAlignment="1">
      <alignment horizontal="center" vertical="center"/>
    </xf>
    <xf numFmtId="0" fontId="28" fillId="2" borderId="0" xfId="1" applyFont="1" applyFill="1"/>
    <xf numFmtId="0" fontId="30" fillId="2" borderId="0" xfId="1" applyFont="1" applyFill="1" applyAlignment="1">
      <alignment vertical="center"/>
    </xf>
    <xf numFmtId="0" fontId="12" fillId="2" borderId="0" xfId="1" applyFont="1" applyFill="1" applyAlignment="1">
      <alignment vertical="center"/>
    </xf>
    <xf numFmtId="0" fontId="32" fillId="2" borderId="0" xfId="1" applyFont="1" applyFill="1" applyAlignment="1">
      <alignment horizontal="right" vertical="center"/>
    </xf>
    <xf numFmtId="0" fontId="18" fillId="2" borderId="0" xfId="1" applyFont="1" applyFill="1" applyAlignment="1" applyProtection="1">
      <alignment vertical="center"/>
      <protection locked="0"/>
    </xf>
    <xf numFmtId="0" fontId="23" fillId="0" borderId="0" xfId="1" applyFont="1" applyAlignment="1">
      <alignment horizontal="left" vertical="top" wrapText="1"/>
    </xf>
    <xf numFmtId="0" fontId="23" fillId="0" borderId="0" xfId="1" applyFont="1" applyAlignment="1">
      <alignment vertical="center" wrapText="1"/>
    </xf>
    <xf numFmtId="0" fontId="10" fillId="0" borderId="0" xfId="3" applyAlignment="1">
      <alignment horizontal="left" textRotation="90"/>
    </xf>
    <xf numFmtId="0" fontId="10" fillId="0" borderId="0" xfId="3" applyAlignment="1">
      <alignment horizontal="center"/>
    </xf>
    <xf numFmtId="0" fontId="59" fillId="0" borderId="0" xfId="0" applyFont="1" applyAlignment="1">
      <alignment horizontal="center"/>
    </xf>
    <xf numFmtId="0" fontId="10" fillId="0" borderId="0" xfId="0" applyFont="1" applyAlignment="1">
      <alignment horizontal="left" textRotation="90"/>
    </xf>
    <xf numFmtId="0" fontId="10" fillId="12" borderId="0" xfId="0" applyFont="1" applyFill="1" applyAlignment="1">
      <alignment horizontal="center"/>
    </xf>
    <xf numFmtId="0" fontId="10" fillId="0" borderId="6" xfId="0" applyFont="1" applyBorder="1" applyAlignment="1">
      <alignment horizontal="left" textRotation="90"/>
    </xf>
    <xf numFmtId="0" fontId="10" fillId="12" borderId="6" xfId="0" applyFont="1" applyFill="1" applyBorder="1" applyAlignment="1">
      <alignment horizontal="center"/>
    </xf>
    <xf numFmtId="0" fontId="10" fillId="0" borderId="0" xfId="0" applyFont="1" applyAlignment="1">
      <alignment wrapText="1"/>
    </xf>
    <xf numFmtId="0" fontId="60" fillId="0" borderId="0" xfId="0" applyFont="1"/>
    <xf numFmtId="0" fontId="20" fillId="10" borderId="0" xfId="1" applyFont="1" applyFill="1" applyAlignment="1">
      <alignment horizontal="left" vertical="center" shrinkToFit="1"/>
    </xf>
    <xf numFmtId="0" fontId="19" fillId="2" borderId="17" xfId="1" applyFont="1" applyFill="1" applyBorder="1" applyAlignment="1">
      <alignment vertical="center" shrinkToFit="1"/>
    </xf>
    <xf numFmtId="0" fontId="19" fillId="0" borderId="17" xfId="1" applyFont="1" applyBorder="1" applyAlignment="1">
      <alignment horizontal="left" vertical="center" shrinkToFit="1"/>
    </xf>
    <xf numFmtId="0" fontId="19" fillId="0" borderId="17" xfId="1" applyFont="1" applyBorder="1" applyAlignment="1">
      <alignment vertical="center" shrinkToFit="1"/>
    </xf>
    <xf numFmtId="0" fontId="31" fillId="2" borderId="0" xfId="1" applyFont="1" applyFill="1" applyAlignment="1">
      <alignment horizontal="left" vertical="center" shrinkToFit="1"/>
    </xf>
    <xf numFmtId="0" fontId="44" fillId="11" borderId="0" xfId="0" applyFont="1" applyFill="1" applyAlignment="1">
      <alignment horizontal="left" vertical="center" shrinkToFit="1"/>
    </xf>
    <xf numFmtId="0" fontId="45" fillId="11" borderId="0" xfId="0" applyFont="1" applyFill="1" applyAlignment="1">
      <alignment horizontal="left" vertical="center" shrinkToFit="1"/>
    </xf>
    <xf numFmtId="0" fontId="34" fillId="0" borderId="17" xfId="1" applyFont="1" applyBorder="1" applyAlignment="1">
      <alignment vertical="center" shrinkToFit="1"/>
    </xf>
    <xf numFmtId="0" fontId="38" fillId="16" borderId="13" xfId="1" applyFont="1" applyFill="1" applyBorder="1" applyAlignment="1">
      <alignment vertical="center"/>
    </xf>
    <xf numFmtId="0" fontId="17" fillId="16" borderId="14" xfId="1" applyFont="1" applyFill="1" applyBorder="1" applyAlignment="1">
      <alignment vertical="center"/>
    </xf>
    <xf numFmtId="0" fontId="46" fillId="16" borderId="14" xfId="1" applyFont="1" applyFill="1" applyBorder="1" applyAlignment="1">
      <alignment horizontal="center" vertical="center"/>
    </xf>
    <xf numFmtId="0" fontId="38" fillId="16" borderId="14" xfId="1" applyFont="1" applyFill="1" applyBorder="1" applyAlignment="1">
      <alignment vertical="center"/>
    </xf>
    <xf numFmtId="0" fontId="61" fillId="16" borderId="14" xfId="1" applyFont="1" applyFill="1" applyBorder="1" applyAlignment="1">
      <alignment horizontal="right" vertical="center"/>
    </xf>
    <xf numFmtId="0" fontId="57" fillId="0" borderId="0" xfId="1" applyFont="1" applyAlignment="1">
      <alignment horizontal="right" vertical="center" wrapText="1"/>
    </xf>
    <xf numFmtId="0" fontId="62" fillId="0" borderId="0" xfId="1" applyFont="1" applyAlignment="1">
      <alignment vertical="top" wrapText="1"/>
    </xf>
    <xf numFmtId="0" fontId="19" fillId="16" borderId="11" xfId="1" applyFont="1" applyFill="1" applyBorder="1" applyAlignment="1">
      <alignment horizontal="center" vertical="center" wrapText="1"/>
    </xf>
    <xf numFmtId="0" fontId="19" fillId="16" borderId="0" xfId="1" applyFont="1" applyFill="1" applyAlignment="1">
      <alignment horizontal="center" vertical="center" wrapText="1"/>
    </xf>
    <xf numFmtId="0" fontId="19" fillId="16" borderId="0" xfId="1" applyFont="1" applyFill="1" applyAlignment="1">
      <alignment vertical="center" shrinkToFit="1"/>
    </xf>
    <xf numFmtId="0" fontId="22" fillId="16" borderId="0" xfId="1" applyFont="1" applyFill="1" applyAlignment="1">
      <alignment horizontal="left" vertical="center" wrapText="1"/>
    </xf>
    <xf numFmtId="0" fontId="19" fillId="16" borderId="15" xfId="1" applyFont="1" applyFill="1" applyBorder="1" applyAlignment="1" applyProtection="1">
      <alignment horizontal="center" vertical="center" wrapText="1"/>
      <protection locked="0"/>
    </xf>
    <xf numFmtId="0" fontId="58" fillId="15" borderId="0" xfId="7"/>
    <xf numFmtId="0" fontId="20" fillId="11" borderId="0" xfId="0" applyFont="1" applyFill="1" applyAlignment="1">
      <alignment vertical="center" readingOrder="1"/>
    </xf>
    <xf numFmtId="0" fontId="54" fillId="11" borderId="27" xfId="0" applyFont="1" applyFill="1" applyBorder="1" applyAlignment="1">
      <alignment vertical="center" readingOrder="1"/>
    </xf>
    <xf numFmtId="0" fontId="19" fillId="16" borderId="0" xfId="1" applyFont="1" applyFill="1" applyAlignment="1">
      <alignment vertical="center" wrapText="1"/>
    </xf>
    <xf numFmtId="0" fontId="45" fillId="11" borderId="26" xfId="0" applyFont="1" applyFill="1" applyBorder="1" applyAlignment="1">
      <alignment horizontal="center" vertical="center"/>
    </xf>
    <xf numFmtId="14" fontId="63" fillId="17" borderId="0" xfId="8" applyNumberFormat="1" applyAlignment="1">
      <alignment horizontal="center"/>
    </xf>
    <xf numFmtId="0" fontId="10" fillId="18" borderId="0" xfId="0" applyFont="1" applyFill="1" applyAlignment="1">
      <alignment horizontal="center"/>
    </xf>
    <xf numFmtId="0" fontId="53" fillId="0" borderId="0" xfId="0" applyFont="1" applyAlignment="1">
      <alignment horizontal="center" vertical="center"/>
    </xf>
    <xf numFmtId="0" fontId="4" fillId="12" borderId="5" xfId="0" applyFont="1" applyFill="1" applyBorder="1" applyAlignment="1">
      <alignment horizontal="center" vertical="center"/>
    </xf>
    <xf numFmtId="0" fontId="4" fillId="0" borderId="10" xfId="0" quotePrefix="1" applyFont="1" applyBorder="1" applyAlignment="1">
      <alignment horizontal="center" vertic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20" fillId="10" borderId="29" xfId="1" applyFont="1" applyFill="1" applyBorder="1" applyAlignment="1">
      <alignment horizontal="center" vertical="center" wrapText="1"/>
    </xf>
    <xf numFmtId="0" fontId="20" fillId="10" borderId="30" xfId="1" applyFont="1" applyFill="1" applyBorder="1" applyAlignment="1">
      <alignment horizontal="center" vertical="center" wrapText="1"/>
    </xf>
    <xf numFmtId="0" fontId="20" fillId="10" borderId="31" xfId="1" applyFont="1" applyFill="1" applyBorder="1" applyAlignment="1">
      <alignment horizontal="center" vertical="center" wrapText="1"/>
    </xf>
    <xf numFmtId="0" fontId="19" fillId="2" borderId="32" xfId="1" applyFont="1" applyFill="1" applyBorder="1" applyAlignment="1">
      <alignment horizontal="center" vertical="center" wrapText="1"/>
    </xf>
    <xf numFmtId="0" fontId="19" fillId="2" borderId="33" xfId="1" applyFont="1" applyFill="1" applyBorder="1" applyAlignment="1">
      <alignment horizontal="center" vertical="center" wrapText="1"/>
    </xf>
    <xf numFmtId="0" fontId="19" fillId="2" borderId="34" xfId="1" applyFont="1" applyFill="1" applyBorder="1" applyAlignment="1">
      <alignment horizontal="center" vertical="center" wrapText="1"/>
    </xf>
    <xf numFmtId="0" fontId="19" fillId="16" borderId="29" xfId="1" applyFont="1" applyFill="1" applyBorder="1" applyAlignment="1">
      <alignment horizontal="center" vertical="center" wrapText="1"/>
    </xf>
    <xf numFmtId="0" fontId="19" fillId="16" borderId="30" xfId="1" applyFont="1" applyFill="1" applyBorder="1" applyAlignment="1">
      <alignment horizontal="center" vertical="center" wrapText="1"/>
    </xf>
    <xf numFmtId="0" fontId="19" fillId="16" borderId="31" xfId="1" applyFont="1" applyFill="1" applyBorder="1" applyAlignment="1">
      <alignment horizontal="center" vertical="center" wrapText="1"/>
    </xf>
    <xf numFmtId="0" fontId="19" fillId="0" borderId="32" xfId="1" applyFont="1" applyBorder="1" applyAlignment="1">
      <alignment horizontal="center" vertical="center" wrapText="1"/>
    </xf>
    <xf numFmtId="0" fontId="19" fillId="0" borderId="33" xfId="1" applyFont="1" applyBorder="1" applyAlignment="1">
      <alignment horizontal="center" vertical="center" wrapText="1"/>
    </xf>
    <xf numFmtId="0" fontId="19" fillId="0" borderId="34" xfId="1" applyFont="1" applyBorder="1" applyAlignment="1">
      <alignment horizontal="center" vertical="center" wrapText="1"/>
    </xf>
    <xf numFmtId="0" fontId="20" fillId="11" borderId="35" xfId="0" applyFont="1" applyFill="1" applyBorder="1" applyAlignment="1">
      <alignment horizontal="center" vertical="center" wrapText="1" readingOrder="1"/>
    </xf>
    <xf numFmtId="0" fontId="20" fillId="11" borderId="28" xfId="0" applyFont="1" applyFill="1" applyBorder="1" applyAlignment="1">
      <alignment horizontal="center" vertical="center" wrapText="1" readingOrder="1"/>
    </xf>
    <xf numFmtId="0" fontId="20" fillId="11" borderId="36" xfId="0" applyFont="1" applyFill="1" applyBorder="1" applyAlignment="1">
      <alignment horizontal="center" vertical="center" wrapText="1" readingOrder="1"/>
    </xf>
    <xf numFmtId="0" fontId="19" fillId="0" borderId="37" xfId="1" applyFont="1" applyBorder="1" applyAlignment="1">
      <alignment horizontal="center" vertical="center" wrapText="1"/>
    </xf>
    <xf numFmtId="0" fontId="19" fillId="2" borderId="37" xfId="1" applyFont="1" applyFill="1" applyBorder="1" applyAlignment="1">
      <alignment horizontal="center" vertical="center" wrapText="1"/>
    </xf>
    <xf numFmtId="0" fontId="27" fillId="2" borderId="0" xfId="1" applyFont="1" applyFill="1" applyAlignment="1">
      <alignment vertical="center"/>
    </xf>
    <xf numFmtId="0" fontId="8" fillId="0" borderId="0" xfId="0" applyFont="1" applyAlignment="1">
      <alignment wrapText="1"/>
    </xf>
    <xf numFmtId="0" fontId="66" fillId="0" borderId="0" xfId="0" applyFont="1"/>
    <xf numFmtId="0" fontId="66" fillId="0" borderId="0" xfId="0" applyFont="1" applyAlignment="1">
      <alignment horizontal="center"/>
    </xf>
    <xf numFmtId="0" fontId="66" fillId="5" borderId="0" xfId="0" applyFont="1" applyFill="1" applyAlignment="1">
      <alignment horizontal="center"/>
    </xf>
    <xf numFmtId="0" fontId="66" fillId="12" borderId="0" xfId="0" applyFont="1" applyFill="1" applyAlignment="1">
      <alignment horizontal="center"/>
    </xf>
    <xf numFmtId="0" fontId="66" fillId="12" borderId="6" xfId="0" applyFont="1" applyFill="1" applyBorder="1" applyAlignment="1">
      <alignment horizontal="center"/>
    </xf>
    <xf numFmtId="0" fontId="5" fillId="12" borderId="5" xfId="0" applyFont="1" applyFill="1" applyBorder="1" applyAlignment="1">
      <alignment horizontal="center" vertical="center"/>
    </xf>
    <xf numFmtId="0" fontId="5" fillId="12" borderId="8"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8" xfId="0" applyFont="1" applyFill="1" applyBorder="1" applyAlignment="1">
      <alignment horizontal="center" vertical="center"/>
    </xf>
    <xf numFmtId="0" fontId="67" fillId="0" borderId="0" xfId="0" applyFont="1"/>
    <xf numFmtId="0" fontId="57" fillId="0" borderId="0" xfId="1" applyFont="1" applyAlignment="1">
      <alignment horizontal="right" vertical="center"/>
    </xf>
    <xf numFmtId="14" fontId="0" fillId="0" borderId="0" xfId="0" applyNumberFormat="1" applyAlignment="1">
      <alignment horizontal="center"/>
    </xf>
    <xf numFmtId="0" fontId="64" fillId="0" borderId="0" xfId="0" applyFont="1" applyAlignment="1">
      <alignment horizontal="center"/>
    </xf>
    <xf numFmtId="0" fontId="8" fillId="0" borderId="0" xfId="0" applyFont="1" applyAlignment="1">
      <alignment horizontal="center"/>
    </xf>
    <xf numFmtId="14" fontId="8" fillId="0" borderId="0" xfId="0" applyNumberFormat="1" applyFont="1" applyAlignment="1">
      <alignment horizontal="center"/>
    </xf>
    <xf numFmtId="0" fontId="8" fillId="0" borderId="0" xfId="0" applyFont="1"/>
    <xf numFmtId="0" fontId="8" fillId="19" borderId="0" xfId="0" applyFont="1" applyFill="1" applyAlignment="1">
      <alignment horizontal="center"/>
    </xf>
    <xf numFmtId="14" fontId="8" fillId="19" borderId="0" xfId="0" applyNumberFormat="1" applyFont="1" applyFill="1" applyAlignment="1">
      <alignment horizontal="center"/>
    </xf>
    <xf numFmtId="0" fontId="0" fillId="8" borderId="0" xfId="0" applyFill="1" applyAlignment="1">
      <alignment horizontal="center"/>
    </xf>
    <xf numFmtId="14" fontId="0" fillId="8" borderId="0" xfId="0" applyNumberFormat="1" applyFill="1" applyAlignment="1">
      <alignment horizontal="center"/>
    </xf>
    <xf numFmtId="0" fontId="68" fillId="19" borderId="0" xfId="0" applyFont="1" applyFill="1" applyAlignment="1">
      <alignment horizontal="center"/>
    </xf>
    <xf numFmtId="14" fontId="68" fillId="19" borderId="0" xfId="0" applyNumberFormat="1" applyFont="1" applyFill="1" applyAlignment="1">
      <alignment horizontal="center"/>
    </xf>
    <xf numFmtId="0" fontId="68" fillId="0" borderId="0" xfId="0" applyFont="1"/>
    <xf numFmtId="0" fontId="68" fillId="0" borderId="0" xfId="0" applyFont="1" applyAlignment="1">
      <alignment horizontal="center"/>
    </xf>
    <xf numFmtId="14" fontId="68" fillId="0" borderId="0" xfId="0" applyNumberFormat="1" applyFont="1" applyAlignment="1">
      <alignment horizontal="center"/>
    </xf>
    <xf numFmtId="0" fontId="69" fillId="0" borderId="0" xfId="0" applyFont="1"/>
    <xf numFmtId="0" fontId="69" fillId="0" borderId="0" xfId="0" applyFont="1" applyAlignment="1">
      <alignment horizontal="right"/>
    </xf>
    <xf numFmtId="14" fontId="69" fillId="0" borderId="0" xfId="0" applyNumberFormat="1" applyFont="1"/>
    <xf numFmtId="0" fontId="8" fillId="18" borderId="0" xfId="0" applyFont="1" applyFill="1" applyAlignment="1">
      <alignment horizontal="center"/>
    </xf>
    <xf numFmtId="14" fontId="64" fillId="0" borderId="0" xfId="0" applyNumberFormat="1" applyFont="1" applyAlignment="1">
      <alignment horizontal="center"/>
    </xf>
    <xf numFmtId="14" fontId="69" fillId="0" borderId="0" xfId="0" applyNumberFormat="1" applyFont="1" applyAlignment="1">
      <alignment horizontal="center"/>
    </xf>
    <xf numFmtId="0" fontId="49" fillId="0" borderId="0" xfId="0" applyFont="1" applyAlignment="1">
      <alignment horizontal="center"/>
    </xf>
    <xf numFmtId="0" fontId="8" fillId="0" borderId="0" xfId="0" applyFont="1" applyAlignment="1">
      <alignment horizontal="left"/>
    </xf>
    <xf numFmtId="14" fontId="8" fillId="19" borderId="0" xfId="0" quotePrefix="1" applyNumberFormat="1" applyFont="1" applyFill="1" applyAlignment="1">
      <alignment horizontal="center"/>
    </xf>
    <xf numFmtId="0" fontId="68" fillId="19" borderId="0" xfId="0" applyFont="1" applyFill="1"/>
    <xf numFmtId="14" fontId="65" fillId="0" borderId="0" xfId="0" applyNumberFormat="1" applyFont="1" applyAlignment="1">
      <alignment horizontal="center"/>
    </xf>
    <xf numFmtId="0" fontId="10" fillId="20" borderId="0" xfId="0" applyFont="1" applyFill="1"/>
    <xf numFmtId="14" fontId="68" fillId="18" borderId="0" xfId="0" applyNumberFormat="1" applyFont="1" applyFill="1" applyAlignment="1">
      <alignment horizontal="center"/>
    </xf>
    <xf numFmtId="0" fontId="4" fillId="0" borderId="24" xfId="0" applyFont="1" applyBorder="1" applyAlignment="1">
      <alignment horizontal="center" vertical="center"/>
    </xf>
    <xf numFmtId="0" fontId="3" fillId="3" borderId="41" xfId="0" applyFont="1" applyFill="1" applyBorder="1" applyAlignment="1">
      <alignment horizontal="right" vertical="center"/>
    </xf>
    <xf numFmtId="0" fontId="3" fillId="4" borderId="41" xfId="0" applyFont="1" applyFill="1" applyBorder="1" applyAlignment="1">
      <alignment horizontal="right" vertical="center"/>
    </xf>
    <xf numFmtId="0" fontId="11" fillId="0" borderId="44" xfId="0" applyFont="1" applyBorder="1" applyAlignment="1">
      <alignment horizontal="center"/>
    </xf>
    <xf numFmtId="0" fontId="4" fillId="0" borderId="43" xfId="0" applyFont="1" applyBorder="1" applyAlignment="1">
      <alignment horizontal="center"/>
    </xf>
    <xf numFmtId="0" fontId="72" fillId="0" borderId="5" xfId="0" applyFont="1" applyBorder="1" applyAlignment="1">
      <alignment horizontal="center" vertical="center"/>
    </xf>
    <xf numFmtId="0" fontId="72" fillId="0" borderId="8" xfId="0" applyFont="1" applyBorder="1" applyAlignment="1">
      <alignment horizontal="center" vertical="center"/>
    </xf>
    <xf numFmtId="0" fontId="72" fillId="0" borderId="7" xfId="0" applyFont="1" applyBorder="1" applyAlignment="1">
      <alignment horizontal="center" vertical="center"/>
    </xf>
    <xf numFmtId="0" fontId="72" fillId="0" borderId="8" xfId="0" quotePrefix="1" applyFont="1" applyBorder="1" applyAlignment="1">
      <alignment horizontal="center" vertical="center"/>
    </xf>
    <xf numFmtId="0" fontId="4" fillId="0" borderId="5" xfId="0" quotePrefix="1" applyFont="1" applyBorder="1" applyAlignment="1">
      <alignment horizontal="center" vertical="center"/>
    </xf>
    <xf numFmtId="0" fontId="7" fillId="19" borderId="0" xfId="0" applyFont="1" applyFill="1" applyAlignment="1">
      <alignment horizontal="center"/>
    </xf>
    <xf numFmtId="0" fontId="4" fillId="0" borderId="42" xfId="0" applyFont="1" applyBorder="1" applyAlignment="1">
      <alignment horizontal="center"/>
    </xf>
    <xf numFmtId="0" fontId="0" fillId="19" borderId="0" xfId="0" applyFill="1" applyAlignment="1">
      <alignment horizontal="center"/>
    </xf>
    <xf numFmtId="0" fontId="39" fillId="12" borderId="0" xfId="1" applyFont="1" applyFill="1" applyAlignment="1" applyProtection="1">
      <alignment vertical="center" wrapText="1" shrinkToFit="1"/>
      <protection locked="0"/>
    </xf>
    <xf numFmtId="14" fontId="69" fillId="18" borderId="0" xfId="0" applyNumberFormat="1" applyFont="1" applyFill="1" applyAlignment="1">
      <alignment horizontal="center"/>
    </xf>
    <xf numFmtId="14" fontId="10" fillId="18" borderId="0" xfId="0" applyNumberFormat="1" applyFont="1" applyFill="1" applyAlignment="1">
      <alignment horizontal="center"/>
    </xf>
    <xf numFmtId="0" fontId="49" fillId="8" borderId="0" xfId="0" applyFont="1" applyFill="1"/>
    <xf numFmtId="0" fontId="8" fillId="6" borderId="0" xfId="0" applyFont="1" applyFill="1" applyAlignment="1">
      <alignment wrapText="1"/>
    </xf>
    <xf numFmtId="0" fontId="64" fillId="6" borderId="0" xfId="0" applyFont="1" applyFill="1" applyAlignment="1">
      <alignment wrapText="1"/>
    </xf>
    <xf numFmtId="0" fontId="36" fillId="9" borderId="12" xfId="1" applyFont="1" applyFill="1" applyBorder="1" applyAlignment="1">
      <alignment horizontal="left" vertical="center" wrapText="1"/>
    </xf>
    <xf numFmtId="0" fontId="24" fillId="2" borderId="0" xfId="1" applyFont="1" applyFill="1" applyAlignment="1">
      <alignment horizontal="center" vertical="center" wrapText="1"/>
    </xf>
    <xf numFmtId="0" fontId="16" fillId="0" borderId="0" xfId="1" applyFont="1" applyAlignment="1" applyProtection="1">
      <alignment horizontal="center"/>
    </xf>
    <xf numFmtId="0" fontId="16" fillId="0" borderId="0" xfId="1" applyFont="1" applyProtection="1"/>
    <xf numFmtId="0" fontId="2" fillId="0" borderId="0" xfId="1" applyProtection="1"/>
    <xf numFmtId="0" fontId="9" fillId="0" borderId="0" xfId="1" applyFont="1" applyAlignment="1" applyProtection="1">
      <alignment horizontal="center"/>
    </xf>
    <xf numFmtId="0" fontId="36" fillId="9" borderId="12" xfId="1" applyFont="1" applyFill="1" applyBorder="1" applyAlignment="1" applyProtection="1">
      <alignment horizontal="left" vertical="center" wrapText="1"/>
    </xf>
    <xf numFmtId="0" fontId="36" fillId="9" borderId="0" xfId="1" applyFont="1" applyFill="1" applyAlignment="1" applyProtection="1">
      <alignment vertical="center" wrapText="1"/>
    </xf>
    <xf numFmtId="0" fontId="38" fillId="16" borderId="13" xfId="1" applyFont="1" applyFill="1" applyBorder="1" applyAlignment="1" applyProtection="1">
      <alignment vertical="center"/>
    </xf>
    <xf numFmtId="0" fontId="17" fillId="16" borderId="14" xfId="1" applyFont="1" applyFill="1" applyBorder="1" applyAlignment="1" applyProtection="1">
      <alignment vertical="center"/>
    </xf>
    <xf numFmtId="0" fontId="61" fillId="16" borderId="14" xfId="1" applyFont="1" applyFill="1" applyBorder="1" applyAlignment="1" applyProtection="1">
      <alignment horizontal="right" vertical="center"/>
    </xf>
    <xf numFmtId="0" fontId="46" fillId="16" borderId="14" xfId="1" applyFont="1" applyFill="1" applyBorder="1" applyAlignment="1" applyProtection="1">
      <alignment horizontal="center" vertical="center"/>
    </xf>
    <xf numFmtId="0" fontId="38" fillId="16" borderId="14" xfId="1" applyFont="1" applyFill="1" applyBorder="1" applyAlignment="1" applyProtection="1">
      <alignment vertical="center"/>
    </xf>
    <xf numFmtId="0" fontId="2" fillId="0" borderId="0" xfId="1" applyAlignment="1" applyProtection="1">
      <alignment horizontal="center"/>
    </xf>
    <xf numFmtId="0" fontId="18" fillId="2" borderId="0" xfId="1" applyFont="1" applyFill="1" applyAlignment="1" applyProtection="1">
      <alignment horizontal="right" vertical="center" indent="1"/>
    </xf>
    <xf numFmtId="0" fontId="19" fillId="2" borderId="0" xfId="1" applyFont="1" applyFill="1" applyAlignment="1" applyProtection="1">
      <alignment horizontal="right" vertical="center" indent="1"/>
    </xf>
    <xf numFmtId="0" fontId="55" fillId="2" borderId="0" xfId="1" applyFont="1" applyFill="1" applyAlignment="1" applyProtection="1">
      <alignment vertical="center"/>
    </xf>
    <xf numFmtId="0" fontId="18" fillId="2" borderId="0" xfId="1" applyFont="1" applyFill="1" applyAlignment="1" applyProtection="1">
      <alignment vertical="center"/>
    </xf>
    <xf numFmtId="0" fontId="57" fillId="0" borderId="0" xfId="1" applyFont="1" applyAlignment="1" applyProtection="1">
      <alignment horizontal="right" vertical="center" wrapText="1"/>
    </xf>
    <xf numFmtId="0" fontId="18" fillId="2" borderId="0" xfId="1" applyFont="1" applyFill="1" applyAlignment="1" applyProtection="1">
      <alignment horizontal="left" vertical="center"/>
    </xf>
    <xf numFmtId="0" fontId="18" fillId="2" borderId="0" xfId="1" applyFont="1" applyFill="1" applyAlignment="1" applyProtection="1">
      <alignment horizontal="left" vertical="center" indent="1"/>
    </xf>
    <xf numFmtId="0" fontId="19" fillId="2" borderId="0" xfId="1" applyFont="1" applyFill="1" applyAlignment="1" applyProtection="1">
      <alignment horizontal="left" vertical="center" wrapText="1"/>
    </xf>
    <xf numFmtId="0" fontId="19" fillId="0" borderId="0" xfId="1" applyFont="1" applyAlignment="1" applyProtection="1">
      <alignment vertical="top" wrapText="1"/>
    </xf>
    <xf numFmtId="0" fontId="62" fillId="0" borderId="0" xfId="1" applyFont="1" applyAlignment="1" applyProtection="1">
      <alignment vertical="top" wrapText="1"/>
    </xf>
    <xf numFmtId="0" fontId="20" fillId="10" borderId="0" xfId="1" applyFont="1" applyFill="1" applyAlignment="1" applyProtection="1">
      <alignment horizontal="center" vertical="center"/>
    </xf>
    <xf numFmtId="0" fontId="20" fillId="10" borderId="0" xfId="1" applyFont="1" applyFill="1" applyAlignment="1" applyProtection="1">
      <alignment horizontal="left" vertical="center" indent="1"/>
    </xf>
    <xf numFmtId="0" fontId="20" fillId="10" borderId="0" xfId="1" applyFont="1" applyFill="1" applyAlignment="1" applyProtection="1">
      <alignment vertical="center"/>
    </xf>
    <xf numFmtId="0" fontId="20" fillId="10" borderId="19" xfId="1" applyFont="1" applyFill="1" applyBorder="1" applyAlignment="1" applyProtection="1">
      <alignment horizontal="left" vertical="center"/>
    </xf>
    <xf numFmtId="0" fontId="20" fillId="10" borderId="0" xfId="1" applyFont="1" applyFill="1" applyAlignment="1" applyProtection="1">
      <alignment horizontal="left" vertical="center"/>
    </xf>
    <xf numFmtId="0" fontId="20" fillId="10" borderId="15" xfId="1" applyFont="1" applyFill="1" applyBorder="1" applyAlignment="1" applyProtection="1">
      <alignment horizontal="left" vertical="center"/>
    </xf>
    <xf numFmtId="0" fontId="21" fillId="2" borderId="0" xfId="1" applyFont="1" applyFill="1" applyAlignment="1" applyProtection="1">
      <alignment vertical="center"/>
    </xf>
    <xf numFmtId="0" fontId="22" fillId="2" borderId="0" xfId="1" applyFont="1" applyFill="1" applyAlignment="1" applyProtection="1">
      <alignment vertical="center"/>
    </xf>
    <xf numFmtId="0" fontId="20" fillId="10" borderId="0" xfId="1" applyFont="1" applyFill="1" applyAlignment="1" applyProtection="1">
      <alignment horizontal="center" vertical="center" wrapText="1"/>
    </xf>
    <xf numFmtId="0" fontId="20" fillId="10" borderId="29" xfId="1" applyFont="1" applyFill="1" applyBorder="1" applyAlignment="1" applyProtection="1">
      <alignment horizontal="center" vertical="center" wrapText="1"/>
    </xf>
    <xf numFmtId="0" fontId="20" fillId="10" borderId="30" xfId="1" applyFont="1" applyFill="1" applyBorder="1" applyAlignment="1" applyProtection="1">
      <alignment horizontal="center" vertical="center" wrapText="1"/>
    </xf>
    <xf numFmtId="0" fontId="20" fillId="10" borderId="31" xfId="1" applyFont="1" applyFill="1" applyBorder="1" applyAlignment="1" applyProtection="1">
      <alignment horizontal="center" vertical="center" wrapText="1"/>
    </xf>
    <xf numFmtId="0" fontId="19" fillId="2" borderId="16" xfId="1" applyFont="1" applyFill="1" applyBorder="1" applyAlignment="1" applyProtection="1">
      <alignment horizontal="center" vertical="center" wrapText="1"/>
    </xf>
    <xf numFmtId="0" fontId="19" fillId="2" borderId="17" xfId="1" applyFont="1" applyFill="1" applyBorder="1" applyAlignment="1" applyProtection="1">
      <alignment horizontal="center" vertical="center" wrapText="1"/>
    </xf>
    <xf numFmtId="0" fontId="19" fillId="2" borderId="17" xfId="1" applyFont="1" applyFill="1" applyBorder="1" applyAlignment="1" applyProtection="1">
      <alignment vertical="center" wrapText="1"/>
    </xf>
    <xf numFmtId="0" fontId="22" fillId="2" borderId="17" xfId="1" applyFont="1" applyFill="1" applyBorder="1" applyAlignment="1" applyProtection="1">
      <alignment horizontal="center" vertical="center" wrapText="1"/>
    </xf>
    <xf numFmtId="0" fontId="19" fillId="2" borderId="32" xfId="1" applyFont="1" applyFill="1" applyBorder="1" applyAlignment="1" applyProtection="1">
      <alignment horizontal="center" vertical="center" wrapText="1"/>
    </xf>
    <xf numFmtId="0" fontId="19" fillId="2" borderId="33" xfId="1" applyFont="1" applyFill="1" applyBorder="1" applyAlignment="1" applyProtection="1">
      <alignment horizontal="center" vertical="center" wrapText="1"/>
    </xf>
    <xf numFmtId="0" fontId="19" fillId="2" borderId="34" xfId="1" applyFont="1" applyFill="1" applyBorder="1" applyAlignment="1" applyProtection="1">
      <alignment horizontal="center" vertical="center" wrapText="1"/>
    </xf>
    <xf numFmtId="0" fontId="23" fillId="0" borderId="0" xfId="1" applyFont="1" applyAlignment="1" applyProtection="1">
      <alignment horizontal="center" vertical="center" wrapText="1"/>
    </xf>
    <xf numFmtId="0" fontId="21" fillId="2" borderId="0" xfId="1" applyFont="1" applyFill="1" applyAlignment="1" applyProtection="1">
      <alignment wrapText="1"/>
    </xf>
    <xf numFmtId="0" fontId="22" fillId="2" borderId="0" xfId="1" applyFont="1" applyFill="1" applyAlignment="1" applyProtection="1">
      <alignment wrapText="1"/>
    </xf>
    <xf numFmtId="0" fontId="19" fillId="16" borderId="11" xfId="1" applyFont="1" applyFill="1" applyBorder="1" applyAlignment="1" applyProtection="1">
      <alignment horizontal="center" vertical="center" wrapText="1"/>
    </xf>
    <xf numFmtId="0" fontId="19" fillId="16" borderId="0" xfId="1" applyFont="1" applyFill="1" applyAlignment="1" applyProtection="1">
      <alignment horizontal="center" vertical="center" wrapText="1"/>
    </xf>
    <xf numFmtId="0" fontId="19" fillId="16" borderId="0" xfId="1" applyFont="1" applyFill="1" applyAlignment="1" applyProtection="1">
      <alignment vertical="center" wrapText="1"/>
    </xf>
    <xf numFmtId="0" fontId="22" fillId="16" borderId="0" xfId="1" applyFont="1" applyFill="1" applyAlignment="1" applyProtection="1">
      <alignment horizontal="left" vertical="center" wrapText="1"/>
    </xf>
    <xf numFmtId="0" fontId="19" fillId="16" borderId="29" xfId="1" applyFont="1" applyFill="1" applyBorder="1" applyAlignment="1" applyProtection="1">
      <alignment horizontal="center" vertical="center" wrapText="1"/>
    </xf>
    <xf numFmtId="0" fontId="19" fillId="16" borderId="30" xfId="1" applyFont="1" applyFill="1" applyBorder="1" applyAlignment="1" applyProtection="1">
      <alignment horizontal="center" vertical="center" wrapText="1"/>
    </xf>
    <xf numFmtId="0" fontId="19" fillId="16" borderId="31" xfId="1" applyFont="1" applyFill="1" applyBorder="1" applyAlignment="1" applyProtection="1">
      <alignment horizontal="center" vertical="center" wrapText="1"/>
    </xf>
    <xf numFmtId="0" fontId="19" fillId="0" borderId="17" xfId="1" applyFont="1" applyBorder="1" applyAlignment="1" applyProtection="1">
      <alignment horizontal="center" vertical="center" wrapText="1"/>
    </xf>
    <xf numFmtId="0" fontId="19" fillId="0" borderId="32" xfId="1" applyFont="1" applyBorder="1" applyAlignment="1" applyProtection="1">
      <alignment horizontal="center" vertical="center" wrapText="1"/>
    </xf>
    <xf numFmtId="0" fontId="19" fillId="0" borderId="33" xfId="1" applyFont="1" applyBorder="1" applyAlignment="1" applyProtection="1">
      <alignment horizontal="center" vertical="center" wrapText="1"/>
    </xf>
    <xf numFmtId="0" fontId="19" fillId="0" borderId="34" xfId="1" applyFont="1" applyBorder="1" applyAlignment="1" applyProtection="1">
      <alignment horizontal="center" vertical="center" wrapText="1"/>
    </xf>
    <xf numFmtId="0" fontId="21" fillId="2" borderId="0" xfId="1" applyFont="1" applyFill="1" applyProtection="1"/>
    <xf numFmtId="0" fontId="22" fillId="2" borderId="0" xfId="1" applyFont="1" applyFill="1" applyProtection="1"/>
    <xf numFmtId="0" fontId="19" fillId="0" borderId="17" xfId="1" applyFont="1" applyBorder="1" applyAlignment="1" applyProtection="1">
      <alignment horizontal="left" vertical="center" wrapText="1"/>
    </xf>
    <xf numFmtId="0" fontId="20" fillId="10" borderId="0" xfId="1" applyFont="1" applyFill="1" applyAlignment="1" applyProtection="1">
      <alignment horizontal="left" vertical="center" wrapText="1"/>
    </xf>
    <xf numFmtId="0" fontId="21" fillId="2" borderId="0" xfId="1" applyFont="1" applyFill="1" applyAlignment="1" applyProtection="1">
      <alignment horizontal="center" vertical="center"/>
    </xf>
    <xf numFmtId="0" fontId="19" fillId="0" borderId="17" xfId="1" applyFont="1" applyBorder="1" applyAlignment="1" applyProtection="1">
      <alignment vertical="center" wrapText="1"/>
    </xf>
    <xf numFmtId="0" fontId="30" fillId="2" borderId="0" xfId="1" applyFont="1" applyFill="1" applyAlignment="1" applyProtection="1">
      <alignment horizontal="left" vertical="center" wrapText="1"/>
    </xf>
    <xf numFmtId="0" fontId="31" fillId="2" borderId="0" xfId="1" applyFont="1" applyFill="1" applyAlignment="1" applyProtection="1">
      <alignment horizontal="left" vertical="center" wrapText="1"/>
    </xf>
    <xf numFmtId="0" fontId="32" fillId="2" borderId="0" xfId="1" applyFont="1" applyFill="1" applyAlignment="1" applyProtection="1">
      <alignment vertical="center"/>
    </xf>
    <xf numFmtId="0" fontId="32" fillId="2" borderId="0" xfId="1" applyFont="1" applyFill="1" applyAlignment="1" applyProtection="1">
      <alignment horizontal="center" vertical="center"/>
    </xf>
    <xf numFmtId="0" fontId="33" fillId="2" borderId="0" xfId="1" applyFont="1" applyFill="1" applyAlignment="1" applyProtection="1">
      <alignment horizontal="center" vertical="center"/>
    </xf>
    <xf numFmtId="0" fontId="33" fillId="2" borderId="0" xfId="1" applyFont="1" applyFill="1" applyProtection="1"/>
    <xf numFmtId="0" fontId="12" fillId="2" borderId="0" xfId="1" applyFont="1" applyFill="1" applyProtection="1"/>
    <xf numFmtId="0" fontId="42" fillId="11" borderId="0" xfId="0" applyFont="1" applyFill="1" applyAlignment="1" applyProtection="1">
      <alignment vertical="center" readingOrder="1"/>
    </xf>
    <xf numFmtId="0" fontId="43" fillId="11" borderId="0" xfId="0" applyFont="1" applyFill="1" applyAlignment="1" applyProtection="1">
      <alignment horizontal="left" vertical="center" readingOrder="1"/>
    </xf>
    <xf numFmtId="0" fontId="44" fillId="11" borderId="0" xfId="0" applyFont="1" applyFill="1" applyAlignment="1" applyProtection="1">
      <alignment horizontal="left" vertical="center" readingOrder="1"/>
    </xf>
    <xf numFmtId="0" fontId="42" fillId="11" borderId="0" xfId="0" applyFont="1" applyFill="1" applyAlignment="1" applyProtection="1">
      <alignment horizontal="center" vertical="center" readingOrder="1"/>
    </xf>
    <xf numFmtId="0" fontId="20" fillId="11" borderId="21" xfId="0" applyFont="1" applyFill="1" applyBorder="1" applyAlignment="1" applyProtection="1">
      <alignment vertical="center" readingOrder="1"/>
    </xf>
    <xf numFmtId="0" fontId="20" fillId="11" borderId="0" xfId="0" applyFont="1" applyFill="1" applyAlignment="1" applyProtection="1">
      <alignment vertical="center" readingOrder="1"/>
    </xf>
    <xf numFmtId="0" fontId="54" fillId="11" borderId="27" xfId="0" applyFont="1" applyFill="1" applyBorder="1" applyAlignment="1" applyProtection="1">
      <alignment vertical="center" readingOrder="1"/>
    </xf>
    <xf numFmtId="0" fontId="38" fillId="11" borderId="0" xfId="0" applyFont="1" applyFill="1" applyAlignment="1" applyProtection="1">
      <alignment horizontal="center" vertical="center" readingOrder="1"/>
    </xf>
    <xf numFmtId="0" fontId="2" fillId="0" borderId="0" xfId="1" applyAlignment="1" applyProtection="1">
      <alignment horizontal="center" vertical="center"/>
    </xf>
    <xf numFmtId="0" fontId="45" fillId="11" borderId="0" xfId="0" applyFont="1" applyFill="1" applyAlignment="1" applyProtection="1">
      <alignment horizontal="center" vertical="center"/>
    </xf>
    <xf numFmtId="0" fontId="45" fillId="11" borderId="0" xfId="0" applyFont="1" applyFill="1" applyAlignment="1" applyProtection="1">
      <alignment horizontal="left" vertical="center" readingOrder="1"/>
    </xf>
    <xf numFmtId="0" fontId="20" fillId="11" borderId="38" xfId="0" applyFont="1" applyFill="1" applyBorder="1" applyAlignment="1" applyProtection="1">
      <alignment horizontal="center" vertical="center" wrapText="1" readingOrder="1"/>
    </xf>
    <xf numFmtId="0" fontId="20" fillId="11" borderId="39" xfId="0" applyFont="1" applyFill="1" applyBorder="1" applyAlignment="1" applyProtection="1">
      <alignment horizontal="center" vertical="center" wrapText="1" readingOrder="1"/>
    </xf>
    <xf numFmtId="0" fontId="20" fillId="11" borderId="40" xfId="0" applyFont="1" applyFill="1" applyBorder="1" applyAlignment="1" applyProtection="1">
      <alignment horizontal="center" vertical="center" wrapText="1" readingOrder="1"/>
    </xf>
    <xf numFmtId="0" fontId="45" fillId="11" borderId="26" xfId="0" applyFont="1" applyFill="1" applyBorder="1" applyAlignment="1" applyProtection="1">
      <alignment horizontal="center" vertical="center"/>
    </xf>
    <xf numFmtId="0" fontId="2" fillId="0" borderId="0" xfId="1" applyAlignment="1" applyProtection="1">
      <alignment horizontal="center" vertical="top"/>
    </xf>
    <xf numFmtId="0" fontId="34" fillId="0" borderId="16" xfId="1" applyFont="1" applyBorder="1" applyAlignment="1" applyProtection="1">
      <alignment horizontal="left" vertical="center"/>
    </xf>
    <xf numFmtId="0" fontId="34" fillId="0" borderId="17" xfId="1" applyFont="1" applyBorder="1" applyAlignment="1" applyProtection="1">
      <alignment horizontal="left" vertical="center"/>
    </xf>
    <xf numFmtId="0" fontId="34" fillId="0" borderId="17" xfId="1" applyFont="1" applyBorder="1" applyAlignment="1" applyProtection="1">
      <alignment horizontal="center" vertical="center"/>
    </xf>
    <xf numFmtId="0" fontId="34" fillId="0" borderId="17" xfId="1" applyFont="1" applyBorder="1" applyAlignment="1" applyProtection="1">
      <alignment vertical="center" wrapText="1"/>
    </xf>
    <xf numFmtId="0" fontId="34" fillId="0" borderId="17" xfId="1" applyFont="1" applyBorder="1" applyAlignment="1" applyProtection="1">
      <alignment horizontal="center" vertical="center" wrapText="1"/>
    </xf>
    <xf numFmtId="0" fontId="34" fillId="0" borderId="17" xfId="1" applyFont="1" applyBorder="1" applyAlignment="1" applyProtection="1">
      <alignment vertical="center"/>
    </xf>
    <xf numFmtId="0" fontId="0" fillId="0" borderId="0" xfId="0" applyProtection="1"/>
    <xf numFmtId="0" fontId="23" fillId="0" borderId="0" xfId="1" applyFont="1" applyAlignment="1" applyProtection="1">
      <alignment horizontal="left" vertical="top" wrapText="1"/>
    </xf>
    <xf numFmtId="0" fontId="24" fillId="2" borderId="0" xfId="1" applyFont="1" applyFill="1" applyAlignment="1" applyProtection="1">
      <alignment horizontal="center" vertical="center" wrapText="1"/>
    </xf>
    <xf numFmtId="0" fontId="28" fillId="2" borderId="0" xfId="1" applyFont="1" applyFill="1" applyProtection="1"/>
    <xf numFmtId="0" fontId="29" fillId="2" borderId="0" xfId="1" applyFont="1" applyFill="1" applyProtection="1"/>
    <xf numFmtId="0" fontId="30" fillId="2" borderId="0" xfId="1" applyFont="1" applyFill="1" applyAlignment="1" applyProtection="1">
      <alignment vertical="center"/>
    </xf>
    <xf numFmtId="0" fontId="12" fillId="2" borderId="0" xfId="1" applyFont="1" applyFill="1" applyAlignment="1" applyProtection="1">
      <alignment vertical="center"/>
    </xf>
    <xf numFmtId="0" fontId="32" fillId="2" borderId="0" xfId="1" applyFont="1" applyFill="1" applyAlignment="1" applyProtection="1">
      <alignment horizontal="right" vertical="center"/>
    </xf>
    <xf numFmtId="0" fontId="71" fillId="2" borderId="0" xfId="1" applyFont="1" applyFill="1" applyAlignment="1" applyProtection="1">
      <alignment vertical="center"/>
      <protection locked="0"/>
    </xf>
  </cellXfs>
  <cellStyles count="9">
    <cellStyle name="Good" xfId="8" builtinId="26"/>
    <cellStyle name="Hyperlink" xfId="2" builtinId="8"/>
    <cellStyle name="Neutral" xfId="7" builtinId="28"/>
    <cellStyle name="Normal" xfId="0" builtinId="0"/>
    <cellStyle name="Normal 2" xfId="1" xr:uid="{00000000-0005-0000-0000-000004000000}"/>
    <cellStyle name="Normal 2 2" xfId="5" xr:uid="{00000000-0005-0000-0000-000005000000}"/>
    <cellStyle name="Normal 3" xfId="4" xr:uid="{00000000-0005-0000-0000-000006000000}"/>
    <cellStyle name="Normal 4" xfId="3" xr:uid="{00000000-0005-0000-0000-000007000000}"/>
    <cellStyle name="Normal 5" xfId="6" xr:uid="{00000000-0005-0000-0000-000008000000}"/>
  </cellStyles>
  <dxfs count="377">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ill>
        <patternFill>
          <bgColor rgb="FFFFC000"/>
        </patternFill>
      </fill>
    </dxf>
    <dxf>
      <font>
        <color auto="1"/>
      </font>
      <fill>
        <patternFill>
          <bgColor theme="5" tint="0.79998168889431442"/>
        </patternFill>
      </fill>
    </dxf>
    <dxf>
      <font>
        <color auto="1"/>
      </font>
      <fill>
        <patternFill>
          <bgColor theme="5" tint="0.79998168889431442"/>
        </patternFill>
      </fill>
    </dxf>
    <dxf>
      <fill>
        <patternFill>
          <bgColor rgb="FFFFC000"/>
        </patternFill>
      </fill>
    </dxf>
    <dxf>
      <fill>
        <patternFill>
          <bgColor theme="5" tint="0.39994506668294322"/>
        </patternFill>
      </fill>
    </dxf>
    <dxf>
      <font>
        <b/>
        <i val="0"/>
      </font>
      <fill>
        <patternFill>
          <bgColor theme="0" tint="-0.14996795556505021"/>
        </patternFill>
      </fill>
    </dxf>
    <dxf>
      <font>
        <b/>
        <i/>
        <color rgb="FFFF0000"/>
      </font>
    </dxf>
    <dxf>
      <font>
        <b val="0"/>
        <i/>
      </font>
      <fill>
        <patternFill>
          <bgColor theme="0" tint="-0.14996795556505021"/>
        </patternFill>
      </fill>
    </dxf>
    <dxf>
      <font>
        <b val="0"/>
        <i/>
      </font>
      <fill>
        <patternFill>
          <bgColor theme="0" tint="-0.14996795556505021"/>
        </patternFill>
      </fill>
    </dxf>
    <dxf>
      <font>
        <b/>
        <i/>
      </font>
      <fill>
        <patternFill>
          <bgColor theme="0" tint="-0.34998626667073579"/>
        </patternFill>
      </fill>
    </dxf>
    <dxf>
      <font>
        <b/>
        <i val="0"/>
      </font>
      <fill>
        <patternFill>
          <bgColor theme="0" tint="-0.14996795556505021"/>
        </patternFill>
      </fill>
    </dxf>
    <dxf>
      <font>
        <b/>
        <i/>
        <color rgb="FFFF0000"/>
      </font>
    </dxf>
    <dxf>
      <font>
        <b val="0"/>
        <i/>
      </font>
      <fill>
        <patternFill>
          <bgColor theme="0" tint="-0.14996795556505021"/>
        </patternFill>
      </fill>
    </dxf>
    <dxf>
      <font>
        <b val="0"/>
        <i/>
      </font>
      <fill>
        <patternFill>
          <bgColor theme="0" tint="-0.14996795556505021"/>
        </patternFill>
      </fill>
    </dxf>
    <dxf>
      <font>
        <b/>
        <i/>
      </font>
      <fill>
        <patternFill>
          <bgColor theme="0" tint="-0.3499862666707357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alignment horizontal="general" vertical="bottom" textRotation="0" wrapText="1"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none">
          <fgColor indexed="64"/>
          <bgColor auto="1"/>
        </patternFill>
      </fill>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FFC00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theme="1"/>
        <name val="Arial"/>
        <scheme val="none"/>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theme="1"/>
        <name val="Arial"/>
        <scheme val="none"/>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rgb="FFFF000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0D4B6D"/>
      <color rgb="FFB4FFFF"/>
      <color rgb="FF919296"/>
      <color rgb="FFF2F2F2"/>
      <color rgb="FFB4C6E7"/>
      <color rgb="FFFFE699"/>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234316</xdr:colOff>
      <xdr:row>3</xdr:row>
      <xdr:rowOff>104776</xdr:rowOff>
    </xdr:from>
    <xdr:ext cx="5642610" cy="6636945"/>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92866" y="609601"/>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(Early Childhood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b="0" baseline="0">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Professional Experience</a:t>
          </a:r>
          <a:endParaRPr lang="en-AU">
            <a:effectLst/>
          </a:endParaRPr>
        </a:p>
        <a:p>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p>
        <a:p>
          <a:endParaRPr lang="en-AU" sz="1100" b="1" baseline="0">
            <a:solidFill>
              <a:sysClr val="windowText" lastClr="000000"/>
            </a:solidFill>
            <a:effectLst/>
            <a:latin typeface="+mn-lt"/>
            <a:ea typeface="+mn-ea"/>
            <a:cs typeface="+mn-cs"/>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baseline="0">
            <a:solidFill>
              <a:schemeClr val="dk1"/>
            </a:solidFill>
            <a:effectLst/>
            <a:latin typeface="+mn-lt"/>
            <a:ea typeface="+mn-ea"/>
            <a:cs typeface="+mn-cs"/>
          </a:endParaRPr>
        </a:p>
        <a:p>
          <a:r>
            <a:rPr lang="en-AU" sz="1100" b="1" baseline="0">
              <a:solidFill>
                <a:schemeClr val="dk1"/>
              </a:solidFill>
              <a:effectLst/>
              <a:latin typeface="+mn-lt"/>
              <a:ea typeface="+mn-ea"/>
              <a:cs typeface="+mn-cs"/>
            </a:rPr>
            <a:t>Specified Electives</a:t>
          </a:r>
          <a:endParaRPr lang="en-AU">
            <a:effectLst/>
          </a:endParaRPr>
        </a:p>
        <a:p>
          <a:r>
            <a:rPr lang="en-AU" sz="1100">
              <a:solidFill>
                <a:schemeClr val="dk1"/>
              </a:solidFill>
              <a:effectLst/>
              <a:latin typeface="+mn-lt"/>
              <a:ea typeface="+mn-ea"/>
              <a:cs typeface="+mn-cs"/>
            </a:rPr>
            <a:t>Students in the </a:t>
          </a:r>
          <a:r>
            <a:rPr lang="en-AU" sz="1100" b="1" i="1">
              <a:solidFill>
                <a:schemeClr val="dk1"/>
              </a:solidFill>
              <a:effectLst/>
              <a:latin typeface="+mn-lt"/>
              <a:ea typeface="+mn-ea"/>
              <a:cs typeface="+mn-cs"/>
            </a:rPr>
            <a:t>Bachelor of Education (Early Childhood Education) </a:t>
          </a:r>
          <a:r>
            <a:rPr lang="en-AU" sz="1100">
              <a:solidFill>
                <a:schemeClr val="dk1"/>
              </a:solidFill>
              <a:effectLst/>
              <a:latin typeface="+mn-lt"/>
              <a:ea typeface="+mn-ea"/>
              <a:cs typeface="+mn-cs"/>
            </a:rPr>
            <a:t>may choose </a:t>
          </a:r>
          <a:r>
            <a:rPr lang="en-AU" sz="1100" b="1">
              <a:solidFill>
                <a:schemeClr val="dk1"/>
              </a:solidFill>
              <a:effectLst/>
              <a:latin typeface="+mn-lt"/>
              <a:ea typeface="+mn-ea"/>
              <a:cs typeface="+mn-cs"/>
            </a:rPr>
            <a:t>two</a:t>
          </a:r>
          <a:r>
            <a:rPr lang="en-AU" sz="1100">
              <a:solidFill>
                <a:schemeClr val="dk1"/>
              </a:solidFill>
              <a:effectLst/>
              <a:latin typeface="+mn-lt"/>
              <a:ea typeface="+mn-ea"/>
              <a:cs typeface="+mn-cs"/>
            </a:rPr>
            <a:t> Elective units from </a:t>
          </a:r>
          <a:r>
            <a:rPr lang="en-AU" sz="1100" b="1" u="sng">
              <a:solidFill>
                <a:schemeClr val="dk1"/>
              </a:solidFill>
              <a:effectLst/>
              <a:latin typeface="+mn-lt"/>
              <a:ea typeface="+mn-ea"/>
              <a:cs typeface="+mn-cs"/>
            </a:rPr>
            <a:t>any</a:t>
          </a:r>
          <a:r>
            <a:rPr lang="en-AU" sz="1100">
              <a:solidFill>
                <a:schemeClr val="dk1"/>
              </a:solidFill>
              <a:effectLst/>
              <a:latin typeface="+mn-lt"/>
              <a:ea typeface="+mn-ea"/>
              <a:cs typeface="+mn-cs"/>
            </a:rPr>
            <a:t> of those listed in the Specified Electives List.</a:t>
          </a:r>
          <a:endParaRPr lang="en-AU">
            <a:effectLst/>
          </a:endParaRPr>
        </a:p>
        <a:p>
          <a:pPr rtl="0" fontAlgn="base"/>
          <a:endParaRPr lang="en-AU" sz="1100" b="1" i="0">
            <a:solidFill>
              <a:srgbClr val="FF0000"/>
            </a:solidFill>
            <a:effectLst/>
            <a:latin typeface="+mn-lt"/>
            <a:ea typeface="+mn-ea"/>
            <a:cs typeface="+mn-cs"/>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oneCellAnchor>
    <xdr:from>
      <xdr:col>18</xdr:col>
      <xdr:colOff>11431</xdr:colOff>
      <xdr:row>2</xdr:row>
      <xdr:rowOff>341867</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75156" y="341867"/>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228600</xdr:colOff>
      <xdr:row>23</xdr:row>
      <xdr:rowOff>56117</xdr:rowOff>
    </xdr:from>
    <xdr:ext cx="2798446" cy="264560"/>
    <xdr:sp macro="" textlink="">
      <xdr:nvSpPr>
        <xdr:cNvPr id="5" name="TextBox 4">
          <a:hlinkClick xmlns:r="http://schemas.openxmlformats.org/officeDocument/2006/relationships" r:id="rId3"/>
          <a:extLst>
            <a:ext uri="{FF2B5EF4-FFF2-40B4-BE49-F238E27FC236}">
              <a16:creationId xmlns:a16="http://schemas.microsoft.com/office/drawing/2014/main" id="{DC56B2FC-35D3-4D69-88FF-5877977AA97C}"/>
            </a:ext>
          </a:extLst>
        </xdr:cNvPr>
        <xdr:cNvSpPr txBox="1"/>
      </xdr:nvSpPr>
      <xdr:spPr>
        <a:xfrm>
          <a:off x="14106525" y="4799567"/>
          <a:ext cx="2798446"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72725" y="457199"/>
          <a:ext cx="13629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243841</xdr:colOff>
      <xdr:row>3</xdr:row>
      <xdr:rowOff>133352</xdr:rowOff>
    </xdr:from>
    <xdr:ext cx="5642610" cy="6636945"/>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1635741" y="63817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(Primary Education) (OpenUnis)</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endParaRPr lang="en-AU" sz="1100" b="1">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r>
            <a:rPr lang="en-AU" sz="1100" b="1">
              <a:solidFill>
                <a:schemeClr val="dk1"/>
              </a:solidFill>
              <a:effectLst/>
              <a:latin typeface="+mn-lt"/>
              <a:ea typeface="+mn-ea"/>
              <a:cs typeface="+mn-cs"/>
            </a:rPr>
            <a:t>Teaching Area Stream</a:t>
          </a:r>
          <a:endParaRPr lang="en-AU">
            <a:effectLst/>
          </a:endParaRPr>
        </a:p>
        <a:p>
          <a:r>
            <a:rPr lang="en-AU" sz="1100" b="0">
              <a:solidFill>
                <a:schemeClr val="dk1"/>
              </a:solidFill>
              <a:effectLst/>
              <a:latin typeface="+mn-lt"/>
              <a:ea typeface="+mn-ea"/>
              <a:cs typeface="+mn-cs"/>
            </a:rPr>
            <a:t>Choose your Teaching Area stream and study all three subjects from your selected stream.</a:t>
          </a:r>
          <a:endParaRPr lang="en-AU">
            <a:effectLst/>
          </a:endParaRPr>
        </a:p>
        <a:p>
          <a:pPr eaLnBrk="1" fontAlgn="auto" latinLnBrk="0" hangingPunct="1"/>
          <a:endParaRPr lang="en-AU">
            <a:effectLst/>
          </a:endParaRPr>
        </a:p>
        <a:p>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a:effectLst/>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i="0">
            <a:solidFill>
              <a:srgbClr val="FF0000"/>
            </a:solidFill>
            <a:effectLst/>
            <a:latin typeface="+mn-lt"/>
            <a:ea typeface="+mn-ea"/>
            <a:cs typeface="+mn-cs"/>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oneCellAnchor>
    <xdr:from>
      <xdr:col>18</xdr:col>
      <xdr:colOff>20956</xdr:colOff>
      <xdr:row>2</xdr:row>
      <xdr:rowOff>376157</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46581" y="376157"/>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190500</xdr:colOff>
      <xdr:row>25</xdr:row>
      <xdr:rowOff>91122</xdr:rowOff>
    </xdr:from>
    <xdr:ext cx="2910843" cy="264560"/>
    <xdr:sp macro="" textlink="">
      <xdr:nvSpPr>
        <xdr:cNvPr id="5" name="TextBox 4">
          <a:hlinkClick xmlns:r="http://schemas.openxmlformats.org/officeDocument/2006/relationships" r:id="rId3"/>
          <a:extLst>
            <a:ext uri="{FF2B5EF4-FFF2-40B4-BE49-F238E27FC236}">
              <a16:creationId xmlns:a16="http://schemas.microsoft.com/office/drawing/2014/main" id="{FDF8BE9D-F04E-4E5E-B6B6-064C5F986393}"/>
            </a:ext>
          </a:extLst>
        </xdr:cNvPr>
        <xdr:cNvSpPr txBox="1"/>
      </xdr:nvSpPr>
      <xdr:spPr>
        <a:xfrm>
          <a:off x="14325600" y="5329872"/>
          <a:ext cx="2910843"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142875</xdr:colOff>
      <xdr:row>2</xdr:row>
      <xdr:rowOff>76200</xdr:rowOff>
    </xdr:from>
    <xdr:to>
      <xdr:col>11</xdr:col>
      <xdr:colOff>1114425</xdr:colOff>
      <xdr:row>2</xdr:row>
      <xdr:rowOff>409575</xdr:rowOff>
    </xdr:to>
    <xdr:pic>
      <xdr:nvPicPr>
        <xdr:cNvPr id="2" name="Picture 1" title="Curtin University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15500" y="438150"/>
          <a:ext cx="180022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186691</xdr:colOff>
      <xdr:row>3</xdr:row>
      <xdr:rowOff>114299</xdr:rowOff>
    </xdr:from>
    <xdr:ext cx="5642610" cy="6809172"/>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778616" y="619124"/>
          <a:ext cx="5642610" cy="68091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(Secondary Education) (OpenUnis)</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 your </a:t>
          </a:r>
          <a:r>
            <a:rPr lang="en-AU" sz="1100" b="1" i="1">
              <a:solidFill>
                <a:schemeClr val="dk1"/>
              </a:solidFill>
              <a:effectLst/>
              <a:latin typeface="+mn-lt"/>
              <a:ea typeface="+mn-ea"/>
              <a:cs typeface="+mn-cs"/>
            </a:rPr>
            <a:t>Major</a:t>
          </a:r>
          <a:r>
            <a:rPr lang="en-AU" sz="1100" i="1">
              <a:solidFill>
                <a:schemeClr val="dk1"/>
              </a:solidFill>
              <a:effectLst/>
              <a:latin typeface="+mn-lt"/>
              <a:ea typeface="+mn-ea"/>
              <a:cs typeface="+mn-cs"/>
            </a:rPr>
            <a:t> and </a:t>
          </a:r>
          <a:r>
            <a:rPr lang="en-AU" sz="1100" i="1" baseline="0">
              <a:solidFill>
                <a:schemeClr val="dk1"/>
              </a:solidFill>
              <a:effectLst/>
              <a:latin typeface="+mn-lt"/>
              <a:ea typeface="+mn-ea"/>
              <a:cs typeface="+mn-cs"/>
            </a:rPr>
            <a:t>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pPr eaLnBrk="1" fontAlgn="auto" latinLnBrk="0" hangingPunct="1"/>
          <a:endParaRPr lang="en-AU" sz="1100" b="1">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r>
            <a:rPr lang="en-AU" sz="1100" b="1">
              <a:solidFill>
                <a:schemeClr val="dk1"/>
              </a:solidFill>
              <a:effectLst/>
              <a:latin typeface="+mn-lt"/>
              <a:ea typeface="+mn-ea"/>
              <a:cs typeface="+mn-cs"/>
            </a:rPr>
            <a:t>Professional Experience</a:t>
          </a:r>
          <a:endParaRPr lang="en-AU">
            <a:effectLst/>
          </a:endParaRPr>
        </a:p>
        <a:p>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a:effectLst/>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baseline="0">
            <a:solidFill>
              <a:sysClr val="windowText" lastClr="000000"/>
            </a:solidFill>
            <a:effectLst/>
            <a:latin typeface="+mn-lt"/>
            <a:ea typeface="+mn-ea"/>
            <a:cs typeface="+mn-cs"/>
          </a:endParaRPr>
        </a:p>
        <a:p>
          <a:r>
            <a:rPr lang="en-AU" sz="1100" b="1" baseline="0">
              <a:solidFill>
                <a:sysClr val="windowText" lastClr="000000"/>
              </a:solidFill>
              <a:effectLst/>
              <a:latin typeface="+mn-lt"/>
              <a:ea typeface="+mn-ea"/>
              <a:cs typeface="+mn-cs"/>
            </a:rPr>
            <a:t>Specified Electives</a:t>
          </a:r>
          <a:endParaRPr lang="en-AU">
            <a:solidFill>
              <a:sysClr val="windowText" lastClr="000000"/>
            </a:solidFill>
            <a:effectLst/>
          </a:endParaRPr>
        </a:p>
        <a:p>
          <a:r>
            <a:rPr lang="en-AU" sz="1100">
              <a:solidFill>
                <a:sysClr val="windowText" lastClr="000000"/>
              </a:solidFill>
              <a:effectLst/>
              <a:latin typeface="+mn-lt"/>
              <a:ea typeface="+mn-ea"/>
              <a:cs typeface="+mn-cs"/>
            </a:rPr>
            <a:t>Students in the </a:t>
          </a:r>
          <a:r>
            <a:rPr lang="en-AU" sz="1100" b="1" i="1">
              <a:solidFill>
                <a:sysClr val="windowText" lastClr="000000"/>
              </a:solidFill>
              <a:effectLst/>
              <a:latin typeface="+mn-lt"/>
              <a:ea typeface="+mn-ea"/>
              <a:cs typeface="+mn-cs"/>
            </a:rPr>
            <a:t>Bachelor of Education (Secondary Education) </a:t>
          </a:r>
          <a:r>
            <a:rPr lang="en-AU" sz="1100">
              <a:solidFill>
                <a:sysClr val="windowText" lastClr="000000"/>
              </a:solidFill>
              <a:effectLst/>
              <a:latin typeface="+mn-lt"/>
              <a:ea typeface="+mn-ea"/>
              <a:cs typeface="+mn-cs"/>
            </a:rPr>
            <a:t>may choose </a:t>
          </a:r>
          <a:r>
            <a:rPr lang="en-AU" sz="1100" b="0">
              <a:solidFill>
                <a:sysClr val="windowText" lastClr="000000"/>
              </a:solidFill>
              <a:effectLst/>
              <a:latin typeface="+mn-lt"/>
              <a:ea typeface="+mn-ea"/>
              <a:cs typeface="+mn-cs"/>
            </a:rPr>
            <a:t>Specified Elective subjects </a:t>
          </a:r>
          <a:r>
            <a:rPr lang="en-AU" sz="1100">
              <a:solidFill>
                <a:sysClr val="windowText" lastClr="000000"/>
              </a:solidFill>
              <a:effectLst/>
              <a:latin typeface="+mn-lt"/>
              <a:ea typeface="+mn-ea"/>
              <a:cs typeface="+mn-cs"/>
            </a:rPr>
            <a:t>from </a:t>
          </a:r>
          <a:r>
            <a:rPr lang="en-AU" sz="1100" b="1" u="sng">
              <a:solidFill>
                <a:sysClr val="windowText" lastClr="000000"/>
              </a:solidFill>
              <a:effectLst/>
              <a:latin typeface="+mn-lt"/>
              <a:ea typeface="+mn-ea"/>
              <a:cs typeface="+mn-cs"/>
            </a:rPr>
            <a:t>any</a:t>
          </a:r>
          <a:r>
            <a:rPr lang="en-AU" sz="1100">
              <a:solidFill>
                <a:sysClr val="windowText" lastClr="000000"/>
              </a:solidFill>
              <a:effectLst/>
              <a:latin typeface="+mn-lt"/>
              <a:ea typeface="+mn-ea"/>
              <a:cs typeface="+mn-cs"/>
            </a:rPr>
            <a:t> of those listed.</a:t>
          </a:r>
        </a:p>
        <a:p>
          <a:endParaRPr lang="en-AU">
            <a:solidFill>
              <a:sysClr val="windowText" lastClr="000000"/>
            </a:solidFill>
            <a:effectLst/>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enrolment, please contact Curtin Connect.</a:t>
          </a:r>
        </a:p>
      </xdr:txBody>
    </xdr:sp>
    <xdr:clientData/>
  </xdr:oneCellAnchor>
  <xdr:oneCellAnchor>
    <xdr:from>
      <xdr:col>17</xdr:col>
      <xdr:colOff>649606</xdr:colOff>
      <xdr:row>2</xdr:row>
      <xdr:rowOff>356155</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4984731" y="356155"/>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152400</xdr:colOff>
      <xdr:row>22</xdr:row>
      <xdr:rowOff>126044</xdr:rowOff>
    </xdr:from>
    <xdr:ext cx="2838451" cy="264560"/>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300-000005000000}"/>
            </a:ext>
          </a:extLst>
        </xdr:cNvPr>
        <xdr:cNvSpPr txBox="1"/>
      </xdr:nvSpPr>
      <xdr:spPr>
        <a:xfrm>
          <a:off x="14392275" y="4774244"/>
          <a:ext cx="2838451"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0" totalsRowShown="0" headerRowDxfId="376">
  <autoFilter ref="A4:I10" xr:uid="{00000000-0009-0000-0100-000003000000}"/>
  <sortState xmlns:xlrd2="http://schemas.microsoft.com/office/spreadsheetml/2017/richdata2" ref="A5:G8">
    <sortCondition ref="A4:A8"/>
  </sortState>
  <tableColumns count="9">
    <tableColumn id="3" xr3:uid="{00000000-0010-0000-0000-000003000000}" name="Choose your Education Course" dataDxfId="375"/>
    <tableColumn id="1" xr3:uid="{00000000-0010-0000-0000-000001000000}" name="UDC" dataDxfId="374"/>
    <tableColumn id="2" xr3:uid="{00000000-0010-0000-0000-000002000000}" name="SM Version" dataDxfId="373"/>
    <tableColumn id="5" xr3:uid="{00000000-0010-0000-0000-000005000000}" name="SM Effective Date" dataDxfId="372"/>
    <tableColumn id="4" xr3:uid="{00000000-0010-0000-0000-000004000000}" name="Akari Iteration" dataDxfId="371"/>
    <tableColumn id="7" xr3:uid="{00000000-0010-0000-0000-000007000000}" name="Akari Effective Date" dataDxfId="370"/>
    <tableColumn id="6" xr3:uid="{00000000-0010-0000-0000-000006000000}" name="Credit Points" dataDxfId="369"/>
    <tableColumn id="8" xr3:uid="{00000000-0010-0000-0000-000008000000}" name="SM Availabilities" dataDxfId="368"/>
    <tableColumn id="9" xr3:uid="{2178B3AB-B9FD-48BC-BDE4-2B0AD6E9059C}" name="Notes" dataDxfId="367"/>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OUMUARVA1" displayName="TableOUMUARVA1" ref="A246:O275" totalsRowShown="0" headerRowDxfId="262">
  <autoFilter ref="A246:O275" xr:uid="{00000000-0009-0000-0100-000007000000}"/>
  <sortState xmlns:xlrd2="http://schemas.microsoft.com/office/spreadsheetml/2017/richdata2" ref="A220:R223">
    <sortCondition ref="O2:O6"/>
  </sortState>
  <tableColumns count="15">
    <tableColumn id="1" xr3:uid="{00000000-0010-0000-0800-000001000000}" name="UDC" dataDxfId="261">
      <calculatedColumnFormula>TableOUMUARVA1[[#This Row],[Study Package Code]]</calculatedColumnFormula>
    </tableColumn>
    <tableColumn id="9" xr3:uid="{00000000-0010-0000-0800-000009000000}" name="Version" dataDxfId="260">
      <calculatedColumnFormula>TableOUMUARVA1[[#This Row],[Ver]]</calculatedColumnFormula>
    </tableColumn>
    <tableColumn id="10" xr3:uid="{00000000-0010-0000-0800-00000A000000}" name="OUA Code" dataDxfId="259">
      <calculatedColumnFormula>IF(TableOUMUARVA1[[#This Row],[Ver]]&gt;0,_xlfn.TEXTBEFORE(TableOUMUARVA1[[#This Row],[Structure Line]]," "),"")</calculatedColumnFormula>
    </tableColumn>
    <tableColumn id="11" xr3:uid="{00000000-0010-0000-0800-00000B000000}" name="Unit Title" dataDxfId="258">
      <calculatedColumnFormula>IF(TableOUMUARVA1[[#This Row],[OUA Code]]&lt;&gt;"",_xlfn.TEXTAFTER(TableOUMUARVA1[[#This Row],[Structure Line]]," "),TableOUMUARVA1[[#This Row],[Structure Line]])</calculatedColumnFormula>
    </tableColumn>
    <tableColumn id="12" xr3:uid="{00000000-0010-0000-0800-00000C000000}" name="CPs" dataDxfId="257">
      <calculatedColumnFormula>TableOUMUARVA1[[#This Row],[Credit Points]]</calculatedColumnFormula>
    </tableColumn>
    <tableColumn id="13" xr3:uid="{00000000-0010-0000-0800-00000D000000}" name="No." dataDxfId="256"/>
    <tableColumn id="2" xr3:uid="{00000000-0010-0000-0800-000002000000}" name="Component Type" dataDxfId="255"/>
    <tableColumn id="3" xr3:uid="{00000000-0010-0000-0800-000003000000}" name="Year Level" dataDxfId="254"/>
    <tableColumn id="4" xr3:uid="{00000000-0010-0000-0800-000004000000}" name="Study Period" dataDxfId="253"/>
    <tableColumn id="5" xr3:uid="{00000000-0010-0000-0800-000005000000}" name="Study Package Code" dataDxfId="252"/>
    <tableColumn id="6" xr3:uid="{00000000-0010-0000-0800-000006000000}" name="Ver" dataDxfId="251"/>
    <tableColumn id="7" xr3:uid="{00000000-0010-0000-0800-000007000000}" name="Structure Line" dataDxfId="250"/>
    <tableColumn id="8" xr3:uid="{00000000-0010-0000-0800-000008000000}" name="Credit Points" dataDxfId="249"/>
    <tableColumn id="14" xr3:uid="{00000000-0010-0000-0800-00000E000000}" name="Effective" dataDxfId="248"/>
    <tableColumn id="15" xr3:uid="{00000000-0010-0000-0800-00000F000000}" name="Discont." dataDxfId="24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eOUMUENGLT" displayName="TableOUMUENGLT" ref="A277:O302" totalsRowShown="0" headerRowDxfId="246">
  <autoFilter ref="A277:O302" xr:uid="{00000000-0009-0000-0100-000008000000}"/>
  <sortState xmlns:xlrd2="http://schemas.microsoft.com/office/spreadsheetml/2017/richdata2" ref="A277:R280">
    <sortCondition ref="O2:O6"/>
  </sortState>
  <tableColumns count="15">
    <tableColumn id="1" xr3:uid="{00000000-0010-0000-0900-000001000000}" name="UDC" dataDxfId="245">
      <calculatedColumnFormula>TableOUMUENGLT[[#This Row],[Study Package Code]]</calculatedColumnFormula>
    </tableColumn>
    <tableColumn id="9" xr3:uid="{00000000-0010-0000-0900-000009000000}" name="Version" dataDxfId="244">
      <calculatedColumnFormula>TableOUMUENGLT[[#This Row],[Ver]]</calculatedColumnFormula>
    </tableColumn>
    <tableColumn id="10" xr3:uid="{00000000-0010-0000-0900-00000A000000}" name="OUA Code" dataDxfId="243">
      <calculatedColumnFormula>IF(TableOUMUENGLT[[#This Row],[Ver]]&gt;0,_xlfn.TEXTBEFORE(TableOUMUENGLT[[#This Row],[Structure Line]]," "),"")</calculatedColumnFormula>
    </tableColumn>
    <tableColumn id="11" xr3:uid="{00000000-0010-0000-0900-00000B000000}" name="Unit Title" dataDxfId="242">
      <calculatedColumnFormula>IF(TableOUMUENGLT[[#This Row],[OUA Code]]&lt;&gt;"",_xlfn.TEXTAFTER(TableOUMUENGLT[[#This Row],[Structure Line]]," "),TableOUMUENGLT[[#This Row],[Structure Line]])</calculatedColumnFormula>
    </tableColumn>
    <tableColumn id="12" xr3:uid="{00000000-0010-0000-0900-00000C000000}" name="CPs" dataDxfId="241">
      <calculatedColumnFormula>TableOUMUENGLT[[#This Row],[Credit Points]]</calculatedColumnFormula>
    </tableColumn>
    <tableColumn id="13" xr3:uid="{00000000-0010-0000-0900-00000D000000}" name="No." dataDxfId="240"/>
    <tableColumn id="2" xr3:uid="{00000000-0010-0000-0900-000002000000}" name="Component Type" dataDxfId="239"/>
    <tableColumn id="3" xr3:uid="{00000000-0010-0000-0900-000003000000}" name="Year Level" dataDxfId="238"/>
    <tableColumn id="4" xr3:uid="{00000000-0010-0000-0900-000004000000}" name="Study Period" dataDxfId="237"/>
    <tableColumn id="5" xr3:uid="{00000000-0010-0000-0900-000005000000}" name="Study Package Code" dataDxfId="236"/>
    <tableColumn id="6" xr3:uid="{00000000-0010-0000-0900-000006000000}" name="Ver" dataDxfId="235"/>
    <tableColumn id="7" xr3:uid="{00000000-0010-0000-0900-000007000000}" name="Structure Line" dataDxfId="234"/>
    <tableColumn id="8" xr3:uid="{00000000-0010-0000-0900-000008000000}" name="Credit Points" dataDxfId="233"/>
    <tableColumn id="14" xr3:uid="{00000000-0010-0000-0900-00000E000000}" name="Effective" dataDxfId="232"/>
    <tableColumn id="15" xr3:uid="{00000000-0010-0000-0900-00000F000000}" name="Discont." dataDxfId="231"/>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bleOUMUHUSGE" displayName="TableOUMUHUSGE" ref="A304:O336" totalsRowShown="0" headerRowDxfId="230">
  <autoFilter ref="A304:O336" xr:uid="{00000000-0009-0000-0100-000009000000}"/>
  <sortState xmlns:xlrd2="http://schemas.microsoft.com/office/spreadsheetml/2017/richdata2" ref="A313:R316">
    <sortCondition ref="O2:O6"/>
  </sortState>
  <tableColumns count="15">
    <tableColumn id="1" xr3:uid="{00000000-0010-0000-0A00-000001000000}" name="UDC" dataDxfId="229">
      <calculatedColumnFormula>TableOUMUHUSGE[[#This Row],[Study Package Code]]</calculatedColumnFormula>
    </tableColumn>
    <tableColumn id="9" xr3:uid="{00000000-0010-0000-0A00-000009000000}" name="Version" dataDxfId="228">
      <calculatedColumnFormula>TableOUMUHUSGE[[#This Row],[Ver]]</calculatedColumnFormula>
    </tableColumn>
    <tableColumn id="10" xr3:uid="{00000000-0010-0000-0A00-00000A000000}" name="OUA Code" dataDxfId="227">
      <calculatedColumnFormula>IF(TableOUMUHUSGE[[#This Row],[Ver]]&gt;0,_xlfn.TEXTBEFORE(TableOUMUHUSGE[[#This Row],[Structure Line]]," "),"")</calculatedColumnFormula>
    </tableColumn>
    <tableColumn id="11" xr3:uid="{00000000-0010-0000-0A00-00000B000000}" name="Unit Title" dataDxfId="226">
      <calculatedColumnFormula>IF(TableOUMUHUSGE[[#This Row],[OUA Code]]&lt;&gt;"",_xlfn.TEXTAFTER(TableOUMUHUSGE[[#This Row],[Structure Line]]," "),TableOUMUHUSGE[[#This Row],[Structure Line]])</calculatedColumnFormula>
    </tableColumn>
    <tableColumn id="12" xr3:uid="{00000000-0010-0000-0A00-00000C000000}" name="CPs" dataDxfId="225">
      <calculatedColumnFormula>TableOUMUHUSGE[[#This Row],[Credit Points]]</calculatedColumnFormula>
    </tableColumn>
    <tableColumn id="13" xr3:uid="{00000000-0010-0000-0A00-00000D000000}" name="No." dataDxfId="224"/>
    <tableColumn id="2" xr3:uid="{00000000-0010-0000-0A00-000002000000}" name="Component Type" dataDxfId="223"/>
    <tableColumn id="3" xr3:uid="{00000000-0010-0000-0A00-000003000000}" name="Year Level" dataDxfId="222"/>
    <tableColumn id="4" xr3:uid="{00000000-0010-0000-0A00-000004000000}" name="Study Period" dataDxfId="221"/>
    <tableColumn id="5" xr3:uid="{00000000-0010-0000-0A00-000005000000}" name="Study Package Code" dataDxfId="220"/>
    <tableColumn id="6" xr3:uid="{00000000-0010-0000-0A00-000006000000}" name="Ver" dataDxfId="219"/>
    <tableColumn id="7" xr3:uid="{00000000-0010-0000-0A00-000007000000}" name="Structure Line" dataDxfId="218"/>
    <tableColumn id="8" xr3:uid="{00000000-0010-0000-0A00-000008000000}" name="Credit Points" dataDxfId="217"/>
    <tableColumn id="14" xr3:uid="{00000000-0010-0000-0A00-00000E000000}" name="Effective" dataDxfId="216"/>
    <tableColumn id="15" xr3:uid="{00000000-0010-0000-0A00-00000F000000}" name="Discont." dataDxfId="215"/>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eOBEDECCheck" displayName="TableOBEDECCheck" ref="Q2:R46" totalsRowShown="0">
  <autoFilter ref="Q2:R46" xr:uid="{00000000-0009-0000-0100-00000B000000}"/>
  <tableColumns count="2">
    <tableColumn id="1" xr3:uid="{00000000-0010-0000-0B00-000001000000}" name="Column1"/>
    <tableColumn id="2" xr3:uid="{00000000-0010-0000-0B00-000002000000}" name="Column2"/>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OBEDPRCheck" displayName="TableOBEDPRCheck" ref="Q94:R139" totalsRowShown="0">
  <autoFilter ref="Q94:R139" xr:uid="{00000000-0009-0000-0100-00000C000000}"/>
  <tableColumns count="2">
    <tableColumn id="1" xr3:uid="{00000000-0010-0000-0C00-000001000000}" name="Column1"/>
    <tableColumn id="2" xr3:uid="{00000000-0010-0000-0C00-000002000000}" name="Column2"/>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OBEDSC1Check" displayName="TableOBEDSC1Check" ref="Q206:R224" totalsRowShown="0">
  <autoFilter ref="Q206:R224" xr:uid="{00000000-0009-0000-0100-00000E000000}"/>
  <tableColumns count="2">
    <tableColumn id="1" xr3:uid="{00000000-0010-0000-0D00-000001000000}" name="Column1"/>
    <tableColumn id="2" xr3:uid="{00000000-0010-0000-0D00-000002000000}" name="Column2"/>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OUMUARVA1Check" displayName="TableOUMUARVA1Check" ref="Q246:R275" totalsRowShown="0">
  <autoFilter ref="Q246:R275" xr:uid="{00000000-0009-0000-0100-00000F000000}"/>
  <tableColumns count="2">
    <tableColumn id="1" xr3:uid="{00000000-0010-0000-0E00-000001000000}" name="Column1"/>
    <tableColumn id="2" xr3:uid="{00000000-0010-0000-0E00-000002000000}" name="Column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OUMUENGLTCheck" displayName="TableOUMUENGLTCheck" ref="Q277:R302" totalsRowShown="0">
  <autoFilter ref="Q277:R302" xr:uid="{00000000-0009-0000-0100-000010000000}"/>
  <tableColumns count="2">
    <tableColumn id="1" xr3:uid="{00000000-0010-0000-0F00-000001000000}" name="Column1"/>
    <tableColumn id="2" xr3:uid="{00000000-0010-0000-0F00-000002000000}" name="Column2"/>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OUMUHUSGECheck" displayName="TableOUMUHUSGECheck" ref="Q304:R336" totalsRowShown="0">
  <autoFilter ref="Q304:R336" xr:uid="{00000000-0009-0000-0100-000011000000}"/>
  <tableColumns count="2">
    <tableColumn id="1" xr3:uid="{00000000-0010-0000-1000-000001000000}" name="Column1"/>
    <tableColumn id="2" xr3:uid="{00000000-0010-0000-1000-000002000000}" name="Column2"/>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72B9DB4-D117-4C30-87F3-98D2F3681E19}" name="TableOUSUCATHL" displayName="TableOUSUCATHL" ref="A176:O179" totalsRowShown="0" headerRowDxfId="214">
  <autoFilter ref="A176:O179" xr:uid="{B72B9DB4-D117-4C30-87F3-98D2F3681E19}"/>
  <tableColumns count="15">
    <tableColumn id="1" xr3:uid="{535BBA88-FEDE-499F-B3AD-8972263394EF}" name="UDC" dataDxfId="213">
      <calculatedColumnFormula>TableOUSUCATHL[[#This Row],[Study Package Code]]</calculatedColumnFormula>
    </tableColumn>
    <tableColumn id="9" xr3:uid="{8FA96D59-8C34-4043-85FB-E0F7E47F1BEF}" name="Version" dataDxfId="212">
      <calculatedColumnFormula>TableOUSUCATHL[[#This Row],[Ver]]</calculatedColumnFormula>
    </tableColumn>
    <tableColumn id="10" xr3:uid="{E75AED40-B62C-4C31-9B4B-68749E7674D2}" name="OUA Code" dataDxfId="211">
      <calculatedColumnFormula>IF(TableOUSUCATHL[[#This Row],[Ver]]&gt;0,_xlfn.TEXTBEFORE(TableOUSUCATHL[[#This Row],[Structure Line]]," "),"")</calculatedColumnFormula>
    </tableColumn>
    <tableColumn id="11" xr3:uid="{F9489819-D2D3-4833-A4C3-2ECA276EF238}" name="Unit Title" dataDxfId="210">
      <calculatedColumnFormula>IF(TableOUSUCATHL[[#This Row],[OUA Code]]&lt;&gt;"",_xlfn.TEXTAFTER(TableOUSUCATHL[[#This Row],[Structure Line]]," "),TableOUSUCATHL[[#This Row],[Structure Line]])</calculatedColumnFormula>
    </tableColumn>
    <tableColumn id="12" xr3:uid="{734BFBDC-155A-4286-A905-02B6EB0B6226}" name="CPs" dataDxfId="209">
      <calculatedColumnFormula>TableOUSUCATHL[[#This Row],[Credit Points]]</calculatedColumnFormula>
    </tableColumn>
    <tableColumn id="13" xr3:uid="{0B44F947-DCCB-4695-8C85-FDE45AE769B7}" name="No." dataDxfId="208"/>
    <tableColumn id="2" xr3:uid="{01441CA1-1594-424E-B55E-A69FD05C7D30}" name="Component Type" dataDxfId="207"/>
    <tableColumn id="3" xr3:uid="{522B2977-23A6-4BE9-AFDB-4E9A9F47C05D}" name="Year Level" dataDxfId="206"/>
    <tableColumn id="4" xr3:uid="{81AC837B-6E37-42C3-9551-B1BEAB4E87CB}" name="Study Period" dataDxfId="205"/>
    <tableColumn id="5" xr3:uid="{2DD91766-5C67-48B4-9461-62171D3F442C}" name="Study Package Code" dataDxfId="204"/>
    <tableColumn id="6" xr3:uid="{470B7C3C-C024-44EB-A0FD-AA84C2912A8C}" name="Ver" dataDxfId="203"/>
    <tableColumn id="7" xr3:uid="{4B841C8D-2EDD-4F15-BAA7-9504CD22504D}" name="Structure Line" dataDxfId="202"/>
    <tableColumn id="8" xr3:uid="{81BC5F3D-4F3B-4DCA-BE69-587203BD3A60}" name="Credit Points" dataDxfId="201"/>
    <tableColumn id="14" xr3:uid="{98B9AC93-E1CF-4CD5-B2B3-B84CC2450219}" name="Effective" dataDxfId="200"/>
    <tableColumn id="15" xr3:uid="{AE826DEE-3826-4D9D-8303-DA3C7DDD78B3}" name="Discont." dataDxfId="19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s" displayName="TableStudyPeriods" ref="A28:E32" totalsRowShown="0">
  <autoFilter ref="A28:E32" xr:uid="{00000000-0009-0000-0100-000004000000}"/>
  <tableColumns count="5">
    <tableColumn id="1" xr3:uid="{00000000-0010-0000-0100-000001000000}" name="Choose your commencing study period (drop-down list)"/>
    <tableColumn id="2" xr3:uid="{00000000-0010-0000-0100-000002000000}" name="START" dataDxfId="366"/>
    <tableColumn id="3" xr3:uid="{00000000-0010-0000-0100-000003000000}" name="Next" dataDxfId="365"/>
    <tableColumn id="4" xr3:uid="{00000000-0010-0000-0100-000004000000}" name="Next2" dataDxfId="364"/>
    <tableColumn id="5" xr3:uid="{00000000-0010-0000-0100-000005000000}" name="Next3" dataDxfId="363"/>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B56526C-E2B8-402F-AA33-062B40FDC4CC}" name="TableOUSUCATHLCheck" displayName="TableOUSUCATHLCheck" ref="Q176:R179" totalsRowShown="0">
  <autoFilter ref="Q176:R179" xr:uid="{8B56526C-E2B8-402F-AA33-062B40FDC4CC}"/>
  <tableColumns count="2">
    <tableColumn id="1" xr3:uid="{D21BC6B8-B936-4E38-9369-665DCEAB517C}" name="Column1"/>
    <tableColumn id="2" xr3:uid="{8537B66F-C9E4-438C-BADE-10E935311902}" name="Column2"/>
  </tableColumns>
  <tableStyleInfo name="TableStyleLight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78099D-682A-43A0-81D2-22CC0BB88AE5}" name="TableOUSUENGLL" displayName="TableOUSUENGLL" ref="A181:O184" totalsRowShown="0" headerRowDxfId="198">
  <autoFilter ref="A181:O184" xr:uid="{E378099D-682A-43A0-81D2-22CC0BB88AE5}"/>
  <tableColumns count="15">
    <tableColumn id="1" xr3:uid="{BE8B7AE3-4982-4505-ABE8-A840446C7B39}" name="UDC" dataDxfId="197">
      <calculatedColumnFormula>TableOUSUENGLL[[#This Row],[Study Package Code]]</calculatedColumnFormula>
    </tableColumn>
    <tableColumn id="9" xr3:uid="{6C7C5DB8-5C71-42FA-A31D-A56555FFF4C5}" name="Version" dataDxfId="196">
      <calculatedColumnFormula>TableOUSUENGLL[[#This Row],[Ver]]</calculatedColumnFormula>
    </tableColumn>
    <tableColumn id="10" xr3:uid="{91DBBC7A-F7A6-4378-B797-9123A9765CAC}" name="OUA Code" dataDxfId="195">
      <calculatedColumnFormula>IF(TableOUSUENGLL[[#This Row],[Ver]]&gt;0,_xlfn.TEXTBEFORE(TableOUSUENGLL[[#This Row],[Structure Line]]," "),"")</calculatedColumnFormula>
    </tableColumn>
    <tableColumn id="11" xr3:uid="{3D464D23-90F4-4A3E-AFDD-3001CEA59328}" name="Unit Title" dataDxfId="194">
      <calculatedColumnFormula>IF(TableOUSUENGLL[[#This Row],[OUA Code]]&lt;&gt;"",_xlfn.TEXTAFTER(TableOUSUENGLL[[#This Row],[Structure Line]]," "),TableOUSUENGLL[[#This Row],[Structure Line]])</calculatedColumnFormula>
    </tableColumn>
    <tableColumn id="12" xr3:uid="{4608E5BF-37B1-4A92-9C57-34F68C966EDF}" name="CPs" dataDxfId="193">
      <calculatedColumnFormula>TableOUSUENGLL[[#This Row],[Credit Points]]</calculatedColumnFormula>
    </tableColumn>
    <tableColumn id="13" xr3:uid="{2F8AE16C-BA7A-40DA-A559-8D6747612833}" name="No." dataDxfId="192"/>
    <tableColumn id="2" xr3:uid="{3E544A14-B0A2-4C70-9A56-AD8778E3FC77}" name="Component Type" dataDxfId="191"/>
    <tableColumn id="3" xr3:uid="{92D2623B-55E8-4AA5-9B90-8409603B79D9}" name="Year Level" dataDxfId="190"/>
    <tableColumn id="4" xr3:uid="{9C97206D-5633-4D98-A13D-DB07B1F58685}" name="Study Period" dataDxfId="189"/>
    <tableColumn id="5" xr3:uid="{552C432B-1EF0-450E-965F-BB010F580B86}" name="Study Package Code" dataDxfId="188"/>
    <tableColumn id="6" xr3:uid="{3312E3F3-FECE-43A3-999C-55A14F45ED56}" name="Ver" dataDxfId="187"/>
    <tableColumn id="7" xr3:uid="{E5CFA988-14E8-4936-B174-DB4AD9CCE539}" name="Structure Line" dataDxfId="186"/>
    <tableColumn id="8" xr3:uid="{EEB68A67-F80E-4008-846F-4701CB8CB371}" name="Credit Points" dataDxfId="185"/>
    <tableColumn id="14" xr3:uid="{25CA55EE-E55A-40FA-AD07-C708DE2E64CC}" name="Effective" dataDxfId="184"/>
    <tableColumn id="15" xr3:uid="{C00686CA-5E11-41CD-AB18-8D495998ED3B}" name="Discont." dataDxfId="183"/>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67DF828-EBDD-4CAC-9539-0B8A0876271B}" name="TableOUSUHLTPE" displayName="TableOUSUHLTPE" ref="A186:O189" totalsRowShown="0" headerRowDxfId="182">
  <autoFilter ref="A186:O189" xr:uid="{567DF828-EBDD-4CAC-9539-0B8A0876271B}"/>
  <tableColumns count="15">
    <tableColumn id="1" xr3:uid="{2D2483DB-77AF-4B0C-94E7-11D6404459A6}" name="UDC" dataDxfId="181">
      <calculatedColumnFormula>TableOUSUHLTPE[[#This Row],[Study Package Code]]</calculatedColumnFormula>
    </tableColumn>
    <tableColumn id="9" xr3:uid="{79BE8547-DCBF-4529-BC18-C052EA65A2AA}" name="Version" dataDxfId="180">
      <calculatedColumnFormula>TableOUSUHLTPE[[#This Row],[Ver]]</calculatedColumnFormula>
    </tableColumn>
    <tableColumn id="10" xr3:uid="{290FB915-9E59-49F1-9006-ADBF3C32557F}" name="OUA Code" dataDxfId="179">
      <calculatedColumnFormula>IF(TableOUSUHLTPE[[#This Row],[Ver]]&gt;0,_xlfn.TEXTBEFORE(TableOUSUHLTPE[[#This Row],[Structure Line]]," "),"")</calculatedColumnFormula>
    </tableColumn>
    <tableColumn id="11" xr3:uid="{E0901A0A-D1CF-4F65-B621-8DA932E2CBE6}" name="Unit Title" dataDxfId="178">
      <calculatedColumnFormula>IF(TableOUSUHLTPE[[#This Row],[OUA Code]]&lt;&gt;"",_xlfn.TEXTAFTER(TableOUSUHLTPE[[#This Row],[Structure Line]]," "),TableOUSUHLTPE[[#This Row],[Structure Line]])</calculatedColumnFormula>
    </tableColumn>
    <tableColumn id="12" xr3:uid="{B2731CA8-ADD9-4418-A647-0E37845800D2}" name="CPs" dataDxfId="177">
      <calculatedColumnFormula>TableOUSUHLTPE[[#This Row],[Credit Points]]</calculatedColumnFormula>
    </tableColumn>
    <tableColumn id="13" xr3:uid="{E4E36CBE-E064-4F15-BFA1-AA8C10022109}" name="No." dataDxfId="176"/>
    <tableColumn id="2" xr3:uid="{AD716E44-303E-49ED-ACD3-B861EDBC53E1}" name="Component Type" dataDxfId="175"/>
    <tableColumn id="3" xr3:uid="{F5E869E3-87E7-4130-8853-1A74C1DD2D3E}" name="Year Level" dataDxfId="174"/>
    <tableColumn id="4" xr3:uid="{16B746CA-3961-444D-8ACE-01A4741F7CFD}" name="Study Period" dataDxfId="173"/>
    <tableColumn id="5" xr3:uid="{A1B3F080-C649-4CF4-B931-1A1131D0BBE2}" name="Study Package Code" dataDxfId="172"/>
    <tableColumn id="6" xr3:uid="{E78D0EB4-806F-43C1-B6EE-32C95045ABCF}" name="Ver" dataDxfId="171"/>
    <tableColumn id="7" xr3:uid="{DC6122BD-578E-4BC5-B106-51742A6A1FC4}" name="Structure Line" dataDxfId="170"/>
    <tableColumn id="8" xr3:uid="{2FCA3C3B-97E6-46B2-B6AB-05BABF9A99AA}" name="Credit Points" dataDxfId="169"/>
    <tableColumn id="14" xr3:uid="{F65A5653-2D21-4E23-B4AD-3C9DA81E4377}" name="Effective" dataDxfId="168"/>
    <tableColumn id="15" xr3:uid="{C14BD2F5-4322-49CD-BE21-A6E049A4FEA7}" name="Discont." dataDxfId="167"/>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F6DE790-CF30-492A-8739-AC97F63ACBE8}" name="TableOUSUISTEM" displayName="TableOUSUISTEM" ref="A191:O194" totalsRowShown="0" headerRowDxfId="166">
  <autoFilter ref="A191:O194" xr:uid="{1F6DE790-CF30-492A-8739-AC97F63ACBE8}"/>
  <tableColumns count="15">
    <tableColumn id="1" xr3:uid="{871C7BE7-08DB-4E03-B36E-98A37B55371E}" name="UDC" dataDxfId="165">
      <calculatedColumnFormula>TableOUSUISTEM[[#This Row],[Study Package Code]]</calculatedColumnFormula>
    </tableColumn>
    <tableColumn id="9" xr3:uid="{40056A9F-3CE0-458A-A7EA-E5397D0481D4}" name="Version" dataDxfId="164">
      <calculatedColumnFormula>TableOUSUISTEM[[#This Row],[Ver]]</calculatedColumnFormula>
    </tableColumn>
    <tableColumn id="10" xr3:uid="{AB301CE8-4CBA-4C4E-8621-C69C5E8F4AFD}" name="OUA Code" dataDxfId="163">
      <calculatedColumnFormula>IF(TableOUSUISTEM[[#This Row],[Ver]]&gt;0,_xlfn.TEXTBEFORE(TableOUSUISTEM[[#This Row],[Structure Line]]," "),"")</calculatedColumnFormula>
    </tableColumn>
    <tableColumn id="11" xr3:uid="{F6626E36-5DB9-4DC4-9E0C-2CEA7B45D88C}" name="Unit Title" dataDxfId="162">
      <calculatedColumnFormula>IF(TableOUSUISTEM[[#This Row],[OUA Code]]&lt;&gt;"",_xlfn.TEXTAFTER(TableOUSUISTEM[[#This Row],[Structure Line]]," "),TableOUSUISTEM[[#This Row],[Structure Line]])</calculatedColumnFormula>
    </tableColumn>
    <tableColumn id="12" xr3:uid="{71F59AA0-0E2B-4423-808B-E565C7192121}" name="CPs" dataDxfId="161">
      <calculatedColumnFormula>TableOUSUISTEM[[#This Row],[Credit Points]]</calculatedColumnFormula>
    </tableColumn>
    <tableColumn id="13" xr3:uid="{DE3774B3-AEEC-4838-BBE4-59F66D5433DB}" name="No." dataDxfId="160"/>
    <tableColumn id="2" xr3:uid="{35E81B36-C243-405F-8260-A6B70D6EBF86}" name="Component Type" dataDxfId="159"/>
    <tableColumn id="3" xr3:uid="{C2EA4CA6-DC8C-4070-9198-B7D7918BD2A9}" name="Year Level" dataDxfId="158"/>
    <tableColumn id="4" xr3:uid="{22D311F9-DCD7-4AA0-9570-B42EE011367C}" name="Study Period" dataDxfId="157"/>
    <tableColumn id="5" xr3:uid="{FBDE3A8A-BF63-4565-B7C6-5531B2261125}" name="Study Package Code" dataDxfId="156"/>
    <tableColumn id="6" xr3:uid="{E5A78DB1-A675-4DE7-8775-6B253410F53C}" name="Ver" dataDxfId="155"/>
    <tableColumn id="7" xr3:uid="{06F398AE-87D3-4F0D-829C-0AB1D2B41EF2}" name="Structure Line" dataDxfId="154"/>
    <tableColumn id="8" xr3:uid="{83E0EF5F-EC4A-4DC6-A955-2536FAD4E6E3}" name="Credit Points" dataDxfId="153"/>
    <tableColumn id="14" xr3:uid="{3A85436A-D20B-490A-9713-0B0536BEF631}" name="Effective" dataDxfId="152"/>
    <tableColumn id="15" xr3:uid="{93E52A59-192F-43B5-B426-316B28C4FFE5}" name="Discont." dataDxfId="151"/>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0F37AAC-D726-4C30-8E44-E34C951CAF66}" name="TableOUSULITNU" displayName="TableOUSULITNU" ref="A196:O199" totalsRowShown="0" headerRowDxfId="150">
  <autoFilter ref="A196:O199" xr:uid="{F0F37AAC-D726-4C30-8E44-E34C951CAF66}"/>
  <tableColumns count="15">
    <tableColumn id="1" xr3:uid="{1847366F-4247-4854-9020-B1226DADCB36}" name="UDC" dataDxfId="149">
      <calculatedColumnFormula>TableOUSULITNU[[#This Row],[Study Package Code]]</calculatedColumnFormula>
    </tableColumn>
    <tableColumn id="9" xr3:uid="{82731A0A-777E-450F-971B-3B7E419B8AEF}" name="Version" dataDxfId="148">
      <calculatedColumnFormula>TableOUSULITNU[[#This Row],[Ver]]</calculatedColumnFormula>
    </tableColumn>
    <tableColumn id="10" xr3:uid="{D17039FC-DC5E-4334-89DD-EA0328793DCB}" name="OUA Code" dataDxfId="147">
      <calculatedColumnFormula>IF(TableOUSULITNU[[#This Row],[Ver]]&gt;0,_xlfn.TEXTBEFORE(TableOUSULITNU[[#This Row],[Structure Line]]," "),"")</calculatedColumnFormula>
    </tableColumn>
    <tableColumn id="11" xr3:uid="{FF50D8F4-0B2D-4157-BAA1-3200F1F8594C}" name="Unit Title" dataDxfId="146">
      <calculatedColumnFormula>IF(TableOUSULITNU[[#This Row],[OUA Code]]&lt;&gt;"",_xlfn.TEXTAFTER(TableOUSULITNU[[#This Row],[Structure Line]]," "),TableOUSULITNU[[#This Row],[Structure Line]])</calculatedColumnFormula>
    </tableColumn>
    <tableColumn id="12" xr3:uid="{0164994E-2EEB-4D62-A411-7197302B185A}" name="CPs" dataDxfId="145">
      <calculatedColumnFormula>TableOUSULITNU[[#This Row],[Credit Points]]</calculatedColumnFormula>
    </tableColumn>
    <tableColumn id="13" xr3:uid="{D7939348-56D6-4446-BAE9-FC80B6C9F985}" name="No." dataDxfId="144"/>
    <tableColumn id="2" xr3:uid="{BBCD6E0D-ABBA-4271-A69D-92ED06DEFD2F}" name="Component Type" dataDxfId="143"/>
    <tableColumn id="3" xr3:uid="{1067EE42-6AEB-460D-8B95-0C00EC33A247}" name="Year Level" dataDxfId="142"/>
    <tableColumn id="4" xr3:uid="{AA6DD29B-C780-4097-AC4D-E93A3963F43E}" name="Study Period" dataDxfId="141"/>
    <tableColumn id="5" xr3:uid="{1B1619F9-D601-4561-AE9C-555B9A2F5B0B}" name="Study Package Code" dataDxfId="140"/>
    <tableColumn id="6" xr3:uid="{6C7B8FDF-1970-43DD-A61D-B279D15DEB67}" name="Ver" dataDxfId="139"/>
    <tableColumn id="7" xr3:uid="{47782A69-2E62-4EB6-93CC-879C21921C06}" name="Structure Line" dataDxfId="138"/>
    <tableColumn id="8" xr3:uid="{5264FD84-9273-44DF-8F47-BDE2F5D7757A}" name="Credit Points" dataDxfId="137"/>
    <tableColumn id="14" xr3:uid="{81748714-6DCB-4109-86DD-2D28140FB184}" name="Effective" dataDxfId="136"/>
    <tableColumn id="15" xr3:uid="{8E09594B-D886-472B-A6B6-F922B95FFC9F}" name="Discont." dataDxfId="135"/>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7F3474B-BB3B-477D-A1F2-3B6433AFD3BF}" name="TableOUSUTECHS" displayName="TableOUSUTECHS" ref="A201:O204" totalsRowShown="0" headerRowDxfId="134">
  <autoFilter ref="A201:O204" xr:uid="{97F3474B-BB3B-477D-A1F2-3B6433AFD3BF}"/>
  <tableColumns count="15">
    <tableColumn id="1" xr3:uid="{DB505683-5D8E-4CC9-A8C5-28DDDD0790C6}" name="UDC" dataDxfId="133">
      <calculatedColumnFormula>TableOUSUTECHS[[#This Row],[Study Package Code]]</calculatedColumnFormula>
    </tableColumn>
    <tableColumn id="9" xr3:uid="{9D0A3545-1549-484A-A13C-39A1E33E0180}" name="Version" dataDxfId="132">
      <calculatedColumnFormula>TableOUSUTECHS[[#This Row],[Ver]]</calculatedColumnFormula>
    </tableColumn>
    <tableColumn id="10" xr3:uid="{001F9DF1-A430-4AA8-9E19-0CC467A33ADD}" name="OUA Code" dataDxfId="131">
      <calculatedColumnFormula>IF(TableOUSUTECHS[[#This Row],[Ver]]&gt;0,_xlfn.TEXTBEFORE(TableOUSUTECHS[[#This Row],[Structure Line]]," "),"")</calculatedColumnFormula>
    </tableColumn>
    <tableColumn id="11" xr3:uid="{BD81B949-EFB8-4BEF-8DE2-597000CEEF6C}" name="Unit Title" dataDxfId="130">
      <calculatedColumnFormula>IF(TableOUSUTECHS[[#This Row],[OUA Code]]&lt;&gt;"",_xlfn.TEXTAFTER(TableOUSUTECHS[[#This Row],[Structure Line]]," "),TableOUSUTECHS[[#This Row],[Structure Line]])</calculatedColumnFormula>
    </tableColumn>
    <tableColumn id="12" xr3:uid="{DEC14E35-EF9F-48FB-92C0-C73E01842021}" name="CPs" dataDxfId="129">
      <calculatedColumnFormula>TableOUSUTECHS[[#This Row],[Credit Points]]</calculatedColumnFormula>
    </tableColumn>
    <tableColumn id="13" xr3:uid="{558C1C63-43AB-460C-A73E-71B385373748}" name="No." dataDxfId="128"/>
    <tableColumn id="2" xr3:uid="{4A7EBFC0-63E7-4169-92FF-878A5E4A7EC7}" name="Component Type" dataDxfId="127"/>
    <tableColumn id="3" xr3:uid="{CC6D9C34-C099-4524-9436-4272DF9D62BD}" name="Year Level" dataDxfId="126"/>
    <tableColumn id="4" xr3:uid="{089C63A7-83F5-47AD-8ADE-43CBE94E93CF}" name="Study Period" dataDxfId="125"/>
    <tableColumn id="5" xr3:uid="{A35244D0-2EA4-44CA-90A4-CE9B70445047}" name="Study Package Code" dataDxfId="124"/>
    <tableColumn id="6" xr3:uid="{AE564C2F-7475-42F9-ACE3-3B1B0CB43CD7}" name="Ver" dataDxfId="123"/>
    <tableColumn id="7" xr3:uid="{376F7FE2-89A4-473B-886A-840071929DFE}" name="Structure Line" dataDxfId="122"/>
    <tableColumn id="8" xr3:uid="{5C6D78AC-D0F8-4698-A3D0-1B74094657E0}" name="Credit Points" dataDxfId="121"/>
    <tableColumn id="14" xr3:uid="{53813B97-97C3-4702-AE63-E71ABC6FFD78}" name="Effective" dataDxfId="120"/>
    <tableColumn id="15" xr3:uid="{C7BDB299-013B-4FA7-9A2D-4E0DD44EC51C}" name="Discont." dataDxfId="119"/>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E475531-78F6-4FCD-9120-D7039B55359B}" name="TableOUSUENGLLCheck" displayName="TableOUSUENGLLCheck" ref="Q181:R184" totalsRowShown="0">
  <autoFilter ref="Q181:R184" xr:uid="{4E475531-78F6-4FCD-9120-D7039B55359B}"/>
  <tableColumns count="2">
    <tableColumn id="1" xr3:uid="{832725B1-BD99-4B4C-ADDC-C96CACB336BA}" name="Column1"/>
    <tableColumn id="2" xr3:uid="{ABAAA6B1-E294-4220-882C-2FE88CDDCBAC}"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6115DB7-7CC8-4B2E-A337-B1A7D6728889}" name="TableOUSUHLTPECheck" displayName="TableOUSUHLTPECheck" ref="Q186:R189" totalsRowShown="0">
  <autoFilter ref="Q186:R189" xr:uid="{C6115DB7-7CC8-4B2E-A337-B1A7D6728889}"/>
  <tableColumns count="2">
    <tableColumn id="1" xr3:uid="{C281C859-96C5-4AE1-B857-B3311702241B}" name="Column1"/>
    <tableColumn id="2" xr3:uid="{58EBDD68-E31B-42F8-A6DD-9FCE6627D13C}"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C6C6096-BE2F-4334-BAD3-1DB620A9DEBC}" name="TableOUSUISTEMCheck" displayName="TableOUSUISTEMCheck" ref="Q191:R194" totalsRowShown="0">
  <autoFilter ref="Q191:R194" xr:uid="{AC6C6096-BE2F-4334-BAD3-1DB620A9DEBC}"/>
  <tableColumns count="2">
    <tableColumn id="1" xr3:uid="{9195AA8D-94B7-4903-8F64-B75C12CD1B02}" name="Column1"/>
    <tableColumn id="2" xr3:uid="{9168890F-5C69-4063-BA12-9F57F8528E9E}"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157F2EF-8776-43C5-9C56-BD86B3CED7FF}" name="TableOUSULITNUCheck" displayName="TableOUSULITNUCheck" ref="Q196:R199" totalsRowShown="0">
  <autoFilter ref="Q196:R199" xr:uid="{F157F2EF-8776-43C5-9C56-BD86B3CED7FF}"/>
  <tableColumns count="2">
    <tableColumn id="1" xr3:uid="{9DD4FA72-90D9-4186-969E-BBD89AE48D8D}" name="Column1"/>
    <tableColumn id="2" xr3:uid="{ADC0D14D-A6CC-4869-A5AD-28A4FECA4C5A}"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2000000}" name="TableMajors" displayName="TableMajors" ref="A13:H16" totalsRowShown="0" headerRowDxfId="362" dataDxfId="361">
  <autoFilter ref="A13:H16" xr:uid="{00000000-0009-0000-0100-000018000000}"/>
  <sortState xmlns:xlrd2="http://schemas.microsoft.com/office/spreadsheetml/2017/richdata2" ref="A17:E19">
    <sortCondition ref="A15:A18"/>
  </sortState>
  <tableColumns count="8">
    <tableColumn id="3" xr3:uid="{00000000-0010-0000-0200-000003000000}" name="Choose your Major first (drop-down list)" dataDxfId="360"/>
    <tableColumn id="1" xr3:uid="{00000000-0010-0000-0200-000001000000}" name="UDC" dataDxfId="359"/>
    <tableColumn id="2" xr3:uid="{00000000-0010-0000-0200-000002000000}" name="SM Version" dataDxfId="358"/>
    <tableColumn id="5" xr3:uid="{00000000-0010-0000-0200-000005000000}" name="SM Effective Date" dataDxfId="357"/>
    <tableColumn id="4" xr3:uid="{00000000-0010-0000-0200-000004000000}" name="Akari Iteration" dataDxfId="356"/>
    <tableColumn id="6" xr3:uid="{00000000-0010-0000-0200-000006000000}" name="Akari Effective Date" dataDxfId="355"/>
    <tableColumn id="7" xr3:uid="{00000000-0010-0000-0200-000007000000}" name="Credit Points" dataDxfId="354"/>
    <tableColumn id="8" xr3:uid="{B82B0392-6381-4533-812A-66A808C017BE}" name="Notes" dataDxfId="35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1A2C043-EBF9-48DB-9F3D-1F22EB76CD1C}" name="TableOUSUTECHSCheck" displayName="TableOUSUTECHSCheck" ref="Q201:R204" totalsRowShown="0">
  <autoFilter ref="Q201:R204" xr:uid="{D1A2C043-EBF9-48DB-9F3D-1F22EB76CD1C}"/>
  <tableColumns count="2">
    <tableColumn id="1" xr3:uid="{81263B1F-1D1F-49BC-935C-28E88CB858CF}" name="Column1"/>
    <tableColumn id="2" xr3:uid="{13999529-53FA-41A2-BBD8-1EC1BC6CF12E}"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07356FB-5AED-40AE-A391-1CEC3F1519F1}" name="TableOUEDEC" displayName="TableOUEDEC" ref="A48:O92" totalsRowShown="0" headerRowDxfId="118">
  <autoFilter ref="A48:O92" xr:uid="{507356FB-5AED-40AE-A391-1CEC3F1519F1}"/>
  <tableColumns count="15">
    <tableColumn id="1" xr3:uid="{488ED036-C6F2-4CCA-B563-BFFCDB137B55}" name="UDC" dataDxfId="117">
      <calculatedColumnFormula>TableOUEDEC[[#This Row],[Study Package Code]]</calculatedColumnFormula>
    </tableColumn>
    <tableColumn id="9" xr3:uid="{87AB57D8-62A7-4F8F-A5B4-BD57CF7D71FB}" name="Version" dataDxfId="116">
      <calculatedColumnFormula>TableOUEDEC[[#This Row],[Ver]]</calculatedColumnFormula>
    </tableColumn>
    <tableColumn id="10" xr3:uid="{EBA3A6D5-0E4C-4F08-A309-EE578F69AD58}" name="OUA Code" dataDxfId="115">
      <calculatedColumnFormula>IF(TableOUEDEC[[#This Row],[Ver]]&gt;0,_xlfn.TEXTBEFORE(TableOUEDEC[[#This Row],[Structure Line]]," "),"")</calculatedColumnFormula>
    </tableColumn>
    <tableColumn id="11" xr3:uid="{A6D9D5FA-1A87-41E4-B60E-03644F1622C7}" name="Unit Title" dataDxfId="114">
      <calculatedColumnFormula>IF(TableOUEDEC[[#This Row],[OUA Code]]&lt;&gt;"",_xlfn.TEXTAFTER(TableOUEDEC[[#This Row],[Structure Line]]," "),TableOUEDEC[[#This Row],[Structure Line]])</calculatedColumnFormula>
    </tableColumn>
    <tableColumn id="12" xr3:uid="{0AA93FC9-6BD5-4C72-AC9F-04ECE0759616}" name="CPs" dataDxfId="113">
      <calculatedColumnFormula>TableOUEDEC[[#This Row],[Credit Points]]</calculatedColumnFormula>
    </tableColumn>
    <tableColumn id="13" xr3:uid="{BAB2C887-44F0-43ED-903A-3A52CA59EBD5}" name="No." dataDxfId="112"/>
    <tableColumn id="2" xr3:uid="{220F2C50-DB3E-4953-871B-DEF449F116FC}" name="Component Type" dataDxfId="111"/>
    <tableColumn id="3" xr3:uid="{8C1F254E-6691-426E-A7FE-2C813ECD59F1}" name="Year Level" dataDxfId="110"/>
    <tableColumn id="4" xr3:uid="{E2E7AAFE-02B5-4852-8FFA-33A927580FB9}" name="Study Period" dataDxfId="109"/>
    <tableColumn id="5" xr3:uid="{72D0F206-47B1-4659-915A-33BD5DBB25AF}" name="Study Package Code" dataDxfId="108"/>
    <tableColumn id="6" xr3:uid="{84D8AC4A-15D6-4838-B271-D5E00CDEBAAB}" name="Ver" dataDxfId="107"/>
    <tableColumn id="7" xr3:uid="{DCCE175E-3239-4A55-9EC7-2D0D1FF9FE42}" name="Structure Line" dataDxfId="106"/>
    <tableColumn id="8" xr3:uid="{6D3DD7E7-E7A9-47BF-A93D-7FFC380A5BB4}" name="Credit Points" dataDxfId="105"/>
    <tableColumn id="14" xr3:uid="{DA0116D3-45F5-44E3-997B-5DA55609AC7C}" name="Effective" dataDxfId="104"/>
    <tableColumn id="15" xr3:uid="{F8AFFDFA-7D0E-4737-B151-2D6F4D617683}" name="Discont." dataDxfId="103"/>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099F5C6-5E24-47F8-90BA-AD85FBCEAB76}" name="TableOUEDECCheck" displayName="TableOUEDECCheck" ref="Q48:R92" totalsRowShown="0">
  <autoFilter ref="Q48:R92" xr:uid="{A099F5C6-5E24-47F8-90BA-AD85FBCEAB76}"/>
  <tableColumns count="2">
    <tableColumn id="1" xr3:uid="{5FA46CF2-7130-4D52-A235-512B27870BA0}" name="Column1"/>
    <tableColumn id="2" xr3:uid="{6671F206-9EE1-40BA-A269-234B6400650B}"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BA4FD04-F1AD-4608-8A93-7A3CA11EA7AF}" name="TableOUEDPR" displayName="TableOUEDPR" ref="A141:O174" totalsRowShown="0" headerRowDxfId="102">
  <autoFilter ref="A141:O174" xr:uid="{EBA4FD04-F1AD-4608-8A93-7A3CA11EA7AF}"/>
  <tableColumns count="15">
    <tableColumn id="1" xr3:uid="{716238E3-7FFF-40C2-A744-BBE88E5BED01}" name="UDC" dataDxfId="101">
      <calculatedColumnFormula>TableOUEDPR[[#This Row],[Study Package Code]]</calculatedColumnFormula>
    </tableColumn>
    <tableColumn id="9" xr3:uid="{B30A8286-1836-4644-A301-C5A4C8F38D91}" name="Version" dataDxfId="100">
      <calculatedColumnFormula>TableOUEDPR[[#This Row],[Ver]]</calculatedColumnFormula>
    </tableColumn>
    <tableColumn id="10" xr3:uid="{D51DCE9B-2DF3-482C-9B9D-CF077BBEE6CF}" name="OUA Code" dataDxfId="99">
      <calculatedColumnFormula>IF(TableOUEDPR[[#This Row],[Ver]]&gt;0,_xlfn.TEXTBEFORE(TableOUEDPR[[#This Row],[Structure Line]]," "),"")</calculatedColumnFormula>
    </tableColumn>
    <tableColumn id="11" xr3:uid="{A0A4F9DC-8BC9-467B-BE8C-651D0B1BC8EF}" name="Unit Title" dataDxfId="98">
      <calculatedColumnFormula>TableOUEDPR[[#This Row],[Structure Line]]</calculatedColumnFormula>
    </tableColumn>
    <tableColumn id="12" xr3:uid="{AEFA283E-994D-4155-85C7-C53CF096D8FC}" name="CPs" dataDxfId="97">
      <calculatedColumnFormula>TableOUEDPR[[#This Row],[Credit Points]]</calculatedColumnFormula>
    </tableColumn>
    <tableColumn id="13" xr3:uid="{0B18F6D3-85FF-4380-BEF9-95018C3EC49C}" name="No." dataDxfId="96"/>
    <tableColumn id="2" xr3:uid="{6E8D3BA0-34F9-4B3A-AE4F-C40F4428FB1D}" name="Component Type" dataDxfId="95"/>
    <tableColumn id="3" xr3:uid="{C5EF7BDF-1740-40C0-9CA2-10FFB1CDB4E8}" name="Year Level" dataDxfId="94"/>
    <tableColumn id="4" xr3:uid="{64169558-3605-4D3D-AB28-F0098F9D30EF}" name="Study Period" dataDxfId="93"/>
    <tableColumn id="5" xr3:uid="{B049CC58-6D1D-4260-A2A5-532BEE822DFD}" name="Study Package Code" dataDxfId="92"/>
    <tableColumn id="6" xr3:uid="{CEE97093-978F-4855-B26F-70343F1D7E14}" name="Ver" dataDxfId="91"/>
    <tableColumn id="7" xr3:uid="{8DC3B498-9B8F-4F6E-96E4-24C4E227C790}" name="Structure Line" dataDxfId="90"/>
    <tableColumn id="8" xr3:uid="{63820F90-8921-4CA5-BA2A-CB819ED1FF40}" name="Credit Points" dataDxfId="89"/>
    <tableColumn id="14" xr3:uid="{3757567B-0961-428C-BD46-363912E11083}" name="Effective" dataDxfId="88"/>
    <tableColumn id="15" xr3:uid="{C5EC9B53-B3B6-442D-A8A3-544D62EF2034}" name="Discont." dataDxfId="87"/>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B127AD7-EB43-45EC-821A-73C560F4F2E0}" name="TableOUEDPRCheck" displayName="TableOUEDPRCheck" ref="Q141:R174" totalsRowShown="0">
  <autoFilter ref="Q141:R174" xr:uid="{9B127AD7-EB43-45EC-821A-73C560F4F2E0}"/>
  <tableColumns count="2">
    <tableColumn id="1" xr3:uid="{2FC034FD-23D2-4375-9B44-5D9A7263B404}" name="Column1"/>
    <tableColumn id="2" xr3:uid="{5DB5CCA2-D4E9-419D-A295-E7E9A3605324}"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61565D2-0926-44B1-97B0-F9A1BFF7564E}" name="TableOUEDSC1" displayName="TableOUEDSC1" ref="A226:O244" totalsRowShown="0" headerRowDxfId="86">
  <autoFilter ref="A226:O244" xr:uid="{161565D2-0926-44B1-97B0-F9A1BFF7564E}"/>
  <tableColumns count="15">
    <tableColumn id="1" xr3:uid="{51B8C64F-00C7-41ED-B82D-985326D1A0E0}" name="UDC" dataDxfId="85">
      <calculatedColumnFormula>TableOUEDSC1[[#This Row],[Study Package Code]]</calculatedColumnFormula>
    </tableColumn>
    <tableColumn id="9" xr3:uid="{711DF825-A19B-4CD5-9B0A-C9B1A4AC7280}" name="Version" dataDxfId="84">
      <calculatedColumnFormula>TableOUEDSC1[[#This Row],[Ver]]</calculatedColumnFormula>
    </tableColumn>
    <tableColumn id="10" xr3:uid="{B342F7BC-C1E5-4B7B-AE3C-9AE49F70C286}" name="OUA Code" dataDxfId="83">
      <calculatedColumnFormula>IF(TableOUEDSC1[[#This Row],[Ver]]&gt;0,_xlfn.TEXTBEFORE(TableOUEDSC1[[#This Row],[Structure Line]]," "),"")</calculatedColumnFormula>
    </tableColumn>
    <tableColumn id="11" xr3:uid="{8E25A27B-EA66-434D-9DC2-68C3A4AED053}" name="Unit Title" dataDxfId="82">
      <calculatedColumnFormula>IF(TableOUEDSC1[[#This Row],[OUA Code]]&lt;&gt;"",_xlfn.TEXTAFTER(TableOUEDSC1[[#This Row],[Structure Line]]," "),TableOUEDSC1[[#This Row],[Structure Line]])</calculatedColumnFormula>
    </tableColumn>
    <tableColumn id="12" xr3:uid="{28A60973-D3F8-44B9-9561-4C050C0383FE}" name="CPs" dataDxfId="81">
      <calculatedColumnFormula>TableOUEDSC1[[#This Row],[Credit Points]]</calculatedColumnFormula>
    </tableColumn>
    <tableColumn id="13" xr3:uid="{3C4D59B1-2979-470D-8ACD-7BB93F210CB1}" name="No." dataDxfId="80"/>
    <tableColumn id="2" xr3:uid="{C0B518EC-DFE5-4163-B228-897C4C94E7EB}" name="Component Type" dataDxfId="79"/>
    <tableColumn id="3" xr3:uid="{B99CA33B-BC6C-440D-B53B-D5E297F4B1DB}" name="Year Level" dataDxfId="78"/>
    <tableColumn id="4" xr3:uid="{07255C4A-D33C-4D0E-AA01-924BD27B203B}" name="Study Period" dataDxfId="77"/>
    <tableColumn id="5" xr3:uid="{7DF43865-80A9-482D-9AA1-EBC579683F25}" name="Study Package Code" dataDxfId="76"/>
    <tableColumn id="6" xr3:uid="{47860760-0BC1-475D-AB2F-2E647521F89F}" name="Ver" dataDxfId="75"/>
    <tableColumn id="7" xr3:uid="{5AABAB01-A61E-49CD-B161-E8AF4B2E41A9}" name="Structure Line" dataDxfId="74"/>
    <tableColumn id="8" xr3:uid="{BF6BFD19-F2CE-426B-A40C-0A33208B96E6}" name="Credit Points" dataDxfId="73"/>
    <tableColumn id="14" xr3:uid="{1D8ABAB5-3CD1-4F91-AAD2-5B53D8FD867B}" name="Effective" dataDxfId="72"/>
    <tableColumn id="15" xr3:uid="{697B998C-B565-48BA-8AF7-03792DDE3002}" name="Discont." dataDxfId="71"/>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BBCF924-B594-426D-8D15-A6534DD2160E}" name="TableOUEDSC1Check" displayName="TableOUEDSC1Check" ref="Q226:R244" totalsRowShown="0">
  <autoFilter ref="Q226:R244" xr:uid="{3BBCF924-B594-426D-8D15-A6534DD2160E}"/>
  <tableColumns count="2">
    <tableColumn id="1" xr3:uid="{4C89D374-F915-40E8-A918-7AC40AD96C67}" name="Column1"/>
    <tableColumn id="2" xr3:uid="{A5D99B2D-5052-4766-924E-F5CB244A6E09}"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1000000}" name="TableAvailabilities" displayName="TableAvailabilities" ref="A3:E103" totalsRowShown="0">
  <autoFilter ref="A3:E103" xr:uid="{00000000-0009-0000-0100-00000D000000}"/>
  <sortState xmlns:xlrd2="http://schemas.microsoft.com/office/spreadsheetml/2017/richdata2" ref="A4:E4">
    <sortCondition ref="A3:A4"/>
  </sortState>
  <tableColumns count="5">
    <tableColumn id="1" xr3:uid="{00000000-0010-0000-1100-000001000000}" name="Row Labels"/>
    <tableColumn id="2" xr3:uid="{00000000-0010-0000-1100-000002000000}" name="OpenUnis SP 1" dataDxfId="70"/>
    <tableColumn id="3" xr3:uid="{00000000-0010-0000-1100-000003000000}" name="OpenUnis SP 2" dataDxfId="69"/>
    <tableColumn id="4" xr3:uid="{00000000-0010-0000-1100-000004000000}" name="OpenUnis SP 3" dataDxfId="68"/>
    <tableColumn id="5" xr3:uid="{00000000-0010-0000-1100-000005000000}" name="OpenUnis SP 4" dataDxfId="67"/>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StudyPeriodsSec" displayName="TableStudyPeriodsSec" ref="A35:E37" totalsRowShown="0">
  <autoFilter ref="A35:E37" xr:uid="{00000000-0009-0000-0100-00000A000000}"/>
  <tableColumns count="5">
    <tableColumn id="1" xr3:uid="{00000000-0010-0000-0300-000001000000}" name="Choose your commencing study period (drop-down list)"/>
    <tableColumn id="2" xr3:uid="{00000000-0010-0000-0300-000002000000}" name="START" dataDxfId="352"/>
    <tableColumn id="3" xr3:uid="{00000000-0010-0000-0300-000003000000}" name="Next" dataDxfId="351"/>
    <tableColumn id="4" xr3:uid="{00000000-0010-0000-0300-000004000000}" name="Next2" dataDxfId="350"/>
    <tableColumn id="5" xr3:uid="{00000000-0010-0000-0300-000005000000}" name="Next3" dataDxfId="349"/>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B425823-7139-426E-B2AB-EE8C98BAF75D}" name="TableStreams" displayName="TableStreams" ref="A19:H25" totalsRowShown="0" headerRowDxfId="348" dataDxfId="347">
  <autoFilter ref="A19:H25" xr:uid="{BB425823-7139-426E-B2AB-EE8C98BAF75D}"/>
  <sortState xmlns:xlrd2="http://schemas.microsoft.com/office/spreadsheetml/2017/richdata2" ref="A20:E22">
    <sortCondition ref="A15:A18"/>
  </sortState>
  <tableColumns count="8">
    <tableColumn id="3" xr3:uid="{6D9C0AB5-0B10-4AD4-BCE2-E029BA777A4C}" name="Choose your Stream (drop-down list)" dataDxfId="346"/>
    <tableColumn id="1" xr3:uid="{8906CC02-45F0-425E-B464-14DBEF041401}" name="UDC" dataDxfId="345"/>
    <tableColumn id="2" xr3:uid="{C8C82B25-555C-413A-BC0F-8F49C0A3F423}" name="SM Version" dataDxfId="344"/>
    <tableColumn id="5" xr3:uid="{0D65F3C3-53F4-4587-B137-608E4FC67DC1}" name="SM Effective Date" dataDxfId="343"/>
    <tableColumn id="4" xr3:uid="{0EB16751-9074-4F0B-93F0-DB6278843F6F}" name="Akari Iteration" dataDxfId="342"/>
    <tableColumn id="6" xr3:uid="{D957C10F-43DD-4F34-9BBD-6BC63AD52570}" name="Akari Effective Date" dataDxfId="341"/>
    <tableColumn id="7" xr3:uid="{C4FCD89B-F69D-47DB-909C-E020E6D9D8E4}" name="Credit Points" dataDxfId="340"/>
    <tableColumn id="8" xr3:uid="{B24CFDD9-398D-4334-8330-B7CB4628EF76}" name="Notes" dataDxfId="339"/>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Handbook" displayName="TableHandbook" ref="A2:Z149" totalsRowShown="0" headerRowDxfId="338" dataDxfId="337">
  <autoFilter ref="A2:Z149" xr:uid="{00000000-0009-0000-0100-000002000000}"/>
  <sortState xmlns:xlrd2="http://schemas.microsoft.com/office/spreadsheetml/2017/richdata2" ref="A3:Z149">
    <sortCondition ref="A2:A149"/>
  </sortState>
  <tableColumns count="26">
    <tableColumn id="1" xr3:uid="{00000000-0010-0000-0400-000001000000}" name="UDC" dataDxfId="336"/>
    <tableColumn id="2" xr3:uid="{00000000-0010-0000-0400-000002000000}" name="Ver" dataDxfId="335"/>
    <tableColumn id="3" xr3:uid="{00000000-0010-0000-0400-000003000000}" name="OUA Cd" dataDxfId="334"/>
    <tableColumn id="4" xr3:uid="{00000000-0010-0000-0400-000004000000}" name="Title" dataDxfId="333"/>
    <tableColumn id="5" xr3:uid="{00000000-0010-0000-0400-000005000000}" name="Credits" dataDxfId="332"/>
    <tableColumn id="6" xr3:uid="{00000000-0010-0000-0400-000006000000}" name="Pre-reqs (12/01/2026)" dataDxfId="331"/>
    <tableColumn id="12" xr3:uid="{00000000-0010-0000-0400-00000C000000}" name="SP1" dataDxfId="330">
      <calculatedColumnFormula>IFERROR(IF(VLOOKUP(TableHandbook[[#This Row],[UDC]],TableAvailabilities[],2,FALSE)&gt;0,"Y",""),"")</calculatedColumnFormula>
    </tableColumn>
    <tableColumn id="13" xr3:uid="{00000000-0010-0000-0400-00000D000000}" name="SP2" dataDxfId="329">
      <calculatedColumnFormula>IFERROR(IF(VLOOKUP(TableHandbook[[#This Row],[UDC]],TableAvailabilities[],3,FALSE)&gt;0,"Y",""),"")</calculatedColumnFormula>
    </tableColumn>
    <tableColumn id="7" xr3:uid="{00000000-0010-0000-0400-000007000000}" name="SP3" dataDxfId="328">
      <calculatedColumnFormula>IFERROR(IF(VLOOKUP(TableHandbook[[#This Row],[UDC]],TableAvailabilities[],4,FALSE)&gt;0,"Y",""),"")</calculatedColumnFormula>
    </tableColumn>
    <tableColumn id="15" xr3:uid="{00000000-0010-0000-0400-00000F000000}" name="SP4" dataDxfId="327">
      <calculatedColumnFormula>IFERROR(IF(VLOOKUP(TableHandbook[[#This Row],[UDC]],TableAvailabilities[],5,FALSE)&gt;0,"Y",""),"")</calculatedColumnFormula>
    </tableColumn>
    <tableColumn id="16" xr3:uid="{00000000-0010-0000-0400-000010000000}" name="Notes" dataDxfId="326"/>
    <tableColumn id="8" xr3:uid="{00000000-0010-0000-0400-000008000000}" name="OB-EDEC" dataDxfId="325">
      <calculatedColumnFormula array="1">IFERROR(_xlfn.XLOOKUP(TableHandbook[[#This Row],[UDC]],INDIRECT("Table"&amp;SUBSTITUTE(L$2,"-","")&amp;"[UDC]",TRUE),INDIRECT("Table"&amp;SUBSTITUTE(L$2,"-","")&amp;"[Component Type]",TRUE)),"")</calculatedColumnFormula>
    </tableColumn>
    <tableColumn id="24" xr3:uid="{C0CF669E-68F4-492B-980B-5509B753E352}" name="OU-EDEC" dataDxfId="324">
      <calculatedColumnFormula array="1">IFERROR(_xlfn.XLOOKUP(TableHandbook[[#This Row],[UDC]],INDIRECT("Table"&amp;SUBSTITUTE(M$2,"-","")&amp;"[UDC]",TRUE),INDIRECT("Table"&amp;SUBSTITUTE(M$2,"-","")&amp;"[Component Type]",TRUE)),"")</calculatedColumnFormula>
    </tableColumn>
    <tableColumn id="9" xr3:uid="{00000000-0010-0000-0400-000009000000}" name="OB-EDPR" dataDxfId="323">
      <calculatedColumnFormula array="1">IFERROR(_xlfn.XLOOKUP(TableHandbook[[#This Row],[UDC]],INDIRECT("Table"&amp;SUBSTITUTE(N$2,"-","")&amp;"[UDC]",TRUE),INDIRECT("Table"&amp;SUBSTITUTE(N$2,"-","")&amp;"[Component Type]",TRUE)),"")</calculatedColumnFormula>
    </tableColumn>
    <tableColumn id="25" xr3:uid="{D827D8D4-BE81-4889-BFE5-4ECF78F3231A}" name="OU-EDPR" dataDxfId="322">
      <calculatedColumnFormula array="1">IFERROR(_xlfn.XLOOKUP(TableHandbook[[#This Row],[UDC]],INDIRECT("Table"&amp;SUBSTITUTE(O$2,"-","")&amp;"[UDC]",TRUE),INDIRECT("Table"&amp;SUBSTITUTE(O$2,"-","")&amp;"[Component Type]",TRUE)),"")</calculatedColumnFormula>
    </tableColumn>
    <tableColumn id="11" xr3:uid="{C95EA793-821D-4040-9491-101B50DB834F}" name="OUSU-CATHL" dataDxfId="321">
      <calculatedColumnFormula array="1">IFERROR(_xlfn.XLOOKUP(TableHandbook[[#This Row],[UDC]],INDIRECT("Table"&amp;SUBSTITUTE(P$2,"-","")&amp;"[UDC]",TRUE),INDIRECT("Table"&amp;SUBSTITUTE(P$2,"-","")&amp;"[Component Type]",TRUE)),"")</calculatedColumnFormula>
    </tableColumn>
    <tableColumn id="22" xr3:uid="{48175776-4427-4390-9118-09FB6E6E5C86}" name="OUSU-ENGLL" dataDxfId="320">
      <calculatedColumnFormula array="1">IFERROR(_xlfn.XLOOKUP(TableHandbook[[#This Row],[UDC]],INDIRECT("Table"&amp;SUBSTITUTE(Q$2,"-","")&amp;"[UDC]",TRUE),INDIRECT("Table"&amp;SUBSTITUTE(Q$2,"-","")&amp;"[Component Type]",TRUE)),"")</calculatedColumnFormula>
    </tableColumn>
    <tableColumn id="23" xr3:uid="{39348459-49AE-4C59-AF03-38E6B673C7E7}" name="OUSU-HLTPE" dataDxfId="319">
      <calculatedColumnFormula array="1">IFERROR(_xlfn.XLOOKUP(TableHandbook[[#This Row],[UDC]],INDIRECT("Table"&amp;SUBSTITUTE(R$2,"-","")&amp;"[UDC]",TRUE),INDIRECT("Table"&amp;SUBSTITUTE(R$2,"-","")&amp;"[Component Type]",TRUE)),"")</calculatedColumnFormula>
    </tableColumn>
    <tableColumn id="14" xr3:uid="{0D81FEF8-9ACF-48A2-929F-1C9BF511AC87}" name="OUSU-ISTEM" dataDxfId="318">
      <calculatedColumnFormula array="1">IFERROR(_xlfn.XLOOKUP(TableHandbook[[#This Row],[UDC]],INDIRECT("Table"&amp;SUBSTITUTE(S$2,"-","")&amp;"[UDC]",TRUE),INDIRECT("Table"&amp;SUBSTITUTE(S$2,"-","")&amp;"[Component Type]",TRUE)),"")</calculatedColumnFormula>
    </tableColumn>
    <tableColumn id="20" xr3:uid="{C4FF1930-0614-4551-B31A-6A152C0FC0CA}" name="OUSU-LITNU" dataDxfId="317">
      <calculatedColumnFormula array="1">IFERROR(_xlfn.XLOOKUP(TableHandbook[[#This Row],[UDC]],INDIRECT("Table"&amp;SUBSTITUTE(T$2,"-","")&amp;"[UDC]",TRUE),INDIRECT("Table"&amp;SUBSTITUTE(T$2,"-","")&amp;"[Component Type]",TRUE)),"")</calculatedColumnFormula>
    </tableColumn>
    <tableColumn id="21" xr3:uid="{E60F2DC6-AD9D-4817-9466-396D7F35CA8C}" name="OUSU-TECHS" dataDxfId="316">
      <calculatedColumnFormula array="1">IFERROR(_xlfn.XLOOKUP(TableHandbook[[#This Row],[UDC]],INDIRECT("Table"&amp;SUBSTITUTE(U$2,"-","")&amp;"[UDC]",TRUE),INDIRECT("Table"&amp;SUBSTITUTE(U$2,"-","")&amp;"[Component Type]",TRUE)),"")</calculatedColumnFormula>
    </tableColumn>
    <tableColumn id="17" xr3:uid="{00000000-0010-0000-0400-000011000000}" name="OB-EDSC1" dataDxfId="315">
      <calculatedColumnFormula array="1">IFERROR(_xlfn.XLOOKUP(TableHandbook[[#This Row],[UDC]],INDIRECT("Table"&amp;SUBSTITUTE(V$2,"-","")&amp;"[UDC]",TRUE),INDIRECT("Table"&amp;SUBSTITUTE(V$2,"-","")&amp;"[Component Type]",TRUE)),"")</calculatedColumnFormula>
    </tableColumn>
    <tableColumn id="26" xr3:uid="{90313F47-E916-4F4F-84E3-574205718138}" name="OU-EDSC1" dataDxfId="314">
      <calculatedColumnFormula array="1">IFERROR(_xlfn.XLOOKUP(TableHandbook[[#This Row],[UDC]],INDIRECT("Table"&amp;SUBSTITUTE(W$2,"-","")&amp;"[UDC]",TRUE),INDIRECT("Table"&amp;SUBSTITUTE(W$2,"-","")&amp;"[Component Type]",TRUE)),"")</calculatedColumnFormula>
    </tableColumn>
    <tableColumn id="10" xr3:uid="{00000000-0010-0000-0400-00000A000000}" name="OUMU-ARVA1" dataDxfId="313">
      <calculatedColumnFormula array="1">IFERROR(_xlfn.XLOOKUP(TableHandbook[[#This Row],[UDC]],INDIRECT("Table"&amp;SUBSTITUTE(X$2,"-","")&amp;"[UDC]",TRUE),INDIRECT("Table"&amp;SUBSTITUTE(X$2,"-","")&amp;"[Component Type]",TRUE)),"")</calculatedColumnFormula>
    </tableColumn>
    <tableColumn id="18" xr3:uid="{00000000-0010-0000-0400-000012000000}" name="OUMU-ENGLT" dataDxfId="312">
      <calculatedColumnFormula array="1">IFERROR(_xlfn.XLOOKUP(TableHandbook[[#This Row],[UDC]],INDIRECT("Table"&amp;SUBSTITUTE(Y$2,"-","")&amp;"[UDC]",TRUE),INDIRECT("Table"&amp;SUBSTITUTE(Y$2,"-","")&amp;"[Component Type]",TRUE)),"")</calculatedColumnFormula>
    </tableColumn>
    <tableColumn id="19" xr3:uid="{00000000-0010-0000-0400-000013000000}" name="OUMU-HUSGE" dataDxfId="311">
      <calculatedColumnFormula array="1">IFERROR(_xlfn.XLOOKUP(TableHandbook[[#This Row],[UDC]],INDIRECT("Table"&amp;SUBSTITUTE(Z$2,"-","")&amp;"[UDC]",TRUE),INDIRECT("Table"&amp;SUBSTITUTE(Z$2,"-","")&amp;"[Component Type]",TRUE)),"")</calculatedColumnFormula>
    </tableColumn>
  </tableColumns>
  <tableStyleInfo name="TableStyleLight11"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OBEDPR" displayName="TableOBEDPR" ref="A94:O139" totalsRowShown="0" headerRowDxfId="310">
  <autoFilter ref="A94:O139" xr:uid="{00000000-0009-0000-0100-000001000000}"/>
  <tableColumns count="15">
    <tableColumn id="1" xr3:uid="{00000000-0010-0000-0500-000001000000}" name="UDC" dataDxfId="309">
      <calculatedColumnFormula>TableOBEDPR[[#This Row],[Study Package Code]]</calculatedColumnFormula>
    </tableColumn>
    <tableColumn id="9" xr3:uid="{00000000-0010-0000-0500-000009000000}" name="Version" dataDxfId="308">
      <calculatedColumnFormula>TableOBEDPR[[#This Row],[Ver]]</calculatedColumnFormula>
    </tableColumn>
    <tableColumn id="10" xr3:uid="{00000000-0010-0000-0500-00000A000000}" name="OUA Code" dataDxfId="307">
      <calculatedColumnFormula>IF(TableOBEDPR[[#This Row],[Ver]]&gt;0,_xlfn.TEXTBEFORE(TableOBEDPR[[#This Row],[Structure Line]]," "),"")</calculatedColumnFormula>
    </tableColumn>
    <tableColumn id="11" xr3:uid="{00000000-0010-0000-0500-00000B000000}" name="Unit Title" dataDxfId="306">
      <calculatedColumnFormula>TableOBEDPR[[#This Row],[Structure Line]]</calculatedColumnFormula>
    </tableColumn>
    <tableColumn id="12" xr3:uid="{00000000-0010-0000-0500-00000C000000}" name="CPs" dataDxfId="305">
      <calculatedColumnFormula>TableOBEDPR[[#This Row],[Credit Points]]</calculatedColumnFormula>
    </tableColumn>
    <tableColumn id="13" xr3:uid="{00000000-0010-0000-0500-00000D000000}" name="No." dataDxfId="304"/>
    <tableColumn id="2" xr3:uid="{00000000-0010-0000-0500-000002000000}" name="Component Type" dataDxfId="303"/>
    <tableColumn id="3" xr3:uid="{00000000-0010-0000-0500-000003000000}" name="Year Level" dataDxfId="302"/>
    <tableColumn id="4" xr3:uid="{00000000-0010-0000-0500-000004000000}" name="Study Period" dataDxfId="301"/>
    <tableColumn id="5" xr3:uid="{00000000-0010-0000-0500-000005000000}" name="Study Package Code" dataDxfId="300"/>
    <tableColumn id="6" xr3:uid="{00000000-0010-0000-0500-000006000000}" name="Ver" dataDxfId="299"/>
    <tableColumn id="7" xr3:uid="{00000000-0010-0000-0500-000007000000}" name="Structure Line" dataDxfId="298"/>
    <tableColumn id="8" xr3:uid="{00000000-0010-0000-0500-000008000000}" name="Credit Points" dataDxfId="297"/>
    <tableColumn id="14" xr3:uid="{00000000-0010-0000-0500-00000E000000}" name="Effective" dataDxfId="296"/>
    <tableColumn id="15" xr3:uid="{00000000-0010-0000-0500-00000F000000}" name="Discont." dataDxfId="29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TableOBEDEC" displayName="TableOBEDEC" ref="A2:O46" totalsRowShown="0" headerRowDxfId="294">
  <autoFilter ref="A2:O46" xr:uid="{00000000-0009-0000-0100-000005000000}"/>
  <tableColumns count="15">
    <tableColumn id="1" xr3:uid="{00000000-0010-0000-0600-000001000000}" name="UDC" dataDxfId="293">
      <calculatedColumnFormula>TableOBEDEC[[#This Row],[Study Package Code]]</calculatedColumnFormula>
    </tableColumn>
    <tableColumn id="9" xr3:uid="{00000000-0010-0000-0600-000009000000}" name="Version" dataDxfId="292">
      <calculatedColumnFormula>TableOBEDEC[[#This Row],[Ver]]</calculatedColumnFormula>
    </tableColumn>
    <tableColumn id="10" xr3:uid="{00000000-0010-0000-0600-00000A000000}" name="OUA Code" dataDxfId="291">
      <calculatedColumnFormula>IF(TableOBEDEC[[#This Row],[Ver]]&gt;0,_xlfn.TEXTBEFORE(TableOBEDEC[[#This Row],[Structure Line]]," "),"")</calculatedColumnFormula>
    </tableColumn>
    <tableColumn id="11" xr3:uid="{00000000-0010-0000-0600-00000B000000}" name="Unit Title" dataDxfId="290">
      <calculatedColumnFormula>IF(TableOBEDEC[[#This Row],[OUA Code]]&lt;&gt;"",_xlfn.TEXTAFTER(TableOBEDEC[[#This Row],[Structure Line]]," "),TableOBEDEC[[#This Row],[Structure Line]])</calculatedColumnFormula>
    </tableColumn>
    <tableColumn id="12" xr3:uid="{00000000-0010-0000-0600-00000C000000}" name="CPs" dataDxfId="289">
      <calculatedColumnFormula>TableOBEDEC[[#This Row],[Credit Points]]</calculatedColumnFormula>
    </tableColumn>
    <tableColumn id="13" xr3:uid="{00000000-0010-0000-0600-00000D000000}" name="No." dataDxfId="288"/>
    <tableColumn id="2" xr3:uid="{00000000-0010-0000-0600-000002000000}" name="Component Type" dataDxfId="287"/>
    <tableColumn id="3" xr3:uid="{00000000-0010-0000-0600-000003000000}" name="Year Level" dataDxfId="286"/>
    <tableColumn id="4" xr3:uid="{00000000-0010-0000-0600-000004000000}" name="Study Period" dataDxfId="285"/>
    <tableColumn id="5" xr3:uid="{00000000-0010-0000-0600-000005000000}" name="Study Package Code" dataDxfId="284"/>
    <tableColumn id="6" xr3:uid="{00000000-0010-0000-0600-000006000000}" name="Ver" dataDxfId="283"/>
    <tableColumn id="7" xr3:uid="{00000000-0010-0000-0600-000007000000}" name="Structure Line" dataDxfId="282"/>
    <tableColumn id="8" xr3:uid="{00000000-0010-0000-0600-000008000000}" name="Credit Points" dataDxfId="281"/>
    <tableColumn id="14" xr3:uid="{00000000-0010-0000-0600-00000E000000}" name="Effective" dataDxfId="280"/>
    <tableColumn id="15" xr3:uid="{00000000-0010-0000-0600-00000F000000}" name="Discont." dataDxfId="279"/>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leOBEDSC1" displayName="TableOBEDSC1" ref="A206:O224" totalsRowShown="0" headerRowDxfId="278">
  <autoFilter ref="A206:O224" xr:uid="{00000000-0009-0000-0100-000006000000}"/>
  <tableColumns count="15">
    <tableColumn id="1" xr3:uid="{00000000-0010-0000-0700-000001000000}" name="UDC" dataDxfId="277">
      <calculatedColumnFormula>TableOBEDSC1[[#This Row],[Study Package Code]]</calculatedColumnFormula>
    </tableColumn>
    <tableColumn id="9" xr3:uid="{00000000-0010-0000-0700-000009000000}" name="Version" dataDxfId="276">
      <calculatedColumnFormula>TableOBEDSC1[[#This Row],[Ver]]</calculatedColumnFormula>
    </tableColumn>
    <tableColumn id="10" xr3:uid="{00000000-0010-0000-0700-00000A000000}" name="OUA Code" dataDxfId="275">
      <calculatedColumnFormula>IF(TableOBEDSC1[[#This Row],[Ver]]&gt;0,_xlfn.TEXTBEFORE(TableOBEDSC1[[#This Row],[Structure Line]]," "),"")</calculatedColumnFormula>
    </tableColumn>
    <tableColumn id="11" xr3:uid="{00000000-0010-0000-0700-00000B000000}" name="Unit Title" dataDxfId="274">
      <calculatedColumnFormula>IF(TableOBEDSC1[[#This Row],[OUA Code]]&lt;&gt;"",_xlfn.TEXTAFTER(TableOBEDSC1[[#This Row],[Structure Line]]," "),TableOBEDSC1[[#This Row],[Structure Line]])</calculatedColumnFormula>
    </tableColumn>
    <tableColumn id="12" xr3:uid="{00000000-0010-0000-0700-00000C000000}" name="CPs" dataDxfId="273">
      <calculatedColumnFormula>TableOBEDSC1[[#This Row],[Credit Points]]</calculatedColumnFormula>
    </tableColumn>
    <tableColumn id="13" xr3:uid="{00000000-0010-0000-0700-00000D000000}" name="No." dataDxfId="272"/>
    <tableColumn id="2" xr3:uid="{00000000-0010-0000-0700-000002000000}" name="Component Type" dataDxfId="271"/>
    <tableColumn id="3" xr3:uid="{00000000-0010-0000-0700-000003000000}" name="Year Level" dataDxfId="270"/>
    <tableColumn id="4" xr3:uid="{00000000-0010-0000-0700-000004000000}" name="Study Period" dataDxfId="269"/>
    <tableColumn id="5" xr3:uid="{00000000-0010-0000-0700-000005000000}" name="Study Package Code" dataDxfId="268"/>
    <tableColumn id="6" xr3:uid="{00000000-0010-0000-0700-000006000000}" name="Ver" dataDxfId="267"/>
    <tableColumn id="7" xr3:uid="{00000000-0010-0000-0700-000007000000}" name="Structure Line" dataDxfId="266"/>
    <tableColumn id="8" xr3:uid="{00000000-0010-0000-0700-000008000000}" name="Credit Points" dataDxfId="265"/>
    <tableColumn id="14" xr3:uid="{00000000-0010-0000-0700-00000E000000}" name="Effective" dataDxfId="264"/>
    <tableColumn id="15" xr3:uid="{00000000-0010-0000-0700-00000F000000}" name="Discont." dataDxfId="26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13.xml"/><Relationship Id="rId13" Type="http://schemas.openxmlformats.org/officeDocument/2006/relationships/table" Target="../tables/table18.xml"/><Relationship Id="rId18" Type="http://schemas.openxmlformats.org/officeDocument/2006/relationships/table" Target="../tables/table23.xml"/><Relationship Id="rId26" Type="http://schemas.openxmlformats.org/officeDocument/2006/relationships/table" Target="../tables/table31.xml"/><Relationship Id="rId3" Type="http://schemas.openxmlformats.org/officeDocument/2006/relationships/table" Target="../tables/table8.xml"/><Relationship Id="rId21" Type="http://schemas.openxmlformats.org/officeDocument/2006/relationships/table" Target="../tables/table26.xml"/><Relationship Id="rId7" Type="http://schemas.openxmlformats.org/officeDocument/2006/relationships/table" Target="../tables/table12.xml"/><Relationship Id="rId12" Type="http://schemas.openxmlformats.org/officeDocument/2006/relationships/table" Target="../tables/table17.xml"/><Relationship Id="rId17" Type="http://schemas.openxmlformats.org/officeDocument/2006/relationships/table" Target="../tables/table22.xml"/><Relationship Id="rId25" Type="http://schemas.openxmlformats.org/officeDocument/2006/relationships/table" Target="../tables/table30.xml"/><Relationship Id="rId2" Type="http://schemas.openxmlformats.org/officeDocument/2006/relationships/table" Target="../tables/table7.xml"/><Relationship Id="rId16" Type="http://schemas.openxmlformats.org/officeDocument/2006/relationships/table" Target="../tables/table21.xml"/><Relationship Id="rId20" Type="http://schemas.openxmlformats.org/officeDocument/2006/relationships/table" Target="../tables/table25.xml"/><Relationship Id="rId29" Type="http://schemas.openxmlformats.org/officeDocument/2006/relationships/table" Target="../tables/table34.xml"/><Relationship Id="rId1" Type="http://schemas.openxmlformats.org/officeDocument/2006/relationships/printerSettings" Target="../printerSettings/printerSettings2.bin"/><Relationship Id="rId6" Type="http://schemas.openxmlformats.org/officeDocument/2006/relationships/table" Target="../tables/table11.xml"/><Relationship Id="rId11" Type="http://schemas.openxmlformats.org/officeDocument/2006/relationships/table" Target="../tables/table16.xml"/><Relationship Id="rId24" Type="http://schemas.openxmlformats.org/officeDocument/2006/relationships/table" Target="../tables/table29.xml"/><Relationship Id="rId5" Type="http://schemas.openxmlformats.org/officeDocument/2006/relationships/table" Target="../tables/table10.xml"/><Relationship Id="rId15" Type="http://schemas.openxmlformats.org/officeDocument/2006/relationships/table" Target="../tables/table20.xml"/><Relationship Id="rId23" Type="http://schemas.openxmlformats.org/officeDocument/2006/relationships/table" Target="../tables/table28.xml"/><Relationship Id="rId28" Type="http://schemas.openxmlformats.org/officeDocument/2006/relationships/table" Target="../tables/table33.xml"/><Relationship Id="rId10" Type="http://schemas.openxmlformats.org/officeDocument/2006/relationships/table" Target="../tables/table15.xml"/><Relationship Id="rId19" Type="http://schemas.openxmlformats.org/officeDocument/2006/relationships/table" Target="../tables/table24.xml"/><Relationship Id="rId31" Type="http://schemas.openxmlformats.org/officeDocument/2006/relationships/table" Target="../tables/table36.xml"/><Relationship Id="rId4" Type="http://schemas.openxmlformats.org/officeDocument/2006/relationships/table" Target="../tables/table9.xml"/><Relationship Id="rId9" Type="http://schemas.openxmlformats.org/officeDocument/2006/relationships/table" Target="../tables/table14.xml"/><Relationship Id="rId14" Type="http://schemas.openxmlformats.org/officeDocument/2006/relationships/table" Target="../tables/table19.xml"/><Relationship Id="rId22" Type="http://schemas.openxmlformats.org/officeDocument/2006/relationships/table" Target="../tables/table27.xml"/><Relationship Id="rId27" Type="http://schemas.openxmlformats.org/officeDocument/2006/relationships/table" Target="../tables/table32.xml"/><Relationship Id="rId30" Type="http://schemas.openxmlformats.org/officeDocument/2006/relationships/table" Target="../tables/table3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2C86D-54DD-43E0-AAEA-FE4078F6D028}">
  <dimension ref="A1:J83"/>
  <sheetViews>
    <sheetView topLeftCell="A7" zoomScale="90" zoomScaleNormal="90" workbookViewId="0">
      <selection activeCell="B49" sqref="B49"/>
    </sheetView>
  </sheetViews>
  <sheetFormatPr defaultRowHeight="15.75" x14ac:dyDescent="0.25"/>
  <cols>
    <col min="1" max="1" width="68.375" style="16" customWidth="1"/>
    <col min="2" max="2" width="12.25" style="8" bestFit="1" customWidth="1"/>
    <col min="3" max="3" width="13.5" style="8" customWidth="1"/>
    <col min="4" max="4" width="17.125" style="8" bestFit="1" customWidth="1"/>
    <col min="5" max="5" width="14.25" style="8" bestFit="1" customWidth="1"/>
    <col min="6" max="6" width="18.75" style="8" bestFit="1" customWidth="1"/>
    <col min="7" max="7" width="21.25" style="8" bestFit="1" customWidth="1"/>
    <col min="8" max="8" width="16.5" style="8" bestFit="1" customWidth="1"/>
    <col min="9" max="9" width="24.875" style="8" bestFit="1" customWidth="1"/>
  </cols>
  <sheetData>
    <row r="1" spans="1:10" x14ac:dyDescent="0.25">
      <c r="A1" s="17" t="s">
        <v>35</v>
      </c>
      <c r="B1" s="18"/>
      <c r="C1" s="18"/>
      <c r="D1" s="18"/>
    </row>
    <row r="2" spans="1:10" x14ac:dyDescent="0.25">
      <c r="B2"/>
      <c r="C2"/>
      <c r="D2"/>
      <c r="E2"/>
      <c r="F2"/>
      <c r="G2"/>
      <c r="H2"/>
    </row>
    <row r="3" spans="1:10" x14ac:dyDescent="0.25">
      <c r="A3" s="61" t="s">
        <v>52</v>
      </c>
      <c r="C3" s="183" t="s">
        <v>587</v>
      </c>
      <c r="D3" s="263">
        <v>46035</v>
      </c>
    </row>
    <row r="4" spans="1:10" x14ac:dyDescent="0.25">
      <c r="A4" s="8" t="s">
        <v>54</v>
      </c>
      <c r="B4" s="16" t="s">
        <v>0</v>
      </c>
      <c r="C4" s="8" t="s">
        <v>55</v>
      </c>
      <c r="D4" s="8" t="s">
        <v>56</v>
      </c>
      <c r="E4" s="8" t="s">
        <v>57</v>
      </c>
      <c r="F4" s="8" t="s">
        <v>58</v>
      </c>
      <c r="G4" s="8" t="s">
        <v>59</v>
      </c>
      <c r="H4" s="8" t="s">
        <v>60</v>
      </c>
      <c r="I4" s="8" t="s">
        <v>237</v>
      </c>
    </row>
    <row r="5" spans="1:10" x14ac:dyDescent="0.25">
      <c r="A5" s="8" t="s">
        <v>61</v>
      </c>
      <c r="B5" s="222" t="s">
        <v>62</v>
      </c>
      <c r="C5" s="226" t="s">
        <v>75</v>
      </c>
      <c r="D5" s="227">
        <v>46023</v>
      </c>
      <c r="E5" s="226">
        <v>8</v>
      </c>
      <c r="F5" s="227">
        <v>46023</v>
      </c>
      <c r="G5" s="223" t="s">
        <v>63</v>
      </c>
      <c r="H5" s="222" t="s">
        <v>64</v>
      </c>
      <c r="I5" s="225"/>
    </row>
    <row r="6" spans="1:10" x14ac:dyDescent="0.25">
      <c r="A6" s="8" t="s">
        <v>10</v>
      </c>
      <c r="B6" s="222" t="s">
        <v>66</v>
      </c>
      <c r="C6" s="238" t="s">
        <v>75</v>
      </c>
      <c r="D6" s="227">
        <v>46023</v>
      </c>
      <c r="E6" s="226">
        <v>9</v>
      </c>
      <c r="F6" s="227">
        <v>46023</v>
      </c>
      <c r="G6" s="223" t="s">
        <v>63</v>
      </c>
      <c r="H6" s="222" t="s">
        <v>64</v>
      </c>
      <c r="I6" s="225"/>
    </row>
    <row r="7" spans="1:10" x14ac:dyDescent="0.25">
      <c r="A7" s="8" t="s">
        <v>68</v>
      </c>
      <c r="B7" s="222" t="s">
        <v>69</v>
      </c>
      <c r="C7" s="226" t="s">
        <v>75</v>
      </c>
      <c r="D7" s="227">
        <v>46023</v>
      </c>
      <c r="E7" s="226">
        <v>8</v>
      </c>
      <c r="F7" s="227">
        <v>46023</v>
      </c>
      <c r="G7" s="223" t="s">
        <v>63</v>
      </c>
      <c r="H7" s="222" t="s">
        <v>64</v>
      </c>
      <c r="I7" s="225"/>
    </row>
    <row r="8" spans="1:10" x14ac:dyDescent="0.25">
      <c r="A8" s="8" t="s">
        <v>33</v>
      </c>
      <c r="B8" s="222" t="s">
        <v>72</v>
      </c>
      <c r="C8" s="238" t="s">
        <v>75</v>
      </c>
      <c r="D8" s="227">
        <v>46023</v>
      </c>
      <c r="E8" s="226">
        <v>9</v>
      </c>
      <c r="F8" s="227">
        <v>46023</v>
      </c>
      <c r="G8" s="223" t="s">
        <v>63</v>
      </c>
      <c r="H8" s="222" t="s">
        <v>64</v>
      </c>
      <c r="I8" s="225"/>
      <c r="J8" s="8"/>
    </row>
    <row r="9" spans="1:10" x14ac:dyDescent="0.25">
      <c r="A9" s="8" t="s">
        <v>73</v>
      </c>
      <c r="B9" s="222" t="s">
        <v>74</v>
      </c>
      <c r="C9" s="222" t="s">
        <v>75</v>
      </c>
      <c r="D9" s="239">
        <v>45658</v>
      </c>
      <c r="E9" s="226">
        <v>7</v>
      </c>
      <c r="F9" s="239">
        <v>45658</v>
      </c>
      <c r="G9" s="224" t="s">
        <v>63</v>
      </c>
      <c r="H9" s="222" t="s">
        <v>76</v>
      </c>
      <c r="I9" s="225"/>
      <c r="J9" s="8"/>
    </row>
    <row r="10" spans="1:10" x14ac:dyDescent="0.25">
      <c r="A10" s="8" t="s">
        <v>77</v>
      </c>
      <c r="B10" s="222" t="s">
        <v>78</v>
      </c>
      <c r="C10" s="222" t="s">
        <v>75</v>
      </c>
      <c r="D10" s="239">
        <v>45658</v>
      </c>
      <c r="E10" s="226">
        <v>7</v>
      </c>
      <c r="F10" s="239">
        <v>45658</v>
      </c>
      <c r="G10" s="224" t="s">
        <v>63</v>
      </c>
      <c r="H10" s="222" t="s">
        <v>76</v>
      </c>
      <c r="I10" s="225"/>
    </row>
    <row r="12" spans="1:10" x14ac:dyDescent="0.25">
      <c r="A12" s="61" t="s">
        <v>163</v>
      </c>
      <c r="B12"/>
      <c r="C12"/>
      <c r="F12" s="19"/>
      <c r="G12" s="19"/>
      <c r="H12"/>
      <c r="I12"/>
    </row>
    <row r="13" spans="1:10" x14ac:dyDescent="0.25">
      <c r="A13" s="8" t="s">
        <v>171</v>
      </c>
      <c r="B13" s="16" t="s">
        <v>0</v>
      </c>
      <c r="C13" s="8" t="s">
        <v>55</v>
      </c>
      <c r="D13" s="8" t="s">
        <v>56</v>
      </c>
      <c r="E13" s="8" t="s">
        <v>57</v>
      </c>
      <c r="F13" s="8" t="s">
        <v>58</v>
      </c>
      <c r="G13" s="8" t="s">
        <v>59</v>
      </c>
      <c r="H13" s="8" t="s">
        <v>237</v>
      </c>
      <c r="I13"/>
    </row>
    <row r="14" spans="1:10" x14ac:dyDescent="0.25">
      <c r="A14" s="225" t="s">
        <v>172</v>
      </c>
      <c r="B14" s="222" t="s">
        <v>173</v>
      </c>
      <c r="C14" s="222" t="s">
        <v>174</v>
      </c>
      <c r="D14" s="239">
        <v>45658</v>
      </c>
      <c r="E14" s="222">
        <v>1</v>
      </c>
      <c r="F14" s="239">
        <v>45658</v>
      </c>
      <c r="G14" s="223" t="s">
        <v>175</v>
      </c>
      <c r="H14" s="64"/>
      <c r="I14"/>
    </row>
    <row r="15" spans="1:10" x14ac:dyDescent="0.25">
      <c r="A15" s="225" t="s">
        <v>176</v>
      </c>
      <c r="B15" s="222" t="s">
        <v>177</v>
      </c>
      <c r="C15" s="226" t="s">
        <v>588</v>
      </c>
      <c r="D15" s="227">
        <v>46023</v>
      </c>
      <c r="E15" s="226">
        <v>2</v>
      </c>
      <c r="F15" s="227">
        <v>46023</v>
      </c>
      <c r="G15" s="223" t="s">
        <v>175</v>
      </c>
      <c r="H15" s="64"/>
      <c r="I15"/>
    </row>
    <row r="16" spans="1:10" x14ac:dyDescent="0.25">
      <c r="A16" s="225" t="s">
        <v>160</v>
      </c>
      <c r="B16" s="222" t="s">
        <v>178</v>
      </c>
      <c r="C16" s="222" t="s">
        <v>174</v>
      </c>
      <c r="D16" s="239">
        <v>45658</v>
      </c>
      <c r="E16" s="226">
        <v>3</v>
      </c>
      <c r="F16" s="224">
        <v>45658</v>
      </c>
      <c r="G16" s="223" t="s">
        <v>175</v>
      </c>
      <c r="H16" s="64"/>
      <c r="I16"/>
    </row>
    <row r="17" spans="1:9" x14ac:dyDescent="0.25">
      <c r="G17"/>
      <c r="H17"/>
      <c r="I17"/>
    </row>
    <row r="18" spans="1:9" x14ac:dyDescent="0.25">
      <c r="A18" s="61" t="s">
        <v>632</v>
      </c>
      <c r="B18"/>
      <c r="C18"/>
      <c r="F18" s="19"/>
      <c r="G18" s="19"/>
      <c r="H18"/>
      <c r="I18"/>
    </row>
    <row r="19" spans="1:9" x14ac:dyDescent="0.25">
      <c r="A19" s="8" t="s">
        <v>663</v>
      </c>
      <c r="B19" s="16" t="s">
        <v>0</v>
      </c>
      <c r="C19" s="8" t="s">
        <v>55</v>
      </c>
      <c r="D19" s="8" t="s">
        <v>56</v>
      </c>
      <c r="E19" s="8" t="s">
        <v>57</v>
      </c>
      <c r="F19" s="8" t="s">
        <v>58</v>
      </c>
      <c r="G19" s="8" t="s">
        <v>59</v>
      </c>
      <c r="H19" s="8" t="s">
        <v>237</v>
      </c>
      <c r="I19"/>
    </row>
    <row r="20" spans="1:9" x14ac:dyDescent="0.25">
      <c r="A20" s="225" t="s">
        <v>621</v>
      </c>
      <c r="B20" s="226" t="s">
        <v>620</v>
      </c>
      <c r="C20" s="226" t="s">
        <v>174</v>
      </c>
      <c r="D20" s="227">
        <v>46023</v>
      </c>
      <c r="E20" s="226">
        <v>1</v>
      </c>
      <c r="F20" s="227">
        <v>46023</v>
      </c>
      <c r="G20" s="223" t="s">
        <v>633</v>
      </c>
      <c r="H20" s="64"/>
      <c r="I20"/>
    </row>
    <row r="21" spans="1:9" x14ac:dyDescent="0.25">
      <c r="A21" s="225" t="s">
        <v>623</v>
      </c>
      <c r="B21" s="226" t="s">
        <v>622</v>
      </c>
      <c r="C21" s="226" t="s">
        <v>174</v>
      </c>
      <c r="D21" s="227">
        <v>46023</v>
      </c>
      <c r="E21" s="226">
        <v>1</v>
      </c>
      <c r="F21" s="227">
        <v>46023</v>
      </c>
      <c r="G21" s="223" t="s">
        <v>633</v>
      </c>
      <c r="H21" s="64"/>
      <c r="I21"/>
    </row>
    <row r="22" spans="1:9" x14ac:dyDescent="0.25">
      <c r="A22" s="225" t="s">
        <v>625</v>
      </c>
      <c r="B22" s="226" t="s">
        <v>624</v>
      </c>
      <c r="C22" s="226" t="s">
        <v>174</v>
      </c>
      <c r="D22" s="227">
        <v>46023</v>
      </c>
      <c r="E22" s="226">
        <v>1</v>
      </c>
      <c r="F22" s="227">
        <v>46023</v>
      </c>
      <c r="G22" s="223" t="s">
        <v>633</v>
      </c>
      <c r="H22" s="64"/>
      <c r="I22"/>
    </row>
    <row r="23" spans="1:9" x14ac:dyDescent="0.25">
      <c r="A23" s="242" t="s">
        <v>627</v>
      </c>
      <c r="B23" s="226" t="s">
        <v>626</v>
      </c>
      <c r="C23" s="226" t="s">
        <v>174</v>
      </c>
      <c r="D23" s="227">
        <v>46023</v>
      </c>
      <c r="E23" s="226">
        <v>1</v>
      </c>
      <c r="F23" s="227">
        <v>46023</v>
      </c>
      <c r="G23" s="223" t="s">
        <v>633</v>
      </c>
      <c r="H23" s="64"/>
      <c r="I23"/>
    </row>
    <row r="24" spans="1:9" x14ac:dyDescent="0.25">
      <c r="A24" s="242" t="s">
        <v>629</v>
      </c>
      <c r="B24" s="226" t="s">
        <v>628</v>
      </c>
      <c r="C24" s="226" t="s">
        <v>174</v>
      </c>
      <c r="D24" s="227">
        <v>46023</v>
      </c>
      <c r="E24" s="226">
        <v>1</v>
      </c>
      <c r="F24" s="227">
        <v>46023</v>
      </c>
      <c r="G24" s="223" t="s">
        <v>633</v>
      </c>
      <c r="H24" s="64"/>
      <c r="I24"/>
    </row>
    <row r="25" spans="1:9" x14ac:dyDescent="0.25">
      <c r="A25" s="242" t="s">
        <v>631</v>
      </c>
      <c r="B25" s="226" t="s">
        <v>630</v>
      </c>
      <c r="C25" s="226" t="s">
        <v>174</v>
      </c>
      <c r="D25" s="243">
        <v>46023</v>
      </c>
      <c r="E25" s="226">
        <v>1</v>
      </c>
      <c r="F25" s="243">
        <v>46023</v>
      </c>
      <c r="G25" s="223" t="s">
        <v>633</v>
      </c>
      <c r="H25" s="64"/>
      <c r="I25"/>
    </row>
    <row r="26" spans="1:9" x14ac:dyDescent="0.25">
      <c r="G26"/>
      <c r="H26"/>
      <c r="I26"/>
    </row>
    <row r="27" spans="1:9" x14ac:dyDescent="0.25">
      <c r="A27" s="61" t="s">
        <v>91</v>
      </c>
      <c r="F27"/>
    </row>
    <row r="28" spans="1:9" x14ac:dyDescent="0.25">
      <c r="A28" s="65" t="s">
        <v>93</v>
      </c>
      <c r="B28" s="66" t="s">
        <v>94</v>
      </c>
      <c r="C28" s="66" t="s">
        <v>95</v>
      </c>
      <c r="D28" s="66" t="s">
        <v>96</v>
      </c>
      <c r="E28" s="66" t="s">
        <v>97</v>
      </c>
      <c r="F28"/>
    </row>
    <row r="29" spans="1:9" x14ac:dyDescent="0.25">
      <c r="A29" s="6" t="s">
        <v>13</v>
      </c>
      <c r="B29" s="7" t="s">
        <v>20</v>
      </c>
      <c r="C29" s="7" t="s">
        <v>21</v>
      </c>
      <c r="D29" s="7" t="s">
        <v>22</v>
      </c>
      <c r="E29" s="7" t="s">
        <v>23</v>
      </c>
      <c r="F29"/>
    </row>
    <row r="30" spans="1:9" x14ac:dyDescent="0.25">
      <c r="A30" s="6" t="s">
        <v>101</v>
      </c>
      <c r="B30" s="7" t="s">
        <v>21</v>
      </c>
      <c r="C30" s="7" t="s">
        <v>22</v>
      </c>
      <c r="D30" s="7" t="s">
        <v>23</v>
      </c>
      <c r="E30" s="7" t="s">
        <v>20</v>
      </c>
      <c r="F30"/>
    </row>
    <row r="31" spans="1:9" x14ac:dyDescent="0.25">
      <c r="A31" s="6" t="s">
        <v>34</v>
      </c>
      <c r="B31" s="7" t="s">
        <v>22</v>
      </c>
      <c r="C31" s="7" t="s">
        <v>23</v>
      </c>
      <c r="D31" s="7" t="s">
        <v>20</v>
      </c>
      <c r="E31" s="7" t="s">
        <v>21</v>
      </c>
      <c r="F31"/>
    </row>
    <row r="32" spans="1:9" x14ac:dyDescent="0.25">
      <c r="A32" s="6" t="s">
        <v>104</v>
      </c>
      <c r="B32" s="7" t="s">
        <v>23</v>
      </c>
      <c r="C32" s="7" t="s">
        <v>20</v>
      </c>
      <c r="D32" s="7" t="s">
        <v>21</v>
      </c>
      <c r="E32" s="7" t="s">
        <v>22</v>
      </c>
      <c r="F32"/>
    </row>
    <row r="33" spans="1:9" x14ac:dyDescent="0.25">
      <c r="F33"/>
      <c r="I33"/>
    </row>
    <row r="34" spans="1:9" x14ac:dyDescent="0.25">
      <c r="A34" s="61" t="s">
        <v>181</v>
      </c>
      <c r="H34"/>
      <c r="I34"/>
    </row>
    <row r="35" spans="1:9" x14ac:dyDescent="0.25">
      <c r="A35" s="65" t="s">
        <v>93</v>
      </c>
      <c r="B35" s="66" t="s">
        <v>94</v>
      </c>
      <c r="C35" s="66" t="s">
        <v>95</v>
      </c>
      <c r="D35" s="66" t="s">
        <v>96</v>
      </c>
      <c r="E35" s="66" t="s">
        <v>97</v>
      </c>
      <c r="F35"/>
      <c r="G35"/>
      <c r="H35"/>
      <c r="I35"/>
    </row>
    <row r="36" spans="1:9" x14ac:dyDescent="0.25">
      <c r="A36" s="6" t="s">
        <v>13</v>
      </c>
      <c r="B36" s="7" t="s">
        <v>20</v>
      </c>
      <c r="C36" s="7" t="s">
        <v>21</v>
      </c>
      <c r="D36" s="7" t="s">
        <v>22</v>
      </c>
      <c r="E36" s="7" t="s">
        <v>23</v>
      </c>
      <c r="F36"/>
      <c r="G36"/>
      <c r="H36"/>
      <c r="I36"/>
    </row>
    <row r="37" spans="1:9" x14ac:dyDescent="0.25">
      <c r="A37" s="6" t="s">
        <v>34</v>
      </c>
      <c r="B37" s="7" t="s">
        <v>22</v>
      </c>
      <c r="C37" s="7" t="s">
        <v>23</v>
      </c>
      <c r="D37" s="7" t="s">
        <v>20</v>
      </c>
      <c r="E37" s="7" t="s">
        <v>21</v>
      </c>
      <c r="F37"/>
      <c r="G37"/>
      <c r="H37"/>
      <c r="I37"/>
    </row>
    <row r="38" spans="1:9" x14ac:dyDescent="0.25">
      <c r="A38"/>
      <c r="B38"/>
      <c r="C38"/>
      <c r="D38"/>
      <c r="E38"/>
      <c r="F38"/>
      <c r="G38"/>
      <c r="H38"/>
      <c r="I38"/>
    </row>
    <row r="39" spans="1:9" x14ac:dyDescent="0.25">
      <c r="A39" s="177" t="s">
        <v>116</v>
      </c>
      <c r="B39"/>
      <c r="C39"/>
      <c r="D39"/>
      <c r="E39"/>
      <c r="F39"/>
      <c r="G39"/>
      <c r="H39"/>
      <c r="I39"/>
    </row>
    <row r="40" spans="1:9" x14ac:dyDescent="0.25">
      <c r="A40"/>
      <c r="B40"/>
      <c r="C40"/>
      <c r="D40"/>
      <c r="E40"/>
      <c r="F40"/>
      <c r="G40"/>
      <c r="H40"/>
    </row>
    <row r="41" spans="1:9" x14ac:dyDescent="0.25">
      <c r="A41" t="s">
        <v>574</v>
      </c>
      <c r="B41" s="221">
        <v>46035</v>
      </c>
      <c r="C41" t="s">
        <v>697</v>
      </c>
      <c r="D41"/>
    </row>
    <row r="42" spans="1:9" x14ac:dyDescent="0.25">
      <c r="A42" t="s">
        <v>575</v>
      </c>
      <c r="B42" s="221">
        <v>45972</v>
      </c>
      <c r="C42"/>
      <c r="D42"/>
    </row>
    <row r="43" spans="1:9" x14ac:dyDescent="0.25">
      <c r="A43" t="s">
        <v>576</v>
      </c>
      <c r="B43" s="221">
        <v>46034</v>
      </c>
      <c r="C43"/>
      <c r="D43"/>
    </row>
    <row r="44" spans="1:9" x14ac:dyDescent="0.25">
      <c r="A44" t="s">
        <v>577</v>
      </c>
      <c r="B44" s="221">
        <v>46031</v>
      </c>
      <c r="C44" t="s">
        <v>667</v>
      </c>
      <c r="D44"/>
    </row>
    <row r="45" spans="1:9" x14ac:dyDescent="0.25">
      <c r="A45" t="s">
        <v>578</v>
      </c>
      <c r="B45" s="221">
        <v>46035</v>
      </c>
      <c r="C45"/>
      <c r="D45"/>
    </row>
    <row r="46" spans="1:9" x14ac:dyDescent="0.25">
      <c r="A46" t="s">
        <v>579</v>
      </c>
      <c r="B46" s="221">
        <v>46034</v>
      </c>
      <c r="C46"/>
      <c r="D46"/>
    </row>
    <row r="47" spans="1:9" x14ac:dyDescent="0.25">
      <c r="A47" t="s">
        <v>580</v>
      </c>
      <c r="B47" s="221">
        <v>45996</v>
      </c>
      <c r="C47"/>
      <c r="D47"/>
    </row>
    <row r="48" spans="1:9" x14ac:dyDescent="0.25">
      <c r="A48" t="s">
        <v>581</v>
      </c>
      <c r="B48" s="221">
        <v>46035</v>
      </c>
      <c r="C48"/>
      <c r="D48"/>
    </row>
    <row r="49" spans="1:9" x14ac:dyDescent="0.25">
      <c r="A49" t="s">
        <v>582</v>
      </c>
      <c r="B49" s="221">
        <v>46035</v>
      </c>
      <c r="C49"/>
      <c r="D49"/>
    </row>
    <row r="50" spans="1:9" x14ac:dyDescent="0.25">
      <c r="A50"/>
      <c r="B50" s="221"/>
      <c r="C50"/>
      <c r="D50"/>
    </row>
    <row r="51" spans="1:9" x14ac:dyDescent="0.25">
      <c r="A51"/>
      <c r="B51" s="221"/>
      <c r="C51"/>
      <c r="D51"/>
    </row>
    <row r="62" spans="1:9" x14ac:dyDescent="0.25">
      <c r="I62"/>
    </row>
    <row r="63" spans="1:9" x14ac:dyDescent="0.25">
      <c r="G63"/>
      <c r="H63"/>
    </row>
    <row r="78" spans="1:6" x14ac:dyDescent="0.25">
      <c r="A78"/>
      <c r="B78"/>
      <c r="C78"/>
      <c r="D78"/>
      <c r="E78"/>
      <c r="F78"/>
    </row>
    <row r="79" spans="1:6" x14ac:dyDescent="0.25">
      <c r="A79"/>
      <c r="B79"/>
      <c r="C79"/>
      <c r="D79"/>
      <c r="E79"/>
      <c r="F79"/>
    </row>
    <row r="80" spans="1:6" x14ac:dyDescent="0.25">
      <c r="A80"/>
      <c r="B80"/>
      <c r="C80"/>
      <c r="D80"/>
      <c r="E80"/>
      <c r="F80"/>
    </row>
    <row r="83" spans="1:1" x14ac:dyDescent="0.25">
      <c r="A83"/>
    </row>
  </sheetData>
  <pageMargins left="0.7" right="0.7" top="0.75" bottom="0.75" header="0.3" footer="0.3"/>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Z149"/>
  <sheetViews>
    <sheetView zoomScale="70" zoomScaleNormal="70" workbookViewId="0">
      <pane xSplit="5" ySplit="2" topLeftCell="F3" activePane="bottomRight" state="frozen"/>
      <selection activeCell="B49" sqref="B49"/>
      <selection pane="topRight" activeCell="B49" sqref="B49"/>
      <selection pane="bottomLeft" activeCell="B49" sqref="B49"/>
      <selection pane="bottomRight" activeCell="B49" sqref="B49"/>
    </sheetView>
  </sheetViews>
  <sheetFormatPr defaultRowHeight="15.75" x14ac:dyDescent="0.25"/>
  <cols>
    <col min="1" max="1" width="15.25" bestFit="1" customWidth="1"/>
    <col min="2" max="2" width="7.5" style="5" bestFit="1" customWidth="1"/>
    <col min="3" max="3" width="11.5" bestFit="1" customWidth="1"/>
    <col min="4" max="4" width="73.125" customWidth="1"/>
    <col min="5" max="5" width="11" style="5" bestFit="1" customWidth="1"/>
    <col min="6" max="6" width="26" customWidth="1"/>
    <col min="7" max="10" width="7.125" style="5" bestFit="1" customWidth="1"/>
    <col min="11" max="11" width="73.125" customWidth="1"/>
    <col min="12" max="12" width="7.125" bestFit="1" customWidth="1"/>
    <col min="13" max="13" width="7.125" customWidth="1"/>
    <col min="14" max="14" width="7.125" bestFit="1" customWidth="1"/>
    <col min="15" max="21" width="7.125" customWidth="1"/>
    <col min="22" max="22" width="7.125" bestFit="1" customWidth="1"/>
    <col min="23" max="23" width="7.125" customWidth="1"/>
    <col min="24" max="26" width="7.125" bestFit="1" customWidth="1"/>
  </cols>
  <sheetData>
    <row r="1" spans="1:26" x14ac:dyDescent="0.25">
      <c r="A1" s="150">
        <f>COLUMN()</f>
        <v>1</v>
      </c>
      <c r="B1" s="150">
        <f>COLUMN()</f>
        <v>2</v>
      </c>
      <c r="C1" s="150">
        <f>COLUMN()</f>
        <v>3</v>
      </c>
      <c r="D1" s="150">
        <f>COLUMN()</f>
        <v>4</v>
      </c>
      <c r="E1" s="150">
        <f>COLUMN()</f>
        <v>5</v>
      </c>
      <c r="F1" s="150">
        <f>COLUMN()</f>
        <v>6</v>
      </c>
      <c r="G1" s="150">
        <f>COLUMN()</f>
        <v>7</v>
      </c>
      <c r="H1" s="150">
        <f>COLUMN()</f>
        <v>8</v>
      </c>
      <c r="I1" s="150">
        <f>COLUMN()</f>
        <v>9</v>
      </c>
      <c r="J1" s="150">
        <f>COLUMN()</f>
        <v>10</v>
      </c>
      <c r="K1" s="150">
        <f>COLUMN()</f>
        <v>11</v>
      </c>
      <c r="L1" s="150">
        <f>COLUMN()</f>
        <v>12</v>
      </c>
      <c r="M1" s="150">
        <f>COLUMN()</f>
        <v>13</v>
      </c>
      <c r="N1" s="150">
        <f>COLUMN()</f>
        <v>14</v>
      </c>
      <c r="O1" s="150">
        <f>COLUMN()</f>
        <v>15</v>
      </c>
      <c r="P1" s="150">
        <f>COLUMN()</f>
        <v>16</v>
      </c>
      <c r="Q1" s="150">
        <f>COLUMN()</f>
        <v>17</v>
      </c>
      <c r="R1" s="150">
        <f>COLUMN()</f>
        <v>18</v>
      </c>
      <c r="S1" s="150">
        <f>COLUMN()</f>
        <v>19</v>
      </c>
      <c r="T1" s="150">
        <f>COLUMN()</f>
        <v>20</v>
      </c>
      <c r="U1" s="150">
        <f>COLUMN()</f>
        <v>21</v>
      </c>
      <c r="V1" s="150">
        <f>COLUMN()</f>
        <v>22</v>
      </c>
      <c r="W1" s="150">
        <f>COLUMN()</f>
        <v>23</v>
      </c>
      <c r="X1" s="150">
        <f>COLUMN()</f>
        <v>24</v>
      </c>
      <c r="Y1" s="150">
        <f>COLUMN()</f>
        <v>25</v>
      </c>
      <c r="Z1" s="150">
        <f>COLUMN()</f>
        <v>26</v>
      </c>
    </row>
    <row r="2" spans="1:26" ht="72.75" x14ac:dyDescent="0.25">
      <c r="A2" s="16" t="s">
        <v>0</v>
      </c>
      <c r="B2" s="16" t="s">
        <v>1</v>
      </c>
      <c r="C2" s="16" t="s">
        <v>2</v>
      </c>
      <c r="D2" s="16" t="s">
        <v>236</v>
      </c>
      <c r="E2" s="16" t="s">
        <v>5</v>
      </c>
      <c r="F2" s="16" t="s">
        <v>698</v>
      </c>
      <c r="G2" s="151" t="s">
        <v>20</v>
      </c>
      <c r="H2" s="151" t="s">
        <v>21</v>
      </c>
      <c r="I2" s="151" t="s">
        <v>22</v>
      </c>
      <c r="J2" s="151" t="s">
        <v>23</v>
      </c>
      <c r="K2" s="16" t="s">
        <v>237</v>
      </c>
      <c r="L2" s="151" t="s">
        <v>66</v>
      </c>
      <c r="M2" s="151" t="s">
        <v>62</v>
      </c>
      <c r="N2" s="153" t="s">
        <v>72</v>
      </c>
      <c r="O2" s="151" t="s">
        <v>69</v>
      </c>
      <c r="P2" s="151" t="s">
        <v>620</v>
      </c>
      <c r="Q2" s="151" t="s">
        <v>622</v>
      </c>
      <c r="R2" s="151" t="s">
        <v>624</v>
      </c>
      <c r="S2" s="151" t="s">
        <v>626</v>
      </c>
      <c r="T2" s="151" t="s">
        <v>628</v>
      </c>
      <c r="U2" s="151" t="s">
        <v>630</v>
      </c>
      <c r="V2" s="153" t="s">
        <v>74</v>
      </c>
      <c r="W2" s="151" t="s">
        <v>78</v>
      </c>
      <c r="X2" s="151" t="s">
        <v>173</v>
      </c>
      <c r="Y2" s="151" t="s">
        <v>238</v>
      </c>
      <c r="Z2" s="151" t="s">
        <v>239</v>
      </c>
    </row>
    <row r="3" spans="1:26" x14ac:dyDescent="0.25">
      <c r="A3" s="8" t="s">
        <v>133</v>
      </c>
      <c r="B3" s="9"/>
      <c r="C3" s="9"/>
      <c r="D3" s="8" t="s">
        <v>240</v>
      </c>
      <c r="E3" s="9"/>
      <c r="F3" s="265" t="s">
        <v>133</v>
      </c>
      <c r="G3" s="72" t="str">
        <f>IFERROR(IF(VLOOKUP(TableHandbook[[#This Row],[UDC]],TableAvailabilities[],2,FALSE)&gt;0,"Y",""),"")</f>
        <v/>
      </c>
      <c r="H3" s="72" t="str">
        <f>IFERROR(IF(VLOOKUP(TableHandbook[[#This Row],[UDC]],TableAvailabilities[],3,FALSE)&gt;0,"Y",""),"")</f>
        <v/>
      </c>
      <c r="I3" s="72" t="str">
        <f>IFERROR(IF(VLOOKUP(TableHandbook[[#This Row],[UDC]],TableAvailabilities[],4,FALSE)&gt;0,"Y",""),"")</f>
        <v/>
      </c>
      <c r="J3" s="72" t="str">
        <f>IFERROR(IF(VLOOKUP(TableHandbook[[#This Row],[UDC]],TableAvailabilities[],5,FALSE)&gt;0,"Y",""),"")</f>
        <v/>
      </c>
      <c r="K3" s="155"/>
      <c r="L3" s="152" t="str" cm="1">
        <f t="array" aca="1" ref="L3" ca="1">IFERROR(_xlfn.XLOOKUP(TableHandbook[[#This Row],[UDC]],INDIRECT("Table"&amp;SUBSTITUTE(L$2,"-","")&amp;"[UDC]",TRUE),INDIRECT("Table"&amp;SUBSTITUTE(L$2,"-","")&amp;"[Component Type]",TRUE)),"")</f>
        <v/>
      </c>
      <c r="M3" s="152" t="str" cm="1">
        <f t="array" aca="1" ref="M3" ca="1">IFERROR(_xlfn.XLOOKUP(TableHandbook[[#This Row],[UDC]],INDIRECT("Table"&amp;SUBSTITUTE(M$2,"-","")&amp;"[UDC]",TRUE),INDIRECT("Table"&amp;SUBSTITUTE(M$2,"-","")&amp;"[Component Type]",TRUE)),"")</f>
        <v/>
      </c>
      <c r="N3" s="154" t="str" cm="1">
        <f t="array" aca="1" ref="N3" ca="1">IFERROR(_xlfn.XLOOKUP(TableHandbook[[#This Row],[UDC]],INDIRECT("Table"&amp;SUBSTITUTE(N$2,"-","")&amp;"[UDC]",TRUE),INDIRECT("Table"&amp;SUBSTITUTE(N$2,"-","")&amp;"[Component Type]",TRUE)),"")</f>
        <v/>
      </c>
      <c r="O3" s="152" t="str" cm="1">
        <f t="array" aca="1" ref="O3" ca="1">IFERROR(_xlfn.XLOOKUP(TableHandbook[[#This Row],[UDC]],INDIRECT("Table"&amp;SUBSTITUTE(O$2,"-","")&amp;"[UDC]",TRUE),INDIRECT("Table"&amp;SUBSTITUTE(O$2,"-","")&amp;"[Component Type]",TRUE)),"")</f>
        <v/>
      </c>
      <c r="P3" s="152" t="str" cm="1">
        <f t="array" aca="1" ref="P3" ca="1">IFERROR(_xlfn.XLOOKUP(TableHandbook[[#This Row],[UDC]],INDIRECT("Table"&amp;SUBSTITUTE(P$2,"-","")&amp;"[UDC]",TRUE),INDIRECT("Table"&amp;SUBSTITUTE(P$2,"-","")&amp;"[Component Type]",TRUE)),"")</f>
        <v/>
      </c>
      <c r="Q3" s="152" t="str" cm="1">
        <f t="array" aca="1" ref="Q3" ca="1">IFERROR(_xlfn.XLOOKUP(TableHandbook[[#This Row],[UDC]],INDIRECT("Table"&amp;SUBSTITUTE(Q$2,"-","")&amp;"[UDC]",TRUE),INDIRECT("Table"&amp;SUBSTITUTE(Q$2,"-","")&amp;"[Component Type]",TRUE)),"")</f>
        <v/>
      </c>
      <c r="R3" s="152" t="str" cm="1">
        <f t="array" aca="1" ref="R3" ca="1">IFERROR(_xlfn.XLOOKUP(TableHandbook[[#This Row],[UDC]],INDIRECT("Table"&amp;SUBSTITUTE(R$2,"-","")&amp;"[UDC]",TRUE),INDIRECT("Table"&amp;SUBSTITUTE(R$2,"-","")&amp;"[Component Type]",TRUE)),"")</f>
        <v/>
      </c>
      <c r="S3" s="152" t="str" cm="1">
        <f t="array" aca="1" ref="S3" ca="1">IFERROR(_xlfn.XLOOKUP(TableHandbook[[#This Row],[UDC]],INDIRECT("Table"&amp;SUBSTITUTE(S$2,"-","")&amp;"[UDC]",TRUE),INDIRECT("Table"&amp;SUBSTITUTE(S$2,"-","")&amp;"[Component Type]",TRUE)),"")</f>
        <v/>
      </c>
      <c r="T3" s="152" t="str" cm="1">
        <f t="array" aca="1" ref="T3" ca="1">IFERROR(_xlfn.XLOOKUP(TableHandbook[[#This Row],[UDC]],INDIRECT("Table"&amp;SUBSTITUTE(T$2,"-","")&amp;"[UDC]",TRUE),INDIRECT("Table"&amp;SUBSTITUTE(T$2,"-","")&amp;"[Component Type]",TRUE)),"")</f>
        <v/>
      </c>
      <c r="U3" s="152" t="str" cm="1">
        <f t="array" aca="1" ref="U3" ca="1">IFERROR(_xlfn.XLOOKUP(TableHandbook[[#This Row],[UDC]],INDIRECT("Table"&amp;SUBSTITUTE(U$2,"-","")&amp;"[UDC]",TRUE),INDIRECT("Table"&amp;SUBSTITUTE(U$2,"-","")&amp;"[Component Type]",TRUE)),"")</f>
        <v/>
      </c>
      <c r="V3" s="154" t="str" cm="1">
        <f t="array" aca="1" ref="V3" ca="1">IFERROR(_xlfn.XLOOKUP(TableHandbook[[#This Row],[UDC]],INDIRECT("Table"&amp;SUBSTITUTE(V$2,"-","")&amp;"[UDC]",TRUE),INDIRECT("Table"&amp;SUBSTITUTE(V$2,"-","")&amp;"[Component Type]",TRUE)),"")</f>
        <v/>
      </c>
      <c r="W3" s="152" t="str" cm="1">
        <f t="array" aca="1" ref="W3" ca="1">IFERROR(_xlfn.XLOOKUP(TableHandbook[[#This Row],[UDC]],INDIRECT("Table"&amp;SUBSTITUTE(W$2,"-","")&amp;"[UDC]",TRUE),INDIRECT("Table"&amp;SUBSTITUTE(W$2,"-","")&amp;"[Component Type]",TRUE)),"")</f>
        <v/>
      </c>
      <c r="X3" s="152" t="str" cm="1">
        <f t="array" aca="1" ref="X3" ca="1">IFERROR(_xlfn.XLOOKUP(TableHandbook[[#This Row],[UDC]],INDIRECT("Table"&amp;SUBSTITUTE(X$2,"-","")&amp;"[UDC]",TRUE),INDIRECT("Table"&amp;SUBSTITUTE(X$2,"-","")&amp;"[Component Type]",TRUE)),"")</f>
        <v/>
      </c>
      <c r="Y3" s="152" t="str" cm="1">
        <f t="array" aca="1" ref="Y3" ca="1">IFERROR(_xlfn.XLOOKUP(TableHandbook[[#This Row],[UDC]],INDIRECT("Table"&amp;SUBSTITUTE(Y$2,"-","")&amp;"[UDC]",TRUE),INDIRECT("Table"&amp;SUBSTITUTE(Y$2,"-","")&amp;"[Component Type]",TRUE)),"")</f>
        <v/>
      </c>
      <c r="Z3" s="152" t="str" cm="1">
        <f t="array" aca="1" ref="Z3" ca="1">IFERROR(_xlfn.XLOOKUP(TableHandbook[[#This Row],[UDC]],INDIRECT("Table"&amp;SUBSTITUTE(Z$2,"-","")&amp;"[UDC]",TRUE),INDIRECT("Table"&amp;SUBSTITUTE(Z$2,"-","")&amp;"[Component Type]",TRUE)),"")</f>
        <v/>
      </c>
    </row>
    <row r="4" spans="1:26" x14ac:dyDescent="0.25">
      <c r="A4" s="8" t="s">
        <v>241</v>
      </c>
      <c r="B4" s="9"/>
      <c r="C4" s="9"/>
      <c r="D4" s="8" t="s">
        <v>242</v>
      </c>
      <c r="E4" s="9"/>
      <c r="F4" s="265" t="s">
        <v>133</v>
      </c>
      <c r="G4" s="72" t="str">
        <f>IFERROR(IF(VLOOKUP(TableHandbook[[#This Row],[UDC]],TableAvailabilities[],2,FALSE)&gt;0,"Y",""),"")</f>
        <v/>
      </c>
      <c r="H4" s="72" t="str">
        <f>IFERROR(IF(VLOOKUP(TableHandbook[[#This Row],[UDC]],TableAvailabilities[],3,FALSE)&gt;0,"Y",""),"")</f>
        <v/>
      </c>
      <c r="I4" s="72" t="str">
        <f>IFERROR(IF(VLOOKUP(TableHandbook[[#This Row],[UDC]],TableAvailabilities[],4,FALSE)&gt;0,"Y",""),"")</f>
        <v/>
      </c>
      <c r="J4" s="72" t="str">
        <f>IFERROR(IF(VLOOKUP(TableHandbook[[#This Row],[UDC]],TableAvailabilities[],5,FALSE)&gt;0,"Y",""),"")</f>
        <v/>
      </c>
      <c r="K4" s="155"/>
      <c r="L4" s="152" t="str" cm="1">
        <f t="array" aca="1" ref="L4" ca="1">IFERROR(_xlfn.XLOOKUP(TableHandbook[[#This Row],[UDC]],INDIRECT("Table"&amp;SUBSTITUTE(L$2,"-","")&amp;"[UDC]",TRUE),INDIRECT("Table"&amp;SUBSTITUTE(L$2,"-","")&amp;"[Component Type]",TRUE)),"")</f>
        <v/>
      </c>
      <c r="M4" s="152" t="str" cm="1">
        <f t="array" aca="1" ref="M4" ca="1">IFERROR(_xlfn.XLOOKUP(TableHandbook[[#This Row],[UDC]],INDIRECT("Table"&amp;SUBSTITUTE(M$2,"-","")&amp;"[UDC]",TRUE),INDIRECT("Table"&amp;SUBSTITUTE(M$2,"-","")&amp;"[Component Type]",TRUE)),"")</f>
        <v/>
      </c>
      <c r="N4" s="154" t="str" cm="1">
        <f t="array" aca="1" ref="N4" ca="1">IFERROR(_xlfn.XLOOKUP(TableHandbook[[#This Row],[UDC]],INDIRECT("Table"&amp;SUBSTITUTE(N$2,"-","")&amp;"[UDC]",TRUE),INDIRECT("Table"&amp;SUBSTITUTE(N$2,"-","")&amp;"[Component Type]",TRUE)),"")</f>
        <v/>
      </c>
      <c r="O4" s="152" t="str" cm="1">
        <f t="array" aca="1" ref="O4" ca="1">IFERROR(_xlfn.XLOOKUP(TableHandbook[[#This Row],[UDC]],INDIRECT("Table"&amp;SUBSTITUTE(O$2,"-","")&amp;"[UDC]",TRUE),INDIRECT("Table"&amp;SUBSTITUTE(O$2,"-","")&amp;"[Component Type]",TRUE)),"")</f>
        <v/>
      </c>
      <c r="P4" s="152" t="str" cm="1">
        <f t="array" aca="1" ref="P4" ca="1">IFERROR(_xlfn.XLOOKUP(TableHandbook[[#This Row],[UDC]],INDIRECT("Table"&amp;SUBSTITUTE(P$2,"-","")&amp;"[UDC]",TRUE),INDIRECT("Table"&amp;SUBSTITUTE(P$2,"-","")&amp;"[Component Type]",TRUE)),"")</f>
        <v/>
      </c>
      <c r="Q4" s="152" t="str" cm="1">
        <f t="array" aca="1" ref="Q4" ca="1">IFERROR(_xlfn.XLOOKUP(TableHandbook[[#This Row],[UDC]],INDIRECT("Table"&amp;SUBSTITUTE(Q$2,"-","")&amp;"[UDC]",TRUE),INDIRECT("Table"&amp;SUBSTITUTE(Q$2,"-","")&amp;"[Component Type]",TRUE)),"")</f>
        <v/>
      </c>
      <c r="R4" s="152" t="str" cm="1">
        <f t="array" aca="1" ref="R4" ca="1">IFERROR(_xlfn.XLOOKUP(TableHandbook[[#This Row],[UDC]],INDIRECT("Table"&amp;SUBSTITUTE(R$2,"-","")&amp;"[UDC]",TRUE),INDIRECT("Table"&amp;SUBSTITUTE(R$2,"-","")&amp;"[Component Type]",TRUE)),"")</f>
        <v/>
      </c>
      <c r="S4" s="152" t="str" cm="1">
        <f t="array" aca="1" ref="S4" ca="1">IFERROR(_xlfn.XLOOKUP(TableHandbook[[#This Row],[UDC]],INDIRECT("Table"&amp;SUBSTITUTE(S$2,"-","")&amp;"[UDC]",TRUE),INDIRECT("Table"&amp;SUBSTITUTE(S$2,"-","")&amp;"[Component Type]",TRUE)),"")</f>
        <v/>
      </c>
      <c r="T4" s="152" t="str" cm="1">
        <f t="array" aca="1" ref="T4" ca="1">IFERROR(_xlfn.XLOOKUP(TableHandbook[[#This Row],[UDC]],INDIRECT("Table"&amp;SUBSTITUTE(T$2,"-","")&amp;"[UDC]",TRUE),INDIRECT("Table"&amp;SUBSTITUTE(T$2,"-","")&amp;"[Component Type]",TRUE)),"")</f>
        <v/>
      </c>
      <c r="U4" s="152" t="str" cm="1">
        <f t="array" aca="1" ref="U4" ca="1">IFERROR(_xlfn.XLOOKUP(TableHandbook[[#This Row],[UDC]],INDIRECT("Table"&amp;SUBSTITUTE(U$2,"-","")&amp;"[UDC]",TRUE),INDIRECT("Table"&amp;SUBSTITUTE(U$2,"-","")&amp;"[Component Type]",TRUE)),"")</f>
        <v/>
      </c>
      <c r="V4" s="154" t="str" cm="1">
        <f t="array" aca="1" ref="V4" ca="1">IFERROR(_xlfn.XLOOKUP(TableHandbook[[#This Row],[UDC]],INDIRECT("Table"&amp;SUBSTITUTE(V$2,"-","")&amp;"[UDC]",TRUE),INDIRECT("Table"&amp;SUBSTITUTE(V$2,"-","")&amp;"[Component Type]",TRUE)),"")</f>
        <v/>
      </c>
      <c r="W4" s="152" t="str" cm="1">
        <f t="array" aca="1" ref="W4" ca="1">IFERROR(_xlfn.XLOOKUP(TableHandbook[[#This Row],[UDC]],INDIRECT("Table"&amp;SUBSTITUTE(W$2,"-","")&amp;"[UDC]",TRUE),INDIRECT("Table"&amp;SUBSTITUTE(W$2,"-","")&amp;"[Component Type]",TRUE)),"")</f>
        <v/>
      </c>
      <c r="X4" s="152" t="str" cm="1">
        <f t="array" aca="1" ref="X4" ca="1">IFERROR(_xlfn.XLOOKUP(TableHandbook[[#This Row],[UDC]],INDIRECT("Table"&amp;SUBSTITUTE(X$2,"-","")&amp;"[UDC]",TRUE),INDIRECT("Table"&amp;SUBSTITUTE(X$2,"-","")&amp;"[Component Type]",TRUE)),"")</f>
        <v/>
      </c>
      <c r="Y4" s="152" t="str" cm="1">
        <f t="array" aca="1" ref="Y4" ca="1">IFERROR(_xlfn.XLOOKUP(TableHandbook[[#This Row],[UDC]],INDIRECT("Table"&amp;SUBSTITUTE(Y$2,"-","")&amp;"[UDC]",TRUE),INDIRECT("Table"&amp;SUBSTITUTE(Y$2,"-","")&amp;"[Component Type]",TRUE)),"")</f>
        <v/>
      </c>
      <c r="Z4" s="152" t="str" cm="1">
        <f t="array" aca="1" ref="Z4" ca="1">IFERROR(_xlfn.XLOOKUP(TableHandbook[[#This Row],[UDC]],INDIRECT("Table"&amp;SUBSTITUTE(Z$2,"-","")&amp;"[UDC]",TRUE),INDIRECT("Table"&amp;SUBSTITUTE(Z$2,"-","")&amp;"[Component Type]",TRUE)),"")</f>
        <v/>
      </c>
    </row>
    <row r="5" spans="1:26" x14ac:dyDescent="0.25">
      <c r="A5" s="8" t="s">
        <v>192</v>
      </c>
      <c r="B5" s="9">
        <v>0</v>
      </c>
      <c r="C5" s="9"/>
      <c r="D5" s="8" t="s">
        <v>243</v>
      </c>
      <c r="E5" s="9">
        <v>25</v>
      </c>
      <c r="F5" s="265" t="s">
        <v>244</v>
      </c>
      <c r="G5" s="72" t="str">
        <f>IFERROR(IF(VLOOKUP(TableHandbook[[#This Row],[UDC]],TableAvailabilities[],2,FALSE)&gt;0,"Y",""),"")</f>
        <v/>
      </c>
      <c r="H5" s="72" t="str">
        <f>IFERROR(IF(VLOOKUP(TableHandbook[[#This Row],[UDC]],TableAvailabilities[],3,FALSE)&gt;0,"Y",""),"")</f>
        <v/>
      </c>
      <c r="I5" s="72" t="str">
        <f>IFERROR(IF(VLOOKUP(TableHandbook[[#This Row],[UDC]],TableAvailabilities[],4,FALSE)&gt;0,"Y",""),"")</f>
        <v/>
      </c>
      <c r="J5" s="72" t="str">
        <f>IFERROR(IF(VLOOKUP(TableHandbook[[#This Row],[UDC]],TableAvailabilities[],5,FALSE)&gt;0,"Y",""),"")</f>
        <v/>
      </c>
      <c r="K5" s="155"/>
      <c r="L5" s="152" t="str" cm="1">
        <f t="array" aca="1" ref="L5" ca="1">IFERROR(_xlfn.XLOOKUP(TableHandbook[[#This Row],[UDC]],INDIRECT("Table"&amp;SUBSTITUTE(L$2,"-","")&amp;"[UDC]",TRUE),INDIRECT("Table"&amp;SUBSTITUTE(L$2,"-","")&amp;"[Component Type]",TRUE)),"")</f>
        <v/>
      </c>
      <c r="M5" s="152" t="str" cm="1">
        <f t="array" aca="1" ref="M5" ca="1">IFERROR(_xlfn.XLOOKUP(TableHandbook[[#This Row],[UDC]],INDIRECT("Table"&amp;SUBSTITUTE(M$2,"-","")&amp;"[UDC]",TRUE),INDIRECT("Table"&amp;SUBSTITUTE(M$2,"-","")&amp;"[Component Type]",TRUE)),"")</f>
        <v/>
      </c>
      <c r="N5" s="154" t="str" cm="1">
        <f t="array" aca="1" ref="N5" ca="1">IFERROR(_xlfn.XLOOKUP(TableHandbook[[#This Row],[UDC]],INDIRECT("Table"&amp;SUBSTITUTE(N$2,"-","")&amp;"[UDC]",TRUE),INDIRECT("Table"&amp;SUBSTITUTE(N$2,"-","")&amp;"[Component Type]",TRUE)),"")</f>
        <v/>
      </c>
      <c r="O5" s="152" t="str" cm="1">
        <f t="array" aca="1" ref="O5" ca="1">IFERROR(_xlfn.XLOOKUP(TableHandbook[[#This Row],[UDC]],INDIRECT("Table"&amp;SUBSTITUTE(O$2,"-","")&amp;"[UDC]",TRUE),INDIRECT("Table"&amp;SUBSTITUTE(O$2,"-","")&amp;"[Component Type]",TRUE)),"")</f>
        <v/>
      </c>
      <c r="P5" s="152" t="str" cm="1">
        <f t="array" aca="1" ref="P5" ca="1">IFERROR(_xlfn.XLOOKUP(TableHandbook[[#This Row],[UDC]],INDIRECT("Table"&amp;SUBSTITUTE(P$2,"-","")&amp;"[UDC]",TRUE),INDIRECT("Table"&amp;SUBSTITUTE(P$2,"-","")&amp;"[Component Type]",TRUE)),"")</f>
        <v/>
      </c>
      <c r="Q5" s="152" t="str" cm="1">
        <f t="array" aca="1" ref="Q5" ca="1">IFERROR(_xlfn.XLOOKUP(TableHandbook[[#This Row],[UDC]],INDIRECT("Table"&amp;SUBSTITUTE(Q$2,"-","")&amp;"[UDC]",TRUE),INDIRECT("Table"&amp;SUBSTITUTE(Q$2,"-","")&amp;"[Component Type]",TRUE)),"")</f>
        <v/>
      </c>
      <c r="R5" s="152" t="str" cm="1">
        <f t="array" aca="1" ref="R5" ca="1">IFERROR(_xlfn.XLOOKUP(TableHandbook[[#This Row],[UDC]],INDIRECT("Table"&amp;SUBSTITUTE(R$2,"-","")&amp;"[UDC]",TRUE),INDIRECT("Table"&amp;SUBSTITUTE(R$2,"-","")&amp;"[Component Type]",TRUE)),"")</f>
        <v/>
      </c>
      <c r="S5" s="152" t="str" cm="1">
        <f t="array" aca="1" ref="S5" ca="1">IFERROR(_xlfn.XLOOKUP(TableHandbook[[#This Row],[UDC]],INDIRECT("Table"&amp;SUBSTITUTE(S$2,"-","")&amp;"[UDC]",TRUE),INDIRECT("Table"&amp;SUBSTITUTE(S$2,"-","")&amp;"[Component Type]",TRUE)),"")</f>
        <v/>
      </c>
      <c r="T5" s="152" t="str" cm="1">
        <f t="array" aca="1" ref="T5" ca="1">IFERROR(_xlfn.XLOOKUP(TableHandbook[[#This Row],[UDC]],INDIRECT("Table"&amp;SUBSTITUTE(T$2,"-","")&amp;"[UDC]",TRUE),INDIRECT("Table"&amp;SUBSTITUTE(T$2,"-","")&amp;"[Component Type]",TRUE)),"")</f>
        <v/>
      </c>
      <c r="U5" s="152" t="str" cm="1">
        <f t="array" aca="1" ref="U5" ca="1">IFERROR(_xlfn.XLOOKUP(TableHandbook[[#This Row],[UDC]],INDIRECT("Table"&amp;SUBSTITUTE(U$2,"-","")&amp;"[UDC]",TRUE),INDIRECT("Table"&amp;SUBSTITUTE(U$2,"-","")&amp;"[Component Type]",TRUE)),"")</f>
        <v/>
      </c>
      <c r="V5" s="154" t="str" cm="1">
        <f t="array" aca="1" ref="V5" ca="1">IFERROR(_xlfn.XLOOKUP(TableHandbook[[#This Row],[UDC]],INDIRECT("Table"&amp;SUBSTITUTE(V$2,"-","")&amp;"[UDC]",TRUE),INDIRECT("Table"&amp;SUBSTITUTE(V$2,"-","")&amp;"[Component Type]",TRUE)),"")</f>
        <v/>
      </c>
      <c r="W5" s="152" t="str" cm="1">
        <f t="array" aca="1" ref="W5" ca="1">IFERROR(_xlfn.XLOOKUP(TableHandbook[[#This Row],[UDC]],INDIRECT("Table"&amp;SUBSTITUTE(W$2,"-","")&amp;"[UDC]",TRUE),INDIRECT("Table"&amp;SUBSTITUTE(W$2,"-","")&amp;"[Component Type]",TRUE)),"")</f>
        <v/>
      </c>
      <c r="X5" s="152" t="str" cm="1">
        <f t="array" aca="1" ref="X5" ca="1">IFERROR(_xlfn.XLOOKUP(TableHandbook[[#This Row],[UDC]],INDIRECT("Table"&amp;SUBSTITUTE(X$2,"-","")&amp;"[UDC]",TRUE),INDIRECT("Table"&amp;SUBSTITUTE(X$2,"-","")&amp;"[Component Type]",TRUE)),"")</f>
        <v>AltCore</v>
      </c>
      <c r="Y5" s="152" t="str" cm="1">
        <f t="array" aca="1" ref="Y5" ca="1">IFERROR(_xlfn.XLOOKUP(TableHandbook[[#This Row],[UDC]],INDIRECT("Table"&amp;SUBSTITUTE(Y$2,"-","")&amp;"[UDC]",TRUE),INDIRECT("Table"&amp;SUBSTITUTE(Y$2,"-","")&amp;"[Component Type]",TRUE)),"")</f>
        <v/>
      </c>
      <c r="Z5" s="152" t="str" cm="1">
        <f t="array" aca="1" ref="Z5" ca="1">IFERROR(_xlfn.XLOOKUP(TableHandbook[[#This Row],[UDC]],INDIRECT("Table"&amp;SUBSTITUTE(Z$2,"-","")&amp;"[UDC]",TRUE),INDIRECT("Table"&amp;SUBSTITUTE(Z$2,"-","")&amp;"[Component Type]",TRUE)),"")</f>
        <v/>
      </c>
    </row>
    <row r="6" spans="1:26" x14ac:dyDescent="0.25">
      <c r="A6" s="8" t="s">
        <v>245</v>
      </c>
      <c r="B6" s="9">
        <v>0</v>
      </c>
      <c r="C6" s="9"/>
      <c r="D6" s="8" t="s">
        <v>246</v>
      </c>
      <c r="E6" s="9">
        <v>375</v>
      </c>
      <c r="F6" s="265"/>
      <c r="G6" s="72" t="str">
        <f>IFERROR(IF(VLOOKUP(TableHandbook[[#This Row],[UDC]],TableAvailabilities[],2,FALSE)&gt;0,"Y",""),"")</f>
        <v/>
      </c>
      <c r="H6" s="72" t="str">
        <f>IFERROR(IF(VLOOKUP(TableHandbook[[#This Row],[UDC]],TableAvailabilities[],3,FALSE)&gt;0,"Y",""),"")</f>
        <v/>
      </c>
      <c r="I6" s="72" t="str">
        <f>IFERROR(IF(VLOOKUP(TableHandbook[[#This Row],[UDC]],TableAvailabilities[],4,FALSE)&gt;0,"Y",""),"")</f>
        <v/>
      </c>
      <c r="J6" s="72" t="str">
        <f>IFERROR(IF(VLOOKUP(TableHandbook[[#This Row],[UDC]],TableAvailabilities[],5,FALSE)&gt;0,"Y",""),"")</f>
        <v/>
      </c>
      <c r="K6" s="155"/>
      <c r="L6" s="152" t="str" cm="1">
        <f t="array" aca="1" ref="L6" ca="1">IFERROR(_xlfn.XLOOKUP(TableHandbook[[#This Row],[UDC]],INDIRECT("Table"&amp;SUBSTITUTE(L$2,"-","")&amp;"[UDC]",TRUE),INDIRECT("Table"&amp;SUBSTITUTE(L$2,"-","")&amp;"[Component Type]",TRUE)),"")</f>
        <v/>
      </c>
      <c r="M6" s="152" t="str" cm="1">
        <f t="array" aca="1" ref="M6" ca="1">IFERROR(_xlfn.XLOOKUP(TableHandbook[[#This Row],[UDC]],INDIRECT("Table"&amp;SUBSTITUTE(M$2,"-","")&amp;"[UDC]",TRUE),INDIRECT("Table"&amp;SUBSTITUTE(M$2,"-","")&amp;"[Component Type]",TRUE)),"")</f>
        <v/>
      </c>
      <c r="N6" s="154" t="str" cm="1">
        <f t="array" aca="1" ref="N6" ca="1">IFERROR(_xlfn.XLOOKUP(TableHandbook[[#This Row],[UDC]],INDIRECT("Table"&amp;SUBSTITUTE(N$2,"-","")&amp;"[UDC]",TRUE),INDIRECT("Table"&amp;SUBSTITUTE(N$2,"-","")&amp;"[Component Type]",TRUE)),"")</f>
        <v/>
      </c>
      <c r="O6" s="152" t="str" cm="1">
        <f t="array" aca="1" ref="O6" ca="1">IFERROR(_xlfn.XLOOKUP(TableHandbook[[#This Row],[UDC]],INDIRECT("Table"&amp;SUBSTITUTE(O$2,"-","")&amp;"[UDC]",TRUE),INDIRECT("Table"&amp;SUBSTITUTE(O$2,"-","")&amp;"[Component Type]",TRUE)),"")</f>
        <v/>
      </c>
      <c r="P6" s="152" t="str" cm="1">
        <f t="array" aca="1" ref="P6" ca="1">IFERROR(_xlfn.XLOOKUP(TableHandbook[[#This Row],[UDC]],INDIRECT("Table"&amp;SUBSTITUTE(P$2,"-","")&amp;"[UDC]",TRUE),INDIRECT("Table"&amp;SUBSTITUTE(P$2,"-","")&amp;"[Component Type]",TRUE)),"")</f>
        <v/>
      </c>
      <c r="Q6" s="152" t="str" cm="1">
        <f t="array" aca="1" ref="Q6" ca="1">IFERROR(_xlfn.XLOOKUP(TableHandbook[[#This Row],[UDC]],INDIRECT("Table"&amp;SUBSTITUTE(Q$2,"-","")&amp;"[UDC]",TRUE),INDIRECT("Table"&amp;SUBSTITUTE(Q$2,"-","")&amp;"[Component Type]",TRUE)),"")</f>
        <v/>
      </c>
      <c r="R6" s="152" t="str" cm="1">
        <f t="array" aca="1" ref="R6" ca="1">IFERROR(_xlfn.XLOOKUP(TableHandbook[[#This Row],[UDC]],INDIRECT("Table"&amp;SUBSTITUTE(R$2,"-","")&amp;"[UDC]",TRUE),INDIRECT("Table"&amp;SUBSTITUTE(R$2,"-","")&amp;"[Component Type]",TRUE)),"")</f>
        <v/>
      </c>
      <c r="S6" s="152" t="str" cm="1">
        <f t="array" aca="1" ref="S6" ca="1">IFERROR(_xlfn.XLOOKUP(TableHandbook[[#This Row],[UDC]],INDIRECT("Table"&amp;SUBSTITUTE(S$2,"-","")&amp;"[UDC]",TRUE),INDIRECT("Table"&amp;SUBSTITUTE(S$2,"-","")&amp;"[Component Type]",TRUE)),"")</f>
        <v/>
      </c>
      <c r="T6" s="152" t="str" cm="1">
        <f t="array" aca="1" ref="T6" ca="1">IFERROR(_xlfn.XLOOKUP(TableHandbook[[#This Row],[UDC]],INDIRECT("Table"&amp;SUBSTITUTE(T$2,"-","")&amp;"[UDC]",TRUE),INDIRECT("Table"&amp;SUBSTITUTE(T$2,"-","")&amp;"[Component Type]",TRUE)),"")</f>
        <v/>
      </c>
      <c r="U6" s="152" t="str" cm="1">
        <f t="array" aca="1" ref="U6" ca="1">IFERROR(_xlfn.XLOOKUP(TableHandbook[[#This Row],[UDC]],INDIRECT("Table"&amp;SUBSTITUTE(U$2,"-","")&amp;"[UDC]",TRUE),INDIRECT("Table"&amp;SUBSTITUTE(U$2,"-","")&amp;"[Component Type]",TRUE)),"")</f>
        <v/>
      </c>
      <c r="V6" s="154" t="str" cm="1">
        <f t="array" aca="1" ref="V6" ca="1">IFERROR(_xlfn.XLOOKUP(TableHandbook[[#This Row],[UDC]],INDIRECT("Table"&amp;SUBSTITUTE(V$2,"-","")&amp;"[UDC]",TRUE),INDIRECT("Table"&amp;SUBSTITUTE(V$2,"-","")&amp;"[Component Type]",TRUE)),"")</f>
        <v>AltCore</v>
      </c>
      <c r="W6" s="152" t="str" cm="1">
        <f t="array" aca="1" ref="W6" ca="1">IFERROR(_xlfn.XLOOKUP(TableHandbook[[#This Row],[UDC]],INDIRECT("Table"&amp;SUBSTITUTE(W$2,"-","")&amp;"[UDC]",TRUE),INDIRECT("Table"&amp;SUBSTITUTE(W$2,"-","")&amp;"[Component Type]",TRUE)),"")</f>
        <v>AltCore</v>
      </c>
      <c r="X6" s="152" t="str" cm="1">
        <f t="array" aca="1" ref="X6" ca="1">IFERROR(_xlfn.XLOOKUP(TableHandbook[[#This Row],[UDC]],INDIRECT("Table"&amp;SUBSTITUTE(X$2,"-","")&amp;"[UDC]",TRUE),INDIRECT("Table"&amp;SUBSTITUTE(X$2,"-","")&amp;"[Component Type]",TRUE)),"")</f>
        <v/>
      </c>
      <c r="Y6" s="152" t="str" cm="1">
        <f t="array" aca="1" ref="Y6" ca="1">IFERROR(_xlfn.XLOOKUP(TableHandbook[[#This Row],[UDC]],INDIRECT("Table"&amp;SUBSTITUTE(Y$2,"-","")&amp;"[UDC]",TRUE),INDIRECT("Table"&amp;SUBSTITUTE(Y$2,"-","")&amp;"[Component Type]",TRUE)),"")</f>
        <v/>
      </c>
      <c r="Z6" s="152" t="str" cm="1">
        <f t="array" aca="1" ref="Z6" ca="1">IFERROR(_xlfn.XLOOKUP(TableHandbook[[#This Row],[UDC]],INDIRECT("Table"&amp;SUBSTITUTE(Z$2,"-","")&amp;"[UDC]",TRUE),INDIRECT("Table"&amp;SUBSTITUTE(Z$2,"-","")&amp;"[Component Type]",TRUE)),"")</f>
        <v/>
      </c>
    </row>
    <row r="7" spans="1:26" x14ac:dyDescent="0.25">
      <c r="A7" s="8" t="s">
        <v>201</v>
      </c>
      <c r="B7" s="9">
        <v>0</v>
      </c>
      <c r="C7" s="9"/>
      <c r="D7" s="8" t="s">
        <v>247</v>
      </c>
      <c r="E7" s="9">
        <v>25</v>
      </c>
      <c r="F7" s="265" t="s">
        <v>244</v>
      </c>
      <c r="G7" s="72" t="str">
        <f>IFERROR(IF(VLOOKUP(TableHandbook[[#This Row],[UDC]],TableAvailabilities[],2,FALSE)&gt;0,"Y",""),"")</f>
        <v/>
      </c>
      <c r="H7" s="72" t="str">
        <f>IFERROR(IF(VLOOKUP(TableHandbook[[#This Row],[UDC]],TableAvailabilities[],3,FALSE)&gt;0,"Y",""),"")</f>
        <v/>
      </c>
      <c r="I7" s="72" t="str">
        <f>IFERROR(IF(VLOOKUP(TableHandbook[[#This Row],[UDC]],TableAvailabilities[],4,FALSE)&gt;0,"Y",""),"")</f>
        <v/>
      </c>
      <c r="J7" s="72" t="str">
        <f>IFERROR(IF(VLOOKUP(TableHandbook[[#This Row],[UDC]],TableAvailabilities[],5,FALSE)&gt;0,"Y",""),"")</f>
        <v/>
      </c>
      <c r="K7" s="209" t="s">
        <v>248</v>
      </c>
      <c r="L7" s="152" t="str" cm="1">
        <f t="array" aca="1" ref="L7" ca="1">IFERROR(_xlfn.XLOOKUP(TableHandbook[[#This Row],[UDC]],INDIRECT("Table"&amp;SUBSTITUTE(L$2,"-","")&amp;"[UDC]",TRUE),INDIRECT("Table"&amp;SUBSTITUTE(L$2,"-","")&amp;"[Component Type]",TRUE)),"")</f>
        <v/>
      </c>
      <c r="M7" s="152" t="str" cm="1">
        <f t="array" aca="1" ref="M7" ca="1">IFERROR(_xlfn.XLOOKUP(TableHandbook[[#This Row],[UDC]],INDIRECT("Table"&amp;SUBSTITUTE(M$2,"-","")&amp;"[UDC]",TRUE),INDIRECT("Table"&amp;SUBSTITUTE(M$2,"-","")&amp;"[Component Type]",TRUE)),"")</f>
        <v/>
      </c>
      <c r="N7" s="154" t="str" cm="1">
        <f t="array" aca="1" ref="N7" ca="1">IFERROR(_xlfn.XLOOKUP(TableHandbook[[#This Row],[UDC]],INDIRECT("Table"&amp;SUBSTITUTE(N$2,"-","")&amp;"[UDC]",TRUE),INDIRECT("Table"&amp;SUBSTITUTE(N$2,"-","")&amp;"[Component Type]",TRUE)),"")</f>
        <v/>
      </c>
      <c r="O7" s="152" t="str" cm="1">
        <f t="array" aca="1" ref="O7" ca="1">IFERROR(_xlfn.XLOOKUP(TableHandbook[[#This Row],[UDC]],INDIRECT("Table"&amp;SUBSTITUTE(O$2,"-","")&amp;"[UDC]",TRUE),INDIRECT("Table"&amp;SUBSTITUTE(O$2,"-","")&amp;"[Component Type]",TRUE)),"")</f>
        <v/>
      </c>
      <c r="P7" s="152" t="str" cm="1">
        <f t="array" aca="1" ref="P7" ca="1">IFERROR(_xlfn.XLOOKUP(TableHandbook[[#This Row],[UDC]],INDIRECT("Table"&amp;SUBSTITUTE(P$2,"-","")&amp;"[UDC]",TRUE),INDIRECT("Table"&amp;SUBSTITUTE(P$2,"-","")&amp;"[Component Type]",TRUE)),"")</f>
        <v/>
      </c>
      <c r="Q7" s="152" t="str" cm="1">
        <f t="array" aca="1" ref="Q7" ca="1">IFERROR(_xlfn.XLOOKUP(TableHandbook[[#This Row],[UDC]],INDIRECT("Table"&amp;SUBSTITUTE(Q$2,"-","")&amp;"[UDC]",TRUE),INDIRECT("Table"&amp;SUBSTITUTE(Q$2,"-","")&amp;"[Component Type]",TRUE)),"")</f>
        <v/>
      </c>
      <c r="R7" s="152" t="str" cm="1">
        <f t="array" aca="1" ref="R7" ca="1">IFERROR(_xlfn.XLOOKUP(TableHandbook[[#This Row],[UDC]],INDIRECT("Table"&amp;SUBSTITUTE(R$2,"-","")&amp;"[UDC]",TRUE),INDIRECT("Table"&amp;SUBSTITUTE(R$2,"-","")&amp;"[Component Type]",TRUE)),"")</f>
        <v/>
      </c>
      <c r="S7" s="152" t="str" cm="1">
        <f t="array" aca="1" ref="S7" ca="1">IFERROR(_xlfn.XLOOKUP(TableHandbook[[#This Row],[UDC]],INDIRECT("Table"&amp;SUBSTITUTE(S$2,"-","")&amp;"[UDC]",TRUE),INDIRECT("Table"&amp;SUBSTITUTE(S$2,"-","")&amp;"[Component Type]",TRUE)),"")</f>
        <v/>
      </c>
      <c r="T7" s="152" t="str" cm="1">
        <f t="array" aca="1" ref="T7" ca="1">IFERROR(_xlfn.XLOOKUP(TableHandbook[[#This Row],[UDC]],INDIRECT("Table"&amp;SUBSTITUTE(T$2,"-","")&amp;"[UDC]",TRUE),INDIRECT("Table"&amp;SUBSTITUTE(T$2,"-","")&amp;"[Component Type]",TRUE)),"")</f>
        <v/>
      </c>
      <c r="U7" s="152" t="str" cm="1">
        <f t="array" aca="1" ref="U7" ca="1">IFERROR(_xlfn.XLOOKUP(TableHandbook[[#This Row],[UDC]],INDIRECT("Table"&amp;SUBSTITUTE(U$2,"-","")&amp;"[UDC]",TRUE),INDIRECT("Table"&amp;SUBSTITUTE(U$2,"-","")&amp;"[Component Type]",TRUE)),"")</f>
        <v/>
      </c>
      <c r="V7" s="154" t="str" cm="1">
        <f t="array" aca="1" ref="V7" ca="1">IFERROR(_xlfn.XLOOKUP(TableHandbook[[#This Row],[UDC]],INDIRECT("Table"&amp;SUBSTITUTE(V$2,"-","")&amp;"[UDC]",TRUE),INDIRECT("Table"&amp;SUBSTITUTE(V$2,"-","")&amp;"[Component Type]",TRUE)),"")</f>
        <v/>
      </c>
      <c r="W7" s="152" t="str" cm="1">
        <f t="array" aca="1" ref="W7" ca="1">IFERROR(_xlfn.XLOOKUP(TableHandbook[[#This Row],[UDC]],INDIRECT("Table"&amp;SUBSTITUTE(W$2,"-","")&amp;"[UDC]",TRUE),INDIRECT("Table"&amp;SUBSTITUTE(W$2,"-","")&amp;"[Component Type]",TRUE)),"")</f>
        <v/>
      </c>
      <c r="X7" s="152" t="str" cm="1">
        <f t="array" aca="1" ref="X7" ca="1">IFERROR(_xlfn.XLOOKUP(TableHandbook[[#This Row],[UDC]],INDIRECT("Table"&amp;SUBSTITUTE(X$2,"-","")&amp;"[UDC]",TRUE),INDIRECT("Table"&amp;SUBSTITUTE(X$2,"-","")&amp;"[Component Type]",TRUE)),"")</f>
        <v/>
      </c>
      <c r="Y7" s="152" t="str" cm="1">
        <f t="array" aca="1" ref="Y7" ca="1">IFERROR(_xlfn.XLOOKUP(TableHandbook[[#This Row],[UDC]],INDIRECT("Table"&amp;SUBSTITUTE(Y$2,"-","")&amp;"[UDC]",TRUE),INDIRECT("Table"&amp;SUBSTITUTE(Y$2,"-","")&amp;"[Component Type]",TRUE)),"")</f>
        <v/>
      </c>
      <c r="Z7" s="152" t="str" cm="1">
        <f t="array" aca="1" ref="Z7" ca="1">IFERROR(_xlfn.XLOOKUP(TableHandbook[[#This Row],[UDC]],INDIRECT("Table"&amp;SUBSTITUTE(Z$2,"-","")&amp;"[UDC]",TRUE),INDIRECT("Table"&amp;SUBSTITUTE(Z$2,"-","")&amp;"[Component Type]",TRUE)),"")</f>
        <v>AltCore</v>
      </c>
    </row>
    <row r="8" spans="1:26" x14ac:dyDescent="0.25">
      <c r="A8" s="8" t="s">
        <v>209</v>
      </c>
      <c r="B8" s="9">
        <v>0</v>
      </c>
      <c r="C8" s="9"/>
      <c r="D8" s="8" t="s">
        <v>249</v>
      </c>
      <c r="E8" s="9">
        <v>25</v>
      </c>
      <c r="F8" s="265" t="s">
        <v>244</v>
      </c>
      <c r="G8" s="72" t="str">
        <f>IFERROR(IF(VLOOKUP(TableHandbook[[#This Row],[UDC]],TableAvailabilities[],2,FALSE)&gt;0,"Y",""),"")</f>
        <v/>
      </c>
      <c r="H8" s="72" t="str">
        <f>IFERROR(IF(VLOOKUP(TableHandbook[[#This Row],[UDC]],TableAvailabilities[],3,FALSE)&gt;0,"Y",""),"")</f>
        <v/>
      </c>
      <c r="I8" s="72" t="str">
        <f>IFERROR(IF(VLOOKUP(TableHandbook[[#This Row],[UDC]],TableAvailabilities[],4,FALSE)&gt;0,"Y",""),"")</f>
        <v/>
      </c>
      <c r="J8" s="72" t="str">
        <f>IFERROR(IF(VLOOKUP(TableHandbook[[#This Row],[UDC]],TableAvailabilities[],5,FALSE)&gt;0,"Y",""),"")</f>
        <v/>
      </c>
      <c r="K8" s="209" t="s">
        <v>250</v>
      </c>
      <c r="L8" s="152" t="str" cm="1">
        <f t="array" aca="1" ref="L8" ca="1">IFERROR(_xlfn.XLOOKUP(TableHandbook[[#This Row],[UDC]],INDIRECT("Table"&amp;SUBSTITUTE(L$2,"-","")&amp;"[UDC]",TRUE),INDIRECT("Table"&amp;SUBSTITUTE(L$2,"-","")&amp;"[Component Type]",TRUE)),"")</f>
        <v/>
      </c>
      <c r="M8" s="152" t="str" cm="1">
        <f t="array" aca="1" ref="M8" ca="1">IFERROR(_xlfn.XLOOKUP(TableHandbook[[#This Row],[UDC]],INDIRECT("Table"&amp;SUBSTITUTE(M$2,"-","")&amp;"[UDC]",TRUE),INDIRECT("Table"&amp;SUBSTITUTE(M$2,"-","")&amp;"[Component Type]",TRUE)),"")</f>
        <v/>
      </c>
      <c r="N8" s="154" t="str" cm="1">
        <f t="array" aca="1" ref="N8" ca="1">IFERROR(_xlfn.XLOOKUP(TableHandbook[[#This Row],[UDC]],INDIRECT("Table"&amp;SUBSTITUTE(N$2,"-","")&amp;"[UDC]",TRUE),INDIRECT("Table"&amp;SUBSTITUTE(N$2,"-","")&amp;"[Component Type]",TRUE)),"")</f>
        <v/>
      </c>
      <c r="O8" s="152" t="str" cm="1">
        <f t="array" aca="1" ref="O8" ca="1">IFERROR(_xlfn.XLOOKUP(TableHandbook[[#This Row],[UDC]],INDIRECT("Table"&amp;SUBSTITUTE(O$2,"-","")&amp;"[UDC]",TRUE),INDIRECT("Table"&amp;SUBSTITUTE(O$2,"-","")&amp;"[Component Type]",TRUE)),"")</f>
        <v/>
      </c>
      <c r="P8" s="152" t="str" cm="1">
        <f t="array" aca="1" ref="P8" ca="1">IFERROR(_xlfn.XLOOKUP(TableHandbook[[#This Row],[UDC]],INDIRECT("Table"&amp;SUBSTITUTE(P$2,"-","")&amp;"[UDC]",TRUE),INDIRECT("Table"&amp;SUBSTITUTE(P$2,"-","")&amp;"[Component Type]",TRUE)),"")</f>
        <v/>
      </c>
      <c r="Q8" s="152" t="str" cm="1">
        <f t="array" aca="1" ref="Q8" ca="1">IFERROR(_xlfn.XLOOKUP(TableHandbook[[#This Row],[UDC]],INDIRECT("Table"&amp;SUBSTITUTE(Q$2,"-","")&amp;"[UDC]",TRUE),INDIRECT("Table"&amp;SUBSTITUTE(Q$2,"-","")&amp;"[Component Type]",TRUE)),"")</f>
        <v/>
      </c>
      <c r="R8" s="152" t="str" cm="1">
        <f t="array" aca="1" ref="R8" ca="1">IFERROR(_xlfn.XLOOKUP(TableHandbook[[#This Row],[UDC]],INDIRECT("Table"&amp;SUBSTITUTE(R$2,"-","")&amp;"[UDC]",TRUE),INDIRECT("Table"&amp;SUBSTITUTE(R$2,"-","")&amp;"[Component Type]",TRUE)),"")</f>
        <v/>
      </c>
      <c r="S8" s="152" t="str" cm="1">
        <f t="array" aca="1" ref="S8" ca="1">IFERROR(_xlfn.XLOOKUP(TableHandbook[[#This Row],[UDC]],INDIRECT("Table"&amp;SUBSTITUTE(S$2,"-","")&amp;"[UDC]",TRUE),INDIRECT("Table"&amp;SUBSTITUTE(S$2,"-","")&amp;"[Component Type]",TRUE)),"")</f>
        <v/>
      </c>
      <c r="T8" s="152" t="str" cm="1">
        <f t="array" aca="1" ref="T8" ca="1">IFERROR(_xlfn.XLOOKUP(TableHandbook[[#This Row],[UDC]],INDIRECT("Table"&amp;SUBSTITUTE(T$2,"-","")&amp;"[UDC]",TRUE),INDIRECT("Table"&amp;SUBSTITUTE(T$2,"-","")&amp;"[Component Type]",TRUE)),"")</f>
        <v/>
      </c>
      <c r="U8" s="152" t="str" cm="1">
        <f t="array" aca="1" ref="U8" ca="1">IFERROR(_xlfn.XLOOKUP(TableHandbook[[#This Row],[UDC]],INDIRECT("Table"&amp;SUBSTITUTE(U$2,"-","")&amp;"[UDC]",TRUE),INDIRECT("Table"&amp;SUBSTITUTE(U$2,"-","")&amp;"[Component Type]",TRUE)),"")</f>
        <v/>
      </c>
      <c r="V8" s="154" t="str" cm="1">
        <f t="array" aca="1" ref="V8" ca="1">IFERROR(_xlfn.XLOOKUP(TableHandbook[[#This Row],[UDC]],INDIRECT("Table"&amp;SUBSTITUTE(V$2,"-","")&amp;"[UDC]",TRUE),INDIRECT("Table"&amp;SUBSTITUTE(V$2,"-","")&amp;"[Component Type]",TRUE)),"")</f>
        <v/>
      </c>
      <c r="W8" s="152" t="str" cm="1">
        <f t="array" aca="1" ref="W8" ca="1">IFERROR(_xlfn.XLOOKUP(TableHandbook[[#This Row],[UDC]],INDIRECT("Table"&amp;SUBSTITUTE(W$2,"-","")&amp;"[UDC]",TRUE),INDIRECT("Table"&amp;SUBSTITUTE(W$2,"-","")&amp;"[Component Type]",TRUE)),"")</f>
        <v/>
      </c>
      <c r="X8" s="152" t="str" cm="1">
        <f t="array" aca="1" ref="X8" ca="1">IFERROR(_xlfn.XLOOKUP(TableHandbook[[#This Row],[UDC]],INDIRECT("Table"&amp;SUBSTITUTE(X$2,"-","")&amp;"[UDC]",TRUE),INDIRECT("Table"&amp;SUBSTITUTE(X$2,"-","")&amp;"[Component Type]",TRUE)),"")</f>
        <v/>
      </c>
      <c r="Y8" s="152" t="str" cm="1">
        <f t="array" aca="1" ref="Y8" ca="1">IFERROR(_xlfn.XLOOKUP(TableHandbook[[#This Row],[UDC]],INDIRECT("Table"&amp;SUBSTITUTE(Y$2,"-","")&amp;"[UDC]",TRUE),INDIRECT("Table"&amp;SUBSTITUTE(Y$2,"-","")&amp;"[Component Type]",TRUE)),"")</f>
        <v/>
      </c>
      <c r="Z8" s="152" t="str" cm="1">
        <f t="array" aca="1" ref="Z8" ca="1">IFERROR(_xlfn.XLOOKUP(TableHandbook[[#This Row],[UDC]],INDIRECT("Table"&amp;SUBSTITUTE(Z$2,"-","")&amp;"[UDC]",TRUE),INDIRECT("Table"&amp;SUBSTITUTE(Z$2,"-","")&amp;"[Component Type]",TRUE)),"")</f>
        <v>AltCore</v>
      </c>
    </row>
    <row r="9" spans="1:26" x14ac:dyDescent="0.25">
      <c r="A9" s="8" t="s">
        <v>216</v>
      </c>
      <c r="B9" s="9">
        <v>0</v>
      </c>
      <c r="C9" s="9"/>
      <c r="D9" s="8" t="s">
        <v>251</v>
      </c>
      <c r="E9" s="9">
        <v>25</v>
      </c>
      <c r="F9" s="265" t="s">
        <v>244</v>
      </c>
      <c r="G9" s="72" t="str">
        <f>IFERROR(IF(VLOOKUP(TableHandbook[[#This Row],[UDC]],TableAvailabilities[],2,FALSE)&gt;0,"Y",""),"")</f>
        <v/>
      </c>
      <c r="H9" s="72" t="str">
        <f>IFERROR(IF(VLOOKUP(TableHandbook[[#This Row],[UDC]],TableAvailabilities[],3,FALSE)&gt;0,"Y",""),"")</f>
        <v/>
      </c>
      <c r="I9" s="72" t="str">
        <f>IFERROR(IF(VLOOKUP(TableHandbook[[#This Row],[UDC]],TableAvailabilities[],4,FALSE)&gt;0,"Y",""),"")</f>
        <v/>
      </c>
      <c r="J9" s="72" t="str">
        <f>IFERROR(IF(VLOOKUP(TableHandbook[[#This Row],[UDC]],TableAvailabilities[],5,FALSE)&gt;0,"Y",""),"")</f>
        <v/>
      </c>
      <c r="K9" s="209" t="s">
        <v>252</v>
      </c>
      <c r="L9" s="152" t="str" cm="1">
        <f t="array" aca="1" ref="L9" ca="1">IFERROR(_xlfn.XLOOKUP(TableHandbook[[#This Row],[UDC]],INDIRECT("Table"&amp;SUBSTITUTE(L$2,"-","")&amp;"[UDC]",TRUE),INDIRECT("Table"&amp;SUBSTITUTE(L$2,"-","")&amp;"[Component Type]",TRUE)),"")</f>
        <v/>
      </c>
      <c r="M9" s="152" t="str" cm="1">
        <f t="array" aca="1" ref="M9" ca="1">IFERROR(_xlfn.XLOOKUP(TableHandbook[[#This Row],[UDC]],INDIRECT("Table"&amp;SUBSTITUTE(M$2,"-","")&amp;"[UDC]",TRUE),INDIRECT("Table"&amp;SUBSTITUTE(M$2,"-","")&amp;"[Component Type]",TRUE)),"")</f>
        <v/>
      </c>
      <c r="N9" s="154" t="str" cm="1">
        <f t="array" aca="1" ref="N9" ca="1">IFERROR(_xlfn.XLOOKUP(TableHandbook[[#This Row],[UDC]],INDIRECT("Table"&amp;SUBSTITUTE(N$2,"-","")&amp;"[UDC]",TRUE),INDIRECT("Table"&amp;SUBSTITUTE(N$2,"-","")&amp;"[Component Type]",TRUE)),"")</f>
        <v/>
      </c>
      <c r="O9" s="152" t="str" cm="1">
        <f t="array" aca="1" ref="O9" ca="1">IFERROR(_xlfn.XLOOKUP(TableHandbook[[#This Row],[UDC]],INDIRECT("Table"&amp;SUBSTITUTE(O$2,"-","")&amp;"[UDC]",TRUE),INDIRECT("Table"&amp;SUBSTITUTE(O$2,"-","")&amp;"[Component Type]",TRUE)),"")</f>
        <v/>
      </c>
      <c r="P9" s="152" t="str" cm="1">
        <f t="array" aca="1" ref="P9" ca="1">IFERROR(_xlfn.XLOOKUP(TableHandbook[[#This Row],[UDC]],INDIRECT("Table"&amp;SUBSTITUTE(P$2,"-","")&amp;"[UDC]",TRUE),INDIRECT("Table"&amp;SUBSTITUTE(P$2,"-","")&amp;"[Component Type]",TRUE)),"")</f>
        <v/>
      </c>
      <c r="Q9" s="152" t="str" cm="1">
        <f t="array" aca="1" ref="Q9" ca="1">IFERROR(_xlfn.XLOOKUP(TableHandbook[[#This Row],[UDC]],INDIRECT("Table"&amp;SUBSTITUTE(Q$2,"-","")&amp;"[UDC]",TRUE),INDIRECT("Table"&amp;SUBSTITUTE(Q$2,"-","")&amp;"[Component Type]",TRUE)),"")</f>
        <v/>
      </c>
      <c r="R9" s="152" t="str" cm="1">
        <f t="array" aca="1" ref="R9" ca="1">IFERROR(_xlfn.XLOOKUP(TableHandbook[[#This Row],[UDC]],INDIRECT("Table"&amp;SUBSTITUTE(R$2,"-","")&amp;"[UDC]",TRUE),INDIRECT("Table"&amp;SUBSTITUTE(R$2,"-","")&amp;"[Component Type]",TRUE)),"")</f>
        <v/>
      </c>
      <c r="S9" s="152" t="str" cm="1">
        <f t="array" aca="1" ref="S9" ca="1">IFERROR(_xlfn.XLOOKUP(TableHandbook[[#This Row],[UDC]],INDIRECT("Table"&amp;SUBSTITUTE(S$2,"-","")&amp;"[UDC]",TRUE),INDIRECT("Table"&amp;SUBSTITUTE(S$2,"-","")&amp;"[Component Type]",TRUE)),"")</f>
        <v/>
      </c>
      <c r="T9" s="152" t="str" cm="1">
        <f t="array" aca="1" ref="T9" ca="1">IFERROR(_xlfn.XLOOKUP(TableHandbook[[#This Row],[UDC]],INDIRECT("Table"&amp;SUBSTITUTE(T$2,"-","")&amp;"[UDC]",TRUE),INDIRECT("Table"&amp;SUBSTITUTE(T$2,"-","")&amp;"[Component Type]",TRUE)),"")</f>
        <v/>
      </c>
      <c r="U9" s="152" t="str" cm="1">
        <f t="array" aca="1" ref="U9" ca="1">IFERROR(_xlfn.XLOOKUP(TableHandbook[[#This Row],[UDC]],INDIRECT("Table"&amp;SUBSTITUTE(U$2,"-","")&amp;"[UDC]",TRUE),INDIRECT("Table"&amp;SUBSTITUTE(U$2,"-","")&amp;"[Component Type]",TRUE)),"")</f>
        <v/>
      </c>
      <c r="V9" s="154" t="str" cm="1">
        <f t="array" aca="1" ref="V9" ca="1">IFERROR(_xlfn.XLOOKUP(TableHandbook[[#This Row],[UDC]],INDIRECT("Table"&amp;SUBSTITUTE(V$2,"-","")&amp;"[UDC]",TRUE),INDIRECT("Table"&amp;SUBSTITUTE(V$2,"-","")&amp;"[Component Type]",TRUE)),"")</f>
        <v/>
      </c>
      <c r="W9" s="152" t="str" cm="1">
        <f t="array" aca="1" ref="W9" ca="1">IFERROR(_xlfn.XLOOKUP(TableHandbook[[#This Row],[UDC]],INDIRECT("Table"&amp;SUBSTITUTE(W$2,"-","")&amp;"[UDC]",TRUE),INDIRECT("Table"&amp;SUBSTITUTE(W$2,"-","")&amp;"[Component Type]",TRUE)),"")</f>
        <v/>
      </c>
      <c r="X9" s="152" t="str" cm="1">
        <f t="array" aca="1" ref="X9" ca="1">IFERROR(_xlfn.XLOOKUP(TableHandbook[[#This Row],[UDC]],INDIRECT("Table"&amp;SUBSTITUTE(X$2,"-","")&amp;"[UDC]",TRUE),INDIRECT("Table"&amp;SUBSTITUTE(X$2,"-","")&amp;"[Component Type]",TRUE)),"")</f>
        <v/>
      </c>
      <c r="Y9" s="152" t="str" cm="1">
        <f t="array" aca="1" ref="Y9" ca="1">IFERROR(_xlfn.XLOOKUP(TableHandbook[[#This Row],[UDC]],INDIRECT("Table"&amp;SUBSTITUTE(Y$2,"-","")&amp;"[UDC]",TRUE),INDIRECT("Table"&amp;SUBSTITUTE(Y$2,"-","")&amp;"[Component Type]",TRUE)),"")</f>
        <v/>
      </c>
      <c r="Z9" s="152" t="str" cm="1">
        <f t="array" aca="1" ref="Z9" ca="1">IFERROR(_xlfn.XLOOKUP(TableHandbook[[#This Row],[UDC]],INDIRECT("Table"&amp;SUBSTITUTE(Z$2,"-","")&amp;"[UDC]",TRUE),INDIRECT("Table"&amp;SUBSTITUTE(Z$2,"-","")&amp;"[Component Type]",TRUE)),"")</f>
        <v>AltCore</v>
      </c>
    </row>
    <row r="10" spans="1:26" x14ac:dyDescent="0.25">
      <c r="A10" s="8" t="s">
        <v>187</v>
      </c>
      <c r="B10" s="9">
        <v>2</v>
      </c>
      <c r="C10" s="9" t="s">
        <v>253</v>
      </c>
      <c r="D10" s="8" t="s">
        <v>254</v>
      </c>
      <c r="E10" s="9">
        <v>25</v>
      </c>
      <c r="F10" s="266" t="s">
        <v>255</v>
      </c>
      <c r="G10" s="72" t="str">
        <f>IFERROR(IF(VLOOKUP(TableHandbook[[#This Row],[UDC]],TableAvailabilities[],2,FALSE)&gt;0,"Y",""),"")</f>
        <v>Y</v>
      </c>
      <c r="H10" s="72" t="str">
        <f>IFERROR(IF(VLOOKUP(TableHandbook[[#This Row],[UDC]],TableAvailabilities[],3,FALSE)&gt;0,"Y",""),"")</f>
        <v>Y</v>
      </c>
      <c r="I10" s="72" t="str">
        <f>IFERROR(IF(VLOOKUP(TableHandbook[[#This Row],[UDC]],TableAvailabilities[],4,FALSE)&gt;0,"Y",""),"")</f>
        <v>Y</v>
      </c>
      <c r="J10" s="72" t="str">
        <f>IFERROR(IF(VLOOKUP(TableHandbook[[#This Row],[UDC]],TableAvailabilities[],5,FALSE)&gt;0,"Y",""),"")</f>
        <v>Y</v>
      </c>
      <c r="K10" s="155"/>
      <c r="L10" s="152" t="str" cm="1">
        <f t="array" aca="1" ref="L10" ca="1">IFERROR(_xlfn.XLOOKUP(TableHandbook[[#This Row],[UDC]],INDIRECT("Table"&amp;SUBSTITUTE(L$2,"-","")&amp;"[UDC]",TRUE),INDIRECT("Table"&amp;SUBSTITUTE(L$2,"-","")&amp;"[Component Type]",TRUE)),"")</f>
        <v/>
      </c>
      <c r="M10" s="152" t="str" cm="1">
        <f t="array" aca="1" ref="M10" ca="1">IFERROR(_xlfn.XLOOKUP(TableHandbook[[#This Row],[UDC]],INDIRECT("Table"&amp;SUBSTITUTE(M$2,"-","")&amp;"[UDC]",TRUE),INDIRECT("Table"&amp;SUBSTITUTE(M$2,"-","")&amp;"[Component Type]",TRUE)),"")</f>
        <v/>
      </c>
      <c r="N10" s="154" t="str" cm="1">
        <f t="array" aca="1" ref="N10" ca="1">IFERROR(_xlfn.XLOOKUP(TableHandbook[[#This Row],[UDC]],INDIRECT("Table"&amp;SUBSTITUTE(N$2,"-","")&amp;"[UDC]",TRUE),INDIRECT("Table"&amp;SUBSTITUTE(N$2,"-","")&amp;"[Component Type]",TRUE)),"")</f>
        <v/>
      </c>
      <c r="O10" s="152" t="str" cm="1">
        <f t="array" aca="1" ref="O10" ca="1">IFERROR(_xlfn.XLOOKUP(TableHandbook[[#This Row],[UDC]],INDIRECT("Table"&amp;SUBSTITUTE(O$2,"-","")&amp;"[UDC]",TRUE),INDIRECT("Table"&amp;SUBSTITUTE(O$2,"-","")&amp;"[Component Type]",TRUE)),"")</f>
        <v/>
      </c>
      <c r="P10" s="152" t="str" cm="1">
        <f t="array" aca="1" ref="P10" ca="1">IFERROR(_xlfn.XLOOKUP(TableHandbook[[#This Row],[UDC]],INDIRECT("Table"&amp;SUBSTITUTE(P$2,"-","")&amp;"[UDC]",TRUE),INDIRECT("Table"&amp;SUBSTITUTE(P$2,"-","")&amp;"[Component Type]",TRUE)),"")</f>
        <v/>
      </c>
      <c r="Q10" s="152" t="str" cm="1">
        <f t="array" aca="1" ref="Q10" ca="1">IFERROR(_xlfn.XLOOKUP(TableHandbook[[#This Row],[UDC]],INDIRECT("Table"&amp;SUBSTITUTE(Q$2,"-","")&amp;"[UDC]",TRUE),INDIRECT("Table"&amp;SUBSTITUTE(Q$2,"-","")&amp;"[Component Type]",TRUE)),"")</f>
        <v/>
      </c>
      <c r="R10" s="152" t="str" cm="1">
        <f t="array" aca="1" ref="R10" ca="1">IFERROR(_xlfn.XLOOKUP(TableHandbook[[#This Row],[UDC]],INDIRECT("Table"&amp;SUBSTITUTE(R$2,"-","")&amp;"[UDC]",TRUE),INDIRECT("Table"&amp;SUBSTITUTE(R$2,"-","")&amp;"[Component Type]",TRUE)),"")</f>
        <v/>
      </c>
      <c r="S10" s="152" t="str" cm="1">
        <f t="array" aca="1" ref="S10" ca="1">IFERROR(_xlfn.XLOOKUP(TableHandbook[[#This Row],[UDC]],INDIRECT("Table"&amp;SUBSTITUTE(S$2,"-","")&amp;"[UDC]",TRUE),INDIRECT("Table"&amp;SUBSTITUTE(S$2,"-","")&amp;"[Component Type]",TRUE)),"")</f>
        <v/>
      </c>
      <c r="T10" s="152" t="str" cm="1">
        <f t="array" aca="1" ref="T10" ca="1">IFERROR(_xlfn.XLOOKUP(TableHandbook[[#This Row],[UDC]],INDIRECT("Table"&amp;SUBSTITUTE(T$2,"-","")&amp;"[UDC]",TRUE),INDIRECT("Table"&amp;SUBSTITUTE(T$2,"-","")&amp;"[Component Type]",TRUE)),"")</f>
        <v/>
      </c>
      <c r="U10" s="152" t="str" cm="1">
        <f t="array" aca="1" ref="U10" ca="1">IFERROR(_xlfn.XLOOKUP(TableHandbook[[#This Row],[UDC]],INDIRECT("Table"&amp;SUBSTITUTE(U$2,"-","")&amp;"[UDC]",TRUE),INDIRECT("Table"&amp;SUBSTITUTE(U$2,"-","")&amp;"[Component Type]",TRUE)),"")</f>
        <v/>
      </c>
      <c r="V10" s="154" t="str" cm="1">
        <f t="array" aca="1" ref="V10" ca="1">IFERROR(_xlfn.XLOOKUP(TableHandbook[[#This Row],[UDC]],INDIRECT("Table"&amp;SUBSTITUTE(V$2,"-","")&amp;"[UDC]",TRUE),INDIRECT("Table"&amp;SUBSTITUTE(V$2,"-","")&amp;"[Component Type]",TRUE)),"")</f>
        <v/>
      </c>
      <c r="W10" s="152" t="str" cm="1">
        <f t="array" aca="1" ref="W10" ca="1">IFERROR(_xlfn.XLOOKUP(TableHandbook[[#This Row],[UDC]],INDIRECT("Table"&amp;SUBSTITUTE(W$2,"-","")&amp;"[UDC]",TRUE),INDIRECT("Table"&amp;SUBSTITUTE(W$2,"-","")&amp;"[Component Type]",TRUE)),"")</f>
        <v/>
      </c>
      <c r="X10" s="152" t="str" cm="1">
        <f t="array" aca="1" ref="X10" ca="1">IFERROR(_xlfn.XLOOKUP(TableHandbook[[#This Row],[UDC]],INDIRECT("Table"&amp;SUBSTITUTE(X$2,"-","")&amp;"[UDC]",TRUE),INDIRECT("Table"&amp;SUBSTITUTE(X$2,"-","")&amp;"[Component Type]",TRUE)),"")</f>
        <v/>
      </c>
      <c r="Y10" s="152" t="str" cm="1">
        <f t="array" aca="1" ref="Y10" ca="1">IFERROR(_xlfn.XLOOKUP(TableHandbook[[#This Row],[UDC]],INDIRECT("Table"&amp;SUBSTITUTE(Y$2,"-","")&amp;"[UDC]",TRUE),INDIRECT("Table"&amp;SUBSTITUTE(Y$2,"-","")&amp;"[Component Type]",TRUE)),"")</f>
        <v/>
      </c>
      <c r="Z10" s="152" t="str" cm="1">
        <f t="array" aca="1" ref="Z10" ca="1">IFERROR(_xlfn.XLOOKUP(TableHandbook[[#This Row],[UDC]],INDIRECT("Table"&amp;SUBSTITUTE(Z$2,"-","")&amp;"[UDC]",TRUE),INDIRECT("Table"&amp;SUBSTITUTE(Z$2,"-","")&amp;"[Component Type]",TRUE)),"")</f>
        <v>Core</v>
      </c>
    </row>
    <row r="11" spans="1:26" x14ac:dyDescent="0.25">
      <c r="A11" s="8" t="s">
        <v>152</v>
      </c>
      <c r="B11" s="9">
        <v>2</v>
      </c>
      <c r="C11" s="9" t="s">
        <v>256</v>
      </c>
      <c r="D11" s="8" t="s">
        <v>257</v>
      </c>
      <c r="E11" s="9">
        <v>25</v>
      </c>
      <c r="F11" s="266" t="s">
        <v>255</v>
      </c>
      <c r="G11" s="72" t="str">
        <f>IFERROR(IF(VLOOKUP(TableHandbook[[#This Row],[UDC]],TableAvailabilities[],2,FALSE)&gt;0,"Y",""),"")</f>
        <v/>
      </c>
      <c r="H11" s="72" t="str">
        <f>IFERROR(IF(VLOOKUP(TableHandbook[[#This Row],[UDC]],TableAvailabilities[],3,FALSE)&gt;0,"Y",""),"")</f>
        <v>Y</v>
      </c>
      <c r="I11" s="72" t="str">
        <f>IFERROR(IF(VLOOKUP(TableHandbook[[#This Row],[UDC]],TableAvailabilities[],4,FALSE)&gt;0,"Y",""),"")</f>
        <v/>
      </c>
      <c r="J11" s="72" t="str">
        <f>IFERROR(IF(VLOOKUP(TableHandbook[[#This Row],[UDC]],TableAvailabilities[],5,FALSE)&gt;0,"Y",""),"")</f>
        <v/>
      </c>
      <c r="K11" s="155"/>
      <c r="L11" s="152" t="str" cm="1">
        <f t="array" aca="1" ref="L11" ca="1">IFERROR(_xlfn.XLOOKUP(TableHandbook[[#This Row],[UDC]],INDIRECT("Table"&amp;SUBSTITUTE(L$2,"-","")&amp;"[UDC]",TRUE),INDIRECT("Table"&amp;SUBSTITUTE(L$2,"-","")&amp;"[Component Type]",TRUE)),"")</f>
        <v>Option</v>
      </c>
      <c r="M11" s="152" t="str" cm="1">
        <f t="array" aca="1" ref="M11" ca="1">IFERROR(_xlfn.XLOOKUP(TableHandbook[[#This Row],[UDC]],INDIRECT("Table"&amp;SUBSTITUTE(M$2,"-","")&amp;"[UDC]",TRUE),INDIRECT("Table"&amp;SUBSTITUTE(M$2,"-","")&amp;"[Component Type]",TRUE)),"")</f>
        <v>Option</v>
      </c>
      <c r="N11" s="154" t="str" cm="1">
        <f t="array" aca="1" ref="N11" ca="1">IFERROR(_xlfn.XLOOKUP(TableHandbook[[#This Row],[UDC]],INDIRECT("Table"&amp;SUBSTITUTE(N$2,"-","")&amp;"[UDC]",TRUE),INDIRECT("Table"&amp;SUBSTITUTE(N$2,"-","")&amp;"[Component Type]",TRUE)),"")</f>
        <v/>
      </c>
      <c r="O11" s="152" t="str" cm="1">
        <f t="array" aca="1" ref="O11" ca="1">IFERROR(_xlfn.XLOOKUP(TableHandbook[[#This Row],[UDC]],INDIRECT("Table"&amp;SUBSTITUTE(O$2,"-","")&amp;"[UDC]",TRUE),INDIRECT("Table"&amp;SUBSTITUTE(O$2,"-","")&amp;"[Component Type]",TRUE)),"")</f>
        <v/>
      </c>
      <c r="P11" s="152" t="str" cm="1">
        <f t="array" aca="1" ref="P11" ca="1">IFERROR(_xlfn.XLOOKUP(TableHandbook[[#This Row],[UDC]],INDIRECT("Table"&amp;SUBSTITUTE(P$2,"-","")&amp;"[UDC]",TRUE),INDIRECT("Table"&amp;SUBSTITUTE(P$2,"-","")&amp;"[Component Type]",TRUE)),"")</f>
        <v>Core</v>
      </c>
      <c r="Q11" s="152" t="str" cm="1">
        <f t="array" aca="1" ref="Q11" ca="1">IFERROR(_xlfn.XLOOKUP(TableHandbook[[#This Row],[UDC]],INDIRECT("Table"&amp;SUBSTITUTE(Q$2,"-","")&amp;"[UDC]",TRUE),INDIRECT("Table"&amp;SUBSTITUTE(Q$2,"-","")&amp;"[Component Type]",TRUE)),"")</f>
        <v/>
      </c>
      <c r="R11" s="152" t="str" cm="1">
        <f t="array" aca="1" ref="R11" ca="1">IFERROR(_xlfn.XLOOKUP(TableHandbook[[#This Row],[UDC]],INDIRECT("Table"&amp;SUBSTITUTE(R$2,"-","")&amp;"[UDC]",TRUE),INDIRECT("Table"&amp;SUBSTITUTE(R$2,"-","")&amp;"[Component Type]",TRUE)),"")</f>
        <v/>
      </c>
      <c r="S11" s="152" t="str" cm="1">
        <f t="array" aca="1" ref="S11" ca="1">IFERROR(_xlfn.XLOOKUP(TableHandbook[[#This Row],[UDC]],INDIRECT("Table"&amp;SUBSTITUTE(S$2,"-","")&amp;"[UDC]",TRUE),INDIRECT("Table"&amp;SUBSTITUTE(S$2,"-","")&amp;"[Component Type]",TRUE)),"")</f>
        <v/>
      </c>
      <c r="T11" s="152" t="str" cm="1">
        <f t="array" aca="1" ref="T11" ca="1">IFERROR(_xlfn.XLOOKUP(TableHandbook[[#This Row],[UDC]],INDIRECT("Table"&amp;SUBSTITUTE(T$2,"-","")&amp;"[UDC]",TRUE),INDIRECT("Table"&amp;SUBSTITUTE(T$2,"-","")&amp;"[Component Type]",TRUE)),"")</f>
        <v/>
      </c>
      <c r="U11" s="152" t="str" cm="1">
        <f t="array" aca="1" ref="U11" ca="1">IFERROR(_xlfn.XLOOKUP(TableHandbook[[#This Row],[UDC]],INDIRECT("Table"&amp;SUBSTITUTE(U$2,"-","")&amp;"[UDC]",TRUE),INDIRECT("Table"&amp;SUBSTITUTE(U$2,"-","")&amp;"[Component Type]",TRUE)),"")</f>
        <v/>
      </c>
      <c r="V11" s="154" t="str" cm="1">
        <f t="array" aca="1" ref="V11" ca="1">IFERROR(_xlfn.XLOOKUP(TableHandbook[[#This Row],[UDC]],INDIRECT("Table"&amp;SUBSTITUTE(V$2,"-","")&amp;"[UDC]",TRUE),INDIRECT("Table"&amp;SUBSTITUTE(V$2,"-","")&amp;"[Component Type]",TRUE)),"")</f>
        <v/>
      </c>
      <c r="W11" s="152" t="str" cm="1">
        <f t="array" aca="1" ref="W11" ca="1">IFERROR(_xlfn.XLOOKUP(TableHandbook[[#This Row],[UDC]],INDIRECT("Table"&amp;SUBSTITUTE(W$2,"-","")&amp;"[UDC]",TRUE),INDIRECT("Table"&amp;SUBSTITUTE(W$2,"-","")&amp;"[Component Type]",TRUE)),"")</f>
        <v/>
      </c>
      <c r="X11" s="152" t="str" cm="1">
        <f t="array" aca="1" ref="X11" ca="1">IFERROR(_xlfn.XLOOKUP(TableHandbook[[#This Row],[UDC]],INDIRECT("Table"&amp;SUBSTITUTE(X$2,"-","")&amp;"[UDC]",TRUE),INDIRECT("Table"&amp;SUBSTITUTE(X$2,"-","")&amp;"[Component Type]",TRUE)),"")</f>
        <v>Option</v>
      </c>
      <c r="Y11" s="152" t="str" cm="1">
        <f t="array" aca="1" ref="Y11" ca="1">IFERROR(_xlfn.XLOOKUP(TableHandbook[[#This Row],[UDC]],INDIRECT("Table"&amp;SUBSTITUTE(Y$2,"-","")&amp;"[UDC]",TRUE),INDIRECT("Table"&amp;SUBSTITUTE(Y$2,"-","")&amp;"[Component Type]",TRUE)),"")</f>
        <v>Option</v>
      </c>
      <c r="Z11" s="152" t="str" cm="1">
        <f t="array" aca="1" ref="Z11" ca="1">IFERROR(_xlfn.XLOOKUP(TableHandbook[[#This Row],[UDC]],INDIRECT("Table"&amp;SUBSTITUTE(Z$2,"-","")&amp;"[UDC]",TRUE),INDIRECT("Table"&amp;SUBSTITUTE(Z$2,"-","")&amp;"[Component Type]",TRUE)),"")</f>
        <v>Option</v>
      </c>
    </row>
    <row r="12" spans="1:26" x14ac:dyDescent="0.25">
      <c r="A12" s="8" t="s">
        <v>153</v>
      </c>
      <c r="B12" s="9">
        <v>1</v>
      </c>
      <c r="C12" s="9" t="s">
        <v>258</v>
      </c>
      <c r="D12" s="8" t="s">
        <v>259</v>
      </c>
      <c r="E12" s="9">
        <v>25</v>
      </c>
      <c r="F12" s="266" t="s">
        <v>255</v>
      </c>
      <c r="G12" s="72" t="str">
        <f>IFERROR(IF(VLOOKUP(TableHandbook[[#This Row],[UDC]],TableAvailabilities[],2,FALSE)&gt;0,"Y",""),"")</f>
        <v/>
      </c>
      <c r="H12" s="72" t="str">
        <f>IFERROR(IF(VLOOKUP(TableHandbook[[#This Row],[UDC]],TableAvailabilities[],3,FALSE)&gt;0,"Y",""),"")</f>
        <v/>
      </c>
      <c r="I12" s="72" t="str">
        <f>IFERROR(IF(VLOOKUP(TableHandbook[[#This Row],[UDC]],TableAvailabilities[],4,FALSE)&gt;0,"Y",""),"")</f>
        <v/>
      </c>
      <c r="J12" s="72" t="str">
        <f>IFERROR(IF(VLOOKUP(TableHandbook[[#This Row],[UDC]],TableAvailabilities[],5,FALSE)&gt;0,"Y",""),"")</f>
        <v>Y</v>
      </c>
      <c r="K12" s="155"/>
      <c r="L12" s="152" t="str" cm="1">
        <f t="array" aca="1" ref="L12" ca="1">IFERROR(_xlfn.XLOOKUP(TableHandbook[[#This Row],[UDC]],INDIRECT("Table"&amp;SUBSTITUTE(L$2,"-","")&amp;"[UDC]",TRUE),INDIRECT("Table"&amp;SUBSTITUTE(L$2,"-","")&amp;"[Component Type]",TRUE)),"")</f>
        <v>Option</v>
      </c>
      <c r="M12" s="152" t="str" cm="1">
        <f t="array" aca="1" ref="M12" ca="1">IFERROR(_xlfn.XLOOKUP(TableHandbook[[#This Row],[UDC]],INDIRECT("Table"&amp;SUBSTITUTE(M$2,"-","")&amp;"[UDC]",TRUE),INDIRECT("Table"&amp;SUBSTITUTE(M$2,"-","")&amp;"[Component Type]",TRUE)),"")</f>
        <v>Option</v>
      </c>
      <c r="N12" s="154" t="str" cm="1">
        <f t="array" aca="1" ref="N12" ca="1">IFERROR(_xlfn.XLOOKUP(TableHandbook[[#This Row],[UDC]],INDIRECT("Table"&amp;SUBSTITUTE(N$2,"-","")&amp;"[UDC]",TRUE),INDIRECT("Table"&amp;SUBSTITUTE(N$2,"-","")&amp;"[Component Type]",TRUE)),"")</f>
        <v/>
      </c>
      <c r="O12" s="152" t="str" cm="1">
        <f t="array" aca="1" ref="O12" ca="1">IFERROR(_xlfn.XLOOKUP(TableHandbook[[#This Row],[UDC]],INDIRECT("Table"&amp;SUBSTITUTE(O$2,"-","")&amp;"[UDC]",TRUE),INDIRECT("Table"&amp;SUBSTITUTE(O$2,"-","")&amp;"[Component Type]",TRUE)),"")</f>
        <v/>
      </c>
      <c r="P12" s="152" t="str" cm="1">
        <f t="array" aca="1" ref="P12" ca="1">IFERROR(_xlfn.XLOOKUP(TableHandbook[[#This Row],[UDC]],INDIRECT("Table"&amp;SUBSTITUTE(P$2,"-","")&amp;"[UDC]",TRUE),INDIRECT("Table"&amp;SUBSTITUTE(P$2,"-","")&amp;"[Component Type]",TRUE)),"")</f>
        <v>Core</v>
      </c>
      <c r="Q12" s="152" t="str" cm="1">
        <f t="array" aca="1" ref="Q12" ca="1">IFERROR(_xlfn.XLOOKUP(TableHandbook[[#This Row],[UDC]],INDIRECT("Table"&amp;SUBSTITUTE(Q$2,"-","")&amp;"[UDC]",TRUE),INDIRECT("Table"&amp;SUBSTITUTE(Q$2,"-","")&amp;"[Component Type]",TRUE)),"")</f>
        <v/>
      </c>
      <c r="R12" s="152" t="str" cm="1">
        <f t="array" aca="1" ref="R12" ca="1">IFERROR(_xlfn.XLOOKUP(TableHandbook[[#This Row],[UDC]],INDIRECT("Table"&amp;SUBSTITUTE(R$2,"-","")&amp;"[UDC]",TRUE),INDIRECT("Table"&amp;SUBSTITUTE(R$2,"-","")&amp;"[Component Type]",TRUE)),"")</f>
        <v/>
      </c>
      <c r="S12" s="152" t="str" cm="1">
        <f t="array" aca="1" ref="S12" ca="1">IFERROR(_xlfn.XLOOKUP(TableHandbook[[#This Row],[UDC]],INDIRECT("Table"&amp;SUBSTITUTE(S$2,"-","")&amp;"[UDC]",TRUE),INDIRECT("Table"&amp;SUBSTITUTE(S$2,"-","")&amp;"[Component Type]",TRUE)),"")</f>
        <v/>
      </c>
      <c r="T12" s="152" t="str" cm="1">
        <f t="array" aca="1" ref="T12" ca="1">IFERROR(_xlfn.XLOOKUP(TableHandbook[[#This Row],[UDC]],INDIRECT("Table"&amp;SUBSTITUTE(T$2,"-","")&amp;"[UDC]",TRUE),INDIRECT("Table"&amp;SUBSTITUTE(T$2,"-","")&amp;"[Component Type]",TRUE)),"")</f>
        <v/>
      </c>
      <c r="U12" s="152" t="str" cm="1">
        <f t="array" aca="1" ref="U12" ca="1">IFERROR(_xlfn.XLOOKUP(TableHandbook[[#This Row],[UDC]],INDIRECT("Table"&amp;SUBSTITUTE(U$2,"-","")&amp;"[UDC]",TRUE),INDIRECT("Table"&amp;SUBSTITUTE(U$2,"-","")&amp;"[Component Type]",TRUE)),"")</f>
        <v/>
      </c>
      <c r="V12" s="154" t="str" cm="1">
        <f t="array" aca="1" ref="V12" ca="1">IFERROR(_xlfn.XLOOKUP(TableHandbook[[#This Row],[UDC]],INDIRECT("Table"&amp;SUBSTITUTE(V$2,"-","")&amp;"[UDC]",TRUE),INDIRECT("Table"&amp;SUBSTITUTE(V$2,"-","")&amp;"[Component Type]",TRUE)),"")</f>
        <v/>
      </c>
      <c r="W12" s="152" t="str" cm="1">
        <f t="array" aca="1" ref="W12" ca="1">IFERROR(_xlfn.XLOOKUP(TableHandbook[[#This Row],[UDC]],INDIRECT("Table"&amp;SUBSTITUTE(W$2,"-","")&amp;"[UDC]",TRUE),INDIRECT("Table"&amp;SUBSTITUTE(W$2,"-","")&amp;"[Component Type]",TRUE)),"")</f>
        <v/>
      </c>
      <c r="X12" s="152" t="str" cm="1">
        <f t="array" aca="1" ref="X12" ca="1">IFERROR(_xlfn.XLOOKUP(TableHandbook[[#This Row],[UDC]],INDIRECT("Table"&amp;SUBSTITUTE(X$2,"-","")&amp;"[UDC]",TRUE),INDIRECT("Table"&amp;SUBSTITUTE(X$2,"-","")&amp;"[Component Type]",TRUE)),"")</f>
        <v>Option</v>
      </c>
      <c r="Y12" s="152" t="str" cm="1">
        <f t="array" aca="1" ref="Y12" ca="1">IFERROR(_xlfn.XLOOKUP(TableHandbook[[#This Row],[UDC]],INDIRECT("Table"&amp;SUBSTITUTE(Y$2,"-","")&amp;"[UDC]",TRUE),INDIRECT("Table"&amp;SUBSTITUTE(Y$2,"-","")&amp;"[Component Type]",TRUE)),"")</f>
        <v>Option</v>
      </c>
      <c r="Z12" s="152" t="str" cm="1">
        <f t="array" aca="1" ref="Z12" ca="1">IFERROR(_xlfn.XLOOKUP(TableHandbook[[#This Row],[UDC]],INDIRECT("Table"&amp;SUBSTITUTE(Z$2,"-","")&amp;"[UDC]",TRUE),INDIRECT("Table"&amp;SUBSTITUTE(Z$2,"-","")&amp;"[Component Type]",TRUE)),"")</f>
        <v>Option</v>
      </c>
    </row>
    <row r="13" spans="1:26" x14ac:dyDescent="0.25">
      <c r="A13" s="8" t="s">
        <v>154</v>
      </c>
      <c r="B13" s="9">
        <v>1</v>
      </c>
      <c r="C13" s="9" t="s">
        <v>260</v>
      </c>
      <c r="D13" s="8" t="s">
        <v>261</v>
      </c>
      <c r="E13" s="9">
        <v>25</v>
      </c>
      <c r="F13" s="266" t="s">
        <v>255</v>
      </c>
      <c r="G13" s="72" t="str">
        <f>IFERROR(IF(VLOOKUP(TableHandbook[[#This Row],[UDC]],TableAvailabilities[],2,FALSE)&gt;0,"Y",""),"")</f>
        <v>Y</v>
      </c>
      <c r="H13" s="72" t="str">
        <f>IFERROR(IF(VLOOKUP(TableHandbook[[#This Row],[UDC]],TableAvailabilities[],3,FALSE)&gt;0,"Y",""),"")</f>
        <v/>
      </c>
      <c r="I13" s="72" t="str">
        <f>IFERROR(IF(VLOOKUP(TableHandbook[[#This Row],[UDC]],TableAvailabilities[],4,FALSE)&gt;0,"Y",""),"")</f>
        <v/>
      </c>
      <c r="J13" s="72" t="str">
        <f>IFERROR(IF(VLOOKUP(TableHandbook[[#This Row],[UDC]],TableAvailabilities[],5,FALSE)&gt;0,"Y",""),"")</f>
        <v/>
      </c>
      <c r="K13" s="155"/>
      <c r="L13" s="152" t="str" cm="1">
        <f t="array" aca="1" ref="L13" ca="1">IFERROR(_xlfn.XLOOKUP(TableHandbook[[#This Row],[UDC]],INDIRECT("Table"&amp;SUBSTITUTE(L$2,"-","")&amp;"[UDC]",TRUE),INDIRECT("Table"&amp;SUBSTITUTE(L$2,"-","")&amp;"[Component Type]",TRUE)),"")</f>
        <v>Option</v>
      </c>
      <c r="M13" s="152" t="str" cm="1">
        <f t="array" aca="1" ref="M13" ca="1">IFERROR(_xlfn.XLOOKUP(TableHandbook[[#This Row],[UDC]],INDIRECT("Table"&amp;SUBSTITUTE(M$2,"-","")&amp;"[UDC]",TRUE),INDIRECT("Table"&amp;SUBSTITUTE(M$2,"-","")&amp;"[Component Type]",TRUE)),"")</f>
        <v>Option</v>
      </c>
      <c r="N13" s="154" t="str" cm="1">
        <f t="array" aca="1" ref="N13" ca="1">IFERROR(_xlfn.XLOOKUP(TableHandbook[[#This Row],[UDC]],INDIRECT("Table"&amp;SUBSTITUTE(N$2,"-","")&amp;"[UDC]",TRUE),INDIRECT("Table"&amp;SUBSTITUTE(N$2,"-","")&amp;"[Component Type]",TRUE)),"")</f>
        <v/>
      </c>
      <c r="O13" s="152" t="str" cm="1">
        <f t="array" aca="1" ref="O13" ca="1">IFERROR(_xlfn.XLOOKUP(TableHandbook[[#This Row],[UDC]],INDIRECT("Table"&amp;SUBSTITUTE(O$2,"-","")&amp;"[UDC]",TRUE),INDIRECT("Table"&amp;SUBSTITUTE(O$2,"-","")&amp;"[Component Type]",TRUE)),"")</f>
        <v/>
      </c>
      <c r="P13" s="152" t="str" cm="1">
        <f t="array" aca="1" ref="P13" ca="1">IFERROR(_xlfn.XLOOKUP(TableHandbook[[#This Row],[UDC]],INDIRECT("Table"&amp;SUBSTITUTE(P$2,"-","")&amp;"[UDC]",TRUE),INDIRECT("Table"&amp;SUBSTITUTE(P$2,"-","")&amp;"[Component Type]",TRUE)),"")</f>
        <v>Core</v>
      </c>
      <c r="Q13" s="152" t="str" cm="1">
        <f t="array" aca="1" ref="Q13" ca="1">IFERROR(_xlfn.XLOOKUP(TableHandbook[[#This Row],[UDC]],INDIRECT("Table"&amp;SUBSTITUTE(Q$2,"-","")&amp;"[UDC]",TRUE),INDIRECT("Table"&amp;SUBSTITUTE(Q$2,"-","")&amp;"[Component Type]",TRUE)),"")</f>
        <v/>
      </c>
      <c r="R13" s="152" t="str" cm="1">
        <f t="array" aca="1" ref="R13" ca="1">IFERROR(_xlfn.XLOOKUP(TableHandbook[[#This Row],[UDC]],INDIRECT("Table"&amp;SUBSTITUTE(R$2,"-","")&amp;"[UDC]",TRUE),INDIRECT("Table"&amp;SUBSTITUTE(R$2,"-","")&amp;"[Component Type]",TRUE)),"")</f>
        <v/>
      </c>
      <c r="S13" s="152" t="str" cm="1">
        <f t="array" aca="1" ref="S13" ca="1">IFERROR(_xlfn.XLOOKUP(TableHandbook[[#This Row],[UDC]],INDIRECT("Table"&amp;SUBSTITUTE(S$2,"-","")&amp;"[UDC]",TRUE),INDIRECT("Table"&amp;SUBSTITUTE(S$2,"-","")&amp;"[Component Type]",TRUE)),"")</f>
        <v/>
      </c>
      <c r="T13" s="152" t="str" cm="1">
        <f t="array" aca="1" ref="T13" ca="1">IFERROR(_xlfn.XLOOKUP(TableHandbook[[#This Row],[UDC]],INDIRECT("Table"&amp;SUBSTITUTE(T$2,"-","")&amp;"[UDC]",TRUE),INDIRECT("Table"&amp;SUBSTITUTE(T$2,"-","")&amp;"[Component Type]",TRUE)),"")</f>
        <v/>
      </c>
      <c r="U13" s="152" t="str" cm="1">
        <f t="array" aca="1" ref="U13" ca="1">IFERROR(_xlfn.XLOOKUP(TableHandbook[[#This Row],[UDC]],INDIRECT("Table"&amp;SUBSTITUTE(U$2,"-","")&amp;"[UDC]",TRUE),INDIRECT("Table"&amp;SUBSTITUTE(U$2,"-","")&amp;"[Component Type]",TRUE)),"")</f>
        <v/>
      </c>
      <c r="V13" s="154" t="str" cm="1">
        <f t="array" aca="1" ref="V13" ca="1">IFERROR(_xlfn.XLOOKUP(TableHandbook[[#This Row],[UDC]],INDIRECT("Table"&amp;SUBSTITUTE(V$2,"-","")&amp;"[UDC]",TRUE),INDIRECT("Table"&amp;SUBSTITUTE(V$2,"-","")&amp;"[Component Type]",TRUE)),"")</f>
        <v/>
      </c>
      <c r="W13" s="152" t="str" cm="1">
        <f t="array" aca="1" ref="W13" ca="1">IFERROR(_xlfn.XLOOKUP(TableHandbook[[#This Row],[UDC]],INDIRECT("Table"&amp;SUBSTITUTE(W$2,"-","")&amp;"[UDC]",TRUE),INDIRECT("Table"&amp;SUBSTITUTE(W$2,"-","")&amp;"[Component Type]",TRUE)),"")</f>
        <v/>
      </c>
      <c r="X13" s="152" t="str" cm="1">
        <f t="array" aca="1" ref="X13" ca="1">IFERROR(_xlfn.XLOOKUP(TableHandbook[[#This Row],[UDC]],INDIRECT("Table"&amp;SUBSTITUTE(X$2,"-","")&amp;"[UDC]",TRUE),INDIRECT("Table"&amp;SUBSTITUTE(X$2,"-","")&amp;"[Component Type]",TRUE)),"")</f>
        <v>Option</v>
      </c>
      <c r="Y13" s="152" t="str" cm="1">
        <f t="array" aca="1" ref="Y13" ca="1">IFERROR(_xlfn.XLOOKUP(TableHandbook[[#This Row],[UDC]],INDIRECT("Table"&amp;SUBSTITUTE(Y$2,"-","")&amp;"[UDC]",TRUE),INDIRECT("Table"&amp;SUBSTITUTE(Y$2,"-","")&amp;"[Component Type]",TRUE)),"")</f>
        <v>Option</v>
      </c>
      <c r="Z13" s="152" t="str" cm="1">
        <f t="array" aca="1" ref="Z13" ca="1">IFERROR(_xlfn.XLOOKUP(TableHandbook[[#This Row],[UDC]],INDIRECT("Table"&amp;SUBSTITUTE(Z$2,"-","")&amp;"[UDC]",TRUE),INDIRECT("Table"&amp;SUBSTITUTE(Z$2,"-","")&amp;"[Component Type]",TRUE)),"")</f>
        <v>Option</v>
      </c>
    </row>
    <row r="14" spans="1:26" x14ac:dyDescent="0.25">
      <c r="A14" s="8" t="s">
        <v>653</v>
      </c>
      <c r="B14" s="9">
        <v>4</v>
      </c>
      <c r="C14" s="9" t="s">
        <v>262</v>
      </c>
      <c r="D14" s="8" t="s">
        <v>263</v>
      </c>
      <c r="E14" s="9">
        <v>25</v>
      </c>
      <c r="F14" s="266" t="s">
        <v>255</v>
      </c>
      <c r="G14" s="72" t="str">
        <f>IFERROR(IF(VLOOKUP(TableHandbook[[#This Row],[UDC]],TableAvailabilities[],2,FALSE)&gt;0,"Y",""),"")</f>
        <v/>
      </c>
      <c r="H14" s="72" t="str">
        <f>IFERROR(IF(VLOOKUP(TableHandbook[[#This Row],[UDC]],TableAvailabilities[],3,FALSE)&gt;0,"Y",""),"")</f>
        <v/>
      </c>
      <c r="I14" s="72" t="str">
        <f>IFERROR(IF(VLOOKUP(TableHandbook[[#This Row],[UDC]],TableAvailabilities[],4,FALSE)&gt;0,"Y",""),"")</f>
        <v/>
      </c>
      <c r="J14" s="72" t="str">
        <f>IFERROR(IF(VLOOKUP(TableHandbook[[#This Row],[UDC]],TableAvailabilities[],5,FALSE)&gt;0,"Y",""),"")</f>
        <v/>
      </c>
      <c r="K14" s="155" t="s">
        <v>654</v>
      </c>
      <c r="L14" s="152" t="str" cm="1">
        <f t="array" aca="1" ref="L14" ca="1">IFERROR(_xlfn.XLOOKUP(TableHandbook[[#This Row],[UDC]],INDIRECT("Table"&amp;SUBSTITUTE(L$2,"-","")&amp;"[UDC]",TRUE),INDIRECT("Table"&amp;SUBSTITUTE(L$2,"-","")&amp;"[Component Type]",TRUE)),"")</f>
        <v/>
      </c>
      <c r="M14" s="152" t="str" cm="1">
        <f t="array" aca="1" ref="M14" ca="1">IFERROR(_xlfn.XLOOKUP(TableHandbook[[#This Row],[UDC]],INDIRECT("Table"&amp;SUBSTITUTE(M$2,"-","")&amp;"[UDC]",TRUE),INDIRECT("Table"&amp;SUBSTITUTE(M$2,"-","")&amp;"[Component Type]",TRUE)),"")</f>
        <v/>
      </c>
      <c r="N14" s="154" t="str" cm="1">
        <f t="array" aca="1" ref="N14" ca="1">IFERROR(_xlfn.XLOOKUP(TableHandbook[[#This Row],[UDC]],INDIRECT("Table"&amp;SUBSTITUTE(N$2,"-","")&amp;"[UDC]",TRUE),INDIRECT("Table"&amp;SUBSTITUTE(N$2,"-","")&amp;"[Component Type]",TRUE)),"")</f>
        <v/>
      </c>
      <c r="O14" s="152" t="str" cm="1">
        <f t="array" aca="1" ref="O14" ca="1">IFERROR(_xlfn.XLOOKUP(TableHandbook[[#This Row],[UDC]],INDIRECT("Table"&amp;SUBSTITUTE(O$2,"-","")&amp;"[UDC]",TRUE),INDIRECT("Table"&amp;SUBSTITUTE(O$2,"-","")&amp;"[Component Type]",TRUE)),"")</f>
        <v/>
      </c>
      <c r="P14" s="152" t="str" cm="1">
        <f t="array" aca="1" ref="P14" ca="1">IFERROR(_xlfn.XLOOKUP(TableHandbook[[#This Row],[UDC]],INDIRECT("Table"&amp;SUBSTITUTE(P$2,"-","")&amp;"[UDC]",TRUE),INDIRECT("Table"&amp;SUBSTITUTE(P$2,"-","")&amp;"[Component Type]",TRUE)),"")</f>
        <v/>
      </c>
      <c r="Q14" s="152" t="str" cm="1">
        <f t="array" aca="1" ref="Q14" ca="1">IFERROR(_xlfn.XLOOKUP(TableHandbook[[#This Row],[UDC]],INDIRECT("Table"&amp;SUBSTITUTE(Q$2,"-","")&amp;"[UDC]",TRUE),INDIRECT("Table"&amp;SUBSTITUTE(Q$2,"-","")&amp;"[Component Type]",TRUE)),"")</f>
        <v/>
      </c>
      <c r="R14" s="152" t="str" cm="1">
        <f t="array" aca="1" ref="R14" ca="1">IFERROR(_xlfn.XLOOKUP(TableHandbook[[#This Row],[UDC]],INDIRECT("Table"&amp;SUBSTITUTE(R$2,"-","")&amp;"[UDC]",TRUE),INDIRECT("Table"&amp;SUBSTITUTE(R$2,"-","")&amp;"[Component Type]",TRUE)),"")</f>
        <v/>
      </c>
      <c r="S14" s="152" t="str" cm="1">
        <f t="array" aca="1" ref="S14" ca="1">IFERROR(_xlfn.XLOOKUP(TableHandbook[[#This Row],[UDC]],INDIRECT("Table"&amp;SUBSTITUTE(S$2,"-","")&amp;"[UDC]",TRUE),INDIRECT("Table"&amp;SUBSTITUTE(S$2,"-","")&amp;"[Component Type]",TRUE)),"")</f>
        <v/>
      </c>
      <c r="T14" s="152" t="str" cm="1">
        <f t="array" aca="1" ref="T14" ca="1">IFERROR(_xlfn.XLOOKUP(TableHandbook[[#This Row],[UDC]],INDIRECT("Table"&amp;SUBSTITUTE(T$2,"-","")&amp;"[UDC]",TRUE),INDIRECT("Table"&amp;SUBSTITUTE(T$2,"-","")&amp;"[Component Type]",TRUE)),"")</f>
        <v/>
      </c>
      <c r="U14" s="152" t="str" cm="1">
        <f t="array" aca="1" ref="U14" ca="1">IFERROR(_xlfn.XLOOKUP(TableHandbook[[#This Row],[UDC]],INDIRECT("Table"&amp;SUBSTITUTE(U$2,"-","")&amp;"[UDC]",TRUE),INDIRECT("Table"&amp;SUBSTITUTE(U$2,"-","")&amp;"[Component Type]",TRUE)),"")</f>
        <v/>
      </c>
      <c r="V14" s="154" t="str" cm="1">
        <f t="array" aca="1" ref="V14" ca="1">IFERROR(_xlfn.XLOOKUP(TableHandbook[[#This Row],[UDC]],INDIRECT("Table"&amp;SUBSTITUTE(V$2,"-","")&amp;"[UDC]",TRUE),INDIRECT("Table"&amp;SUBSTITUTE(V$2,"-","")&amp;"[Component Type]",TRUE)),"")</f>
        <v/>
      </c>
      <c r="W14" s="152" t="str" cm="1">
        <f t="array" aca="1" ref="W14" ca="1">IFERROR(_xlfn.XLOOKUP(TableHandbook[[#This Row],[UDC]],INDIRECT("Table"&amp;SUBSTITUTE(W$2,"-","")&amp;"[UDC]",TRUE),INDIRECT("Table"&amp;SUBSTITUTE(W$2,"-","")&amp;"[Component Type]",TRUE)),"")</f>
        <v/>
      </c>
      <c r="X14" s="152" t="str" cm="1">
        <f t="array" aca="1" ref="X14" ca="1">IFERROR(_xlfn.XLOOKUP(TableHandbook[[#This Row],[UDC]],INDIRECT("Table"&amp;SUBSTITUTE(X$2,"-","")&amp;"[UDC]",TRUE),INDIRECT("Table"&amp;SUBSTITUTE(X$2,"-","")&amp;"[Component Type]",TRUE)),"")</f>
        <v/>
      </c>
      <c r="Y14" s="152" t="str" cm="1">
        <f t="array" aca="1" ref="Y14" ca="1">IFERROR(_xlfn.XLOOKUP(TableHandbook[[#This Row],[UDC]],INDIRECT("Table"&amp;SUBSTITUTE(Y$2,"-","")&amp;"[UDC]",TRUE),INDIRECT("Table"&amp;SUBSTITUTE(Y$2,"-","")&amp;"[Component Type]",TRUE)),"")</f>
        <v/>
      </c>
      <c r="Z14" s="152" t="str" cm="1">
        <f t="array" aca="1" ref="Z14" ca="1">IFERROR(_xlfn.XLOOKUP(TableHandbook[[#This Row],[UDC]],INDIRECT("Table"&amp;SUBSTITUTE(Z$2,"-","")&amp;"[UDC]",TRUE),INDIRECT("Table"&amp;SUBSTITUTE(Z$2,"-","")&amp;"[Component Type]",TRUE)),"")</f>
        <v/>
      </c>
    </row>
    <row r="15" spans="1:26" x14ac:dyDescent="0.25">
      <c r="A15" s="246" t="s">
        <v>635</v>
      </c>
      <c r="B15" s="9">
        <v>1</v>
      </c>
      <c r="C15" s="9" t="s">
        <v>635</v>
      </c>
      <c r="D15" s="8" t="s">
        <v>263</v>
      </c>
      <c r="E15" s="9">
        <v>25</v>
      </c>
      <c r="F15" s="266" t="s">
        <v>255</v>
      </c>
      <c r="G15" s="72" t="str">
        <f>IFERROR(IF(VLOOKUP(TableHandbook[[#This Row],[UDC]],TableAvailabilities[],2,FALSE)&gt;0,"Y",""),"")</f>
        <v>Y</v>
      </c>
      <c r="H15" s="72" t="str">
        <f>IFERROR(IF(VLOOKUP(TableHandbook[[#This Row],[UDC]],TableAvailabilities[],3,FALSE)&gt;0,"Y",""),"")</f>
        <v/>
      </c>
      <c r="I15" s="72" t="str">
        <f>IFERROR(IF(VLOOKUP(TableHandbook[[#This Row],[UDC]],TableAvailabilities[],4,FALSE)&gt;0,"Y",""),"")</f>
        <v>Y</v>
      </c>
      <c r="J15" s="72" t="str">
        <f>IFERROR(IF(VLOOKUP(TableHandbook[[#This Row],[UDC]],TableAvailabilities[],5,FALSE)&gt;0,"Y",""),"")</f>
        <v/>
      </c>
      <c r="K15" s="155"/>
      <c r="L15" s="152" t="str" cm="1">
        <f t="array" aca="1" ref="L15" ca="1">IFERROR(_xlfn.XLOOKUP(TableHandbook[[#This Row],[UDC]],INDIRECT("Table"&amp;SUBSTITUTE(L$2,"-","")&amp;"[UDC]",TRUE),INDIRECT("Table"&amp;SUBSTITUTE(L$2,"-","")&amp;"[Component Type]",TRUE)),"")</f>
        <v/>
      </c>
      <c r="M15" s="152" t="str" cm="1">
        <f t="array" aca="1" ref="M15" ca="1">IFERROR(_xlfn.XLOOKUP(TableHandbook[[#This Row],[UDC]],INDIRECT("Table"&amp;SUBSTITUTE(M$2,"-","")&amp;"[UDC]",TRUE),INDIRECT("Table"&amp;SUBSTITUTE(M$2,"-","")&amp;"[Component Type]",TRUE)),"")</f>
        <v/>
      </c>
      <c r="N15" s="154" t="str" cm="1">
        <f t="array" aca="1" ref="N15" ca="1">IFERROR(_xlfn.XLOOKUP(TableHandbook[[#This Row],[UDC]],INDIRECT("Table"&amp;SUBSTITUTE(N$2,"-","")&amp;"[UDC]",TRUE),INDIRECT("Table"&amp;SUBSTITUTE(N$2,"-","")&amp;"[Component Type]",TRUE)),"")</f>
        <v/>
      </c>
      <c r="O15" s="152" t="str" cm="1">
        <f t="array" aca="1" ref="O15" ca="1">IFERROR(_xlfn.XLOOKUP(TableHandbook[[#This Row],[UDC]],INDIRECT("Table"&amp;SUBSTITUTE(O$2,"-","")&amp;"[UDC]",TRUE),INDIRECT("Table"&amp;SUBSTITUTE(O$2,"-","")&amp;"[Component Type]",TRUE)),"")</f>
        <v/>
      </c>
      <c r="P15" s="152" t="str" cm="1">
        <f t="array" aca="1" ref="P15" ca="1">IFERROR(_xlfn.XLOOKUP(TableHandbook[[#This Row],[UDC]],INDIRECT("Table"&amp;SUBSTITUTE(P$2,"-","")&amp;"[UDC]",TRUE),INDIRECT("Table"&amp;SUBSTITUTE(P$2,"-","")&amp;"[Component Type]",TRUE)),"")</f>
        <v/>
      </c>
      <c r="Q15" s="152" t="str" cm="1">
        <f t="array" aca="1" ref="Q15" ca="1">IFERROR(_xlfn.XLOOKUP(TableHandbook[[#This Row],[UDC]],INDIRECT("Table"&amp;SUBSTITUTE(Q$2,"-","")&amp;"[UDC]",TRUE),INDIRECT("Table"&amp;SUBSTITUTE(Q$2,"-","")&amp;"[Component Type]",TRUE)),"")</f>
        <v/>
      </c>
      <c r="R15" s="152" t="str" cm="1">
        <f t="array" aca="1" ref="R15" ca="1">IFERROR(_xlfn.XLOOKUP(TableHandbook[[#This Row],[UDC]],INDIRECT("Table"&amp;SUBSTITUTE(R$2,"-","")&amp;"[UDC]",TRUE),INDIRECT("Table"&amp;SUBSTITUTE(R$2,"-","")&amp;"[Component Type]",TRUE)),"")</f>
        <v/>
      </c>
      <c r="S15" s="152" t="str" cm="1">
        <f t="array" aca="1" ref="S15" ca="1">IFERROR(_xlfn.XLOOKUP(TableHandbook[[#This Row],[UDC]],INDIRECT("Table"&amp;SUBSTITUTE(S$2,"-","")&amp;"[UDC]",TRUE),INDIRECT("Table"&amp;SUBSTITUTE(S$2,"-","")&amp;"[Component Type]",TRUE)),"")</f>
        <v/>
      </c>
      <c r="T15" s="152" t="str" cm="1">
        <f t="array" aca="1" ref="T15" ca="1">IFERROR(_xlfn.XLOOKUP(TableHandbook[[#This Row],[UDC]],INDIRECT("Table"&amp;SUBSTITUTE(T$2,"-","")&amp;"[UDC]",TRUE),INDIRECT("Table"&amp;SUBSTITUTE(T$2,"-","")&amp;"[Component Type]",TRUE)),"")</f>
        <v/>
      </c>
      <c r="U15" s="152" t="str" cm="1">
        <f t="array" aca="1" ref="U15" ca="1">IFERROR(_xlfn.XLOOKUP(TableHandbook[[#This Row],[UDC]],INDIRECT("Table"&amp;SUBSTITUTE(U$2,"-","")&amp;"[UDC]",TRUE),INDIRECT("Table"&amp;SUBSTITUTE(U$2,"-","")&amp;"[Component Type]",TRUE)),"")</f>
        <v/>
      </c>
      <c r="V15" s="154" t="str" cm="1">
        <f t="array" aca="1" ref="V15" ca="1">IFERROR(_xlfn.XLOOKUP(TableHandbook[[#This Row],[UDC]],INDIRECT("Table"&amp;SUBSTITUTE(V$2,"-","")&amp;"[UDC]",TRUE),INDIRECT("Table"&amp;SUBSTITUTE(V$2,"-","")&amp;"[Component Type]",TRUE)),"")</f>
        <v/>
      </c>
      <c r="W15" s="152" t="str" cm="1">
        <f t="array" aca="1" ref="W15" ca="1">IFERROR(_xlfn.XLOOKUP(TableHandbook[[#This Row],[UDC]],INDIRECT("Table"&amp;SUBSTITUTE(W$2,"-","")&amp;"[UDC]",TRUE),INDIRECT("Table"&amp;SUBSTITUTE(W$2,"-","")&amp;"[Component Type]",TRUE)),"")</f>
        <v/>
      </c>
      <c r="X15" s="152" t="str" cm="1">
        <f t="array" aca="1" ref="X15" ca="1">IFERROR(_xlfn.XLOOKUP(TableHandbook[[#This Row],[UDC]],INDIRECT("Table"&amp;SUBSTITUTE(X$2,"-","")&amp;"[UDC]",TRUE),INDIRECT("Table"&amp;SUBSTITUTE(X$2,"-","")&amp;"[Component Type]",TRUE)),"")</f>
        <v/>
      </c>
      <c r="Y15" s="152" t="str" cm="1">
        <f t="array" aca="1" ref="Y15" ca="1">IFERROR(_xlfn.XLOOKUP(TableHandbook[[#This Row],[UDC]],INDIRECT("Table"&amp;SUBSTITUTE(Y$2,"-","")&amp;"[UDC]",TRUE),INDIRECT("Table"&amp;SUBSTITUTE(Y$2,"-","")&amp;"[Component Type]",TRUE)),"")</f>
        <v>Core</v>
      </c>
      <c r="Z15" s="152" t="str" cm="1">
        <f t="array" aca="1" ref="Z15" ca="1">IFERROR(_xlfn.XLOOKUP(TableHandbook[[#This Row],[UDC]],INDIRECT("Table"&amp;SUBSTITUTE(Z$2,"-","")&amp;"[UDC]",TRUE),INDIRECT("Table"&amp;SUBSTITUTE(Z$2,"-","")&amp;"[Component Type]",TRUE)),"")</f>
        <v/>
      </c>
    </row>
    <row r="16" spans="1:26" x14ac:dyDescent="0.25">
      <c r="A16" s="8" t="s">
        <v>194</v>
      </c>
      <c r="B16" s="9">
        <v>1</v>
      </c>
      <c r="C16" s="9" t="s">
        <v>194</v>
      </c>
      <c r="D16" s="8" t="s">
        <v>264</v>
      </c>
      <c r="E16" s="9">
        <v>25</v>
      </c>
      <c r="F16" s="266" t="s">
        <v>255</v>
      </c>
      <c r="G16" s="72" t="str">
        <f>IFERROR(IF(VLOOKUP(TableHandbook[[#This Row],[UDC]],TableAvailabilities[],2,FALSE)&gt;0,"Y",""),"")</f>
        <v>Y</v>
      </c>
      <c r="H16" s="72" t="str">
        <f>IFERROR(IF(VLOOKUP(TableHandbook[[#This Row],[UDC]],TableAvailabilities[],3,FALSE)&gt;0,"Y",""),"")</f>
        <v/>
      </c>
      <c r="I16" s="72" t="str">
        <f>IFERROR(IF(VLOOKUP(TableHandbook[[#This Row],[UDC]],TableAvailabilities[],4,FALSE)&gt;0,"Y",""),"")</f>
        <v>Y</v>
      </c>
      <c r="J16" s="72" t="str">
        <f>IFERROR(IF(VLOOKUP(TableHandbook[[#This Row],[UDC]],TableAvailabilities[],5,FALSE)&gt;0,"Y",""),"")</f>
        <v/>
      </c>
      <c r="K16" s="209"/>
      <c r="L16" s="152" t="str" cm="1">
        <f t="array" aca="1" ref="L16" ca="1">IFERROR(_xlfn.XLOOKUP(TableHandbook[[#This Row],[UDC]],INDIRECT("Table"&amp;SUBSTITUTE(L$2,"-","")&amp;"[UDC]",TRUE),INDIRECT("Table"&amp;SUBSTITUTE(L$2,"-","")&amp;"[Component Type]",TRUE)),"")</f>
        <v/>
      </c>
      <c r="M16" s="152" t="str" cm="1">
        <f t="array" aca="1" ref="M16" ca="1">IFERROR(_xlfn.XLOOKUP(TableHandbook[[#This Row],[UDC]],INDIRECT("Table"&amp;SUBSTITUTE(M$2,"-","")&amp;"[UDC]",TRUE),INDIRECT("Table"&amp;SUBSTITUTE(M$2,"-","")&amp;"[Component Type]",TRUE)),"")</f>
        <v/>
      </c>
      <c r="N16" s="154" t="str" cm="1">
        <f t="array" aca="1" ref="N16" ca="1">IFERROR(_xlfn.XLOOKUP(TableHandbook[[#This Row],[UDC]],INDIRECT("Table"&amp;SUBSTITUTE(N$2,"-","")&amp;"[UDC]",TRUE),INDIRECT("Table"&amp;SUBSTITUTE(N$2,"-","")&amp;"[Component Type]",TRUE)),"")</f>
        <v/>
      </c>
      <c r="O16" s="152" t="str" cm="1">
        <f t="array" aca="1" ref="O16" ca="1">IFERROR(_xlfn.XLOOKUP(TableHandbook[[#This Row],[UDC]],INDIRECT("Table"&amp;SUBSTITUTE(O$2,"-","")&amp;"[UDC]",TRUE),INDIRECT("Table"&amp;SUBSTITUTE(O$2,"-","")&amp;"[Component Type]",TRUE)),"")</f>
        <v/>
      </c>
      <c r="P16" s="152" t="str" cm="1">
        <f t="array" aca="1" ref="P16" ca="1">IFERROR(_xlfn.XLOOKUP(TableHandbook[[#This Row],[UDC]],INDIRECT("Table"&amp;SUBSTITUTE(P$2,"-","")&amp;"[UDC]",TRUE),INDIRECT("Table"&amp;SUBSTITUTE(P$2,"-","")&amp;"[Component Type]",TRUE)),"")</f>
        <v/>
      </c>
      <c r="Q16" s="152" t="str" cm="1">
        <f t="array" aca="1" ref="Q16" ca="1">IFERROR(_xlfn.XLOOKUP(TableHandbook[[#This Row],[UDC]],INDIRECT("Table"&amp;SUBSTITUTE(Q$2,"-","")&amp;"[UDC]",TRUE),INDIRECT("Table"&amp;SUBSTITUTE(Q$2,"-","")&amp;"[Component Type]",TRUE)),"")</f>
        <v/>
      </c>
      <c r="R16" s="152" t="str" cm="1">
        <f t="array" aca="1" ref="R16" ca="1">IFERROR(_xlfn.XLOOKUP(TableHandbook[[#This Row],[UDC]],INDIRECT("Table"&amp;SUBSTITUTE(R$2,"-","")&amp;"[UDC]",TRUE),INDIRECT("Table"&amp;SUBSTITUTE(R$2,"-","")&amp;"[Component Type]",TRUE)),"")</f>
        <v/>
      </c>
      <c r="S16" s="152" t="str" cm="1">
        <f t="array" aca="1" ref="S16" ca="1">IFERROR(_xlfn.XLOOKUP(TableHandbook[[#This Row],[UDC]],INDIRECT("Table"&amp;SUBSTITUTE(S$2,"-","")&amp;"[UDC]",TRUE),INDIRECT("Table"&amp;SUBSTITUTE(S$2,"-","")&amp;"[Component Type]",TRUE)),"")</f>
        <v/>
      </c>
      <c r="T16" s="152" t="str" cm="1">
        <f t="array" aca="1" ref="T16" ca="1">IFERROR(_xlfn.XLOOKUP(TableHandbook[[#This Row],[UDC]],INDIRECT("Table"&amp;SUBSTITUTE(T$2,"-","")&amp;"[UDC]",TRUE),INDIRECT("Table"&amp;SUBSTITUTE(T$2,"-","")&amp;"[Component Type]",TRUE)),"")</f>
        <v/>
      </c>
      <c r="U16" s="152" t="str" cm="1">
        <f t="array" aca="1" ref="U16" ca="1">IFERROR(_xlfn.XLOOKUP(TableHandbook[[#This Row],[UDC]],INDIRECT("Table"&amp;SUBSTITUTE(U$2,"-","")&amp;"[UDC]",TRUE),INDIRECT("Table"&amp;SUBSTITUTE(U$2,"-","")&amp;"[Component Type]",TRUE)),"")</f>
        <v/>
      </c>
      <c r="V16" s="154" t="str" cm="1">
        <f t="array" aca="1" ref="V16" ca="1">IFERROR(_xlfn.XLOOKUP(TableHandbook[[#This Row],[UDC]],INDIRECT("Table"&amp;SUBSTITUTE(V$2,"-","")&amp;"[UDC]",TRUE),INDIRECT("Table"&amp;SUBSTITUTE(V$2,"-","")&amp;"[Component Type]",TRUE)),"")</f>
        <v/>
      </c>
      <c r="W16" s="152" t="str" cm="1">
        <f t="array" aca="1" ref="W16" ca="1">IFERROR(_xlfn.XLOOKUP(TableHandbook[[#This Row],[UDC]],INDIRECT("Table"&amp;SUBSTITUTE(W$2,"-","")&amp;"[UDC]",TRUE),INDIRECT("Table"&amp;SUBSTITUTE(W$2,"-","")&amp;"[Component Type]",TRUE)),"")</f>
        <v/>
      </c>
      <c r="X16" s="152" t="str" cm="1">
        <f t="array" aca="1" ref="X16" ca="1">IFERROR(_xlfn.XLOOKUP(TableHandbook[[#This Row],[UDC]],INDIRECT("Table"&amp;SUBSTITUTE(X$2,"-","")&amp;"[UDC]",TRUE),INDIRECT("Table"&amp;SUBSTITUTE(X$2,"-","")&amp;"[Component Type]",TRUE)),"")</f>
        <v/>
      </c>
      <c r="Y16" s="152" t="str" cm="1">
        <f t="array" aca="1" ref="Y16" ca="1">IFERROR(_xlfn.XLOOKUP(TableHandbook[[#This Row],[UDC]],INDIRECT("Table"&amp;SUBSTITUTE(Y$2,"-","")&amp;"[UDC]",TRUE),INDIRECT("Table"&amp;SUBSTITUTE(Y$2,"-","")&amp;"[Component Type]",TRUE)),"")</f>
        <v/>
      </c>
      <c r="Z16" s="152" t="str" cm="1">
        <f t="array" aca="1" ref="Z16" ca="1">IFERROR(_xlfn.XLOOKUP(TableHandbook[[#This Row],[UDC]],INDIRECT("Table"&amp;SUBSTITUTE(Z$2,"-","")&amp;"[UDC]",TRUE),INDIRECT("Table"&amp;SUBSTITUTE(Z$2,"-","")&amp;"[Component Type]",TRUE)),"")</f>
        <v>Core</v>
      </c>
    </row>
    <row r="17" spans="1:26" x14ac:dyDescent="0.25">
      <c r="A17" s="8" t="s">
        <v>82</v>
      </c>
      <c r="B17" s="9">
        <v>2</v>
      </c>
      <c r="C17" s="9" t="s">
        <v>267</v>
      </c>
      <c r="D17" s="8" t="s">
        <v>268</v>
      </c>
      <c r="E17" s="9">
        <v>25</v>
      </c>
      <c r="F17" s="266" t="s">
        <v>699</v>
      </c>
      <c r="G17" s="72" t="str">
        <f>IFERROR(IF(VLOOKUP(TableHandbook[[#This Row],[UDC]],TableAvailabilities[],2,FALSE)&gt;0,"Y",""),"")</f>
        <v/>
      </c>
      <c r="H17" s="72" t="str">
        <f>IFERROR(IF(VLOOKUP(TableHandbook[[#This Row],[UDC]],TableAvailabilities[],3,FALSE)&gt;0,"Y",""),"")</f>
        <v>Y</v>
      </c>
      <c r="I17" s="72" t="str">
        <f>IFERROR(IF(VLOOKUP(TableHandbook[[#This Row],[UDC]],TableAvailabilities[],4,FALSE)&gt;0,"Y",""),"")</f>
        <v/>
      </c>
      <c r="J17" s="72" t="str">
        <f>IFERROR(IF(VLOOKUP(TableHandbook[[#This Row],[UDC]],TableAvailabilities[],5,FALSE)&gt;0,"Y",""),"")</f>
        <v>Y</v>
      </c>
      <c r="K17" s="155"/>
      <c r="L17" s="152" t="str" cm="1">
        <f t="array" aca="1" ref="L17" ca="1">IFERROR(_xlfn.XLOOKUP(TableHandbook[[#This Row],[UDC]],INDIRECT("Table"&amp;SUBSTITUTE(L$2,"-","")&amp;"[UDC]",TRUE),INDIRECT("Table"&amp;SUBSTITUTE(L$2,"-","")&amp;"[Component Type]",TRUE)),"")</f>
        <v>Core</v>
      </c>
      <c r="M17" s="152" t="str" cm="1">
        <f t="array" aca="1" ref="M17" ca="1">IFERROR(_xlfn.XLOOKUP(TableHandbook[[#This Row],[UDC]],INDIRECT("Table"&amp;SUBSTITUTE(M$2,"-","")&amp;"[UDC]",TRUE),INDIRECT("Table"&amp;SUBSTITUTE(M$2,"-","")&amp;"[Component Type]",TRUE)),"")</f>
        <v>Core</v>
      </c>
      <c r="N17" s="154" t="str" cm="1">
        <f t="array" aca="1" ref="N17" ca="1">IFERROR(_xlfn.XLOOKUP(TableHandbook[[#This Row],[UDC]],INDIRECT("Table"&amp;SUBSTITUTE(N$2,"-","")&amp;"[UDC]",TRUE),INDIRECT("Table"&amp;SUBSTITUTE(N$2,"-","")&amp;"[Component Type]",TRUE)),"")</f>
        <v/>
      </c>
      <c r="O17" s="152" t="str" cm="1">
        <f t="array" aca="1" ref="O17" ca="1">IFERROR(_xlfn.XLOOKUP(TableHandbook[[#This Row],[UDC]],INDIRECT("Table"&amp;SUBSTITUTE(O$2,"-","")&amp;"[UDC]",TRUE),INDIRECT("Table"&amp;SUBSTITUTE(O$2,"-","")&amp;"[Component Type]",TRUE)),"")</f>
        <v/>
      </c>
      <c r="P17" s="152" t="str" cm="1">
        <f t="array" aca="1" ref="P17" ca="1">IFERROR(_xlfn.XLOOKUP(TableHandbook[[#This Row],[UDC]],INDIRECT("Table"&amp;SUBSTITUTE(P$2,"-","")&amp;"[UDC]",TRUE),INDIRECT("Table"&amp;SUBSTITUTE(P$2,"-","")&amp;"[Component Type]",TRUE)),"")</f>
        <v/>
      </c>
      <c r="Q17" s="152" t="str" cm="1">
        <f t="array" aca="1" ref="Q17" ca="1">IFERROR(_xlfn.XLOOKUP(TableHandbook[[#This Row],[UDC]],INDIRECT("Table"&amp;SUBSTITUTE(Q$2,"-","")&amp;"[UDC]",TRUE),INDIRECT("Table"&amp;SUBSTITUTE(Q$2,"-","")&amp;"[Component Type]",TRUE)),"")</f>
        <v/>
      </c>
      <c r="R17" s="152" t="str" cm="1">
        <f t="array" aca="1" ref="R17" ca="1">IFERROR(_xlfn.XLOOKUP(TableHandbook[[#This Row],[UDC]],INDIRECT("Table"&amp;SUBSTITUTE(R$2,"-","")&amp;"[UDC]",TRUE),INDIRECT("Table"&amp;SUBSTITUTE(R$2,"-","")&amp;"[Component Type]",TRUE)),"")</f>
        <v/>
      </c>
      <c r="S17" s="152" t="str" cm="1">
        <f t="array" aca="1" ref="S17" ca="1">IFERROR(_xlfn.XLOOKUP(TableHandbook[[#This Row],[UDC]],INDIRECT("Table"&amp;SUBSTITUTE(S$2,"-","")&amp;"[UDC]",TRUE),INDIRECT("Table"&amp;SUBSTITUTE(S$2,"-","")&amp;"[Component Type]",TRUE)),"")</f>
        <v/>
      </c>
      <c r="T17" s="152" t="str" cm="1">
        <f t="array" aca="1" ref="T17" ca="1">IFERROR(_xlfn.XLOOKUP(TableHandbook[[#This Row],[UDC]],INDIRECT("Table"&amp;SUBSTITUTE(T$2,"-","")&amp;"[UDC]",TRUE),INDIRECT("Table"&amp;SUBSTITUTE(T$2,"-","")&amp;"[Component Type]",TRUE)),"")</f>
        <v/>
      </c>
      <c r="U17" s="152" t="str" cm="1">
        <f t="array" aca="1" ref="U17" ca="1">IFERROR(_xlfn.XLOOKUP(TableHandbook[[#This Row],[UDC]],INDIRECT("Table"&amp;SUBSTITUTE(U$2,"-","")&amp;"[UDC]",TRUE),INDIRECT("Table"&amp;SUBSTITUTE(U$2,"-","")&amp;"[Component Type]",TRUE)),"")</f>
        <v/>
      </c>
      <c r="V17" s="154" t="str" cm="1">
        <f t="array" aca="1" ref="V17" ca="1">IFERROR(_xlfn.XLOOKUP(TableHandbook[[#This Row],[UDC]],INDIRECT("Table"&amp;SUBSTITUTE(V$2,"-","")&amp;"[UDC]",TRUE),INDIRECT("Table"&amp;SUBSTITUTE(V$2,"-","")&amp;"[Component Type]",TRUE)),"")</f>
        <v/>
      </c>
      <c r="W17" s="152" t="str" cm="1">
        <f t="array" aca="1" ref="W17" ca="1">IFERROR(_xlfn.XLOOKUP(TableHandbook[[#This Row],[UDC]],INDIRECT("Table"&amp;SUBSTITUTE(W$2,"-","")&amp;"[UDC]",TRUE),INDIRECT("Table"&amp;SUBSTITUTE(W$2,"-","")&amp;"[Component Type]",TRUE)),"")</f>
        <v/>
      </c>
      <c r="X17" s="152" t="str" cm="1">
        <f t="array" aca="1" ref="X17" ca="1">IFERROR(_xlfn.XLOOKUP(TableHandbook[[#This Row],[UDC]],INDIRECT("Table"&amp;SUBSTITUTE(X$2,"-","")&amp;"[UDC]",TRUE),INDIRECT("Table"&amp;SUBSTITUTE(X$2,"-","")&amp;"[Component Type]",TRUE)),"")</f>
        <v/>
      </c>
      <c r="Y17" s="152" t="str" cm="1">
        <f t="array" aca="1" ref="Y17" ca="1">IFERROR(_xlfn.XLOOKUP(TableHandbook[[#This Row],[UDC]],INDIRECT("Table"&amp;SUBSTITUTE(Y$2,"-","")&amp;"[UDC]",TRUE),INDIRECT("Table"&amp;SUBSTITUTE(Y$2,"-","")&amp;"[Component Type]",TRUE)),"")</f>
        <v/>
      </c>
      <c r="Z17" s="152" t="str" cm="1">
        <f t="array" aca="1" ref="Z17" ca="1">IFERROR(_xlfn.XLOOKUP(TableHandbook[[#This Row],[UDC]],INDIRECT("Table"&amp;SUBSTITUTE(Z$2,"-","")&amp;"[UDC]",TRUE),INDIRECT("Table"&amp;SUBSTITUTE(Z$2,"-","")&amp;"[Component Type]",TRUE)),"")</f>
        <v/>
      </c>
    </row>
    <row r="18" spans="1:26" x14ac:dyDescent="0.25">
      <c r="A18" s="8" t="s">
        <v>670</v>
      </c>
      <c r="B18" s="9">
        <v>1</v>
      </c>
      <c r="C18" s="9" t="s">
        <v>270</v>
      </c>
      <c r="D18" s="8" t="s">
        <v>271</v>
      </c>
      <c r="E18" s="9">
        <v>25</v>
      </c>
      <c r="F18" s="265" t="s">
        <v>586</v>
      </c>
      <c r="G18" s="72" t="str">
        <f>IFERROR(IF(VLOOKUP(TableHandbook[[#This Row],[UDC]],TableAvailabilities[],2,FALSE)&gt;0,"Y",""),"")</f>
        <v/>
      </c>
      <c r="H18" s="72" t="str">
        <f>IFERROR(IF(VLOOKUP(TableHandbook[[#This Row],[UDC]],TableAvailabilities[],3,FALSE)&gt;0,"Y",""),"")</f>
        <v/>
      </c>
      <c r="I18" s="72" t="str">
        <f>IFERROR(IF(VLOOKUP(TableHandbook[[#This Row],[UDC]],TableAvailabilities[],4,FALSE)&gt;0,"Y",""),"")</f>
        <v/>
      </c>
      <c r="J18" s="72" t="str">
        <f>IFERROR(IF(VLOOKUP(TableHandbook[[#This Row],[UDC]],TableAvailabilities[],5,FALSE)&gt;0,"Y",""),"")</f>
        <v/>
      </c>
      <c r="K18" s="155" t="s">
        <v>654</v>
      </c>
      <c r="L18" s="152" t="str" cm="1">
        <f t="array" aca="1" ref="L18" ca="1">IFERROR(_xlfn.XLOOKUP(TableHandbook[[#This Row],[UDC]],INDIRECT("Table"&amp;SUBSTITUTE(L$2,"-","")&amp;"[UDC]",TRUE),INDIRECT("Table"&amp;SUBSTITUTE(L$2,"-","")&amp;"[Component Type]",TRUE)),"")</f>
        <v/>
      </c>
      <c r="M18" s="152" t="str" cm="1">
        <f t="array" aca="1" ref="M18" ca="1">IFERROR(_xlfn.XLOOKUP(TableHandbook[[#This Row],[UDC]],INDIRECT("Table"&amp;SUBSTITUTE(M$2,"-","")&amp;"[UDC]",TRUE),INDIRECT("Table"&amp;SUBSTITUTE(M$2,"-","")&amp;"[Component Type]",TRUE)),"")</f>
        <v/>
      </c>
      <c r="N18" s="154" t="str" cm="1">
        <f t="array" aca="1" ref="N18" ca="1">IFERROR(_xlfn.XLOOKUP(TableHandbook[[#This Row],[UDC]],INDIRECT("Table"&amp;SUBSTITUTE(N$2,"-","")&amp;"[UDC]",TRUE),INDIRECT("Table"&amp;SUBSTITUTE(N$2,"-","")&amp;"[Component Type]",TRUE)),"")</f>
        <v/>
      </c>
      <c r="O18" s="152" t="str" cm="1">
        <f t="array" aca="1" ref="O18" ca="1">IFERROR(_xlfn.XLOOKUP(TableHandbook[[#This Row],[UDC]],INDIRECT("Table"&amp;SUBSTITUTE(O$2,"-","")&amp;"[UDC]",TRUE),INDIRECT("Table"&amp;SUBSTITUTE(O$2,"-","")&amp;"[Component Type]",TRUE)),"")</f>
        <v/>
      </c>
      <c r="P18" s="152" t="str" cm="1">
        <f t="array" aca="1" ref="P18" ca="1">IFERROR(_xlfn.XLOOKUP(TableHandbook[[#This Row],[UDC]],INDIRECT("Table"&amp;SUBSTITUTE(P$2,"-","")&amp;"[UDC]",TRUE),INDIRECT("Table"&amp;SUBSTITUTE(P$2,"-","")&amp;"[Component Type]",TRUE)),"")</f>
        <v/>
      </c>
      <c r="Q18" s="152" t="str" cm="1">
        <f t="array" aca="1" ref="Q18" ca="1">IFERROR(_xlfn.XLOOKUP(TableHandbook[[#This Row],[UDC]],INDIRECT("Table"&amp;SUBSTITUTE(Q$2,"-","")&amp;"[UDC]",TRUE),INDIRECT("Table"&amp;SUBSTITUTE(Q$2,"-","")&amp;"[Component Type]",TRUE)),"")</f>
        <v/>
      </c>
      <c r="R18" s="152" t="str" cm="1">
        <f t="array" aca="1" ref="R18" ca="1">IFERROR(_xlfn.XLOOKUP(TableHandbook[[#This Row],[UDC]],INDIRECT("Table"&amp;SUBSTITUTE(R$2,"-","")&amp;"[UDC]",TRUE),INDIRECT("Table"&amp;SUBSTITUTE(R$2,"-","")&amp;"[Component Type]",TRUE)),"")</f>
        <v/>
      </c>
      <c r="S18" s="152" t="str" cm="1">
        <f t="array" aca="1" ref="S18" ca="1">IFERROR(_xlfn.XLOOKUP(TableHandbook[[#This Row],[UDC]],INDIRECT("Table"&amp;SUBSTITUTE(S$2,"-","")&amp;"[UDC]",TRUE),INDIRECT("Table"&amp;SUBSTITUTE(S$2,"-","")&amp;"[Component Type]",TRUE)),"")</f>
        <v/>
      </c>
      <c r="T18" s="152" t="str" cm="1">
        <f t="array" aca="1" ref="T18" ca="1">IFERROR(_xlfn.XLOOKUP(TableHandbook[[#This Row],[UDC]],INDIRECT("Table"&amp;SUBSTITUTE(T$2,"-","")&amp;"[UDC]",TRUE),INDIRECT("Table"&amp;SUBSTITUTE(T$2,"-","")&amp;"[Component Type]",TRUE)),"")</f>
        <v/>
      </c>
      <c r="U18" s="152" t="str" cm="1">
        <f t="array" aca="1" ref="U18" ca="1">IFERROR(_xlfn.XLOOKUP(TableHandbook[[#This Row],[UDC]],INDIRECT("Table"&amp;SUBSTITUTE(U$2,"-","")&amp;"[UDC]",TRUE),INDIRECT("Table"&amp;SUBSTITUTE(U$2,"-","")&amp;"[Component Type]",TRUE)),"")</f>
        <v/>
      </c>
      <c r="V18" s="154" t="str" cm="1">
        <f t="array" aca="1" ref="V18" ca="1">IFERROR(_xlfn.XLOOKUP(TableHandbook[[#This Row],[UDC]],INDIRECT("Table"&amp;SUBSTITUTE(V$2,"-","")&amp;"[UDC]",TRUE),INDIRECT("Table"&amp;SUBSTITUTE(V$2,"-","")&amp;"[Component Type]",TRUE)),"")</f>
        <v/>
      </c>
      <c r="W18" s="152" t="str" cm="1">
        <f t="array" aca="1" ref="W18" ca="1">IFERROR(_xlfn.XLOOKUP(TableHandbook[[#This Row],[UDC]],INDIRECT("Table"&amp;SUBSTITUTE(W$2,"-","")&amp;"[UDC]",TRUE),INDIRECT("Table"&amp;SUBSTITUTE(W$2,"-","")&amp;"[Component Type]",TRUE)),"")</f>
        <v/>
      </c>
      <c r="X18" s="152" t="str" cm="1">
        <f t="array" aca="1" ref="X18" ca="1">IFERROR(_xlfn.XLOOKUP(TableHandbook[[#This Row],[UDC]],INDIRECT("Table"&amp;SUBSTITUTE(X$2,"-","")&amp;"[UDC]",TRUE),INDIRECT("Table"&amp;SUBSTITUTE(X$2,"-","")&amp;"[Component Type]",TRUE)),"")</f>
        <v/>
      </c>
      <c r="Y18" s="152" t="str" cm="1">
        <f t="array" aca="1" ref="Y18" ca="1">IFERROR(_xlfn.XLOOKUP(TableHandbook[[#This Row],[UDC]],INDIRECT("Table"&amp;SUBSTITUTE(Y$2,"-","")&amp;"[UDC]",TRUE),INDIRECT("Table"&amp;SUBSTITUTE(Y$2,"-","")&amp;"[Component Type]",TRUE)),"")</f>
        <v/>
      </c>
      <c r="Z18" s="152" t="str" cm="1">
        <f t="array" aca="1" ref="Z18" ca="1">IFERROR(_xlfn.XLOOKUP(TableHandbook[[#This Row],[UDC]],INDIRECT("Table"&amp;SUBSTITUTE(Z$2,"-","")&amp;"[UDC]",TRUE),INDIRECT("Table"&amp;SUBSTITUTE(Z$2,"-","")&amp;"[Component Type]",TRUE)),"")</f>
        <v/>
      </c>
    </row>
    <row r="19" spans="1:26" x14ac:dyDescent="0.25">
      <c r="A19" s="8" t="s">
        <v>88</v>
      </c>
      <c r="B19" s="9">
        <v>1</v>
      </c>
      <c r="C19" s="9" t="s">
        <v>272</v>
      </c>
      <c r="D19" s="8" t="s">
        <v>273</v>
      </c>
      <c r="E19" s="9">
        <v>25</v>
      </c>
      <c r="F19" s="266" t="s">
        <v>699</v>
      </c>
      <c r="G19" s="72" t="str">
        <f>IFERROR(IF(VLOOKUP(TableHandbook[[#This Row],[UDC]],TableAvailabilities[],2,FALSE)&gt;0,"Y",""),"")</f>
        <v/>
      </c>
      <c r="H19" s="72" t="str">
        <f>IFERROR(IF(VLOOKUP(TableHandbook[[#This Row],[UDC]],TableAvailabilities[],3,FALSE)&gt;0,"Y",""),"")</f>
        <v>Y</v>
      </c>
      <c r="I19" s="72" t="str">
        <f>IFERROR(IF(VLOOKUP(TableHandbook[[#This Row],[UDC]],TableAvailabilities[],4,FALSE)&gt;0,"Y",""),"")</f>
        <v/>
      </c>
      <c r="J19" s="72" t="str">
        <f>IFERROR(IF(VLOOKUP(TableHandbook[[#This Row],[UDC]],TableAvailabilities[],5,FALSE)&gt;0,"Y",""),"")</f>
        <v>Y</v>
      </c>
      <c r="K19" s="155"/>
      <c r="L19" s="152" t="str" cm="1">
        <f t="array" aca="1" ref="L19" ca="1">IFERROR(_xlfn.XLOOKUP(TableHandbook[[#This Row],[UDC]],INDIRECT("Table"&amp;SUBSTITUTE(L$2,"-","")&amp;"[UDC]",TRUE),INDIRECT("Table"&amp;SUBSTITUTE(L$2,"-","")&amp;"[Component Type]",TRUE)),"")</f>
        <v>Core</v>
      </c>
      <c r="M19" s="152" t="str" cm="1">
        <f t="array" aca="1" ref="M19" ca="1">IFERROR(_xlfn.XLOOKUP(TableHandbook[[#This Row],[UDC]],INDIRECT("Table"&amp;SUBSTITUTE(M$2,"-","")&amp;"[UDC]",TRUE),INDIRECT("Table"&amp;SUBSTITUTE(M$2,"-","")&amp;"[Component Type]",TRUE)),"")</f>
        <v>Core</v>
      </c>
      <c r="N19" s="154" t="str" cm="1">
        <f t="array" aca="1" ref="N19" ca="1">IFERROR(_xlfn.XLOOKUP(TableHandbook[[#This Row],[UDC]],INDIRECT("Table"&amp;SUBSTITUTE(N$2,"-","")&amp;"[UDC]",TRUE),INDIRECT("Table"&amp;SUBSTITUTE(N$2,"-","")&amp;"[Component Type]",TRUE)),"")</f>
        <v/>
      </c>
      <c r="O19" s="152" t="str" cm="1">
        <f t="array" aca="1" ref="O19" ca="1">IFERROR(_xlfn.XLOOKUP(TableHandbook[[#This Row],[UDC]],INDIRECT("Table"&amp;SUBSTITUTE(O$2,"-","")&amp;"[UDC]",TRUE),INDIRECT("Table"&amp;SUBSTITUTE(O$2,"-","")&amp;"[Component Type]",TRUE)),"")</f>
        <v/>
      </c>
      <c r="P19" s="152" t="str" cm="1">
        <f t="array" aca="1" ref="P19" ca="1">IFERROR(_xlfn.XLOOKUP(TableHandbook[[#This Row],[UDC]],INDIRECT("Table"&amp;SUBSTITUTE(P$2,"-","")&amp;"[UDC]",TRUE),INDIRECT("Table"&amp;SUBSTITUTE(P$2,"-","")&amp;"[Component Type]",TRUE)),"")</f>
        <v/>
      </c>
      <c r="Q19" s="152" t="str" cm="1">
        <f t="array" aca="1" ref="Q19" ca="1">IFERROR(_xlfn.XLOOKUP(TableHandbook[[#This Row],[UDC]],INDIRECT("Table"&amp;SUBSTITUTE(Q$2,"-","")&amp;"[UDC]",TRUE),INDIRECT("Table"&amp;SUBSTITUTE(Q$2,"-","")&amp;"[Component Type]",TRUE)),"")</f>
        <v/>
      </c>
      <c r="R19" s="152" t="str" cm="1">
        <f t="array" aca="1" ref="R19" ca="1">IFERROR(_xlfn.XLOOKUP(TableHandbook[[#This Row],[UDC]],INDIRECT("Table"&amp;SUBSTITUTE(R$2,"-","")&amp;"[UDC]",TRUE),INDIRECT("Table"&amp;SUBSTITUTE(R$2,"-","")&amp;"[Component Type]",TRUE)),"")</f>
        <v/>
      </c>
      <c r="S19" s="152" t="str" cm="1">
        <f t="array" aca="1" ref="S19" ca="1">IFERROR(_xlfn.XLOOKUP(TableHandbook[[#This Row],[UDC]],INDIRECT("Table"&amp;SUBSTITUTE(S$2,"-","")&amp;"[UDC]",TRUE),INDIRECT("Table"&amp;SUBSTITUTE(S$2,"-","")&amp;"[Component Type]",TRUE)),"")</f>
        <v/>
      </c>
      <c r="T19" s="152" t="str" cm="1">
        <f t="array" aca="1" ref="T19" ca="1">IFERROR(_xlfn.XLOOKUP(TableHandbook[[#This Row],[UDC]],INDIRECT("Table"&amp;SUBSTITUTE(T$2,"-","")&amp;"[UDC]",TRUE),INDIRECT("Table"&amp;SUBSTITUTE(T$2,"-","")&amp;"[Component Type]",TRUE)),"")</f>
        <v/>
      </c>
      <c r="U19" s="152" t="str" cm="1">
        <f t="array" aca="1" ref="U19" ca="1">IFERROR(_xlfn.XLOOKUP(TableHandbook[[#This Row],[UDC]],INDIRECT("Table"&amp;SUBSTITUTE(U$2,"-","")&amp;"[UDC]",TRUE),INDIRECT("Table"&amp;SUBSTITUTE(U$2,"-","")&amp;"[Component Type]",TRUE)),"")</f>
        <v/>
      </c>
      <c r="V19" s="154" t="str" cm="1">
        <f t="array" aca="1" ref="V19" ca="1">IFERROR(_xlfn.XLOOKUP(TableHandbook[[#This Row],[UDC]],INDIRECT("Table"&amp;SUBSTITUTE(V$2,"-","")&amp;"[UDC]",TRUE),INDIRECT("Table"&amp;SUBSTITUTE(V$2,"-","")&amp;"[Component Type]",TRUE)),"")</f>
        <v/>
      </c>
      <c r="W19" s="152" t="str" cm="1">
        <f t="array" aca="1" ref="W19" ca="1">IFERROR(_xlfn.XLOOKUP(TableHandbook[[#This Row],[UDC]],INDIRECT("Table"&amp;SUBSTITUTE(W$2,"-","")&amp;"[UDC]",TRUE),INDIRECT("Table"&amp;SUBSTITUTE(W$2,"-","")&amp;"[Component Type]",TRUE)),"")</f>
        <v/>
      </c>
      <c r="X19" s="152" t="str" cm="1">
        <f t="array" aca="1" ref="X19" ca="1">IFERROR(_xlfn.XLOOKUP(TableHandbook[[#This Row],[UDC]],INDIRECT("Table"&amp;SUBSTITUTE(X$2,"-","")&amp;"[UDC]",TRUE),INDIRECT("Table"&amp;SUBSTITUTE(X$2,"-","")&amp;"[Component Type]",TRUE)),"")</f>
        <v/>
      </c>
      <c r="Y19" s="152" t="str" cm="1">
        <f t="array" aca="1" ref="Y19" ca="1">IFERROR(_xlfn.XLOOKUP(TableHandbook[[#This Row],[UDC]],INDIRECT("Table"&amp;SUBSTITUTE(Y$2,"-","")&amp;"[UDC]",TRUE),INDIRECT("Table"&amp;SUBSTITUTE(Y$2,"-","")&amp;"[Component Type]",TRUE)),"")</f>
        <v/>
      </c>
      <c r="Z19" s="152" t="str" cm="1">
        <f t="array" aca="1" ref="Z19" ca="1">IFERROR(_xlfn.XLOOKUP(TableHandbook[[#This Row],[UDC]],INDIRECT("Table"&amp;SUBSTITUTE(Z$2,"-","")&amp;"[UDC]",TRUE),INDIRECT("Table"&amp;SUBSTITUTE(Z$2,"-","")&amp;"[Component Type]",TRUE)),"")</f>
        <v/>
      </c>
    </row>
    <row r="20" spans="1:26" x14ac:dyDescent="0.25">
      <c r="A20" s="8" t="s">
        <v>100</v>
      </c>
      <c r="B20" s="9">
        <v>1</v>
      </c>
      <c r="C20" s="9" t="s">
        <v>274</v>
      </c>
      <c r="D20" s="8" t="s">
        <v>275</v>
      </c>
      <c r="E20" s="9">
        <v>25</v>
      </c>
      <c r="F20" s="266" t="s">
        <v>369</v>
      </c>
      <c r="G20" s="72" t="str">
        <f>IFERROR(IF(VLOOKUP(TableHandbook[[#This Row],[UDC]],TableAvailabilities[],2,FALSE)&gt;0,"Y",""),"")</f>
        <v/>
      </c>
      <c r="H20" s="72" t="str">
        <f>IFERROR(IF(VLOOKUP(TableHandbook[[#This Row],[UDC]],TableAvailabilities[],3,FALSE)&gt;0,"Y",""),"")</f>
        <v>Y</v>
      </c>
      <c r="I20" s="72" t="str">
        <f>IFERROR(IF(VLOOKUP(TableHandbook[[#This Row],[UDC]],TableAvailabilities[],4,FALSE)&gt;0,"Y",""),"")</f>
        <v/>
      </c>
      <c r="J20" s="72" t="str">
        <f>IFERROR(IF(VLOOKUP(TableHandbook[[#This Row],[UDC]],TableAvailabilities[],5,FALSE)&gt;0,"Y",""),"")</f>
        <v>Y</v>
      </c>
      <c r="K20" s="155"/>
      <c r="L20" s="152" t="str" cm="1">
        <f t="array" aca="1" ref="L20" ca="1">IFERROR(_xlfn.XLOOKUP(TableHandbook[[#This Row],[UDC]],INDIRECT("Table"&amp;SUBSTITUTE(L$2,"-","")&amp;"[UDC]",TRUE),INDIRECT("Table"&amp;SUBSTITUTE(L$2,"-","")&amp;"[Component Type]",TRUE)),"")</f>
        <v>Core</v>
      </c>
      <c r="M20" s="152" t="str" cm="1">
        <f t="array" aca="1" ref="M20" ca="1">IFERROR(_xlfn.XLOOKUP(TableHandbook[[#This Row],[UDC]],INDIRECT("Table"&amp;SUBSTITUTE(M$2,"-","")&amp;"[UDC]",TRUE),INDIRECT("Table"&amp;SUBSTITUTE(M$2,"-","")&amp;"[Component Type]",TRUE)),"")</f>
        <v>Core</v>
      </c>
      <c r="N20" s="154" t="str" cm="1">
        <f t="array" aca="1" ref="N20" ca="1">IFERROR(_xlfn.XLOOKUP(TableHandbook[[#This Row],[UDC]],INDIRECT("Table"&amp;SUBSTITUTE(N$2,"-","")&amp;"[UDC]",TRUE),INDIRECT("Table"&amp;SUBSTITUTE(N$2,"-","")&amp;"[Component Type]",TRUE)),"")</f>
        <v/>
      </c>
      <c r="O20" s="152" t="str" cm="1">
        <f t="array" aca="1" ref="O20" ca="1">IFERROR(_xlfn.XLOOKUP(TableHandbook[[#This Row],[UDC]],INDIRECT("Table"&amp;SUBSTITUTE(O$2,"-","")&amp;"[UDC]",TRUE),INDIRECT("Table"&amp;SUBSTITUTE(O$2,"-","")&amp;"[Component Type]",TRUE)),"")</f>
        <v/>
      </c>
      <c r="P20" s="152" t="str" cm="1">
        <f t="array" aca="1" ref="P20" ca="1">IFERROR(_xlfn.XLOOKUP(TableHandbook[[#This Row],[UDC]],INDIRECT("Table"&amp;SUBSTITUTE(P$2,"-","")&amp;"[UDC]",TRUE),INDIRECT("Table"&amp;SUBSTITUTE(P$2,"-","")&amp;"[Component Type]",TRUE)),"")</f>
        <v/>
      </c>
      <c r="Q20" s="152" t="str" cm="1">
        <f t="array" aca="1" ref="Q20" ca="1">IFERROR(_xlfn.XLOOKUP(TableHandbook[[#This Row],[UDC]],INDIRECT("Table"&amp;SUBSTITUTE(Q$2,"-","")&amp;"[UDC]",TRUE),INDIRECT("Table"&amp;SUBSTITUTE(Q$2,"-","")&amp;"[Component Type]",TRUE)),"")</f>
        <v/>
      </c>
      <c r="R20" s="152" t="str" cm="1">
        <f t="array" aca="1" ref="R20" ca="1">IFERROR(_xlfn.XLOOKUP(TableHandbook[[#This Row],[UDC]],INDIRECT("Table"&amp;SUBSTITUTE(R$2,"-","")&amp;"[UDC]",TRUE),INDIRECT("Table"&amp;SUBSTITUTE(R$2,"-","")&amp;"[Component Type]",TRUE)),"")</f>
        <v/>
      </c>
      <c r="S20" s="152" t="str" cm="1">
        <f t="array" aca="1" ref="S20" ca="1">IFERROR(_xlfn.XLOOKUP(TableHandbook[[#This Row],[UDC]],INDIRECT("Table"&amp;SUBSTITUTE(S$2,"-","")&amp;"[UDC]",TRUE),INDIRECT("Table"&amp;SUBSTITUTE(S$2,"-","")&amp;"[Component Type]",TRUE)),"")</f>
        <v/>
      </c>
      <c r="T20" s="152" t="str" cm="1">
        <f t="array" aca="1" ref="T20" ca="1">IFERROR(_xlfn.XLOOKUP(TableHandbook[[#This Row],[UDC]],INDIRECT("Table"&amp;SUBSTITUTE(T$2,"-","")&amp;"[UDC]",TRUE),INDIRECT("Table"&amp;SUBSTITUTE(T$2,"-","")&amp;"[Component Type]",TRUE)),"")</f>
        <v/>
      </c>
      <c r="U20" s="152" t="str" cm="1">
        <f t="array" aca="1" ref="U20" ca="1">IFERROR(_xlfn.XLOOKUP(TableHandbook[[#This Row],[UDC]],INDIRECT("Table"&amp;SUBSTITUTE(U$2,"-","")&amp;"[UDC]",TRUE),INDIRECT("Table"&amp;SUBSTITUTE(U$2,"-","")&amp;"[Component Type]",TRUE)),"")</f>
        <v/>
      </c>
      <c r="V20" s="154" t="str" cm="1">
        <f t="array" aca="1" ref="V20" ca="1">IFERROR(_xlfn.XLOOKUP(TableHandbook[[#This Row],[UDC]],INDIRECT("Table"&amp;SUBSTITUTE(V$2,"-","")&amp;"[UDC]",TRUE),INDIRECT("Table"&amp;SUBSTITUTE(V$2,"-","")&amp;"[Component Type]",TRUE)),"")</f>
        <v/>
      </c>
      <c r="W20" s="152" t="str" cm="1">
        <f t="array" aca="1" ref="W20" ca="1">IFERROR(_xlfn.XLOOKUP(TableHandbook[[#This Row],[UDC]],INDIRECT("Table"&amp;SUBSTITUTE(W$2,"-","")&amp;"[UDC]",TRUE),INDIRECT("Table"&amp;SUBSTITUTE(W$2,"-","")&amp;"[Component Type]",TRUE)),"")</f>
        <v/>
      </c>
      <c r="X20" s="152" t="str" cm="1">
        <f t="array" aca="1" ref="X20" ca="1">IFERROR(_xlfn.XLOOKUP(TableHandbook[[#This Row],[UDC]],INDIRECT("Table"&amp;SUBSTITUTE(X$2,"-","")&amp;"[UDC]",TRUE),INDIRECT("Table"&amp;SUBSTITUTE(X$2,"-","")&amp;"[Component Type]",TRUE)),"")</f>
        <v/>
      </c>
      <c r="Y20" s="152" t="str" cm="1">
        <f t="array" aca="1" ref="Y20" ca="1">IFERROR(_xlfn.XLOOKUP(TableHandbook[[#This Row],[UDC]],INDIRECT("Table"&amp;SUBSTITUTE(Y$2,"-","")&amp;"[UDC]",TRUE),INDIRECT("Table"&amp;SUBSTITUTE(Y$2,"-","")&amp;"[Component Type]",TRUE)),"")</f>
        <v/>
      </c>
      <c r="Z20" s="152" t="str" cm="1">
        <f t="array" aca="1" ref="Z20" ca="1">IFERROR(_xlfn.XLOOKUP(TableHandbook[[#This Row],[UDC]],INDIRECT("Table"&amp;SUBSTITUTE(Z$2,"-","")&amp;"[UDC]",TRUE),INDIRECT("Table"&amp;SUBSTITUTE(Z$2,"-","")&amp;"[Component Type]",TRUE)),"")</f>
        <v/>
      </c>
    </row>
    <row r="21" spans="1:26" x14ac:dyDescent="0.25">
      <c r="A21" s="8" t="s">
        <v>671</v>
      </c>
      <c r="B21" s="9">
        <v>1</v>
      </c>
      <c r="C21" s="9" t="s">
        <v>277</v>
      </c>
      <c r="D21" s="8" t="s">
        <v>278</v>
      </c>
      <c r="E21" s="9">
        <v>25</v>
      </c>
      <c r="F21" s="265" t="s">
        <v>279</v>
      </c>
      <c r="G21" s="72" t="str">
        <f>IFERROR(IF(VLOOKUP(TableHandbook[[#This Row],[UDC]],TableAvailabilities[],2,FALSE)&gt;0,"Y",""),"")</f>
        <v/>
      </c>
      <c r="H21" s="72" t="str">
        <f>IFERROR(IF(VLOOKUP(TableHandbook[[#This Row],[UDC]],TableAvailabilities[],3,FALSE)&gt;0,"Y",""),"")</f>
        <v/>
      </c>
      <c r="I21" s="72" t="str">
        <f>IFERROR(IF(VLOOKUP(TableHandbook[[#This Row],[UDC]],TableAvailabilities[],4,FALSE)&gt;0,"Y",""),"")</f>
        <v/>
      </c>
      <c r="J21" s="72" t="str">
        <f>IFERROR(IF(VLOOKUP(TableHandbook[[#This Row],[UDC]],TableAvailabilities[],5,FALSE)&gt;0,"Y",""),"")</f>
        <v/>
      </c>
      <c r="K21" s="155" t="s">
        <v>654</v>
      </c>
      <c r="L21" s="152" t="str" cm="1">
        <f t="array" aca="1" ref="L21" ca="1">IFERROR(_xlfn.XLOOKUP(TableHandbook[[#This Row],[UDC]],INDIRECT("Table"&amp;SUBSTITUTE(L$2,"-","")&amp;"[UDC]",TRUE),INDIRECT("Table"&amp;SUBSTITUTE(L$2,"-","")&amp;"[Component Type]",TRUE)),"")</f>
        <v/>
      </c>
      <c r="M21" s="152" t="str" cm="1">
        <f t="array" aca="1" ref="M21" ca="1">IFERROR(_xlfn.XLOOKUP(TableHandbook[[#This Row],[UDC]],INDIRECT("Table"&amp;SUBSTITUTE(M$2,"-","")&amp;"[UDC]",TRUE),INDIRECT("Table"&amp;SUBSTITUTE(M$2,"-","")&amp;"[Component Type]",TRUE)),"")</f>
        <v/>
      </c>
      <c r="N21" s="154" t="str" cm="1">
        <f t="array" aca="1" ref="N21" ca="1">IFERROR(_xlfn.XLOOKUP(TableHandbook[[#This Row],[UDC]],INDIRECT("Table"&amp;SUBSTITUTE(N$2,"-","")&amp;"[UDC]",TRUE),INDIRECT("Table"&amp;SUBSTITUTE(N$2,"-","")&amp;"[Component Type]",TRUE)),"")</f>
        <v/>
      </c>
      <c r="O21" s="152" t="str" cm="1">
        <f t="array" aca="1" ref="O21" ca="1">IFERROR(_xlfn.XLOOKUP(TableHandbook[[#This Row],[UDC]],INDIRECT("Table"&amp;SUBSTITUTE(O$2,"-","")&amp;"[UDC]",TRUE),INDIRECT("Table"&amp;SUBSTITUTE(O$2,"-","")&amp;"[Component Type]",TRUE)),"")</f>
        <v/>
      </c>
      <c r="P21" s="152" t="str" cm="1">
        <f t="array" aca="1" ref="P21" ca="1">IFERROR(_xlfn.XLOOKUP(TableHandbook[[#This Row],[UDC]],INDIRECT("Table"&amp;SUBSTITUTE(P$2,"-","")&amp;"[UDC]",TRUE),INDIRECT("Table"&amp;SUBSTITUTE(P$2,"-","")&amp;"[Component Type]",TRUE)),"")</f>
        <v/>
      </c>
      <c r="Q21" s="152" t="str" cm="1">
        <f t="array" aca="1" ref="Q21" ca="1">IFERROR(_xlfn.XLOOKUP(TableHandbook[[#This Row],[UDC]],INDIRECT("Table"&amp;SUBSTITUTE(Q$2,"-","")&amp;"[UDC]",TRUE),INDIRECT("Table"&amp;SUBSTITUTE(Q$2,"-","")&amp;"[Component Type]",TRUE)),"")</f>
        <v/>
      </c>
      <c r="R21" s="152" t="str" cm="1">
        <f t="array" aca="1" ref="R21" ca="1">IFERROR(_xlfn.XLOOKUP(TableHandbook[[#This Row],[UDC]],INDIRECT("Table"&amp;SUBSTITUTE(R$2,"-","")&amp;"[UDC]",TRUE),INDIRECT("Table"&amp;SUBSTITUTE(R$2,"-","")&amp;"[Component Type]",TRUE)),"")</f>
        <v/>
      </c>
      <c r="S21" s="152" t="str" cm="1">
        <f t="array" aca="1" ref="S21" ca="1">IFERROR(_xlfn.XLOOKUP(TableHandbook[[#This Row],[UDC]],INDIRECT("Table"&amp;SUBSTITUTE(S$2,"-","")&amp;"[UDC]",TRUE),INDIRECT("Table"&amp;SUBSTITUTE(S$2,"-","")&amp;"[Component Type]",TRUE)),"")</f>
        <v/>
      </c>
      <c r="T21" s="152" t="str" cm="1">
        <f t="array" aca="1" ref="T21" ca="1">IFERROR(_xlfn.XLOOKUP(TableHandbook[[#This Row],[UDC]],INDIRECT("Table"&amp;SUBSTITUTE(T$2,"-","")&amp;"[UDC]",TRUE),INDIRECT("Table"&amp;SUBSTITUTE(T$2,"-","")&amp;"[Component Type]",TRUE)),"")</f>
        <v/>
      </c>
      <c r="U21" s="152" t="str" cm="1">
        <f t="array" aca="1" ref="U21" ca="1">IFERROR(_xlfn.XLOOKUP(TableHandbook[[#This Row],[UDC]],INDIRECT("Table"&amp;SUBSTITUTE(U$2,"-","")&amp;"[UDC]",TRUE),INDIRECT("Table"&amp;SUBSTITUTE(U$2,"-","")&amp;"[Component Type]",TRUE)),"")</f>
        <v/>
      </c>
      <c r="V21" s="154" t="str" cm="1">
        <f t="array" aca="1" ref="V21" ca="1">IFERROR(_xlfn.XLOOKUP(TableHandbook[[#This Row],[UDC]],INDIRECT("Table"&amp;SUBSTITUTE(V$2,"-","")&amp;"[UDC]",TRUE),INDIRECT("Table"&amp;SUBSTITUTE(V$2,"-","")&amp;"[Component Type]",TRUE)),"")</f>
        <v/>
      </c>
      <c r="W21" s="152" t="str" cm="1">
        <f t="array" aca="1" ref="W21" ca="1">IFERROR(_xlfn.XLOOKUP(TableHandbook[[#This Row],[UDC]],INDIRECT("Table"&amp;SUBSTITUTE(W$2,"-","")&amp;"[UDC]",TRUE),INDIRECT("Table"&amp;SUBSTITUTE(W$2,"-","")&amp;"[Component Type]",TRUE)),"")</f>
        <v/>
      </c>
      <c r="X21" s="152" t="str" cm="1">
        <f t="array" aca="1" ref="X21" ca="1">IFERROR(_xlfn.XLOOKUP(TableHandbook[[#This Row],[UDC]],INDIRECT("Table"&amp;SUBSTITUTE(X$2,"-","")&amp;"[UDC]",TRUE),INDIRECT("Table"&amp;SUBSTITUTE(X$2,"-","")&amp;"[Component Type]",TRUE)),"")</f>
        <v/>
      </c>
      <c r="Y21" s="152" t="str" cm="1">
        <f t="array" aca="1" ref="Y21" ca="1">IFERROR(_xlfn.XLOOKUP(TableHandbook[[#This Row],[UDC]],INDIRECT("Table"&amp;SUBSTITUTE(Y$2,"-","")&amp;"[UDC]",TRUE),INDIRECT("Table"&amp;SUBSTITUTE(Y$2,"-","")&amp;"[Component Type]",TRUE)),"")</f>
        <v/>
      </c>
      <c r="Z21" s="152" t="str" cm="1">
        <f t="array" aca="1" ref="Z21" ca="1">IFERROR(_xlfn.XLOOKUP(TableHandbook[[#This Row],[UDC]],INDIRECT("Table"&amp;SUBSTITUTE(Z$2,"-","")&amp;"[UDC]",TRUE),INDIRECT("Table"&amp;SUBSTITUTE(Z$2,"-","")&amp;"[Component Type]",TRUE)),"")</f>
        <v/>
      </c>
    </row>
    <row r="22" spans="1:26" x14ac:dyDescent="0.25">
      <c r="A22" s="8" t="s">
        <v>102</v>
      </c>
      <c r="B22" s="9">
        <v>1</v>
      </c>
      <c r="C22" s="9" t="s">
        <v>280</v>
      </c>
      <c r="D22" s="8" t="s">
        <v>281</v>
      </c>
      <c r="E22" s="9">
        <v>25</v>
      </c>
      <c r="F22" s="266" t="s">
        <v>701</v>
      </c>
      <c r="G22" s="72" t="str">
        <f>IFERROR(IF(VLOOKUP(TableHandbook[[#This Row],[UDC]],TableAvailabilities[],2,FALSE)&gt;0,"Y",""),"")</f>
        <v>Y</v>
      </c>
      <c r="H22" s="72" t="str">
        <f>IFERROR(IF(VLOOKUP(TableHandbook[[#This Row],[UDC]],TableAvailabilities[],3,FALSE)&gt;0,"Y",""),"")</f>
        <v/>
      </c>
      <c r="I22" s="72" t="str">
        <f>IFERROR(IF(VLOOKUP(TableHandbook[[#This Row],[UDC]],TableAvailabilities[],4,FALSE)&gt;0,"Y",""),"")</f>
        <v>Y</v>
      </c>
      <c r="J22" s="72" t="str">
        <f>IFERROR(IF(VLOOKUP(TableHandbook[[#This Row],[UDC]],TableAvailabilities[],5,FALSE)&gt;0,"Y",""),"")</f>
        <v/>
      </c>
      <c r="K22" s="155"/>
      <c r="L22" s="152" t="str" cm="1">
        <f t="array" aca="1" ref="L22" ca="1">IFERROR(_xlfn.XLOOKUP(TableHandbook[[#This Row],[UDC]],INDIRECT("Table"&amp;SUBSTITUTE(L$2,"-","")&amp;"[UDC]",TRUE),INDIRECT("Table"&amp;SUBSTITUTE(L$2,"-","")&amp;"[Component Type]",TRUE)),"")</f>
        <v>Core</v>
      </c>
      <c r="M22" s="152" t="str" cm="1">
        <f t="array" aca="1" ref="M22" ca="1">IFERROR(_xlfn.XLOOKUP(TableHandbook[[#This Row],[UDC]],INDIRECT("Table"&amp;SUBSTITUTE(M$2,"-","")&amp;"[UDC]",TRUE),INDIRECT("Table"&amp;SUBSTITUTE(M$2,"-","")&amp;"[Component Type]",TRUE)),"")</f>
        <v>Core</v>
      </c>
      <c r="N22" s="154" t="str" cm="1">
        <f t="array" aca="1" ref="N22" ca="1">IFERROR(_xlfn.XLOOKUP(TableHandbook[[#This Row],[UDC]],INDIRECT("Table"&amp;SUBSTITUTE(N$2,"-","")&amp;"[UDC]",TRUE),INDIRECT("Table"&amp;SUBSTITUTE(N$2,"-","")&amp;"[Component Type]",TRUE)),"")</f>
        <v/>
      </c>
      <c r="O22" s="152" t="str" cm="1">
        <f t="array" aca="1" ref="O22" ca="1">IFERROR(_xlfn.XLOOKUP(TableHandbook[[#This Row],[UDC]],INDIRECT("Table"&amp;SUBSTITUTE(O$2,"-","")&amp;"[UDC]",TRUE),INDIRECT("Table"&amp;SUBSTITUTE(O$2,"-","")&amp;"[Component Type]",TRUE)),"")</f>
        <v/>
      </c>
      <c r="P22" s="152" t="str" cm="1">
        <f t="array" aca="1" ref="P22" ca="1">IFERROR(_xlfn.XLOOKUP(TableHandbook[[#This Row],[UDC]],INDIRECT("Table"&amp;SUBSTITUTE(P$2,"-","")&amp;"[UDC]",TRUE),INDIRECT("Table"&amp;SUBSTITUTE(P$2,"-","")&amp;"[Component Type]",TRUE)),"")</f>
        <v/>
      </c>
      <c r="Q22" s="152" t="str" cm="1">
        <f t="array" aca="1" ref="Q22" ca="1">IFERROR(_xlfn.XLOOKUP(TableHandbook[[#This Row],[UDC]],INDIRECT("Table"&amp;SUBSTITUTE(Q$2,"-","")&amp;"[UDC]",TRUE),INDIRECT("Table"&amp;SUBSTITUTE(Q$2,"-","")&amp;"[Component Type]",TRUE)),"")</f>
        <v/>
      </c>
      <c r="R22" s="152" t="str" cm="1">
        <f t="array" aca="1" ref="R22" ca="1">IFERROR(_xlfn.XLOOKUP(TableHandbook[[#This Row],[UDC]],INDIRECT("Table"&amp;SUBSTITUTE(R$2,"-","")&amp;"[UDC]",TRUE),INDIRECT("Table"&amp;SUBSTITUTE(R$2,"-","")&amp;"[Component Type]",TRUE)),"")</f>
        <v/>
      </c>
      <c r="S22" s="152" t="str" cm="1">
        <f t="array" aca="1" ref="S22" ca="1">IFERROR(_xlfn.XLOOKUP(TableHandbook[[#This Row],[UDC]],INDIRECT("Table"&amp;SUBSTITUTE(S$2,"-","")&amp;"[UDC]",TRUE),INDIRECT("Table"&amp;SUBSTITUTE(S$2,"-","")&amp;"[Component Type]",TRUE)),"")</f>
        <v/>
      </c>
      <c r="T22" s="152" t="str" cm="1">
        <f t="array" aca="1" ref="T22" ca="1">IFERROR(_xlfn.XLOOKUP(TableHandbook[[#This Row],[UDC]],INDIRECT("Table"&amp;SUBSTITUTE(T$2,"-","")&amp;"[UDC]",TRUE),INDIRECT("Table"&amp;SUBSTITUTE(T$2,"-","")&amp;"[Component Type]",TRUE)),"")</f>
        <v/>
      </c>
      <c r="U22" s="152" t="str" cm="1">
        <f t="array" aca="1" ref="U22" ca="1">IFERROR(_xlfn.XLOOKUP(TableHandbook[[#This Row],[UDC]],INDIRECT("Table"&amp;SUBSTITUTE(U$2,"-","")&amp;"[UDC]",TRUE),INDIRECT("Table"&amp;SUBSTITUTE(U$2,"-","")&amp;"[Component Type]",TRUE)),"")</f>
        <v/>
      </c>
      <c r="V22" s="154" t="str" cm="1">
        <f t="array" aca="1" ref="V22" ca="1">IFERROR(_xlfn.XLOOKUP(TableHandbook[[#This Row],[UDC]],INDIRECT("Table"&amp;SUBSTITUTE(V$2,"-","")&amp;"[UDC]",TRUE),INDIRECT("Table"&amp;SUBSTITUTE(V$2,"-","")&amp;"[Component Type]",TRUE)),"")</f>
        <v/>
      </c>
      <c r="W22" s="152" t="str" cm="1">
        <f t="array" aca="1" ref="W22" ca="1">IFERROR(_xlfn.XLOOKUP(TableHandbook[[#This Row],[UDC]],INDIRECT("Table"&amp;SUBSTITUTE(W$2,"-","")&amp;"[UDC]",TRUE),INDIRECT("Table"&amp;SUBSTITUTE(W$2,"-","")&amp;"[Component Type]",TRUE)),"")</f>
        <v/>
      </c>
      <c r="X22" s="152" t="str" cm="1">
        <f t="array" aca="1" ref="X22" ca="1">IFERROR(_xlfn.XLOOKUP(TableHandbook[[#This Row],[UDC]],INDIRECT("Table"&amp;SUBSTITUTE(X$2,"-","")&amp;"[UDC]",TRUE),INDIRECT("Table"&amp;SUBSTITUTE(X$2,"-","")&amp;"[Component Type]",TRUE)),"")</f>
        <v/>
      </c>
      <c r="Y22" s="152" t="str" cm="1">
        <f t="array" aca="1" ref="Y22" ca="1">IFERROR(_xlfn.XLOOKUP(TableHandbook[[#This Row],[UDC]],INDIRECT("Table"&amp;SUBSTITUTE(Y$2,"-","")&amp;"[UDC]",TRUE),INDIRECT("Table"&amp;SUBSTITUTE(Y$2,"-","")&amp;"[Component Type]",TRUE)),"")</f>
        <v/>
      </c>
      <c r="Z22" s="152" t="str" cm="1">
        <f t="array" aca="1" ref="Z22" ca="1">IFERROR(_xlfn.XLOOKUP(TableHandbook[[#This Row],[UDC]],INDIRECT("Table"&amp;SUBSTITUTE(Z$2,"-","")&amp;"[UDC]",TRUE),INDIRECT("Table"&amp;SUBSTITUTE(Z$2,"-","")&amp;"[Component Type]",TRUE)),"")</f>
        <v/>
      </c>
    </row>
    <row r="23" spans="1:26" x14ac:dyDescent="0.25">
      <c r="A23" s="246" t="s">
        <v>591</v>
      </c>
      <c r="B23" s="9">
        <v>1</v>
      </c>
      <c r="C23" s="9" t="s">
        <v>591</v>
      </c>
      <c r="D23" s="8" t="s">
        <v>641</v>
      </c>
      <c r="E23" s="9">
        <v>25</v>
      </c>
      <c r="F23" s="266" t="s">
        <v>702</v>
      </c>
      <c r="G23" s="72" t="str">
        <f>IFERROR(IF(VLOOKUP(TableHandbook[[#This Row],[UDC]],TableAvailabilities[],2,FALSE)&gt;0,"Y",""),"")</f>
        <v>Y</v>
      </c>
      <c r="H23" s="72" t="str">
        <f>IFERROR(IF(VLOOKUP(TableHandbook[[#This Row],[UDC]],TableAvailabilities[],3,FALSE)&gt;0,"Y",""),"")</f>
        <v/>
      </c>
      <c r="I23" s="72" t="str">
        <f>IFERROR(IF(VLOOKUP(TableHandbook[[#This Row],[UDC]],TableAvailabilities[],4,FALSE)&gt;0,"Y",""),"")</f>
        <v>Y</v>
      </c>
      <c r="J23" s="72" t="str">
        <f>IFERROR(IF(VLOOKUP(TableHandbook[[#This Row],[UDC]],TableAvailabilities[],5,FALSE)&gt;0,"Y",""),"")</f>
        <v/>
      </c>
      <c r="K23" s="155"/>
      <c r="L23" s="152" t="str" cm="1">
        <f t="array" aca="1" ref="L23" ca="1">IFERROR(_xlfn.XLOOKUP(TableHandbook[[#This Row],[UDC]],INDIRECT("Table"&amp;SUBSTITUTE(L$2,"-","")&amp;"[UDC]",TRUE),INDIRECT("Table"&amp;SUBSTITUTE(L$2,"-","")&amp;"[Component Type]",TRUE)),"")</f>
        <v>Core</v>
      </c>
      <c r="M23" s="152" t="str" cm="1">
        <f t="array" aca="1" ref="M23" ca="1">IFERROR(_xlfn.XLOOKUP(TableHandbook[[#This Row],[UDC]],INDIRECT("Table"&amp;SUBSTITUTE(M$2,"-","")&amp;"[UDC]",TRUE),INDIRECT("Table"&amp;SUBSTITUTE(M$2,"-","")&amp;"[Component Type]",TRUE)),"")</f>
        <v>Core</v>
      </c>
      <c r="N23" s="154" t="str" cm="1">
        <f t="array" aca="1" ref="N23" ca="1">IFERROR(_xlfn.XLOOKUP(TableHandbook[[#This Row],[UDC]],INDIRECT("Table"&amp;SUBSTITUTE(N$2,"-","")&amp;"[UDC]",TRUE),INDIRECT("Table"&amp;SUBSTITUTE(N$2,"-","")&amp;"[Component Type]",TRUE)),"")</f>
        <v/>
      </c>
      <c r="O23" s="152" t="str" cm="1">
        <f t="array" aca="1" ref="O23" ca="1">IFERROR(_xlfn.XLOOKUP(TableHandbook[[#This Row],[UDC]],INDIRECT("Table"&amp;SUBSTITUTE(O$2,"-","")&amp;"[UDC]",TRUE),INDIRECT("Table"&amp;SUBSTITUTE(O$2,"-","")&amp;"[Component Type]",TRUE)),"")</f>
        <v/>
      </c>
      <c r="P23" s="152" t="str" cm="1">
        <f t="array" aca="1" ref="P23" ca="1">IFERROR(_xlfn.XLOOKUP(TableHandbook[[#This Row],[UDC]],INDIRECT("Table"&amp;SUBSTITUTE(P$2,"-","")&amp;"[UDC]",TRUE),INDIRECT("Table"&amp;SUBSTITUTE(P$2,"-","")&amp;"[Component Type]",TRUE)),"")</f>
        <v/>
      </c>
      <c r="Q23" s="152" t="str" cm="1">
        <f t="array" aca="1" ref="Q23" ca="1">IFERROR(_xlfn.XLOOKUP(TableHandbook[[#This Row],[UDC]],INDIRECT("Table"&amp;SUBSTITUTE(Q$2,"-","")&amp;"[UDC]",TRUE),INDIRECT("Table"&amp;SUBSTITUTE(Q$2,"-","")&amp;"[Component Type]",TRUE)),"")</f>
        <v/>
      </c>
      <c r="R23" s="152" t="str" cm="1">
        <f t="array" aca="1" ref="R23" ca="1">IFERROR(_xlfn.XLOOKUP(TableHandbook[[#This Row],[UDC]],INDIRECT("Table"&amp;SUBSTITUTE(R$2,"-","")&amp;"[UDC]",TRUE),INDIRECT("Table"&amp;SUBSTITUTE(R$2,"-","")&amp;"[Component Type]",TRUE)),"")</f>
        <v/>
      </c>
      <c r="S23" s="152" t="str" cm="1">
        <f t="array" aca="1" ref="S23" ca="1">IFERROR(_xlfn.XLOOKUP(TableHandbook[[#This Row],[UDC]],INDIRECT("Table"&amp;SUBSTITUTE(S$2,"-","")&amp;"[UDC]",TRUE),INDIRECT("Table"&amp;SUBSTITUTE(S$2,"-","")&amp;"[Component Type]",TRUE)),"")</f>
        <v/>
      </c>
      <c r="T23" s="152" t="str" cm="1">
        <f t="array" aca="1" ref="T23" ca="1">IFERROR(_xlfn.XLOOKUP(TableHandbook[[#This Row],[UDC]],INDIRECT("Table"&amp;SUBSTITUTE(T$2,"-","")&amp;"[UDC]",TRUE),INDIRECT("Table"&amp;SUBSTITUTE(T$2,"-","")&amp;"[Component Type]",TRUE)),"")</f>
        <v/>
      </c>
      <c r="U23" s="152" t="str" cm="1">
        <f t="array" aca="1" ref="U23" ca="1">IFERROR(_xlfn.XLOOKUP(TableHandbook[[#This Row],[UDC]],INDIRECT("Table"&amp;SUBSTITUTE(U$2,"-","")&amp;"[UDC]",TRUE),INDIRECT("Table"&amp;SUBSTITUTE(U$2,"-","")&amp;"[Component Type]",TRUE)),"")</f>
        <v/>
      </c>
      <c r="V23" s="154" t="str" cm="1">
        <f t="array" aca="1" ref="V23" ca="1">IFERROR(_xlfn.XLOOKUP(TableHandbook[[#This Row],[UDC]],INDIRECT("Table"&amp;SUBSTITUTE(V$2,"-","")&amp;"[UDC]",TRUE),INDIRECT("Table"&amp;SUBSTITUTE(V$2,"-","")&amp;"[Component Type]",TRUE)),"")</f>
        <v/>
      </c>
      <c r="W23" s="152" t="str" cm="1">
        <f t="array" aca="1" ref="W23" ca="1">IFERROR(_xlfn.XLOOKUP(TableHandbook[[#This Row],[UDC]],INDIRECT("Table"&amp;SUBSTITUTE(W$2,"-","")&amp;"[UDC]",TRUE),INDIRECT("Table"&amp;SUBSTITUTE(W$2,"-","")&amp;"[Component Type]",TRUE)),"")</f>
        <v/>
      </c>
      <c r="X23" s="152" t="str" cm="1">
        <f t="array" aca="1" ref="X23" ca="1">IFERROR(_xlfn.XLOOKUP(TableHandbook[[#This Row],[UDC]],INDIRECT("Table"&amp;SUBSTITUTE(X$2,"-","")&amp;"[UDC]",TRUE),INDIRECT("Table"&amp;SUBSTITUTE(X$2,"-","")&amp;"[Component Type]",TRUE)),"")</f>
        <v/>
      </c>
      <c r="Y23" s="152" t="str" cm="1">
        <f t="array" aca="1" ref="Y23" ca="1">IFERROR(_xlfn.XLOOKUP(TableHandbook[[#This Row],[UDC]],INDIRECT("Table"&amp;SUBSTITUTE(Y$2,"-","")&amp;"[UDC]",TRUE),INDIRECT("Table"&amp;SUBSTITUTE(Y$2,"-","")&amp;"[Component Type]",TRUE)),"")</f>
        <v/>
      </c>
      <c r="Z23" s="152" t="str" cm="1">
        <f t="array" aca="1" ref="Z23" ca="1">IFERROR(_xlfn.XLOOKUP(TableHandbook[[#This Row],[UDC]],INDIRECT("Table"&amp;SUBSTITUTE(Z$2,"-","")&amp;"[UDC]",TRUE),INDIRECT("Table"&amp;SUBSTITUTE(Z$2,"-","")&amp;"[Component Type]",TRUE)),"")</f>
        <v/>
      </c>
    </row>
    <row r="24" spans="1:26" x14ac:dyDescent="0.25">
      <c r="A24" s="246" t="s">
        <v>593</v>
      </c>
      <c r="B24" s="9">
        <v>1</v>
      </c>
      <c r="C24" s="9" t="s">
        <v>593</v>
      </c>
      <c r="D24" s="8" t="s">
        <v>292</v>
      </c>
      <c r="E24" s="9">
        <v>25</v>
      </c>
      <c r="F24" s="266" t="s">
        <v>703</v>
      </c>
      <c r="G24" s="72" t="str">
        <f>IFERROR(IF(VLOOKUP(TableHandbook[[#This Row],[UDC]],TableAvailabilities[],2,FALSE)&gt;0,"Y",""),"")</f>
        <v>Y</v>
      </c>
      <c r="H24" s="72" t="str">
        <f>IFERROR(IF(VLOOKUP(TableHandbook[[#This Row],[UDC]],TableAvailabilities[],3,FALSE)&gt;0,"Y",""),"")</f>
        <v/>
      </c>
      <c r="I24" s="72" t="str">
        <f>IFERROR(IF(VLOOKUP(TableHandbook[[#This Row],[UDC]],TableAvailabilities[],4,FALSE)&gt;0,"Y",""),"")</f>
        <v>Y</v>
      </c>
      <c r="J24" s="72" t="str">
        <f>IFERROR(IF(VLOOKUP(TableHandbook[[#This Row],[UDC]],TableAvailabilities[],5,FALSE)&gt;0,"Y",""),"")</f>
        <v/>
      </c>
      <c r="K24" s="155"/>
      <c r="L24" s="152" t="str" cm="1">
        <f t="array" aca="1" ref="L24" ca="1">IFERROR(_xlfn.XLOOKUP(TableHandbook[[#This Row],[UDC]],INDIRECT("Table"&amp;SUBSTITUTE(L$2,"-","")&amp;"[UDC]",TRUE),INDIRECT("Table"&amp;SUBSTITUTE(L$2,"-","")&amp;"[Component Type]",TRUE)),"")</f>
        <v>Core</v>
      </c>
      <c r="M24" s="152" t="str" cm="1">
        <f t="array" aca="1" ref="M24" ca="1">IFERROR(_xlfn.XLOOKUP(TableHandbook[[#This Row],[UDC]],INDIRECT("Table"&amp;SUBSTITUTE(M$2,"-","")&amp;"[UDC]",TRUE),INDIRECT("Table"&amp;SUBSTITUTE(M$2,"-","")&amp;"[Component Type]",TRUE)),"")</f>
        <v>Core</v>
      </c>
      <c r="N24" s="154" t="str" cm="1">
        <f t="array" aca="1" ref="N24" ca="1">IFERROR(_xlfn.XLOOKUP(TableHandbook[[#This Row],[UDC]],INDIRECT("Table"&amp;SUBSTITUTE(N$2,"-","")&amp;"[UDC]",TRUE),INDIRECT("Table"&amp;SUBSTITUTE(N$2,"-","")&amp;"[Component Type]",TRUE)),"")</f>
        <v/>
      </c>
      <c r="O24" s="152" t="str" cm="1">
        <f t="array" aca="1" ref="O24" ca="1">IFERROR(_xlfn.XLOOKUP(TableHandbook[[#This Row],[UDC]],INDIRECT("Table"&amp;SUBSTITUTE(O$2,"-","")&amp;"[UDC]",TRUE),INDIRECT("Table"&amp;SUBSTITUTE(O$2,"-","")&amp;"[Component Type]",TRUE)),"")</f>
        <v/>
      </c>
      <c r="P24" s="152" t="str" cm="1">
        <f t="array" aca="1" ref="P24" ca="1">IFERROR(_xlfn.XLOOKUP(TableHandbook[[#This Row],[UDC]],INDIRECT("Table"&amp;SUBSTITUTE(P$2,"-","")&amp;"[UDC]",TRUE),INDIRECT("Table"&amp;SUBSTITUTE(P$2,"-","")&amp;"[Component Type]",TRUE)),"")</f>
        <v/>
      </c>
      <c r="Q24" s="152" t="str" cm="1">
        <f t="array" aca="1" ref="Q24" ca="1">IFERROR(_xlfn.XLOOKUP(TableHandbook[[#This Row],[UDC]],INDIRECT("Table"&amp;SUBSTITUTE(Q$2,"-","")&amp;"[UDC]",TRUE),INDIRECT("Table"&amp;SUBSTITUTE(Q$2,"-","")&amp;"[Component Type]",TRUE)),"")</f>
        <v/>
      </c>
      <c r="R24" s="152" t="str" cm="1">
        <f t="array" aca="1" ref="R24" ca="1">IFERROR(_xlfn.XLOOKUP(TableHandbook[[#This Row],[UDC]],INDIRECT("Table"&amp;SUBSTITUTE(R$2,"-","")&amp;"[UDC]",TRUE),INDIRECT("Table"&amp;SUBSTITUTE(R$2,"-","")&amp;"[Component Type]",TRUE)),"")</f>
        <v/>
      </c>
      <c r="S24" s="152" t="str" cm="1">
        <f t="array" aca="1" ref="S24" ca="1">IFERROR(_xlfn.XLOOKUP(TableHandbook[[#This Row],[UDC]],INDIRECT("Table"&amp;SUBSTITUTE(S$2,"-","")&amp;"[UDC]",TRUE),INDIRECT("Table"&amp;SUBSTITUTE(S$2,"-","")&amp;"[Component Type]",TRUE)),"")</f>
        <v/>
      </c>
      <c r="T24" s="152" t="str" cm="1">
        <f t="array" aca="1" ref="T24" ca="1">IFERROR(_xlfn.XLOOKUP(TableHandbook[[#This Row],[UDC]],INDIRECT("Table"&amp;SUBSTITUTE(T$2,"-","")&amp;"[UDC]",TRUE),INDIRECT("Table"&amp;SUBSTITUTE(T$2,"-","")&amp;"[Component Type]",TRUE)),"")</f>
        <v/>
      </c>
      <c r="U24" s="152" t="str" cm="1">
        <f t="array" aca="1" ref="U24" ca="1">IFERROR(_xlfn.XLOOKUP(TableHandbook[[#This Row],[UDC]],INDIRECT("Table"&amp;SUBSTITUTE(U$2,"-","")&amp;"[UDC]",TRUE),INDIRECT("Table"&amp;SUBSTITUTE(U$2,"-","")&amp;"[Component Type]",TRUE)),"")</f>
        <v/>
      </c>
      <c r="V24" s="154" t="str" cm="1">
        <f t="array" aca="1" ref="V24" ca="1">IFERROR(_xlfn.XLOOKUP(TableHandbook[[#This Row],[UDC]],INDIRECT("Table"&amp;SUBSTITUTE(V$2,"-","")&amp;"[UDC]",TRUE),INDIRECT("Table"&amp;SUBSTITUTE(V$2,"-","")&amp;"[Component Type]",TRUE)),"")</f>
        <v/>
      </c>
      <c r="W24" s="152" t="str" cm="1">
        <f t="array" aca="1" ref="W24" ca="1">IFERROR(_xlfn.XLOOKUP(TableHandbook[[#This Row],[UDC]],INDIRECT("Table"&amp;SUBSTITUTE(W$2,"-","")&amp;"[UDC]",TRUE),INDIRECT("Table"&amp;SUBSTITUTE(W$2,"-","")&amp;"[Component Type]",TRUE)),"")</f>
        <v/>
      </c>
      <c r="X24" s="152" t="str" cm="1">
        <f t="array" aca="1" ref="X24" ca="1">IFERROR(_xlfn.XLOOKUP(TableHandbook[[#This Row],[UDC]],INDIRECT("Table"&amp;SUBSTITUTE(X$2,"-","")&amp;"[UDC]",TRUE),INDIRECT("Table"&amp;SUBSTITUTE(X$2,"-","")&amp;"[Component Type]",TRUE)),"")</f>
        <v/>
      </c>
      <c r="Y24" s="152" t="str" cm="1">
        <f t="array" aca="1" ref="Y24" ca="1">IFERROR(_xlfn.XLOOKUP(TableHandbook[[#This Row],[UDC]],INDIRECT("Table"&amp;SUBSTITUTE(Y$2,"-","")&amp;"[UDC]",TRUE),INDIRECT("Table"&amp;SUBSTITUTE(Y$2,"-","")&amp;"[Component Type]",TRUE)),"")</f>
        <v/>
      </c>
      <c r="Z24" s="152" t="str" cm="1">
        <f t="array" aca="1" ref="Z24" ca="1">IFERROR(_xlfn.XLOOKUP(TableHandbook[[#This Row],[UDC]],INDIRECT("Table"&amp;SUBSTITUTE(Z$2,"-","")&amp;"[UDC]",TRUE),INDIRECT("Table"&amp;SUBSTITUTE(Z$2,"-","")&amp;"[Component Type]",TRUE)),"")</f>
        <v/>
      </c>
    </row>
    <row r="25" spans="1:26" x14ac:dyDescent="0.25">
      <c r="A25" s="246" t="s">
        <v>595</v>
      </c>
      <c r="B25" s="9">
        <v>1</v>
      </c>
      <c r="C25" s="9" t="s">
        <v>595</v>
      </c>
      <c r="D25" s="8" t="s">
        <v>642</v>
      </c>
      <c r="E25" s="9">
        <v>25</v>
      </c>
      <c r="F25" s="266" t="s">
        <v>700</v>
      </c>
      <c r="G25" s="72" t="str">
        <f>IFERROR(IF(VLOOKUP(TableHandbook[[#This Row],[UDC]],TableAvailabilities[],2,FALSE)&gt;0,"Y",""),"")</f>
        <v/>
      </c>
      <c r="H25" s="72" t="str">
        <f>IFERROR(IF(VLOOKUP(TableHandbook[[#This Row],[UDC]],TableAvailabilities[],3,FALSE)&gt;0,"Y",""),"")</f>
        <v>Y</v>
      </c>
      <c r="I25" s="72" t="str">
        <f>IFERROR(IF(VLOOKUP(TableHandbook[[#This Row],[UDC]],TableAvailabilities[],4,FALSE)&gt;0,"Y",""),"")</f>
        <v/>
      </c>
      <c r="J25" s="72" t="str">
        <f>IFERROR(IF(VLOOKUP(TableHandbook[[#This Row],[UDC]],TableAvailabilities[],5,FALSE)&gt;0,"Y",""),"")</f>
        <v>Y</v>
      </c>
      <c r="K25" s="155"/>
      <c r="L25" s="152" t="str" cm="1">
        <f t="array" aca="1" ref="L25" ca="1">IFERROR(_xlfn.XLOOKUP(TableHandbook[[#This Row],[UDC]],INDIRECT("Table"&amp;SUBSTITUTE(L$2,"-","")&amp;"[UDC]",TRUE),INDIRECT("Table"&amp;SUBSTITUTE(L$2,"-","")&amp;"[Component Type]",TRUE)),"")</f>
        <v>Core</v>
      </c>
      <c r="M25" s="152" t="str" cm="1">
        <f t="array" aca="1" ref="M25" ca="1">IFERROR(_xlfn.XLOOKUP(TableHandbook[[#This Row],[UDC]],INDIRECT("Table"&amp;SUBSTITUTE(M$2,"-","")&amp;"[UDC]",TRUE),INDIRECT("Table"&amp;SUBSTITUTE(M$2,"-","")&amp;"[Component Type]",TRUE)),"")</f>
        <v>Core</v>
      </c>
      <c r="N25" s="154" t="str" cm="1">
        <f t="array" aca="1" ref="N25" ca="1">IFERROR(_xlfn.XLOOKUP(TableHandbook[[#This Row],[UDC]],INDIRECT("Table"&amp;SUBSTITUTE(N$2,"-","")&amp;"[UDC]",TRUE),INDIRECT("Table"&amp;SUBSTITUTE(N$2,"-","")&amp;"[Component Type]",TRUE)),"")</f>
        <v/>
      </c>
      <c r="O25" s="152" t="str" cm="1">
        <f t="array" aca="1" ref="O25" ca="1">IFERROR(_xlfn.XLOOKUP(TableHandbook[[#This Row],[UDC]],INDIRECT("Table"&amp;SUBSTITUTE(O$2,"-","")&amp;"[UDC]",TRUE),INDIRECT("Table"&amp;SUBSTITUTE(O$2,"-","")&amp;"[Component Type]",TRUE)),"")</f>
        <v/>
      </c>
      <c r="P25" s="152" t="str" cm="1">
        <f t="array" aca="1" ref="P25" ca="1">IFERROR(_xlfn.XLOOKUP(TableHandbook[[#This Row],[UDC]],INDIRECT("Table"&amp;SUBSTITUTE(P$2,"-","")&amp;"[UDC]",TRUE),INDIRECT("Table"&amp;SUBSTITUTE(P$2,"-","")&amp;"[Component Type]",TRUE)),"")</f>
        <v/>
      </c>
      <c r="Q25" s="152" t="str" cm="1">
        <f t="array" aca="1" ref="Q25" ca="1">IFERROR(_xlfn.XLOOKUP(TableHandbook[[#This Row],[UDC]],INDIRECT("Table"&amp;SUBSTITUTE(Q$2,"-","")&amp;"[UDC]",TRUE),INDIRECT("Table"&amp;SUBSTITUTE(Q$2,"-","")&amp;"[Component Type]",TRUE)),"")</f>
        <v/>
      </c>
      <c r="R25" s="152" t="str" cm="1">
        <f t="array" aca="1" ref="R25" ca="1">IFERROR(_xlfn.XLOOKUP(TableHandbook[[#This Row],[UDC]],INDIRECT("Table"&amp;SUBSTITUTE(R$2,"-","")&amp;"[UDC]",TRUE),INDIRECT("Table"&amp;SUBSTITUTE(R$2,"-","")&amp;"[Component Type]",TRUE)),"")</f>
        <v/>
      </c>
      <c r="S25" s="152" t="str" cm="1">
        <f t="array" aca="1" ref="S25" ca="1">IFERROR(_xlfn.XLOOKUP(TableHandbook[[#This Row],[UDC]],INDIRECT("Table"&amp;SUBSTITUTE(S$2,"-","")&amp;"[UDC]",TRUE),INDIRECT("Table"&amp;SUBSTITUTE(S$2,"-","")&amp;"[Component Type]",TRUE)),"")</f>
        <v/>
      </c>
      <c r="T25" s="152" t="str" cm="1">
        <f t="array" aca="1" ref="T25" ca="1">IFERROR(_xlfn.XLOOKUP(TableHandbook[[#This Row],[UDC]],INDIRECT("Table"&amp;SUBSTITUTE(T$2,"-","")&amp;"[UDC]",TRUE),INDIRECT("Table"&amp;SUBSTITUTE(T$2,"-","")&amp;"[Component Type]",TRUE)),"")</f>
        <v/>
      </c>
      <c r="U25" s="152" t="str" cm="1">
        <f t="array" aca="1" ref="U25" ca="1">IFERROR(_xlfn.XLOOKUP(TableHandbook[[#This Row],[UDC]],INDIRECT("Table"&amp;SUBSTITUTE(U$2,"-","")&amp;"[UDC]",TRUE),INDIRECT("Table"&amp;SUBSTITUTE(U$2,"-","")&amp;"[Component Type]",TRUE)),"")</f>
        <v/>
      </c>
      <c r="V25" s="154" t="str" cm="1">
        <f t="array" aca="1" ref="V25" ca="1">IFERROR(_xlfn.XLOOKUP(TableHandbook[[#This Row],[UDC]],INDIRECT("Table"&amp;SUBSTITUTE(V$2,"-","")&amp;"[UDC]",TRUE),INDIRECT("Table"&amp;SUBSTITUTE(V$2,"-","")&amp;"[Component Type]",TRUE)),"")</f>
        <v/>
      </c>
      <c r="W25" s="152" t="str" cm="1">
        <f t="array" aca="1" ref="W25" ca="1">IFERROR(_xlfn.XLOOKUP(TableHandbook[[#This Row],[UDC]],INDIRECT("Table"&amp;SUBSTITUTE(W$2,"-","")&amp;"[UDC]",TRUE),INDIRECT("Table"&amp;SUBSTITUTE(W$2,"-","")&amp;"[Component Type]",TRUE)),"")</f>
        <v/>
      </c>
      <c r="X25" s="152" t="str" cm="1">
        <f t="array" aca="1" ref="X25" ca="1">IFERROR(_xlfn.XLOOKUP(TableHandbook[[#This Row],[UDC]],INDIRECT("Table"&amp;SUBSTITUTE(X$2,"-","")&amp;"[UDC]",TRUE),INDIRECT("Table"&amp;SUBSTITUTE(X$2,"-","")&amp;"[Component Type]",TRUE)),"")</f>
        <v/>
      </c>
      <c r="Y25" s="152" t="str" cm="1">
        <f t="array" aca="1" ref="Y25" ca="1">IFERROR(_xlfn.XLOOKUP(TableHandbook[[#This Row],[UDC]],INDIRECT("Table"&amp;SUBSTITUTE(Y$2,"-","")&amp;"[UDC]",TRUE),INDIRECT("Table"&amp;SUBSTITUTE(Y$2,"-","")&amp;"[Component Type]",TRUE)),"")</f>
        <v/>
      </c>
      <c r="Z25" s="152" t="str" cm="1">
        <f t="array" aca="1" ref="Z25" ca="1">IFERROR(_xlfn.XLOOKUP(TableHandbook[[#This Row],[UDC]],INDIRECT("Table"&amp;SUBSTITUTE(Z$2,"-","")&amp;"[UDC]",TRUE),INDIRECT("Table"&amp;SUBSTITUTE(Z$2,"-","")&amp;"[Component Type]",TRUE)),"")</f>
        <v/>
      </c>
    </row>
    <row r="26" spans="1:26" x14ac:dyDescent="0.25">
      <c r="A26" s="8" t="s">
        <v>120</v>
      </c>
      <c r="B26" s="9">
        <v>1</v>
      </c>
      <c r="C26" s="9" t="s">
        <v>283</v>
      </c>
      <c r="D26" s="8" t="s">
        <v>284</v>
      </c>
      <c r="E26" s="9">
        <v>25</v>
      </c>
      <c r="F26" s="266" t="s">
        <v>704</v>
      </c>
      <c r="G26" s="72" t="str">
        <f>IFERROR(IF(VLOOKUP(TableHandbook[[#This Row],[UDC]],TableAvailabilities[],2,FALSE)&gt;0,"Y",""),"")</f>
        <v/>
      </c>
      <c r="H26" s="72" t="str">
        <f>IFERROR(IF(VLOOKUP(TableHandbook[[#This Row],[UDC]],TableAvailabilities[],3,FALSE)&gt;0,"Y",""),"")</f>
        <v>Y</v>
      </c>
      <c r="I26" s="72" t="str">
        <f>IFERROR(IF(VLOOKUP(TableHandbook[[#This Row],[UDC]],TableAvailabilities[],4,FALSE)&gt;0,"Y",""),"")</f>
        <v/>
      </c>
      <c r="J26" s="72" t="str">
        <f>IFERROR(IF(VLOOKUP(TableHandbook[[#This Row],[UDC]],TableAvailabilities[],5,FALSE)&gt;0,"Y",""),"")</f>
        <v>Y</v>
      </c>
      <c r="K26" s="155"/>
      <c r="L26" s="152" t="str" cm="1">
        <f t="array" aca="1" ref="L26" ca="1">IFERROR(_xlfn.XLOOKUP(TableHandbook[[#This Row],[UDC]],INDIRECT("Table"&amp;SUBSTITUTE(L$2,"-","")&amp;"[UDC]",TRUE),INDIRECT("Table"&amp;SUBSTITUTE(L$2,"-","")&amp;"[Component Type]",TRUE)),"")</f>
        <v>Core</v>
      </c>
      <c r="M26" s="152" t="str" cm="1">
        <f t="array" aca="1" ref="M26" ca="1">IFERROR(_xlfn.XLOOKUP(TableHandbook[[#This Row],[UDC]],INDIRECT("Table"&amp;SUBSTITUTE(M$2,"-","")&amp;"[UDC]",TRUE),INDIRECT("Table"&amp;SUBSTITUTE(M$2,"-","")&amp;"[Component Type]",TRUE)),"")</f>
        <v>Core</v>
      </c>
      <c r="N26" s="154" t="str" cm="1">
        <f t="array" aca="1" ref="N26" ca="1">IFERROR(_xlfn.XLOOKUP(TableHandbook[[#This Row],[UDC]],INDIRECT("Table"&amp;SUBSTITUTE(N$2,"-","")&amp;"[UDC]",TRUE),INDIRECT("Table"&amp;SUBSTITUTE(N$2,"-","")&amp;"[Component Type]",TRUE)),"")</f>
        <v/>
      </c>
      <c r="O26" s="152" t="str" cm="1">
        <f t="array" aca="1" ref="O26" ca="1">IFERROR(_xlfn.XLOOKUP(TableHandbook[[#This Row],[UDC]],INDIRECT("Table"&amp;SUBSTITUTE(O$2,"-","")&amp;"[UDC]",TRUE),INDIRECT("Table"&amp;SUBSTITUTE(O$2,"-","")&amp;"[Component Type]",TRUE)),"")</f>
        <v/>
      </c>
      <c r="P26" s="152" t="str" cm="1">
        <f t="array" aca="1" ref="P26" ca="1">IFERROR(_xlfn.XLOOKUP(TableHandbook[[#This Row],[UDC]],INDIRECT("Table"&amp;SUBSTITUTE(P$2,"-","")&amp;"[UDC]",TRUE),INDIRECT("Table"&amp;SUBSTITUTE(P$2,"-","")&amp;"[Component Type]",TRUE)),"")</f>
        <v/>
      </c>
      <c r="Q26" s="152" t="str" cm="1">
        <f t="array" aca="1" ref="Q26" ca="1">IFERROR(_xlfn.XLOOKUP(TableHandbook[[#This Row],[UDC]],INDIRECT("Table"&amp;SUBSTITUTE(Q$2,"-","")&amp;"[UDC]",TRUE),INDIRECT("Table"&amp;SUBSTITUTE(Q$2,"-","")&amp;"[Component Type]",TRUE)),"")</f>
        <v/>
      </c>
      <c r="R26" s="152" t="str" cm="1">
        <f t="array" aca="1" ref="R26" ca="1">IFERROR(_xlfn.XLOOKUP(TableHandbook[[#This Row],[UDC]],INDIRECT("Table"&amp;SUBSTITUTE(R$2,"-","")&amp;"[UDC]",TRUE),INDIRECT("Table"&amp;SUBSTITUTE(R$2,"-","")&amp;"[Component Type]",TRUE)),"")</f>
        <v/>
      </c>
      <c r="S26" s="152" t="str" cm="1">
        <f t="array" aca="1" ref="S26" ca="1">IFERROR(_xlfn.XLOOKUP(TableHandbook[[#This Row],[UDC]],INDIRECT("Table"&amp;SUBSTITUTE(S$2,"-","")&amp;"[UDC]",TRUE),INDIRECT("Table"&amp;SUBSTITUTE(S$2,"-","")&amp;"[Component Type]",TRUE)),"")</f>
        <v/>
      </c>
      <c r="T26" s="152" t="str" cm="1">
        <f t="array" aca="1" ref="T26" ca="1">IFERROR(_xlfn.XLOOKUP(TableHandbook[[#This Row],[UDC]],INDIRECT("Table"&amp;SUBSTITUTE(T$2,"-","")&amp;"[UDC]",TRUE),INDIRECT("Table"&amp;SUBSTITUTE(T$2,"-","")&amp;"[Component Type]",TRUE)),"")</f>
        <v/>
      </c>
      <c r="U26" s="152" t="str" cm="1">
        <f t="array" aca="1" ref="U26" ca="1">IFERROR(_xlfn.XLOOKUP(TableHandbook[[#This Row],[UDC]],INDIRECT("Table"&amp;SUBSTITUTE(U$2,"-","")&amp;"[UDC]",TRUE),INDIRECT("Table"&amp;SUBSTITUTE(U$2,"-","")&amp;"[Component Type]",TRUE)),"")</f>
        <v/>
      </c>
      <c r="V26" s="154" t="str" cm="1">
        <f t="array" aca="1" ref="V26" ca="1">IFERROR(_xlfn.XLOOKUP(TableHandbook[[#This Row],[UDC]],INDIRECT("Table"&amp;SUBSTITUTE(V$2,"-","")&amp;"[UDC]",TRUE),INDIRECT("Table"&amp;SUBSTITUTE(V$2,"-","")&amp;"[Component Type]",TRUE)),"")</f>
        <v/>
      </c>
      <c r="W26" s="152" t="str" cm="1">
        <f t="array" aca="1" ref="W26" ca="1">IFERROR(_xlfn.XLOOKUP(TableHandbook[[#This Row],[UDC]],INDIRECT("Table"&amp;SUBSTITUTE(W$2,"-","")&amp;"[UDC]",TRUE),INDIRECT("Table"&amp;SUBSTITUTE(W$2,"-","")&amp;"[Component Type]",TRUE)),"")</f>
        <v/>
      </c>
      <c r="X26" s="152" t="str" cm="1">
        <f t="array" aca="1" ref="X26" ca="1">IFERROR(_xlfn.XLOOKUP(TableHandbook[[#This Row],[UDC]],INDIRECT("Table"&amp;SUBSTITUTE(X$2,"-","")&amp;"[UDC]",TRUE),INDIRECT("Table"&amp;SUBSTITUTE(X$2,"-","")&amp;"[Component Type]",TRUE)),"")</f>
        <v/>
      </c>
      <c r="Y26" s="152" t="str" cm="1">
        <f t="array" aca="1" ref="Y26" ca="1">IFERROR(_xlfn.XLOOKUP(TableHandbook[[#This Row],[UDC]],INDIRECT("Table"&amp;SUBSTITUTE(Y$2,"-","")&amp;"[UDC]",TRUE),INDIRECT("Table"&amp;SUBSTITUTE(Y$2,"-","")&amp;"[Component Type]",TRUE)),"")</f>
        <v/>
      </c>
      <c r="Z26" s="152" t="str" cm="1">
        <f t="array" aca="1" ref="Z26" ca="1">IFERROR(_xlfn.XLOOKUP(TableHandbook[[#This Row],[UDC]],INDIRECT("Table"&amp;SUBSTITUTE(Z$2,"-","")&amp;"[UDC]",TRUE),INDIRECT("Table"&amp;SUBSTITUTE(Z$2,"-","")&amp;"[Component Type]",TRUE)),"")</f>
        <v/>
      </c>
    </row>
    <row r="27" spans="1:26" ht="39" x14ac:dyDescent="0.25">
      <c r="A27" s="8" t="s">
        <v>114</v>
      </c>
      <c r="B27" s="9">
        <v>1</v>
      </c>
      <c r="C27" s="9" t="s">
        <v>285</v>
      </c>
      <c r="D27" s="8" t="s">
        <v>286</v>
      </c>
      <c r="E27" s="9">
        <v>25</v>
      </c>
      <c r="F27" s="266" t="s">
        <v>270</v>
      </c>
      <c r="G27" s="72" t="str">
        <f>IFERROR(IF(VLOOKUP(TableHandbook[[#This Row],[UDC]],TableAvailabilities[],2,FALSE)&gt;0,"Y",""),"")</f>
        <v/>
      </c>
      <c r="H27" s="72" t="str">
        <f>IFERROR(IF(VLOOKUP(TableHandbook[[#This Row],[UDC]],TableAvailabilities[],3,FALSE)&gt;0,"Y",""),"")</f>
        <v/>
      </c>
      <c r="I27" s="72" t="str">
        <f>IFERROR(IF(VLOOKUP(TableHandbook[[#This Row],[UDC]],TableAvailabilities[],4,FALSE)&gt;0,"Y",""),"")</f>
        <v/>
      </c>
      <c r="J27" s="72" t="str">
        <f>IFERROR(IF(VLOOKUP(TableHandbook[[#This Row],[UDC]],TableAvailabilities[],5,FALSE)&gt;0,"Y",""),"")</f>
        <v/>
      </c>
      <c r="K27" s="209" t="s">
        <v>705</v>
      </c>
      <c r="L27" s="152" t="str" cm="1">
        <f t="array" aca="1" ref="L27" ca="1">IFERROR(_xlfn.XLOOKUP(TableHandbook[[#This Row],[UDC]],INDIRECT("Table"&amp;SUBSTITUTE(L$2,"-","")&amp;"[UDC]",TRUE),INDIRECT("Table"&amp;SUBSTITUTE(L$2,"-","")&amp;"[Component Type]",TRUE)),"")</f>
        <v/>
      </c>
      <c r="M27" s="152" t="str" cm="1">
        <f t="array" aca="1" ref="M27" ca="1">IFERROR(_xlfn.XLOOKUP(TableHandbook[[#This Row],[UDC]],INDIRECT("Table"&amp;SUBSTITUTE(M$2,"-","")&amp;"[UDC]",TRUE),INDIRECT("Table"&amp;SUBSTITUTE(M$2,"-","")&amp;"[Component Type]",TRUE)),"")</f>
        <v/>
      </c>
      <c r="N27" s="154" t="str" cm="1">
        <f t="array" aca="1" ref="N27" ca="1">IFERROR(_xlfn.XLOOKUP(TableHandbook[[#This Row],[UDC]],INDIRECT("Table"&amp;SUBSTITUTE(N$2,"-","")&amp;"[UDC]",TRUE),INDIRECT("Table"&amp;SUBSTITUTE(N$2,"-","")&amp;"[Component Type]",TRUE)),"")</f>
        <v/>
      </c>
      <c r="O27" s="152" t="str" cm="1">
        <f t="array" aca="1" ref="O27" ca="1">IFERROR(_xlfn.XLOOKUP(TableHandbook[[#This Row],[UDC]],INDIRECT("Table"&amp;SUBSTITUTE(O$2,"-","")&amp;"[UDC]",TRUE),INDIRECT("Table"&amp;SUBSTITUTE(O$2,"-","")&amp;"[Component Type]",TRUE)),"")</f>
        <v/>
      </c>
      <c r="P27" s="152" t="str" cm="1">
        <f t="array" aca="1" ref="P27" ca="1">IFERROR(_xlfn.XLOOKUP(TableHandbook[[#This Row],[UDC]],INDIRECT("Table"&amp;SUBSTITUTE(P$2,"-","")&amp;"[UDC]",TRUE),INDIRECT("Table"&amp;SUBSTITUTE(P$2,"-","")&amp;"[Component Type]",TRUE)),"")</f>
        <v/>
      </c>
      <c r="Q27" s="152" t="str" cm="1">
        <f t="array" aca="1" ref="Q27" ca="1">IFERROR(_xlfn.XLOOKUP(TableHandbook[[#This Row],[UDC]],INDIRECT("Table"&amp;SUBSTITUTE(Q$2,"-","")&amp;"[UDC]",TRUE),INDIRECT("Table"&amp;SUBSTITUTE(Q$2,"-","")&amp;"[Component Type]",TRUE)),"")</f>
        <v/>
      </c>
      <c r="R27" s="152" t="str" cm="1">
        <f t="array" aca="1" ref="R27" ca="1">IFERROR(_xlfn.XLOOKUP(TableHandbook[[#This Row],[UDC]],INDIRECT("Table"&amp;SUBSTITUTE(R$2,"-","")&amp;"[UDC]",TRUE),INDIRECT("Table"&amp;SUBSTITUTE(R$2,"-","")&amp;"[Component Type]",TRUE)),"")</f>
        <v/>
      </c>
      <c r="S27" s="152" t="str" cm="1">
        <f t="array" aca="1" ref="S27" ca="1">IFERROR(_xlfn.XLOOKUP(TableHandbook[[#This Row],[UDC]],INDIRECT("Table"&amp;SUBSTITUTE(S$2,"-","")&amp;"[UDC]",TRUE),INDIRECT("Table"&amp;SUBSTITUTE(S$2,"-","")&amp;"[Component Type]",TRUE)),"")</f>
        <v/>
      </c>
      <c r="T27" s="152" t="str" cm="1">
        <f t="array" aca="1" ref="T27" ca="1">IFERROR(_xlfn.XLOOKUP(TableHandbook[[#This Row],[UDC]],INDIRECT("Table"&amp;SUBSTITUTE(T$2,"-","")&amp;"[UDC]",TRUE),INDIRECT("Table"&amp;SUBSTITUTE(T$2,"-","")&amp;"[Component Type]",TRUE)),"")</f>
        <v/>
      </c>
      <c r="U27" s="152" t="str" cm="1">
        <f t="array" aca="1" ref="U27" ca="1">IFERROR(_xlfn.XLOOKUP(TableHandbook[[#This Row],[UDC]],INDIRECT("Table"&amp;SUBSTITUTE(U$2,"-","")&amp;"[UDC]",TRUE),INDIRECT("Table"&amp;SUBSTITUTE(U$2,"-","")&amp;"[Component Type]",TRUE)),"")</f>
        <v/>
      </c>
      <c r="V27" s="154" t="str" cm="1">
        <f t="array" aca="1" ref="V27" ca="1">IFERROR(_xlfn.XLOOKUP(TableHandbook[[#This Row],[UDC]],INDIRECT("Table"&amp;SUBSTITUTE(V$2,"-","")&amp;"[UDC]",TRUE),INDIRECT("Table"&amp;SUBSTITUTE(V$2,"-","")&amp;"[Component Type]",TRUE)),"")</f>
        <v/>
      </c>
      <c r="W27" s="152" t="str" cm="1">
        <f t="array" aca="1" ref="W27" ca="1">IFERROR(_xlfn.XLOOKUP(TableHandbook[[#This Row],[UDC]],INDIRECT("Table"&amp;SUBSTITUTE(W$2,"-","")&amp;"[UDC]",TRUE),INDIRECT("Table"&amp;SUBSTITUTE(W$2,"-","")&amp;"[Component Type]",TRUE)),"")</f>
        <v/>
      </c>
      <c r="X27" s="152" t="str" cm="1">
        <f t="array" aca="1" ref="X27" ca="1">IFERROR(_xlfn.XLOOKUP(TableHandbook[[#This Row],[UDC]],INDIRECT("Table"&amp;SUBSTITUTE(X$2,"-","")&amp;"[UDC]",TRUE),INDIRECT("Table"&amp;SUBSTITUTE(X$2,"-","")&amp;"[Component Type]",TRUE)),"")</f>
        <v/>
      </c>
      <c r="Y27" s="152" t="str" cm="1">
        <f t="array" aca="1" ref="Y27" ca="1">IFERROR(_xlfn.XLOOKUP(TableHandbook[[#This Row],[UDC]],INDIRECT("Table"&amp;SUBSTITUTE(Y$2,"-","")&amp;"[UDC]",TRUE),INDIRECT("Table"&amp;SUBSTITUTE(Y$2,"-","")&amp;"[Component Type]",TRUE)),"")</f>
        <v/>
      </c>
      <c r="Z27" s="152" t="str" cm="1">
        <f t="array" aca="1" ref="Z27" ca="1">IFERROR(_xlfn.XLOOKUP(TableHandbook[[#This Row],[UDC]],INDIRECT("Table"&amp;SUBSTITUTE(Z$2,"-","")&amp;"[UDC]",TRUE),INDIRECT("Table"&amp;SUBSTITUTE(Z$2,"-","")&amp;"[Component Type]",TRUE)),"")</f>
        <v/>
      </c>
    </row>
    <row r="28" spans="1:26" x14ac:dyDescent="0.25">
      <c r="A28" s="246" t="s">
        <v>117</v>
      </c>
      <c r="B28" s="9">
        <v>2</v>
      </c>
      <c r="C28" s="9" t="s">
        <v>287</v>
      </c>
      <c r="D28" s="8" t="s">
        <v>644</v>
      </c>
      <c r="E28" s="9">
        <v>25</v>
      </c>
      <c r="F28" s="266" t="s">
        <v>706</v>
      </c>
      <c r="G28" s="72" t="str">
        <f>IFERROR(IF(VLOOKUP(TableHandbook[[#This Row],[UDC]],TableAvailabilities[],2,FALSE)&gt;0,"Y",""),"")</f>
        <v>Y</v>
      </c>
      <c r="H28" s="72" t="str">
        <f>IFERROR(IF(VLOOKUP(TableHandbook[[#This Row],[UDC]],TableAvailabilities[],3,FALSE)&gt;0,"Y",""),"")</f>
        <v/>
      </c>
      <c r="I28" s="72" t="str">
        <f>IFERROR(IF(VLOOKUP(TableHandbook[[#This Row],[UDC]],TableAvailabilities[],4,FALSE)&gt;0,"Y",""),"")</f>
        <v>Y</v>
      </c>
      <c r="J28" s="72" t="str">
        <f>IFERROR(IF(VLOOKUP(TableHandbook[[#This Row],[UDC]],TableAvailabilities[],5,FALSE)&gt;0,"Y",""),"")</f>
        <v/>
      </c>
      <c r="K28" s="155" t="s">
        <v>657</v>
      </c>
      <c r="L28" s="152" t="str" cm="1">
        <f t="array" aca="1" ref="L28" ca="1">IFERROR(_xlfn.XLOOKUP(TableHandbook[[#This Row],[UDC]],INDIRECT("Table"&amp;SUBSTITUTE(L$2,"-","")&amp;"[UDC]",TRUE),INDIRECT("Table"&amp;SUBSTITUTE(L$2,"-","")&amp;"[Component Type]",TRUE)),"")</f>
        <v>Core</v>
      </c>
      <c r="M28" s="152" t="str" cm="1">
        <f t="array" aca="1" ref="M28" ca="1">IFERROR(_xlfn.XLOOKUP(TableHandbook[[#This Row],[UDC]],INDIRECT("Table"&amp;SUBSTITUTE(M$2,"-","")&amp;"[UDC]",TRUE),INDIRECT("Table"&amp;SUBSTITUTE(M$2,"-","")&amp;"[Component Type]",TRUE)),"")</f>
        <v>Core</v>
      </c>
      <c r="N28" s="154" t="str" cm="1">
        <f t="array" aca="1" ref="N28" ca="1">IFERROR(_xlfn.XLOOKUP(TableHandbook[[#This Row],[UDC]],INDIRECT("Table"&amp;SUBSTITUTE(N$2,"-","")&amp;"[UDC]",TRUE),INDIRECT("Table"&amp;SUBSTITUTE(N$2,"-","")&amp;"[Component Type]",TRUE)),"")</f>
        <v/>
      </c>
      <c r="O28" s="152" t="str" cm="1">
        <f t="array" aca="1" ref="O28" ca="1">IFERROR(_xlfn.XLOOKUP(TableHandbook[[#This Row],[UDC]],INDIRECT("Table"&amp;SUBSTITUTE(O$2,"-","")&amp;"[UDC]",TRUE),INDIRECT("Table"&amp;SUBSTITUTE(O$2,"-","")&amp;"[Component Type]",TRUE)),"")</f>
        <v/>
      </c>
      <c r="P28" s="152" t="str" cm="1">
        <f t="array" aca="1" ref="P28" ca="1">IFERROR(_xlfn.XLOOKUP(TableHandbook[[#This Row],[UDC]],INDIRECT("Table"&amp;SUBSTITUTE(P$2,"-","")&amp;"[UDC]",TRUE),INDIRECT("Table"&amp;SUBSTITUTE(P$2,"-","")&amp;"[Component Type]",TRUE)),"")</f>
        <v/>
      </c>
      <c r="Q28" s="152" t="str" cm="1">
        <f t="array" aca="1" ref="Q28" ca="1">IFERROR(_xlfn.XLOOKUP(TableHandbook[[#This Row],[UDC]],INDIRECT("Table"&amp;SUBSTITUTE(Q$2,"-","")&amp;"[UDC]",TRUE),INDIRECT("Table"&amp;SUBSTITUTE(Q$2,"-","")&amp;"[Component Type]",TRUE)),"")</f>
        <v/>
      </c>
      <c r="R28" s="152" t="str" cm="1">
        <f t="array" aca="1" ref="R28" ca="1">IFERROR(_xlfn.XLOOKUP(TableHandbook[[#This Row],[UDC]],INDIRECT("Table"&amp;SUBSTITUTE(R$2,"-","")&amp;"[UDC]",TRUE),INDIRECT("Table"&amp;SUBSTITUTE(R$2,"-","")&amp;"[Component Type]",TRUE)),"")</f>
        <v/>
      </c>
      <c r="S28" s="152" t="str" cm="1">
        <f t="array" aca="1" ref="S28" ca="1">IFERROR(_xlfn.XLOOKUP(TableHandbook[[#This Row],[UDC]],INDIRECT("Table"&amp;SUBSTITUTE(S$2,"-","")&amp;"[UDC]",TRUE),INDIRECT("Table"&amp;SUBSTITUTE(S$2,"-","")&amp;"[Component Type]",TRUE)),"")</f>
        <v/>
      </c>
      <c r="T28" s="152" t="str" cm="1">
        <f t="array" aca="1" ref="T28" ca="1">IFERROR(_xlfn.XLOOKUP(TableHandbook[[#This Row],[UDC]],INDIRECT("Table"&amp;SUBSTITUTE(T$2,"-","")&amp;"[UDC]",TRUE),INDIRECT("Table"&amp;SUBSTITUTE(T$2,"-","")&amp;"[Component Type]",TRUE)),"")</f>
        <v/>
      </c>
      <c r="U28" s="152" t="str" cm="1">
        <f t="array" aca="1" ref="U28" ca="1">IFERROR(_xlfn.XLOOKUP(TableHandbook[[#This Row],[UDC]],INDIRECT("Table"&amp;SUBSTITUTE(U$2,"-","")&amp;"[UDC]",TRUE),INDIRECT("Table"&amp;SUBSTITUTE(U$2,"-","")&amp;"[Component Type]",TRUE)),"")</f>
        <v/>
      </c>
      <c r="V28" s="154" t="str" cm="1">
        <f t="array" aca="1" ref="V28" ca="1">IFERROR(_xlfn.XLOOKUP(TableHandbook[[#This Row],[UDC]],INDIRECT("Table"&amp;SUBSTITUTE(V$2,"-","")&amp;"[UDC]",TRUE),INDIRECT("Table"&amp;SUBSTITUTE(V$2,"-","")&amp;"[Component Type]",TRUE)),"")</f>
        <v/>
      </c>
      <c r="W28" s="152" t="str" cm="1">
        <f t="array" aca="1" ref="W28" ca="1">IFERROR(_xlfn.XLOOKUP(TableHandbook[[#This Row],[UDC]],INDIRECT("Table"&amp;SUBSTITUTE(W$2,"-","")&amp;"[UDC]",TRUE),INDIRECT("Table"&amp;SUBSTITUTE(W$2,"-","")&amp;"[Component Type]",TRUE)),"")</f>
        <v/>
      </c>
      <c r="X28" s="152" t="str" cm="1">
        <f t="array" aca="1" ref="X28" ca="1">IFERROR(_xlfn.XLOOKUP(TableHandbook[[#This Row],[UDC]],INDIRECT("Table"&amp;SUBSTITUTE(X$2,"-","")&amp;"[UDC]",TRUE),INDIRECT("Table"&amp;SUBSTITUTE(X$2,"-","")&amp;"[Component Type]",TRUE)),"")</f>
        <v/>
      </c>
      <c r="Y28" s="152" t="str" cm="1">
        <f t="array" aca="1" ref="Y28" ca="1">IFERROR(_xlfn.XLOOKUP(TableHandbook[[#This Row],[UDC]],INDIRECT("Table"&amp;SUBSTITUTE(Y$2,"-","")&amp;"[UDC]",TRUE),INDIRECT("Table"&amp;SUBSTITUTE(Y$2,"-","")&amp;"[Component Type]",TRUE)),"")</f>
        <v/>
      </c>
      <c r="Z28" s="152" t="str" cm="1">
        <f t="array" aca="1" ref="Z28" ca="1">IFERROR(_xlfn.XLOOKUP(TableHandbook[[#This Row],[UDC]],INDIRECT("Table"&amp;SUBSTITUTE(Z$2,"-","")&amp;"[UDC]",TRUE),INDIRECT("Table"&amp;SUBSTITUTE(Z$2,"-","")&amp;"[Component Type]",TRUE)),"")</f>
        <v/>
      </c>
    </row>
    <row r="29" spans="1:26" x14ac:dyDescent="0.25">
      <c r="A29" s="8" t="s">
        <v>655</v>
      </c>
      <c r="B29" s="9">
        <v>1</v>
      </c>
      <c r="C29" s="9" t="s">
        <v>287</v>
      </c>
      <c r="D29" s="8" t="s">
        <v>288</v>
      </c>
      <c r="E29" s="9">
        <v>25</v>
      </c>
      <c r="F29" s="265" t="s">
        <v>285</v>
      </c>
      <c r="G29" s="72" t="str">
        <f>IFERROR(IF(VLOOKUP(TableHandbook[[#This Row],[UDC]],TableAvailabilities[],2,FALSE)&gt;0,"Y",""),"")</f>
        <v/>
      </c>
      <c r="H29" s="72" t="str">
        <f>IFERROR(IF(VLOOKUP(TableHandbook[[#This Row],[UDC]],TableAvailabilities[],3,FALSE)&gt;0,"Y",""),"")</f>
        <v/>
      </c>
      <c r="I29" s="72" t="str">
        <f>IFERROR(IF(VLOOKUP(TableHandbook[[#This Row],[UDC]],TableAvailabilities[],4,FALSE)&gt;0,"Y",""),"")</f>
        <v/>
      </c>
      <c r="J29" s="72" t="str">
        <f>IFERROR(IF(VLOOKUP(TableHandbook[[#This Row],[UDC]],TableAvailabilities[],5,FALSE)&gt;0,"Y",""),"")</f>
        <v/>
      </c>
      <c r="K29" s="155" t="s">
        <v>656</v>
      </c>
      <c r="L29" s="152" t="str" cm="1">
        <f t="array" aca="1" ref="L29" ca="1">IFERROR(_xlfn.XLOOKUP(TableHandbook[[#This Row],[UDC]],INDIRECT("Table"&amp;SUBSTITUTE(L$2,"-","")&amp;"[UDC]",TRUE),INDIRECT("Table"&amp;SUBSTITUTE(L$2,"-","")&amp;"[Component Type]",TRUE)),"")</f>
        <v/>
      </c>
      <c r="M29" s="152" t="str" cm="1">
        <f t="array" aca="1" ref="M29" ca="1">IFERROR(_xlfn.XLOOKUP(TableHandbook[[#This Row],[UDC]],INDIRECT("Table"&amp;SUBSTITUTE(M$2,"-","")&amp;"[UDC]",TRUE),INDIRECT("Table"&amp;SUBSTITUTE(M$2,"-","")&amp;"[Component Type]",TRUE)),"")</f>
        <v/>
      </c>
      <c r="N29" s="154" t="str" cm="1">
        <f t="array" aca="1" ref="N29" ca="1">IFERROR(_xlfn.XLOOKUP(TableHandbook[[#This Row],[UDC]],INDIRECT("Table"&amp;SUBSTITUTE(N$2,"-","")&amp;"[UDC]",TRUE),INDIRECT("Table"&amp;SUBSTITUTE(N$2,"-","")&amp;"[Component Type]",TRUE)),"")</f>
        <v/>
      </c>
      <c r="O29" s="152" t="str" cm="1">
        <f t="array" aca="1" ref="O29" ca="1">IFERROR(_xlfn.XLOOKUP(TableHandbook[[#This Row],[UDC]],INDIRECT("Table"&amp;SUBSTITUTE(O$2,"-","")&amp;"[UDC]",TRUE),INDIRECT("Table"&amp;SUBSTITUTE(O$2,"-","")&amp;"[Component Type]",TRUE)),"")</f>
        <v/>
      </c>
      <c r="P29" s="152" t="str" cm="1">
        <f t="array" aca="1" ref="P29" ca="1">IFERROR(_xlfn.XLOOKUP(TableHandbook[[#This Row],[UDC]],INDIRECT("Table"&amp;SUBSTITUTE(P$2,"-","")&amp;"[UDC]",TRUE),INDIRECT("Table"&amp;SUBSTITUTE(P$2,"-","")&amp;"[Component Type]",TRUE)),"")</f>
        <v/>
      </c>
      <c r="Q29" s="152" t="str" cm="1">
        <f t="array" aca="1" ref="Q29" ca="1">IFERROR(_xlfn.XLOOKUP(TableHandbook[[#This Row],[UDC]],INDIRECT("Table"&amp;SUBSTITUTE(Q$2,"-","")&amp;"[UDC]",TRUE),INDIRECT("Table"&amp;SUBSTITUTE(Q$2,"-","")&amp;"[Component Type]",TRUE)),"")</f>
        <v/>
      </c>
      <c r="R29" s="152" t="str" cm="1">
        <f t="array" aca="1" ref="R29" ca="1">IFERROR(_xlfn.XLOOKUP(TableHandbook[[#This Row],[UDC]],INDIRECT("Table"&amp;SUBSTITUTE(R$2,"-","")&amp;"[UDC]",TRUE),INDIRECT("Table"&amp;SUBSTITUTE(R$2,"-","")&amp;"[Component Type]",TRUE)),"")</f>
        <v/>
      </c>
      <c r="S29" s="152" t="str" cm="1">
        <f t="array" aca="1" ref="S29" ca="1">IFERROR(_xlfn.XLOOKUP(TableHandbook[[#This Row],[UDC]],INDIRECT("Table"&amp;SUBSTITUTE(S$2,"-","")&amp;"[UDC]",TRUE),INDIRECT("Table"&amp;SUBSTITUTE(S$2,"-","")&amp;"[Component Type]",TRUE)),"")</f>
        <v/>
      </c>
      <c r="T29" s="152" t="str" cm="1">
        <f t="array" aca="1" ref="T29" ca="1">IFERROR(_xlfn.XLOOKUP(TableHandbook[[#This Row],[UDC]],INDIRECT("Table"&amp;SUBSTITUTE(T$2,"-","")&amp;"[UDC]",TRUE),INDIRECT("Table"&amp;SUBSTITUTE(T$2,"-","")&amp;"[Component Type]",TRUE)),"")</f>
        <v/>
      </c>
      <c r="U29" s="152" t="str" cm="1">
        <f t="array" aca="1" ref="U29" ca="1">IFERROR(_xlfn.XLOOKUP(TableHandbook[[#This Row],[UDC]],INDIRECT("Table"&amp;SUBSTITUTE(U$2,"-","")&amp;"[UDC]",TRUE),INDIRECT("Table"&amp;SUBSTITUTE(U$2,"-","")&amp;"[Component Type]",TRUE)),"")</f>
        <v/>
      </c>
      <c r="V29" s="154" t="str" cm="1">
        <f t="array" aca="1" ref="V29" ca="1">IFERROR(_xlfn.XLOOKUP(TableHandbook[[#This Row],[UDC]],INDIRECT("Table"&amp;SUBSTITUTE(V$2,"-","")&amp;"[UDC]",TRUE),INDIRECT("Table"&amp;SUBSTITUTE(V$2,"-","")&amp;"[Component Type]",TRUE)),"")</f>
        <v/>
      </c>
      <c r="W29" s="152" t="str" cm="1">
        <f t="array" aca="1" ref="W29" ca="1">IFERROR(_xlfn.XLOOKUP(TableHandbook[[#This Row],[UDC]],INDIRECT("Table"&amp;SUBSTITUTE(W$2,"-","")&amp;"[UDC]",TRUE),INDIRECT("Table"&amp;SUBSTITUTE(W$2,"-","")&amp;"[Component Type]",TRUE)),"")</f>
        <v/>
      </c>
      <c r="X29" s="152" t="str" cm="1">
        <f t="array" aca="1" ref="X29" ca="1">IFERROR(_xlfn.XLOOKUP(TableHandbook[[#This Row],[UDC]],INDIRECT("Table"&amp;SUBSTITUTE(X$2,"-","")&amp;"[UDC]",TRUE),INDIRECT("Table"&amp;SUBSTITUTE(X$2,"-","")&amp;"[Component Type]",TRUE)),"")</f>
        <v/>
      </c>
      <c r="Y29" s="152" t="str" cm="1">
        <f t="array" aca="1" ref="Y29" ca="1">IFERROR(_xlfn.XLOOKUP(TableHandbook[[#This Row],[UDC]],INDIRECT("Table"&amp;SUBSTITUTE(Y$2,"-","")&amp;"[UDC]",TRUE),INDIRECT("Table"&amp;SUBSTITUTE(Y$2,"-","")&amp;"[Component Type]",TRUE)),"")</f>
        <v/>
      </c>
      <c r="Z29" s="152" t="str" cm="1">
        <f t="array" aca="1" ref="Z29" ca="1">IFERROR(_xlfn.XLOOKUP(TableHandbook[[#This Row],[UDC]],INDIRECT("Table"&amp;SUBSTITUTE(Z$2,"-","")&amp;"[UDC]",TRUE),INDIRECT("Table"&amp;SUBSTITUTE(Z$2,"-","")&amp;"[Component Type]",TRUE)),"")</f>
        <v/>
      </c>
    </row>
    <row r="30" spans="1:26" x14ac:dyDescent="0.25">
      <c r="A30" s="8" t="s">
        <v>119</v>
      </c>
      <c r="B30" s="9">
        <v>1</v>
      </c>
      <c r="C30" s="9" t="s">
        <v>289</v>
      </c>
      <c r="D30" s="8" t="s">
        <v>290</v>
      </c>
      <c r="E30" s="9">
        <v>25</v>
      </c>
      <c r="F30" s="266" t="s">
        <v>707</v>
      </c>
      <c r="G30" s="72" t="str">
        <f>IFERROR(IF(VLOOKUP(TableHandbook[[#This Row],[UDC]],TableAvailabilities[],2,FALSE)&gt;0,"Y",""),"")</f>
        <v/>
      </c>
      <c r="H30" s="72" t="str">
        <f>IFERROR(IF(VLOOKUP(TableHandbook[[#This Row],[UDC]],TableAvailabilities[],3,FALSE)&gt;0,"Y",""),"")</f>
        <v>Y</v>
      </c>
      <c r="I30" s="72" t="str">
        <f>IFERROR(IF(VLOOKUP(TableHandbook[[#This Row],[UDC]],TableAvailabilities[],4,FALSE)&gt;0,"Y",""),"")</f>
        <v/>
      </c>
      <c r="J30" s="72" t="str">
        <f>IFERROR(IF(VLOOKUP(TableHandbook[[#This Row],[UDC]],TableAvailabilities[],5,FALSE)&gt;0,"Y",""),"")</f>
        <v>Y</v>
      </c>
      <c r="K30" s="155"/>
      <c r="L30" s="152" t="str" cm="1">
        <f t="array" aca="1" ref="L30" ca="1">IFERROR(_xlfn.XLOOKUP(TableHandbook[[#This Row],[UDC]],INDIRECT("Table"&amp;SUBSTITUTE(L$2,"-","")&amp;"[UDC]",TRUE),INDIRECT("Table"&amp;SUBSTITUTE(L$2,"-","")&amp;"[Component Type]",TRUE)),"")</f>
        <v>Core</v>
      </c>
      <c r="M30" s="152" t="str" cm="1">
        <f t="array" aca="1" ref="M30" ca="1">IFERROR(_xlfn.XLOOKUP(TableHandbook[[#This Row],[UDC]],INDIRECT("Table"&amp;SUBSTITUTE(M$2,"-","")&amp;"[UDC]",TRUE),INDIRECT("Table"&amp;SUBSTITUTE(M$2,"-","")&amp;"[Component Type]",TRUE)),"")</f>
        <v>Core</v>
      </c>
      <c r="N30" s="154" t="str" cm="1">
        <f t="array" aca="1" ref="N30" ca="1">IFERROR(_xlfn.XLOOKUP(TableHandbook[[#This Row],[UDC]],INDIRECT("Table"&amp;SUBSTITUTE(N$2,"-","")&amp;"[UDC]",TRUE),INDIRECT("Table"&amp;SUBSTITUTE(N$2,"-","")&amp;"[Component Type]",TRUE)),"")</f>
        <v/>
      </c>
      <c r="O30" s="152" t="str" cm="1">
        <f t="array" aca="1" ref="O30" ca="1">IFERROR(_xlfn.XLOOKUP(TableHandbook[[#This Row],[UDC]],INDIRECT("Table"&amp;SUBSTITUTE(O$2,"-","")&amp;"[UDC]",TRUE),INDIRECT("Table"&amp;SUBSTITUTE(O$2,"-","")&amp;"[Component Type]",TRUE)),"")</f>
        <v/>
      </c>
      <c r="P30" s="152" t="str" cm="1">
        <f t="array" aca="1" ref="P30" ca="1">IFERROR(_xlfn.XLOOKUP(TableHandbook[[#This Row],[UDC]],INDIRECT("Table"&amp;SUBSTITUTE(P$2,"-","")&amp;"[UDC]",TRUE),INDIRECT("Table"&amp;SUBSTITUTE(P$2,"-","")&amp;"[Component Type]",TRUE)),"")</f>
        <v/>
      </c>
      <c r="Q30" s="152" t="str" cm="1">
        <f t="array" aca="1" ref="Q30" ca="1">IFERROR(_xlfn.XLOOKUP(TableHandbook[[#This Row],[UDC]],INDIRECT("Table"&amp;SUBSTITUTE(Q$2,"-","")&amp;"[UDC]",TRUE),INDIRECT("Table"&amp;SUBSTITUTE(Q$2,"-","")&amp;"[Component Type]",TRUE)),"")</f>
        <v/>
      </c>
      <c r="R30" s="152" t="str" cm="1">
        <f t="array" aca="1" ref="R30" ca="1">IFERROR(_xlfn.XLOOKUP(TableHandbook[[#This Row],[UDC]],INDIRECT("Table"&amp;SUBSTITUTE(R$2,"-","")&amp;"[UDC]",TRUE),INDIRECT("Table"&amp;SUBSTITUTE(R$2,"-","")&amp;"[Component Type]",TRUE)),"")</f>
        <v/>
      </c>
      <c r="S30" s="152" t="str" cm="1">
        <f t="array" aca="1" ref="S30" ca="1">IFERROR(_xlfn.XLOOKUP(TableHandbook[[#This Row],[UDC]],INDIRECT("Table"&amp;SUBSTITUTE(S$2,"-","")&amp;"[UDC]",TRUE),INDIRECT("Table"&amp;SUBSTITUTE(S$2,"-","")&amp;"[Component Type]",TRUE)),"")</f>
        <v/>
      </c>
      <c r="T30" s="152" t="str" cm="1">
        <f t="array" aca="1" ref="T30" ca="1">IFERROR(_xlfn.XLOOKUP(TableHandbook[[#This Row],[UDC]],INDIRECT("Table"&amp;SUBSTITUTE(T$2,"-","")&amp;"[UDC]",TRUE),INDIRECT("Table"&amp;SUBSTITUTE(T$2,"-","")&amp;"[Component Type]",TRUE)),"")</f>
        <v/>
      </c>
      <c r="U30" s="152" t="str" cm="1">
        <f t="array" aca="1" ref="U30" ca="1">IFERROR(_xlfn.XLOOKUP(TableHandbook[[#This Row],[UDC]],INDIRECT("Table"&amp;SUBSTITUTE(U$2,"-","")&amp;"[UDC]",TRUE),INDIRECT("Table"&amp;SUBSTITUTE(U$2,"-","")&amp;"[Component Type]",TRUE)),"")</f>
        <v/>
      </c>
      <c r="V30" s="154" t="str" cm="1">
        <f t="array" aca="1" ref="V30" ca="1">IFERROR(_xlfn.XLOOKUP(TableHandbook[[#This Row],[UDC]],INDIRECT("Table"&amp;SUBSTITUTE(V$2,"-","")&amp;"[UDC]",TRUE),INDIRECT("Table"&amp;SUBSTITUTE(V$2,"-","")&amp;"[Component Type]",TRUE)),"")</f>
        <v/>
      </c>
      <c r="W30" s="152" t="str" cm="1">
        <f t="array" aca="1" ref="W30" ca="1">IFERROR(_xlfn.XLOOKUP(TableHandbook[[#This Row],[UDC]],INDIRECT("Table"&amp;SUBSTITUTE(W$2,"-","")&amp;"[UDC]",TRUE),INDIRECT("Table"&amp;SUBSTITUTE(W$2,"-","")&amp;"[Component Type]",TRUE)),"")</f>
        <v/>
      </c>
      <c r="X30" s="152" t="str" cm="1">
        <f t="array" aca="1" ref="X30" ca="1">IFERROR(_xlfn.XLOOKUP(TableHandbook[[#This Row],[UDC]],INDIRECT("Table"&amp;SUBSTITUTE(X$2,"-","")&amp;"[UDC]",TRUE),INDIRECT("Table"&amp;SUBSTITUTE(X$2,"-","")&amp;"[Component Type]",TRUE)),"")</f>
        <v/>
      </c>
      <c r="Y30" s="152" t="str" cm="1">
        <f t="array" aca="1" ref="Y30" ca="1">IFERROR(_xlfn.XLOOKUP(TableHandbook[[#This Row],[UDC]],INDIRECT("Table"&amp;SUBSTITUTE(Y$2,"-","")&amp;"[UDC]",TRUE),INDIRECT("Table"&amp;SUBSTITUTE(Y$2,"-","")&amp;"[Component Type]",TRUE)),"")</f>
        <v/>
      </c>
      <c r="Z30" s="152" t="str" cm="1">
        <f t="array" aca="1" ref="Z30" ca="1">IFERROR(_xlfn.XLOOKUP(TableHandbook[[#This Row],[UDC]],INDIRECT("Table"&amp;SUBSTITUTE(Z$2,"-","")&amp;"[UDC]",TRUE),INDIRECT("Table"&amp;SUBSTITUTE(Z$2,"-","")&amp;"[Component Type]",TRUE)),"")</f>
        <v/>
      </c>
    </row>
    <row r="31" spans="1:26" x14ac:dyDescent="0.25">
      <c r="A31" s="8" t="s">
        <v>672</v>
      </c>
      <c r="B31" s="9">
        <v>1</v>
      </c>
      <c r="C31" s="9" t="s">
        <v>291</v>
      </c>
      <c r="D31" s="8" t="s">
        <v>292</v>
      </c>
      <c r="E31" s="9">
        <v>25</v>
      </c>
      <c r="F31" s="265" t="s">
        <v>277</v>
      </c>
      <c r="G31" s="72" t="str">
        <f>IFERROR(IF(VLOOKUP(TableHandbook[[#This Row],[UDC]],TableAvailabilities[],2,FALSE)&gt;0,"Y",""),"")</f>
        <v/>
      </c>
      <c r="H31" s="72" t="str">
        <f>IFERROR(IF(VLOOKUP(TableHandbook[[#This Row],[UDC]],TableAvailabilities[],3,FALSE)&gt;0,"Y",""),"")</f>
        <v/>
      </c>
      <c r="I31" s="72" t="str">
        <f>IFERROR(IF(VLOOKUP(TableHandbook[[#This Row],[UDC]],TableAvailabilities[],4,FALSE)&gt;0,"Y",""),"")</f>
        <v/>
      </c>
      <c r="J31" s="72" t="str">
        <f>IFERROR(IF(VLOOKUP(TableHandbook[[#This Row],[UDC]],TableAvailabilities[],5,FALSE)&gt;0,"Y",""),"")</f>
        <v/>
      </c>
      <c r="K31" s="155" t="s">
        <v>654</v>
      </c>
      <c r="L31" s="152" t="str" cm="1">
        <f t="array" aca="1" ref="L31" ca="1">IFERROR(_xlfn.XLOOKUP(TableHandbook[[#This Row],[UDC]],INDIRECT("Table"&amp;SUBSTITUTE(L$2,"-","")&amp;"[UDC]",TRUE),INDIRECT("Table"&amp;SUBSTITUTE(L$2,"-","")&amp;"[Component Type]",TRUE)),"")</f>
        <v/>
      </c>
      <c r="M31" s="152" t="str" cm="1">
        <f t="array" aca="1" ref="M31" ca="1">IFERROR(_xlfn.XLOOKUP(TableHandbook[[#This Row],[UDC]],INDIRECT("Table"&amp;SUBSTITUTE(M$2,"-","")&amp;"[UDC]",TRUE),INDIRECT("Table"&amp;SUBSTITUTE(M$2,"-","")&amp;"[Component Type]",TRUE)),"")</f>
        <v/>
      </c>
      <c r="N31" s="154" t="str" cm="1">
        <f t="array" aca="1" ref="N31" ca="1">IFERROR(_xlfn.XLOOKUP(TableHandbook[[#This Row],[UDC]],INDIRECT("Table"&amp;SUBSTITUTE(N$2,"-","")&amp;"[UDC]",TRUE),INDIRECT("Table"&amp;SUBSTITUTE(N$2,"-","")&amp;"[Component Type]",TRUE)),"")</f>
        <v/>
      </c>
      <c r="O31" s="152" t="str" cm="1">
        <f t="array" aca="1" ref="O31" ca="1">IFERROR(_xlfn.XLOOKUP(TableHandbook[[#This Row],[UDC]],INDIRECT("Table"&amp;SUBSTITUTE(O$2,"-","")&amp;"[UDC]",TRUE),INDIRECT("Table"&amp;SUBSTITUTE(O$2,"-","")&amp;"[Component Type]",TRUE)),"")</f>
        <v/>
      </c>
      <c r="P31" s="152" t="str" cm="1">
        <f t="array" aca="1" ref="P31" ca="1">IFERROR(_xlfn.XLOOKUP(TableHandbook[[#This Row],[UDC]],INDIRECT("Table"&amp;SUBSTITUTE(P$2,"-","")&amp;"[UDC]",TRUE),INDIRECT("Table"&amp;SUBSTITUTE(P$2,"-","")&amp;"[Component Type]",TRUE)),"")</f>
        <v/>
      </c>
      <c r="Q31" s="152" t="str" cm="1">
        <f t="array" aca="1" ref="Q31" ca="1">IFERROR(_xlfn.XLOOKUP(TableHandbook[[#This Row],[UDC]],INDIRECT("Table"&amp;SUBSTITUTE(Q$2,"-","")&amp;"[UDC]",TRUE),INDIRECT("Table"&amp;SUBSTITUTE(Q$2,"-","")&amp;"[Component Type]",TRUE)),"")</f>
        <v/>
      </c>
      <c r="R31" s="152" t="str" cm="1">
        <f t="array" aca="1" ref="R31" ca="1">IFERROR(_xlfn.XLOOKUP(TableHandbook[[#This Row],[UDC]],INDIRECT("Table"&amp;SUBSTITUTE(R$2,"-","")&amp;"[UDC]",TRUE),INDIRECT("Table"&amp;SUBSTITUTE(R$2,"-","")&amp;"[Component Type]",TRUE)),"")</f>
        <v/>
      </c>
      <c r="S31" s="152" t="str" cm="1">
        <f t="array" aca="1" ref="S31" ca="1">IFERROR(_xlfn.XLOOKUP(TableHandbook[[#This Row],[UDC]],INDIRECT("Table"&amp;SUBSTITUTE(S$2,"-","")&amp;"[UDC]",TRUE),INDIRECT("Table"&amp;SUBSTITUTE(S$2,"-","")&amp;"[Component Type]",TRUE)),"")</f>
        <v/>
      </c>
      <c r="T31" s="152" t="str" cm="1">
        <f t="array" aca="1" ref="T31" ca="1">IFERROR(_xlfn.XLOOKUP(TableHandbook[[#This Row],[UDC]],INDIRECT("Table"&amp;SUBSTITUTE(T$2,"-","")&amp;"[UDC]",TRUE),INDIRECT("Table"&amp;SUBSTITUTE(T$2,"-","")&amp;"[Component Type]",TRUE)),"")</f>
        <v/>
      </c>
      <c r="U31" s="152" t="str" cm="1">
        <f t="array" aca="1" ref="U31" ca="1">IFERROR(_xlfn.XLOOKUP(TableHandbook[[#This Row],[UDC]],INDIRECT("Table"&amp;SUBSTITUTE(U$2,"-","")&amp;"[UDC]",TRUE),INDIRECT("Table"&amp;SUBSTITUTE(U$2,"-","")&amp;"[Component Type]",TRUE)),"")</f>
        <v/>
      </c>
      <c r="V31" s="154" t="str" cm="1">
        <f t="array" aca="1" ref="V31" ca="1">IFERROR(_xlfn.XLOOKUP(TableHandbook[[#This Row],[UDC]],INDIRECT("Table"&amp;SUBSTITUTE(V$2,"-","")&amp;"[UDC]",TRUE),INDIRECT("Table"&amp;SUBSTITUTE(V$2,"-","")&amp;"[Component Type]",TRUE)),"")</f>
        <v/>
      </c>
      <c r="W31" s="152" t="str" cm="1">
        <f t="array" aca="1" ref="W31" ca="1">IFERROR(_xlfn.XLOOKUP(TableHandbook[[#This Row],[UDC]],INDIRECT("Table"&amp;SUBSTITUTE(W$2,"-","")&amp;"[UDC]",TRUE),INDIRECT("Table"&amp;SUBSTITUTE(W$2,"-","")&amp;"[Component Type]",TRUE)),"")</f>
        <v/>
      </c>
      <c r="X31" s="152" t="str" cm="1">
        <f t="array" aca="1" ref="X31" ca="1">IFERROR(_xlfn.XLOOKUP(TableHandbook[[#This Row],[UDC]],INDIRECT("Table"&amp;SUBSTITUTE(X$2,"-","")&amp;"[UDC]",TRUE),INDIRECT("Table"&amp;SUBSTITUTE(X$2,"-","")&amp;"[Component Type]",TRUE)),"")</f>
        <v/>
      </c>
      <c r="Y31" s="152" t="str" cm="1">
        <f t="array" aca="1" ref="Y31" ca="1">IFERROR(_xlfn.XLOOKUP(TableHandbook[[#This Row],[UDC]],INDIRECT("Table"&amp;SUBSTITUTE(Y$2,"-","")&amp;"[UDC]",TRUE),INDIRECT("Table"&amp;SUBSTITUTE(Y$2,"-","")&amp;"[Component Type]",TRUE)),"")</f>
        <v/>
      </c>
      <c r="Z31" s="152" t="str" cm="1">
        <f t="array" aca="1" ref="Z31" ca="1">IFERROR(_xlfn.XLOOKUP(TableHandbook[[#This Row],[UDC]],INDIRECT("Table"&amp;SUBSTITUTE(Z$2,"-","")&amp;"[UDC]",TRUE),INDIRECT("Table"&amp;SUBSTITUTE(Z$2,"-","")&amp;"[Component Type]",TRUE)),"")</f>
        <v/>
      </c>
    </row>
    <row r="32" spans="1:26" x14ac:dyDescent="0.25">
      <c r="A32" s="8" t="s">
        <v>673</v>
      </c>
      <c r="B32" s="9">
        <v>1</v>
      </c>
      <c r="C32" s="9" t="s">
        <v>293</v>
      </c>
      <c r="D32" s="8" t="s">
        <v>294</v>
      </c>
      <c r="E32" s="9">
        <v>25</v>
      </c>
      <c r="F32" s="265" t="s">
        <v>295</v>
      </c>
      <c r="G32" s="72" t="str">
        <f>IFERROR(IF(VLOOKUP(TableHandbook[[#This Row],[UDC]],TableAvailabilities[],2,FALSE)&gt;0,"Y",""),"")</f>
        <v/>
      </c>
      <c r="H32" s="72" t="str">
        <f>IFERROR(IF(VLOOKUP(TableHandbook[[#This Row],[UDC]],TableAvailabilities[],3,FALSE)&gt;0,"Y",""),"")</f>
        <v/>
      </c>
      <c r="I32" s="72" t="str">
        <f>IFERROR(IF(VLOOKUP(TableHandbook[[#This Row],[UDC]],TableAvailabilities[],4,FALSE)&gt;0,"Y",""),"")</f>
        <v/>
      </c>
      <c r="J32" s="72" t="str">
        <f>IFERROR(IF(VLOOKUP(TableHandbook[[#This Row],[UDC]],TableAvailabilities[],5,FALSE)&gt;0,"Y",""),"")</f>
        <v/>
      </c>
      <c r="K32" s="155" t="s">
        <v>674</v>
      </c>
      <c r="L32" s="152" t="str" cm="1">
        <f t="array" aca="1" ref="L32" ca="1">IFERROR(_xlfn.XLOOKUP(TableHandbook[[#This Row],[UDC]],INDIRECT("Table"&amp;SUBSTITUTE(L$2,"-","")&amp;"[UDC]",TRUE),INDIRECT("Table"&amp;SUBSTITUTE(L$2,"-","")&amp;"[Component Type]",TRUE)),"")</f>
        <v/>
      </c>
      <c r="M32" s="152" t="str" cm="1">
        <f t="array" aca="1" ref="M32" ca="1">IFERROR(_xlfn.XLOOKUP(TableHandbook[[#This Row],[UDC]],INDIRECT("Table"&amp;SUBSTITUTE(M$2,"-","")&amp;"[UDC]",TRUE),INDIRECT("Table"&amp;SUBSTITUTE(M$2,"-","")&amp;"[Component Type]",TRUE)),"")</f>
        <v/>
      </c>
      <c r="N32" s="154" t="str" cm="1">
        <f t="array" aca="1" ref="N32" ca="1">IFERROR(_xlfn.XLOOKUP(TableHandbook[[#This Row],[UDC]],INDIRECT("Table"&amp;SUBSTITUTE(N$2,"-","")&amp;"[UDC]",TRUE),INDIRECT("Table"&amp;SUBSTITUTE(N$2,"-","")&amp;"[Component Type]",TRUE)),"")</f>
        <v/>
      </c>
      <c r="O32" s="152" t="str" cm="1">
        <f t="array" aca="1" ref="O32" ca="1">IFERROR(_xlfn.XLOOKUP(TableHandbook[[#This Row],[UDC]],INDIRECT("Table"&amp;SUBSTITUTE(O$2,"-","")&amp;"[UDC]",TRUE),INDIRECT("Table"&amp;SUBSTITUTE(O$2,"-","")&amp;"[Component Type]",TRUE)),"")</f>
        <v/>
      </c>
      <c r="P32" s="152" t="str" cm="1">
        <f t="array" aca="1" ref="P32" ca="1">IFERROR(_xlfn.XLOOKUP(TableHandbook[[#This Row],[UDC]],INDIRECT("Table"&amp;SUBSTITUTE(P$2,"-","")&amp;"[UDC]",TRUE),INDIRECT("Table"&amp;SUBSTITUTE(P$2,"-","")&amp;"[Component Type]",TRUE)),"")</f>
        <v/>
      </c>
      <c r="Q32" s="152" t="str" cm="1">
        <f t="array" aca="1" ref="Q32" ca="1">IFERROR(_xlfn.XLOOKUP(TableHandbook[[#This Row],[UDC]],INDIRECT("Table"&amp;SUBSTITUTE(Q$2,"-","")&amp;"[UDC]",TRUE),INDIRECT("Table"&amp;SUBSTITUTE(Q$2,"-","")&amp;"[Component Type]",TRUE)),"")</f>
        <v/>
      </c>
      <c r="R32" s="152" t="str" cm="1">
        <f t="array" aca="1" ref="R32" ca="1">IFERROR(_xlfn.XLOOKUP(TableHandbook[[#This Row],[UDC]],INDIRECT("Table"&amp;SUBSTITUTE(R$2,"-","")&amp;"[UDC]",TRUE),INDIRECT("Table"&amp;SUBSTITUTE(R$2,"-","")&amp;"[Component Type]",TRUE)),"")</f>
        <v/>
      </c>
      <c r="S32" s="152" t="str" cm="1">
        <f t="array" aca="1" ref="S32" ca="1">IFERROR(_xlfn.XLOOKUP(TableHandbook[[#This Row],[UDC]],INDIRECT("Table"&amp;SUBSTITUTE(S$2,"-","")&amp;"[UDC]",TRUE),INDIRECT("Table"&amp;SUBSTITUTE(S$2,"-","")&amp;"[Component Type]",TRUE)),"")</f>
        <v/>
      </c>
      <c r="T32" s="152" t="str" cm="1">
        <f t="array" aca="1" ref="T32" ca="1">IFERROR(_xlfn.XLOOKUP(TableHandbook[[#This Row],[UDC]],INDIRECT("Table"&amp;SUBSTITUTE(T$2,"-","")&amp;"[UDC]",TRUE),INDIRECT("Table"&amp;SUBSTITUTE(T$2,"-","")&amp;"[Component Type]",TRUE)),"")</f>
        <v/>
      </c>
      <c r="U32" s="152" t="str" cm="1">
        <f t="array" aca="1" ref="U32" ca="1">IFERROR(_xlfn.XLOOKUP(TableHandbook[[#This Row],[UDC]],INDIRECT("Table"&amp;SUBSTITUTE(U$2,"-","")&amp;"[UDC]",TRUE),INDIRECT("Table"&amp;SUBSTITUTE(U$2,"-","")&amp;"[Component Type]",TRUE)),"")</f>
        <v/>
      </c>
      <c r="V32" s="154" t="str" cm="1">
        <f t="array" aca="1" ref="V32" ca="1">IFERROR(_xlfn.XLOOKUP(TableHandbook[[#This Row],[UDC]],INDIRECT("Table"&amp;SUBSTITUTE(V$2,"-","")&amp;"[UDC]",TRUE),INDIRECT("Table"&amp;SUBSTITUTE(V$2,"-","")&amp;"[Component Type]",TRUE)),"")</f>
        <v/>
      </c>
      <c r="W32" s="152" t="str" cm="1">
        <f t="array" aca="1" ref="W32" ca="1">IFERROR(_xlfn.XLOOKUP(TableHandbook[[#This Row],[UDC]],INDIRECT("Table"&amp;SUBSTITUTE(W$2,"-","")&amp;"[UDC]",TRUE),INDIRECT("Table"&amp;SUBSTITUTE(W$2,"-","")&amp;"[Component Type]",TRUE)),"")</f>
        <v/>
      </c>
      <c r="X32" s="152" t="str" cm="1">
        <f t="array" aca="1" ref="X32" ca="1">IFERROR(_xlfn.XLOOKUP(TableHandbook[[#This Row],[UDC]],INDIRECT("Table"&amp;SUBSTITUTE(X$2,"-","")&amp;"[UDC]",TRUE),INDIRECT("Table"&amp;SUBSTITUTE(X$2,"-","")&amp;"[Component Type]",TRUE)),"")</f>
        <v/>
      </c>
      <c r="Y32" s="152" t="str" cm="1">
        <f t="array" aca="1" ref="Y32" ca="1">IFERROR(_xlfn.XLOOKUP(TableHandbook[[#This Row],[UDC]],INDIRECT("Table"&amp;SUBSTITUTE(Y$2,"-","")&amp;"[UDC]",TRUE),INDIRECT("Table"&amp;SUBSTITUTE(Y$2,"-","")&amp;"[Component Type]",TRUE)),"")</f>
        <v/>
      </c>
      <c r="Z32" s="152" t="str" cm="1">
        <f t="array" aca="1" ref="Z32" ca="1">IFERROR(_xlfn.XLOOKUP(TableHandbook[[#This Row],[UDC]],INDIRECT("Table"&amp;SUBSTITUTE(Z$2,"-","")&amp;"[UDC]",TRUE),INDIRECT("Table"&amp;SUBSTITUTE(Z$2,"-","")&amp;"[Component Type]",TRUE)),"")</f>
        <v/>
      </c>
    </row>
    <row r="33" spans="1:26" x14ac:dyDescent="0.25">
      <c r="A33" s="246" t="s">
        <v>600</v>
      </c>
      <c r="B33" s="9">
        <v>1</v>
      </c>
      <c r="C33" s="9" t="s">
        <v>600</v>
      </c>
      <c r="D33" s="8" t="s">
        <v>278</v>
      </c>
      <c r="E33" s="9">
        <v>25</v>
      </c>
      <c r="F33" s="266" t="s">
        <v>708</v>
      </c>
      <c r="G33" s="72" t="str">
        <f>IFERROR(IF(VLOOKUP(TableHandbook[[#This Row],[UDC]],TableAvailabilities[],2,FALSE)&gt;0,"Y",""),"")</f>
        <v>Y</v>
      </c>
      <c r="H33" s="72" t="str">
        <f>IFERROR(IF(VLOOKUP(TableHandbook[[#This Row],[UDC]],TableAvailabilities[],3,FALSE)&gt;0,"Y",""),"")</f>
        <v/>
      </c>
      <c r="I33" s="72" t="str">
        <f>IFERROR(IF(VLOOKUP(TableHandbook[[#This Row],[UDC]],TableAvailabilities[],4,FALSE)&gt;0,"Y",""),"")</f>
        <v>Y</v>
      </c>
      <c r="J33" s="72" t="str">
        <f>IFERROR(IF(VLOOKUP(TableHandbook[[#This Row],[UDC]],TableAvailabilities[],5,FALSE)&gt;0,"Y",""),"")</f>
        <v/>
      </c>
      <c r="K33" s="155"/>
      <c r="L33" s="152" t="str" cm="1">
        <f t="array" aca="1" ref="L33" ca="1">IFERROR(_xlfn.XLOOKUP(TableHandbook[[#This Row],[UDC]],INDIRECT("Table"&amp;SUBSTITUTE(L$2,"-","")&amp;"[UDC]",TRUE),INDIRECT("Table"&amp;SUBSTITUTE(L$2,"-","")&amp;"[Component Type]",TRUE)),"")</f>
        <v>Core</v>
      </c>
      <c r="M33" s="152" t="str" cm="1">
        <f t="array" aca="1" ref="M33" ca="1">IFERROR(_xlfn.XLOOKUP(TableHandbook[[#This Row],[UDC]],INDIRECT("Table"&amp;SUBSTITUTE(M$2,"-","")&amp;"[UDC]",TRUE),INDIRECT("Table"&amp;SUBSTITUTE(M$2,"-","")&amp;"[Component Type]",TRUE)),"")</f>
        <v>Core</v>
      </c>
      <c r="N33" s="154" t="str" cm="1">
        <f t="array" aca="1" ref="N33" ca="1">IFERROR(_xlfn.XLOOKUP(TableHandbook[[#This Row],[UDC]],INDIRECT("Table"&amp;SUBSTITUTE(N$2,"-","")&amp;"[UDC]",TRUE),INDIRECT("Table"&amp;SUBSTITUTE(N$2,"-","")&amp;"[Component Type]",TRUE)),"")</f>
        <v/>
      </c>
      <c r="O33" s="152" t="str" cm="1">
        <f t="array" aca="1" ref="O33" ca="1">IFERROR(_xlfn.XLOOKUP(TableHandbook[[#This Row],[UDC]],INDIRECT("Table"&amp;SUBSTITUTE(O$2,"-","")&amp;"[UDC]",TRUE),INDIRECT("Table"&amp;SUBSTITUTE(O$2,"-","")&amp;"[Component Type]",TRUE)),"")</f>
        <v/>
      </c>
      <c r="P33" s="152" t="str" cm="1">
        <f t="array" aca="1" ref="P33" ca="1">IFERROR(_xlfn.XLOOKUP(TableHandbook[[#This Row],[UDC]],INDIRECT("Table"&amp;SUBSTITUTE(P$2,"-","")&amp;"[UDC]",TRUE),INDIRECT("Table"&amp;SUBSTITUTE(P$2,"-","")&amp;"[Component Type]",TRUE)),"")</f>
        <v/>
      </c>
      <c r="Q33" s="152" t="str" cm="1">
        <f t="array" aca="1" ref="Q33" ca="1">IFERROR(_xlfn.XLOOKUP(TableHandbook[[#This Row],[UDC]],INDIRECT("Table"&amp;SUBSTITUTE(Q$2,"-","")&amp;"[UDC]",TRUE),INDIRECT("Table"&amp;SUBSTITUTE(Q$2,"-","")&amp;"[Component Type]",TRUE)),"")</f>
        <v/>
      </c>
      <c r="R33" s="152" t="str" cm="1">
        <f t="array" aca="1" ref="R33" ca="1">IFERROR(_xlfn.XLOOKUP(TableHandbook[[#This Row],[UDC]],INDIRECT("Table"&amp;SUBSTITUTE(R$2,"-","")&amp;"[UDC]",TRUE),INDIRECT("Table"&amp;SUBSTITUTE(R$2,"-","")&amp;"[Component Type]",TRUE)),"")</f>
        <v/>
      </c>
      <c r="S33" s="152" t="str" cm="1">
        <f t="array" aca="1" ref="S33" ca="1">IFERROR(_xlfn.XLOOKUP(TableHandbook[[#This Row],[UDC]],INDIRECT("Table"&amp;SUBSTITUTE(S$2,"-","")&amp;"[UDC]",TRUE),INDIRECT("Table"&amp;SUBSTITUTE(S$2,"-","")&amp;"[Component Type]",TRUE)),"")</f>
        <v/>
      </c>
      <c r="T33" s="152" t="str" cm="1">
        <f t="array" aca="1" ref="T33" ca="1">IFERROR(_xlfn.XLOOKUP(TableHandbook[[#This Row],[UDC]],INDIRECT("Table"&amp;SUBSTITUTE(T$2,"-","")&amp;"[UDC]",TRUE),INDIRECT("Table"&amp;SUBSTITUTE(T$2,"-","")&amp;"[Component Type]",TRUE)),"")</f>
        <v/>
      </c>
      <c r="U33" s="152" t="str" cm="1">
        <f t="array" aca="1" ref="U33" ca="1">IFERROR(_xlfn.XLOOKUP(TableHandbook[[#This Row],[UDC]],INDIRECT("Table"&amp;SUBSTITUTE(U$2,"-","")&amp;"[UDC]",TRUE),INDIRECT("Table"&amp;SUBSTITUTE(U$2,"-","")&amp;"[Component Type]",TRUE)),"")</f>
        <v/>
      </c>
      <c r="V33" s="154" t="str" cm="1">
        <f t="array" aca="1" ref="V33" ca="1">IFERROR(_xlfn.XLOOKUP(TableHandbook[[#This Row],[UDC]],INDIRECT("Table"&amp;SUBSTITUTE(V$2,"-","")&amp;"[UDC]",TRUE),INDIRECT("Table"&amp;SUBSTITUTE(V$2,"-","")&amp;"[Component Type]",TRUE)),"")</f>
        <v/>
      </c>
      <c r="W33" s="152" t="str" cm="1">
        <f t="array" aca="1" ref="W33" ca="1">IFERROR(_xlfn.XLOOKUP(TableHandbook[[#This Row],[UDC]],INDIRECT("Table"&amp;SUBSTITUTE(W$2,"-","")&amp;"[UDC]",TRUE),INDIRECT("Table"&amp;SUBSTITUTE(W$2,"-","")&amp;"[Component Type]",TRUE)),"")</f>
        <v/>
      </c>
      <c r="X33" s="152" t="str" cm="1">
        <f t="array" aca="1" ref="X33" ca="1">IFERROR(_xlfn.XLOOKUP(TableHandbook[[#This Row],[UDC]],INDIRECT("Table"&amp;SUBSTITUTE(X$2,"-","")&amp;"[UDC]",TRUE),INDIRECT("Table"&amp;SUBSTITUTE(X$2,"-","")&amp;"[Component Type]",TRUE)),"")</f>
        <v/>
      </c>
      <c r="Y33" s="152" t="str" cm="1">
        <f t="array" aca="1" ref="Y33" ca="1">IFERROR(_xlfn.XLOOKUP(TableHandbook[[#This Row],[UDC]],INDIRECT("Table"&amp;SUBSTITUTE(Y$2,"-","")&amp;"[UDC]",TRUE),INDIRECT("Table"&amp;SUBSTITUTE(Y$2,"-","")&amp;"[Component Type]",TRUE)),"")</f>
        <v/>
      </c>
      <c r="Z33" s="152" t="str" cm="1">
        <f t="array" aca="1" ref="Z33" ca="1">IFERROR(_xlfn.XLOOKUP(TableHandbook[[#This Row],[UDC]],INDIRECT("Table"&amp;SUBSTITUTE(Z$2,"-","")&amp;"[UDC]",TRUE),INDIRECT("Table"&amp;SUBSTITUTE(Z$2,"-","")&amp;"[Component Type]",TRUE)),"")</f>
        <v/>
      </c>
    </row>
    <row r="34" spans="1:26" x14ac:dyDescent="0.25">
      <c r="A34" s="246" t="s">
        <v>602</v>
      </c>
      <c r="B34" s="9">
        <v>1</v>
      </c>
      <c r="C34" s="9" t="s">
        <v>602</v>
      </c>
      <c r="D34" s="8" t="s">
        <v>645</v>
      </c>
      <c r="E34" s="9">
        <v>25</v>
      </c>
      <c r="F34" s="266" t="s">
        <v>709</v>
      </c>
      <c r="G34" s="72" t="str">
        <f>IFERROR(IF(VLOOKUP(TableHandbook[[#This Row],[UDC]],TableAvailabilities[],2,FALSE)&gt;0,"Y",""),"")</f>
        <v/>
      </c>
      <c r="H34" s="72" t="str">
        <f>IFERROR(IF(VLOOKUP(TableHandbook[[#This Row],[UDC]],TableAvailabilities[],3,FALSE)&gt;0,"Y",""),"")</f>
        <v>Y</v>
      </c>
      <c r="I34" s="72" t="str">
        <f>IFERROR(IF(VLOOKUP(TableHandbook[[#This Row],[UDC]],TableAvailabilities[],4,FALSE)&gt;0,"Y",""),"")</f>
        <v/>
      </c>
      <c r="J34" s="72" t="str">
        <f>IFERROR(IF(VLOOKUP(TableHandbook[[#This Row],[UDC]],TableAvailabilities[],5,FALSE)&gt;0,"Y",""),"")</f>
        <v>Y</v>
      </c>
      <c r="K34" s="155"/>
      <c r="L34" s="152" t="str" cm="1">
        <f t="array" aca="1" ref="L34" ca="1">IFERROR(_xlfn.XLOOKUP(TableHandbook[[#This Row],[UDC]],INDIRECT("Table"&amp;SUBSTITUTE(L$2,"-","")&amp;"[UDC]",TRUE),INDIRECT("Table"&amp;SUBSTITUTE(L$2,"-","")&amp;"[Component Type]",TRUE)),"")</f>
        <v>Core</v>
      </c>
      <c r="M34" s="152" t="str" cm="1">
        <f t="array" aca="1" ref="M34" ca="1">IFERROR(_xlfn.XLOOKUP(TableHandbook[[#This Row],[UDC]],INDIRECT("Table"&amp;SUBSTITUTE(M$2,"-","")&amp;"[UDC]",TRUE),INDIRECT("Table"&amp;SUBSTITUTE(M$2,"-","")&amp;"[Component Type]",TRUE)),"")</f>
        <v>Core</v>
      </c>
      <c r="N34" s="154" t="str" cm="1">
        <f t="array" aca="1" ref="N34" ca="1">IFERROR(_xlfn.XLOOKUP(TableHandbook[[#This Row],[UDC]],INDIRECT("Table"&amp;SUBSTITUTE(N$2,"-","")&amp;"[UDC]",TRUE),INDIRECT("Table"&amp;SUBSTITUTE(N$2,"-","")&amp;"[Component Type]",TRUE)),"")</f>
        <v/>
      </c>
      <c r="O34" s="152" t="str" cm="1">
        <f t="array" aca="1" ref="O34" ca="1">IFERROR(_xlfn.XLOOKUP(TableHandbook[[#This Row],[UDC]],INDIRECT("Table"&amp;SUBSTITUTE(O$2,"-","")&amp;"[UDC]",TRUE),INDIRECT("Table"&amp;SUBSTITUTE(O$2,"-","")&amp;"[Component Type]",TRUE)),"")</f>
        <v/>
      </c>
      <c r="P34" s="152" t="str" cm="1">
        <f t="array" aca="1" ref="P34" ca="1">IFERROR(_xlfn.XLOOKUP(TableHandbook[[#This Row],[UDC]],INDIRECT("Table"&amp;SUBSTITUTE(P$2,"-","")&amp;"[UDC]",TRUE),INDIRECT("Table"&amp;SUBSTITUTE(P$2,"-","")&amp;"[Component Type]",TRUE)),"")</f>
        <v/>
      </c>
      <c r="Q34" s="152" t="str" cm="1">
        <f t="array" aca="1" ref="Q34" ca="1">IFERROR(_xlfn.XLOOKUP(TableHandbook[[#This Row],[UDC]],INDIRECT("Table"&amp;SUBSTITUTE(Q$2,"-","")&amp;"[UDC]",TRUE),INDIRECT("Table"&amp;SUBSTITUTE(Q$2,"-","")&amp;"[Component Type]",TRUE)),"")</f>
        <v/>
      </c>
      <c r="R34" s="152" t="str" cm="1">
        <f t="array" aca="1" ref="R34" ca="1">IFERROR(_xlfn.XLOOKUP(TableHandbook[[#This Row],[UDC]],INDIRECT("Table"&amp;SUBSTITUTE(R$2,"-","")&amp;"[UDC]",TRUE),INDIRECT("Table"&amp;SUBSTITUTE(R$2,"-","")&amp;"[Component Type]",TRUE)),"")</f>
        <v/>
      </c>
      <c r="S34" s="152" t="str" cm="1">
        <f t="array" aca="1" ref="S34" ca="1">IFERROR(_xlfn.XLOOKUP(TableHandbook[[#This Row],[UDC]],INDIRECT("Table"&amp;SUBSTITUTE(S$2,"-","")&amp;"[UDC]",TRUE),INDIRECT("Table"&amp;SUBSTITUTE(S$2,"-","")&amp;"[Component Type]",TRUE)),"")</f>
        <v/>
      </c>
      <c r="T34" s="152" t="str" cm="1">
        <f t="array" aca="1" ref="T34" ca="1">IFERROR(_xlfn.XLOOKUP(TableHandbook[[#This Row],[UDC]],INDIRECT("Table"&amp;SUBSTITUTE(T$2,"-","")&amp;"[UDC]",TRUE),INDIRECT("Table"&amp;SUBSTITUTE(T$2,"-","")&amp;"[Component Type]",TRUE)),"")</f>
        <v/>
      </c>
      <c r="U34" s="152" t="str" cm="1">
        <f t="array" aca="1" ref="U34" ca="1">IFERROR(_xlfn.XLOOKUP(TableHandbook[[#This Row],[UDC]],INDIRECT("Table"&amp;SUBSTITUTE(U$2,"-","")&amp;"[UDC]",TRUE),INDIRECT("Table"&amp;SUBSTITUTE(U$2,"-","")&amp;"[Component Type]",TRUE)),"")</f>
        <v/>
      </c>
      <c r="V34" s="154" t="str" cm="1">
        <f t="array" aca="1" ref="V34" ca="1">IFERROR(_xlfn.XLOOKUP(TableHandbook[[#This Row],[UDC]],INDIRECT("Table"&amp;SUBSTITUTE(V$2,"-","")&amp;"[UDC]",TRUE),INDIRECT("Table"&amp;SUBSTITUTE(V$2,"-","")&amp;"[Component Type]",TRUE)),"")</f>
        <v/>
      </c>
      <c r="W34" s="152" t="str" cm="1">
        <f t="array" aca="1" ref="W34" ca="1">IFERROR(_xlfn.XLOOKUP(TableHandbook[[#This Row],[UDC]],INDIRECT("Table"&amp;SUBSTITUTE(W$2,"-","")&amp;"[UDC]",TRUE),INDIRECT("Table"&amp;SUBSTITUTE(W$2,"-","")&amp;"[Component Type]",TRUE)),"")</f>
        <v/>
      </c>
      <c r="X34" s="152" t="str" cm="1">
        <f t="array" aca="1" ref="X34" ca="1">IFERROR(_xlfn.XLOOKUP(TableHandbook[[#This Row],[UDC]],INDIRECT("Table"&amp;SUBSTITUTE(X$2,"-","")&amp;"[UDC]",TRUE),INDIRECT("Table"&amp;SUBSTITUTE(X$2,"-","")&amp;"[Component Type]",TRUE)),"")</f>
        <v/>
      </c>
      <c r="Y34" s="152" t="str" cm="1">
        <f t="array" aca="1" ref="Y34" ca="1">IFERROR(_xlfn.XLOOKUP(TableHandbook[[#This Row],[UDC]],INDIRECT("Table"&amp;SUBSTITUTE(Y$2,"-","")&amp;"[UDC]",TRUE),INDIRECT("Table"&amp;SUBSTITUTE(Y$2,"-","")&amp;"[Component Type]",TRUE)),"")</f>
        <v/>
      </c>
      <c r="Z34" s="152" t="str" cm="1">
        <f t="array" aca="1" ref="Z34" ca="1">IFERROR(_xlfn.XLOOKUP(TableHandbook[[#This Row],[UDC]],INDIRECT("Table"&amp;SUBSTITUTE(Z$2,"-","")&amp;"[UDC]",TRUE),INDIRECT("Table"&amp;SUBSTITUTE(Z$2,"-","")&amp;"[Component Type]",TRUE)),"")</f>
        <v/>
      </c>
    </row>
    <row r="35" spans="1:26" x14ac:dyDescent="0.25">
      <c r="A35" s="246" t="s">
        <v>598</v>
      </c>
      <c r="B35" s="9">
        <v>1</v>
      </c>
      <c r="C35" s="9" t="s">
        <v>598</v>
      </c>
      <c r="D35" s="8" t="s">
        <v>643</v>
      </c>
      <c r="E35" s="9">
        <v>25</v>
      </c>
      <c r="F35" s="266" t="s">
        <v>287</v>
      </c>
      <c r="G35" s="72" t="str">
        <f>IFERROR(IF(VLOOKUP(TableHandbook[[#This Row],[UDC]],TableAvailabilities[],2,FALSE)&gt;0,"Y",""),"")</f>
        <v>Y</v>
      </c>
      <c r="H35" s="72" t="str">
        <f>IFERROR(IF(VLOOKUP(TableHandbook[[#This Row],[UDC]],TableAvailabilities[],3,FALSE)&gt;0,"Y",""),"")</f>
        <v/>
      </c>
      <c r="I35" s="72" t="str">
        <f>IFERROR(IF(VLOOKUP(TableHandbook[[#This Row],[UDC]],TableAvailabilities[],4,FALSE)&gt;0,"Y",""),"")</f>
        <v>Y</v>
      </c>
      <c r="J35" s="72" t="str">
        <f>IFERROR(IF(VLOOKUP(TableHandbook[[#This Row],[UDC]],TableAvailabilities[],5,FALSE)&gt;0,"Y",""),"")</f>
        <v/>
      </c>
      <c r="K35" s="155"/>
      <c r="L35" s="152" t="str" cm="1">
        <f t="array" aca="1" ref="L35" ca="1">IFERROR(_xlfn.XLOOKUP(TableHandbook[[#This Row],[UDC]],INDIRECT("Table"&amp;SUBSTITUTE(L$2,"-","")&amp;"[UDC]",TRUE),INDIRECT("Table"&amp;SUBSTITUTE(L$2,"-","")&amp;"[Component Type]",TRUE)),"")</f>
        <v>Core</v>
      </c>
      <c r="M35" s="152" t="str" cm="1">
        <f t="array" aca="1" ref="M35" ca="1">IFERROR(_xlfn.XLOOKUP(TableHandbook[[#This Row],[UDC]],INDIRECT("Table"&amp;SUBSTITUTE(M$2,"-","")&amp;"[UDC]",TRUE),INDIRECT("Table"&amp;SUBSTITUTE(M$2,"-","")&amp;"[Component Type]",TRUE)),"")</f>
        <v>Core</v>
      </c>
      <c r="N35" s="154" t="str" cm="1">
        <f t="array" aca="1" ref="N35" ca="1">IFERROR(_xlfn.XLOOKUP(TableHandbook[[#This Row],[UDC]],INDIRECT("Table"&amp;SUBSTITUTE(N$2,"-","")&amp;"[UDC]",TRUE),INDIRECT("Table"&amp;SUBSTITUTE(N$2,"-","")&amp;"[Component Type]",TRUE)),"")</f>
        <v/>
      </c>
      <c r="O35" s="152" t="str" cm="1">
        <f t="array" aca="1" ref="O35" ca="1">IFERROR(_xlfn.XLOOKUP(TableHandbook[[#This Row],[UDC]],INDIRECT("Table"&amp;SUBSTITUTE(O$2,"-","")&amp;"[UDC]",TRUE),INDIRECT("Table"&amp;SUBSTITUTE(O$2,"-","")&amp;"[Component Type]",TRUE)),"")</f>
        <v/>
      </c>
      <c r="P35" s="152" t="str" cm="1">
        <f t="array" aca="1" ref="P35" ca="1">IFERROR(_xlfn.XLOOKUP(TableHandbook[[#This Row],[UDC]],INDIRECT("Table"&amp;SUBSTITUTE(P$2,"-","")&amp;"[UDC]",TRUE),INDIRECT("Table"&amp;SUBSTITUTE(P$2,"-","")&amp;"[Component Type]",TRUE)),"")</f>
        <v/>
      </c>
      <c r="Q35" s="152" t="str" cm="1">
        <f t="array" aca="1" ref="Q35" ca="1">IFERROR(_xlfn.XLOOKUP(TableHandbook[[#This Row],[UDC]],INDIRECT("Table"&amp;SUBSTITUTE(Q$2,"-","")&amp;"[UDC]",TRUE),INDIRECT("Table"&amp;SUBSTITUTE(Q$2,"-","")&amp;"[Component Type]",TRUE)),"")</f>
        <v/>
      </c>
      <c r="R35" s="152" t="str" cm="1">
        <f t="array" aca="1" ref="R35" ca="1">IFERROR(_xlfn.XLOOKUP(TableHandbook[[#This Row],[UDC]],INDIRECT("Table"&amp;SUBSTITUTE(R$2,"-","")&amp;"[UDC]",TRUE),INDIRECT("Table"&amp;SUBSTITUTE(R$2,"-","")&amp;"[Component Type]",TRUE)),"")</f>
        <v/>
      </c>
      <c r="S35" s="152" t="str" cm="1">
        <f t="array" aca="1" ref="S35" ca="1">IFERROR(_xlfn.XLOOKUP(TableHandbook[[#This Row],[UDC]],INDIRECT("Table"&amp;SUBSTITUTE(S$2,"-","")&amp;"[UDC]",TRUE),INDIRECT("Table"&amp;SUBSTITUTE(S$2,"-","")&amp;"[Component Type]",TRUE)),"")</f>
        <v/>
      </c>
      <c r="T35" s="152" t="str" cm="1">
        <f t="array" aca="1" ref="T35" ca="1">IFERROR(_xlfn.XLOOKUP(TableHandbook[[#This Row],[UDC]],INDIRECT("Table"&amp;SUBSTITUTE(T$2,"-","")&amp;"[UDC]",TRUE),INDIRECT("Table"&amp;SUBSTITUTE(T$2,"-","")&amp;"[Component Type]",TRUE)),"")</f>
        <v/>
      </c>
      <c r="U35" s="152" t="str" cm="1">
        <f t="array" aca="1" ref="U35" ca="1">IFERROR(_xlfn.XLOOKUP(TableHandbook[[#This Row],[UDC]],INDIRECT("Table"&amp;SUBSTITUTE(U$2,"-","")&amp;"[UDC]",TRUE),INDIRECT("Table"&amp;SUBSTITUTE(U$2,"-","")&amp;"[Component Type]",TRUE)),"")</f>
        <v/>
      </c>
      <c r="V35" s="154" t="str" cm="1">
        <f t="array" aca="1" ref="V35" ca="1">IFERROR(_xlfn.XLOOKUP(TableHandbook[[#This Row],[UDC]],INDIRECT("Table"&amp;SUBSTITUTE(V$2,"-","")&amp;"[UDC]",TRUE),INDIRECT("Table"&amp;SUBSTITUTE(V$2,"-","")&amp;"[Component Type]",TRUE)),"")</f>
        <v/>
      </c>
      <c r="W35" s="152" t="str" cm="1">
        <f t="array" aca="1" ref="W35" ca="1">IFERROR(_xlfn.XLOOKUP(TableHandbook[[#This Row],[UDC]],INDIRECT("Table"&amp;SUBSTITUTE(W$2,"-","")&amp;"[UDC]",TRUE),INDIRECT("Table"&amp;SUBSTITUTE(W$2,"-","")&amp;"[Component Type]",TRUE)),"")</f>
        <v/>
      </c>
      <c r="X35" s="152" t="str" cm="1">
        <f t="array" aca="1" ref="X35" ca="1">IFERROR(_xlfn.XLOOKUP(TableHandbook[[#This Row],[UDC]],INDIRECT("Table"&amp;SUBSTITUTE(X$2,"-","")&amp;"[UDC]",TRUE),INDIRECT("Table"&amp;SUBSTITUTE(X$2,"-","")&amp;"[Component Type]",TRUE)),"")</f>
        <v/>
      </c>
      <c r="Y35" s="152" t="str" cm="1">
        <f t="array" aca="1" ref="Y35" ca="1">IFERROR(_xlfn.XLOOKUP(TableHandbook[[#This Row],[UDC]],INDIRECT("Table"&amp;SUBSTITUTE(Y$2,"-","")&amp;"[UDC]",TRUE),INDIRECT("Table"&amp;SUBSTITUTE(Y$2,"-","")&amp;"[Component Type]",TRUE)),"")</f>
        <v/>
      </c>
      <c r="Z35" s="152" t="str" cm="1">
        <f t="array" aca="1" ref="Z35" ca="1">IFERROR(_xlfn.XLOOKUP(TableHandbook[[#This Row],[UDC]],INDIRECT("Table"&amp;SUBSTITUTE(Z$2,"-","")&amp;"[UDC]",TRUE),INDIRECT("Table"&amp;SUBSTITUTE(Z$2,"-","")&amp;"[Component Type]",TRUE)),"")</f>
        <v/>
      </c>
    </row>
    <row r="36" spans="1:26" x14ac:dyDescent="0.25">
      <c r="A36" s="8" t="s">
        <v>130</v>
      </c>
      <c r="B36" s="9">
        <v>1</v>
      </c>
      <c r="C36" s="9" t="s">
        <v>296</v>
      </c>
      <c r="D36" s="8" t="s">
        <v>297</v>
      </c>
      <c r="E36" s="9">
        <v>25</v>
      </c>
      <c r="F36" s="266" t="s">
        <v>710</v>
      </c>
      <c r="G36" s="72" t="str">
        <f>IFERROR(IF(VLOOKUP(TableHandbook[[#This Row],[UDC]],TableAvailabilities[],2,FALSE)&gt;0,"Y",""),"")</f>
        <v/>
      </c>
      <c r="H36" s="72" t="str">
        <f>IFERROR(IF(VLOOKUP(TableHandbook[[#This Row],[UDC]],TableAvailabilities[],3,FALSE)&gt;0,"Y",""),"")</f>
        <v>Y</v>
      </c>
      <c r="I36" s="72" t="str">
        <f>IFERROR(IF(VLOOKUP(TableHandbook[[#This Row],[UDC]],TableAvailabilities[],4,FALSE)&gt;0,"Y",""),"")</f>
        <v/>
      </c>
      <c r="J36" s="72" t="str">
        <f>IFERROR(IF(VLOOKUP(TableHandbook[[#This Row],[UDC]],TableAvailabilities[],5,FALSE)&gt;0,"Y",""),"")</f>
        <v>Y</v>
      </c>
      <c r="K36" s="155"/>
      <c r="L36" s="152" t="str" cm="1">
        <f t="array" aca="1" ref="L36" ca="1">IFERROR(_xlfn.XLOOKUP(TableHandbook[[#This Row],[UDC]],INDIRECT("Table"&amp;SUBSTITUTE(L$2,"-","")&amp;"[UDC]",TRUE),INDIRECT("Table"&amp;SUBSTITUTE(L$2,"-","")&amp;"[Component Type]",TRUE)),"")</f>
        <v>Core</v>
      </c>
      <c r="M36" s="152" t="str" cm="1">
        <f t="array" aca="1" ref="M36" ca="1">IFERROR(_xlfn.XLOOKUP(TableHandbook[[#This Row],[UDC]],INDIRECT("Table"&amp;SUBSTITUTE(M$2,"-","")&amp;"[UDC]",TRUE),INDIRECT("Table"&amp;SUBSTITUTE(M$2,"-","")&amp;"[Component Type]",TRUE)),"")</f>
        <v>Core</v>
      </c>
      <c r="N36" s="154" t="str" cm="1">
        <f t="array" aca="1" ref="N36" ca="1">IFERROR(_xlfn.XLOOKUP(TableHandbook[[#This Row],[UDC]],INDIRECT("Table"&amp;SUBSTITUTE(N$2,"-","")&amp;"[UDC]",TRUE),INDIRECT("Table"&amp;SUBSTITUTE(N$2,"-","")&amp;"[Component Type]",TRUE)),"")</f>
        <v/>
      </c>
      <c r="O36" s="152" t="str" cm="1">
        <f t="array" aca="1" ref="O36" ca="1">IFERROR(_xlfn.XLOOKUP(TableHandbook[[#This Row],[UDC]],INDIRECT("Table"&amp;SUBSTITUTE(O$2,"-","")&amp;"[UDC]",TRUE),INDIRECT("Table"&amp;SUBSTITUTE(O$2,"-","")&amp;"[Component Type]",TRUE)),"")</f>
        <v/>
      </c>
      <c r="P36" s="152" t="str" cm="1">
        <f t="array" aca="1" ref="P36" ca="1">IFERROR(_xlfn.XLOOKUP(TableHandbook[[#This Row],[UDC]],INDIRECT("Table"&amp;SUBSTITUTE(P$2,"-","")&amp;"[UDC]",TRUE),INDIRECT("Table"&amp;SUBSTITUTE(P$2,"-","")&amp;"[Component Type]",TRUE)),"")</f>
        <v/>
      </c>
      <c r="Q36" s="152" t="str" cm="1">
        <f t="array" aca="1" ref="Q36" ca="1">IFERROR(_xlfn.XLOOKUP(TableHandbook[[#This Row],[UDC]],INDIRECT("Table"&amp;SUBSTITUTE(Q$2,"-","")&amp;"[UDC]",TRUE),INDIRECT("Table"&amp;SUBSTITUTE(Q$2,"-","")&amp;"[Component Type]",TRUE)),"")</f>
        <v/>
      </c>
      <c r="R36" s="152" t="str" cm="1">
        <f t="array" aca="1" ref="R36" ca="1">IFERROR(_xlfn.XLOOKUP(TableHandbook[[#This Row],[UDC]],INDIRECT("Table"&amp;SUBSTITUTE(R$2,"-","")&amp;"[UDC]",TRUE),INDIRECT("Table"&amp;SUBSTITUTE(R$2,"-","")&amp;"[Component Type]",TRUE)),"")</f>
        <v/>
      </c>
      <c r="S36" s="152" t="str" cm="1">
        <f t="array" aca="1" ref="S36" ca="1">IFERROR(_xlfn.XLOOKUP(TableHandbook[[#This Row],[UDC]],INDIRECT("Table"&amp;SUBSTITUTE(S$2,"-","")&amp;"[UDC]",TRUE),INDIRECT("Table"&amp;SUBSTITUTE(S$2,"-","")&amp;"[Component Type]",TRUE)),"")</f>
        <v/>
      </c>
      <c r="T36" s="152" t="str" cm="1">
        <f t="array" aca="1" ref="T36" ca="1">IFERROR(_xlfn.XLOOKUP(TableHandbook[[#This Row],[UDC]],INDIRECT("Table"&amp;SUBSTITUTE(T$2,"-","")&amp;"[UDC]",TRUE),INDIRECT("Table"&amp;SUBSTITUTE(T$2,"-","")&amp;"[Component Type]",TRUE)),"")</f>
        <v/>
      </c>
      <c r="U36" s="152" t="str" cm="1">
        <f t="array" aca="1" ref="U36" ca="1">IFERROR(_xlfn.XLOOKUP(TableHandbook[[#This Row],[UDC]],INDIRECT("Table"&amp;SUBSTITUTE(U$2,"-","")&amp;"[UDC]",TRUE),INDIRECT("Table"&amp;SUBSTITUTE(U$2,"-","")&amp;"[Component Type]",TRUE)),"")</f>
        <v/>
      </c>
      <c r="V36" s="154" t="str" cm="1">
        <f t="array" aca="1" ref="V36" ca="1">IFERROR(_xlfn.XLOOKUP(TableHandbook[[#This Row],[UDC]],INDIRECT("Table"&amp;SUBSTITUTE(V$2,"-","")&amp;"[UDC]",TRUE),INDIRECT("Table"&amp;SUBSTITUTE(V$2,"-","")&amp;"[Component Type]",TRUE)),"")</f>
        <v/>
      </c>
      <c r="W36" s="152" t="str" cm="1">
        <f t="array" aca="1" ref="W36" ca="1">IFERROR(_xlfn.XLOOKUP(TableHandbook[[#This Row],[UDC]],INDIRECT("Table"&amp;SUBSTITUTE(W$2,"-","")&amp;"[UDC]",TRUE),INDIRECT("Table"&amp;SUBSTITUTE(W$2,"-","")&amp;"[Component Type]",TRUE)),"")</f>
        <v/>
      </c>
      <c r="X36" s="152" t="str" cm="1">
        <f t="array" aca="1" ref="X36" ca="1">IFERROR(_xlfn.XLOOKUP(TableHandbook[[#This Row],[UDC]],INDIRECT("Table"&amp;SUBSTITUTE(X$2,"-","")&amp;"[UDC]",TRUE),INDIRECT("Table"&amp;SUBSTITUTE(X$2,"-","")&amp;"[Component Type]",TRUE)),"")</f>
        <v/>
      </c>
      <c r="Y36" s="152" t="str" cm="1">
        <f t="array" aca="1" ref="Y36" ca="1">IFERROR(_xlfn.XLOOKUP(TableHandbook[[#This Row],[UDC]],INDIRECT("Table"&amp;SUBSTITUTE(Y$2,"-","")&amp;"[UDC]",TRUE),INDIRECT("Table"&amp;SUBSTITUTE(Y$2,"-","")&amp;"[Component Type]",TRUE)),"")</f>
        <v/>
      </c>
      <c r="Z36" s="152" t="str" cm="1">
        <f t="array" aca="1" ref="Z36" ca="1">IFERROR(_xlfn.XLOOKUP(TableHandbook[[#This Row],[UDC]],INDIRECT("Table"&amp;SUBSTITUTE(Z$2,"-","")&amp;"[UDC]",TRUE),INDIRECT("Table"&amp;SUBSTITUTE(Z$2,"-","")&amp;"[Component Type]",TRUE)),"")</f>
        <v/>
      </c>
    </row>
    <row r="37" spans="1:26" x14ac:dyDescent="0.25">
      <c r="A37" s="8" t="s">
        <v>124</v>
      </c>
      <c r="B37" s="9">
        <v>1</v>
      </c>
      <c r="C37" s="9" t="s">
        <v>298</v>
      </c>
      <c r="D37" s="8" t="s">
        <v>299</v>
      </c>
      <c r="E37" s="9">
        <v>25</v>
      </c>
      <c r="F37" s="266" t="s">
        <v>283</v>
      </c>
      <c r="G37" s="72" t="str">
        <f>IFERROR(IF(VLOOKUP(TableHandbook[[#This Row],[UDC]],TableAvailabilities[],2,FALSE)&gt;0,"Y",""),"")</f>
        <v>Y</v>
      </c>
      <c r="H37" s="72" t="str">
        <f>IFERROR(IF(VLOOKUP(TableHandbook[[#This Row],[UDC]],TableAvailabilities[],3,FALSE)&gt;0,"Y",""),"")</f>
        <v/>
      </c>
      <c r="I37" s="72" t="str">
        <f>IFERROR(IF(VLOOKUP(TableHandbook[[#This Row],[UDC]],TableAvailabilities[],4,FALSE)&gt;0,"Y",""),"")</f>
        <v>Y</v>
      </c>
      <c r="J37" s="72" t="str">
        <f>IFERROR(IF(VLOOKUP(TableHandbook[[#This Row],[UDC]],TableAvailabilities[],5,FALSE)&gt;0,"Y",""),"")</f>
        <v/>
      </c>
      <c r="K37" s="155"/>
      <c r="L37" s="152" t="str" cm="1">
        <f t="array" aca="1" ref="L37" ca="1">IFERROR(_xlfn.XLOOKUP(TableHandbook[[#This Row],[UDC]],INDIRECT("Table"&amp;SUBSTITUTE(L$2,"-","")&amp;"[UDC]",TRUE),INDIRECT("Table"&amp;SUBSTITUTE(L$2,"-","")&amp;"[Component Type]",TRUE)),"")</f>
        <v>Core</v>
      </c>
      <c r="M37" s="152" t="str" cm="1">
        <f t="array" aca="1" ref="M37" ca="1">IFERROR(_xlfn.XLOOKUP(TableHandbook[[#This Row],[UDC]],INDIRECT("Table"&amp;SUBSTITUTE(M$2,"-","")&amp;"[UDC]",TRUE),INDIRECT("Table"&amp;SUBSTITUTE(M$2,"-","")&amp;"[Component Type]",TRUE)),"")</f>
        <v>Core</v>
      </c>
      <c r="N37" s="154" t="str" cm="1">
        <f t="array" aca="1" ref="N37" ca="1">IFERROR(_xlfn.XLOOKUP(TableHandbook[[#This Row],[UDC]],INDIRECT("Table"&amp;SUBSTITUTE(N$2,"-","")&amp;"[UDC]",TRUE),INDIRECT("Table"&amp;SUBSTITUTE(N$2,"-","")&amp;"[Component Type]",TRUE)),"")</f>
        <v/>
      </c>
      <c r="O37" s="152" t="str" cm="1">
        <f t="array" aca="1" ref="O37" ca="1">IFERROR(_xlfn.XLOOKUP(TableHandbook[[#This Row],[UDC]],INDIRECT("Table"&amp;SUBSTITUTE(O$2,"-","")&amp;"[UDC]",TRUE),INDIRECT("Table"&amp;SUBSTITUTE(O$2,"-","")&amp;"[Component Type]",TRUE)),"")</f>
        <v/>
      </c>
      <c r="P37" s="152" t="str" cm="1">
        <f t="array" aca="1" ref="P37" ca="1">IFERROR(_xlfn.XLOOKUP(TableHandbook[[#This Row],[UDC]],INDIRECT("Table"&amp;SUBSTITUTE(P$2,"-","")&amp;"[UDC]",TRUE),INDIRECT("Table"&amp;SUBSTITUTE(P$2,"-","")&amp;"[Component Type]",TRUE)),"")</f>
        <v/>
      </c>
      <c r="Q37" s="152" t="str" cm="1">
        <f t="array" aca="1" ref="Q37" ca="1">IFERROR(_xlfn.XLOOKUP(TableHandbook[[#This Row],[UDC]],INDIRECT("Table"&amp;SUBSTITUTE(Q$2,"-","")&amp;"[UDC]",TRUE),INDIRECT("Table"&amp;SUBSTITUTE(Q$2,"-","")&amp;"[Component Type]",TRUE)),"")</f>
        <v/>
      </c>
      <c r="R37" s="152" t="str" cm="1">
        <f t="array" aca="1" ref="R37" ca="1">IFERROR(_xlfn.XLOOKUP(TableHandbook[[#This Row],[UDC]],INDIRECT("Table"&amp;SUBSTITUTE(R$2,"-","")&amp;"[UDC]",TRUE),INDIRECT("Table"&amp;SUBSTITUTE(R$2,"-","")&amp;"[Component Type]",TRUE)),"")</f>
        <v/>
      </c>
      <c r="S37" s="152" t="str" cm="1">
        <f t="array" aca="1" ref="S37" ca="1">IFERROR(_xlfn.XLOOKUP(TableHandbook[[#This Row],[UDC]],INDIRECT("Table"&amp;SUBSTITUTE(S$2,"-","")&amp;"[UDC]",TRUE),INDIRECT("Table"&amp;SUBSTITUTE(S$2,"-","")&amp;"[Component Type]",TRUE)),"")</f>
        <v/>
      </c>
      <c r="T37" s="152" t="str" cm="1">
        <f t="array" aca="1" ref="T37" ca="1">IFERROR(_xlfn.XLOOKUP(TableHandbook[[#This Row],[UDC]],INDIRECT("Table"&amp;SUBSTITUTE(T$2,"-","")&amp;"[UDC]",TRUE),INDIRECT("Table"&amp;SUBSTITUTE(T$2,"-","")&amp;"[Component Type]",TRUE)),"")</f>
        <v/>
      </c>
      <c r="U37" s="152" t="str" cm="1">
        <f t="array" aca="1" ref="U37" ca="1">IFERROR(_xlfn.XLOOKUP(TableHandbook[[#This Row],[UDC]],INDIRECT("Table"&amp;SUBSTITUTE(U$2,"-","")&amp;"[UDC]",TRUE),INDIRECT("Table"&amp;SUBSTITUTE(U$2,"-","")&amp;"[Component Type]",TRUE)),"")</f>
        <v/>
      </c>
      <c r="V37" s="154" t="str" cm="1">
        <f t="array" aca="1" ref="V37" ca="1">IFERROR(_xlfn.XLOOKUP(TableHandbook[[#This Row],[UDC]],INDIRECT("Table"&amp;SUBSTITUTE(V$2,"-","")&amp;"[UDC]",TRUE),INDIRECT("Table"&amp;SUBSTITUTE(V$2,"-","")&amp;"[Component Type]",TRUE)),"")</f>
        <v/>
      </c>
      <c r="W37" s="152" t="str" cm="1">
        <f t="array" aca="1" ref="W37" ca="1">IFERROR(_xlfn.XLOOKUP(TableHandbook[[#This Row],[UDC]],INDIRECT("Table"&amp;SUBSTITUTE(W$2,"-","")&amp;"[UDC]",TRUE),INDIRECT("Table"&amp;SUBSTITUTE(W$2,"-","")&amp;"[Component Type]",TRUE)),"")</f>
        <v/>
      </c>
      <c r="X37" s="152" t="str" cm="1">
        <f t="array" aca="1" ref="X37" ca="1">IFERROR(_xlfn.XLOOKUP(TableHandbook[[#This Row],[UDC]],INDIRECT("Table"&amp;SUBSTITUTE(X$2,"-","")&amp;"[UDC]",TRUE),INDIRECT("Table"&amp;SUBSTITUTE(X$2,"-","")&amp;"[Component Type]",TRUE)),"")</f>
        <v/>
      </c>
      <c r="Y37" s="152" t="str" cm="1">
        <f t="array" aca="1" ref="Y37" ca="1">IFERROR(_xlfn.XLOOKUP(TableHandbook[[#This Row],[UDC]],INDIRECT("Table"&amp;SUBSTITUTE(Y$2,"-","")&amp;"[UDC]",TRUE),INDIRECT("Table"&amp;SUBSTITUTE(Y$2,"-","")&amp;"[Component Type]",TRUE)),"")</f>
        <v/>
      </c>
      <c r="Z37" s="152" t="str" cm="1">
        <f t="array" aca="1" ref="Z37" ca="1">IFERROR(_xlfn.XLOOKUP(TableHandbook[[#This Row],[UDC]],INDIRECT("Table"&amp;SUBSTITUTE(Z$2,"-","")&amp;"[UDC]",TRUE),INDIRECT("Table"&amp;SUBSTITUTE(Z$2,"-","")&amp;"[Component Type]",TRUE)),"")</f>
        <v/>
      </c>
    </row>
    <row r="38" spans="1:26" x14ac:dyDescent="0.25">
      <c r="A38" s="8" t="s">
        <v>89</v>
      </c>
      <c r="B38" s="9">
        <v>1</v>
      </c>
      <c r="C38" s="9" t="s">
        <v>300</v>
      </c>
      <c r="D38" s="8" t="s">
        <v>301</v>
      </c>
      <c r="E38" s="9">
        <v>25</v>
      </c>
      <c r="F38" s="266" t="s">
        <v>711</v>
      </c>
      <c r="G38" s="72" t="str">
        <f>IFERROR(IF(VLOOKUP(TableHandbook[[#This Row],[UDC]],TableAvailabilities[],2,FALSE)&gt;0,"Y",""),"")</f>
        <v>Y</v>
      </c>
      <c r="H38" s="72" t="str">
        <f>IFERROR(IF(VLOOKUP(TableHandbook[[#This Row],[UDC]],TableAvailabilities[],3,FALSE)&gt;0,"Y",""),"")</f>
        <v/>
      </c>
      <c r="I38" s="72" t="str">
        <f>IFERROR(IF(VLOOKUP(TableHandbook[[#This Row],[UDC]],TableAvailabilities[],4,FALSE)&gt;0,"Y",""),"")</f>
        <v>Y</v>
      </c>
      <c r="J38" s="72" t="str">
        <f>IFERROR(IF(VLOOKUP(TableHandbook[[#This Row],[UDC]],TableAvailabilities[],5,FALSE)&gt;0,"Y",""),"")</f>
        <v/>
      </c>
      <c r="K38" s="155"/>
      <c r="L38" s="152" t="str" cm="1">
        <f t="array" aca="1" ref="L38" ca="1">IFERROR(_xlfn.XLOOKUP(TableHandbook[[#This Row],[UDC]],INDIRECT("Table"&amp;SUBSTITUTE(L$2,"-","")&amp;"[UDC]",TRUE),INDIRECT("Table"&amp;SUBSTITUTE(L$2,"-","")&amp;"[Component Type]",TRUE)),"")</f>
        <v/>
      </c>
      <c r="M38" s="152" t="str" cm="1">
        <f t="array" aca="1" ref="M38" ca="1">IFERROR(_xlfn.XLOOKUP(TableHandbook[[#This Row],[UDC]],INDIRECT("Table"&amp;SUBSTITUTE(M$2,"-","")&amp;"[UDC]",TRUE),INDIRECT("Table"&amp;SUBSTITUTE(M$2,"-","")&amp;"[Component Type]",TRUE)),"")</f>
        <v/>
      </c>
      <c r="N38" s="154" t="str" cm="1">
        <f t="array" aca="1" ref="N38" ca="1">IFERROR(_xlfn.XLOOKUP(TableHandbook[[#This Row],[UDC]],INDIRECT("Table"&amp;SUBSTITUTE(N$2,"-","")&amp;"[UDC]",TRUE),INDIRECT("Table"&amp;SUBSTITUTE(N$2,"-","")&amp;"[Component Type]",TRUE)),"")</f>
        <v>Core</v>
      </c>
      <c r="O38" s="152" t="str" cm="1">
        <f t="array" aca="1" ref="O38" ca="1">IFERROR(_xlfn.XLOOKUP(TableHandbook[[#This Row],[UDC]],INDIRECT("Table"&amp;SUBSTITUTE(O$2,"-","")&amp;"[UDC]",TRUE),INDIRECT("Table"&amp;SUBSTITUTE(O$2,"-","")&amp;"[Component Type]",TRUE)),"")</f>
        <v>Core</v>
      </c>
      <c r="P38" s="152" t="str" cm="1">
        <f t="array" aca="1" ref="P38" ca="1">IFERROR(_xlfn.XLOOKUP(TableHandbook[[#This Row],[UDC]],INDIRECT("Table"&amp;SUBSTITUTE(P$2,"-","")&amp;"[UDC]",TRUE),INDIRECT("Table"&amp;SUBSTITUTE(P$2,"-","")&amp;"[Component Type]",TRUE)),"")</f>
        <v/>
      </c>
      <c r="Q38" s="152" t="str" cm="1">
        <f t="array" aca="1" ref="Q38" ca="1">IFERROR(_xlfn.XLOOKUP(TableHandbook[[#This Row],[UDC]],INDIRECT("Table"&amp;SUBSTITUTE(Q$2,"-","")&amp;"[UDC]",TRUE),INDIRECT("Table"&amp;SUBSTITUTE(Q$2,"-","")&amp;"[Component Type]",TRUE)),"")</f>
        <v/>
      </c>
      <c r="R38" s="152" t="str" cm="1">
        <f t="array" aca="1" ref="R38" ca="1">IFERROR(_xlfn.XLOOKUP(TableHandbook[[#This Row],[UDC]],INDIRECT("Table"&amp;SUBSTITUTE(R$2,"-","")&amp;"[UDC]",TRUE),INDIRECT("Table"&amp;SUBSTITUTE(R$2,"-","")&amp;"[Component Type]",TRUE)),"")</f>
        <v/>
      </c>
      <c r="S38" s="152" t="str" cm="1">
        <f t="array" aca="1" ref="S38" ca="1">IFERROR(_xlfn.XLOOKUP(TableHandbook[[#This Row],[UDC]],INDIRECT("Table"&amp;SUBSTITUTE(S$2,"-","")&amp;"[UDC]",TRUE),INDIRECT("Table"&amp;SUBSTITUTE(S$2,"-","")&amp;"[Component Type]",TRUE)),"")</f>
        <v/>
      </c>
      <c r="T38" s="152" t="str" cm="1">
        <f t="array" aca="1" ref="T38" ca="1">IFERROR(_xlfn.XLOOKUP(TableHandbook[[#This Row],[UDC]],INDIRECT("Table"&amp;SUBSTITUTE(T$2,"-","")&amp;"[UDC]",TRUE),INDIRECT("Table"&amp;SUBSTITUTE(T$2,"-","")&amp;"[Component Type]",TRUE)),"")</f>
        <v/>
      </c>
      <c r="U38" s="152" t="str" cm="1">
        <f t="array" aca="1" ref="U38" ca="1">IFERROR(_xlfn.XLOOKUP(TableHandbook[[#This Row],[UDC]],INDIRECT("Table"&amp;SUBSTITUTE(U$2,"-","")&amp;"[UDC]",TRUE),INDIRECT("Table"&amp;SUBSTITUTE(U$2,"-","")&amp;"[Component Type]",TRUE)),"")</f>
        <v/>
      </c>
      <c r="V38" s="154" t="str" cm="1">
        <f t="array" aca="1" ref="V38" ca="1">IFERROR(_xlfn.XLOOKUP(TableHandbook[[#This Row],[UDC]],INDIRECT("Table"&amp;SUBSTITUTE(V$2,"-","")&amp;"[UDC]",TRUE),INDIRECT("Table"&amp;SUBSTITUTE(V$2,"-","")&amp;"[Component Type]",TRUE)),"")</f>
        <v/>
      </c>
      <c r="W38" s="152" t="str" cm="1">
        <f t="array" aca="1" ref="W38" ca="1">IFERROR(_xlfn.XLOOKUP(TableHandbook[[#This Row],[UDC]],INDIRECT("Table"&amp;SUBSTITUTE(W$2,"-","")&amp;"[UDC]",TRUE),INDIRECT("Table"&amp;SUBSTITUTE(W$2,"-","")&amp;"[Component Type]",TRUE)),"")</f>
        <v/>
      </c>
      <c r="X38" s="152" t="str" cm="1">
        <f t="array" aca="1" ref="X38" ca="1">IFERROR(_xlfn.XLOOKUP(TableHandbook[[#This Row],[UDC]],INDIRECT("Table"&amp;SUBSTITUTE(X$2,"-","")&amp;"[UDC]",TRUE),INDIRECT("Table"&amp;SUBSTITUTE(X$2,"-","")&amp;"[Component Type]",TRUE)),"")</f>
        <v/>
      </c>
      <c r="Y38" s="152" t="str" cm="1">
        <f t="array" aca="1" ref="Y38" ca="1">IFERROR(_xlfn.XLOOKUP(TableHandbook[[#This Row],[UDC]],INDIRECT("Table"&amp;SUBSTITUTE(Y$2,"-","")&amp;"[UDC]",TRUE),INDIRECT("Table"&amp;SUBSTITUTE(Y$2,"-","")&amp;"[Component Type]",TRUE)),"")</f>
        <v/>
      </c>
      <c r="Z38" s="152" t="str" cm="1">
        <f t="array" aca="1" ref="Z38" ca="1">IFERROR(_xlfn.XLOOKUP(TableHandbook[[#This Row],[UDC]],INDIRECT("Table"&amp;SUBSTITUTE(Z$2,"-","")&amp;"[UDC]",TRUE),INDIRECT("Table"&amp;SUBSTITUTE(Z$2,"-","")&amp;"[Component Type]",TRUE)),"")</f>
        <v/>
      </c>
    </row>
    <row r="39" spans="1:26" x14ac:dyDescent="0.25">
      <c r="A39" s="246" t="s">
        <v>607</v>
      </c>
      <c r="B39" s="9">
        <v>1</v>
      </c>
      <c r="C39" s="9" t="s">
        <v>607</v>
      </c>
      <c r="D39" s="8" t="s">
        <v>647</v>
      </c>
      <c r="E39" s="9">
        <v>25</v>
      </c>
      <c r="F39" s="266" t="s">
        <v>282</v>
      </c>
      <c r="G39" s="72" t="str">
        <f>IFERROR(IF(VLOOKUP(TableHandbook[[#This Row],[UDC]],TableAvailabilities[],2,FALSE)&gt;0,"Y",""),"")</f>
        <v>Y</v>
      </c>
      <c r="H39" s="72" t="str">
        <f>IFERROR(IF(VLOOKUP(TableHandbook[[#This Row],[UDC]],TableAvailabilities[],3,FALSE)&gt;0,"Y",""),"")</f>
        <v/>
      </c>
      <c r="I39" s="72" t="str">
        <f>IFERROR(IF(VLOOKUP(TableHandbook[[#This Row],[UDC]],TableAvailabilities[],4,FALSE)&gt;0,"Y",""),"")</f>
        <v>Y</v>
      </c>
      <c r="J39" s="72" t="str">
        <f>IFERROR(IF(VLOOKUP(TableHandbook[[#This Row],[UDC]],TableAvailabilities[],5,FALSE)&gt;0,"Y",""),"")</f>
        <v/>
      </c>
      <c r="K39" s="155"/>
      <c r="L39" s="152" t="str" cm="1">
        <f t="array" aca="1" ref="L39" ca="1">IFERROR(_xlfn.XLOOKUP(TableHandbook[[#This Row],[UDC]],INDIRECT("Table"&amp;SUBSTITUTE(L$2,"-","")&amp;"[UDC]",TRUE),INDIRECT("Table"&amp;SUBSTITUTE(L$2,"-","")&amp;"[Component Type]",TRUE)),"")</f>
        <v/>
      </c>
      <c r="M39" s="152" t="str" cm="1">
        <f t="array" aca="1" ref="M39" ca="1">IFERROR(_xlfn.XLOOKUP(TableHandbook[[#This Row],[UDC]],INDIRECT("Table"&amp;SUBSTITUTE(M$2,"-","")&amp;"[UDC]",TRUE),INDIRECT("Table"&amp;SUBSTITUTE(M$2,"-","")&amp;"[Component Type]",TRUE)),"")</f>
        <v/>
      </c>
      <c r="N39" s="154" t="str" cm="1">
        <f t="array" aca="1" ref="N39" ca="1">IFERROR(_xlfn.XLOOKUP(TableHandbook[[#This Row],[UDC]],INDIRECT("Table"&amp;SUBSTITUTE(N$2,"-","")&amp;"[UDC]",TRUE),INDIRECT("Table"&amp;SUBSTITUTE(N$2,"-","")&amp;"[Component Type]",TRUE)),"")</f>
        <v>Core</v>
      </c>
      <c r="O39" s="152" t="str" cm="1">
        <f t="array" aca="1" ref="O39" ca="1">IFERROR(_xlfn.XLOOKUP(TableHandbook[[#This Row],[UDC]],INDIRECT("Table"&amp;SUBSTITUTE(O$2,"-","")&amp;"[UDC]",TRUE),INDIRECT("Table"&amp;SUBSTITUTE(O$2,"-","")&amp;"[Component Type]",TRUE)),"")</f>
        <v>Core</v>
      </c>
      <c r="P39" s="152" t="str" cm="1">
        <f t="array" aca="1" ref="P39" ca="1">IFERROR(_xlfn.XLOOKUP(TableHandbook[[#This Row],[UDC]],INDIRECT("Table"&amp;SUBSTITUTE(P$2,"-","")&amp;"[UDC]",TRUE),INDIRECT("Table"&amp;SUBSTITUTE(P$2,"-","")&amp;"[Component Type]",TRUE)),"")</f>
        <v/>
      </c>
      <c r="Q39" s="152" t="str" cm="1">
        <f t="array" aca="1" ref="Q39" ca="1">IFERROR(_xlfn.XLOOKUP(TableHandbook[[#This Row],[UDC]],INDIRECT("Table"&amp;SUBSTITUTE(Q$2,"-","")&amp;"[UDC]",TRUE),INDIRECT("Table"&amp;SUBSTITUTE(Q$2,"-","")&amp;"[Component Type]",TRUE)),"")</f>
        <v/>
      </c>
      <c r="R39" s="152" t="str" cm="1">
        <f t="array" aca="1" ref="R39" ca="1">IFERROR(_xlfn.XLOOKUP(TableHandbook[[#This Row],[UDC]],INDIRECT("Table"&amp;SUBSTITUTE(R$2,"-","")&amp;"[UDC]",TRUE),INDIRECT("Table"&amp;SUBSTITUTE(R$2,"-","")&amp;"[Component Type]",TRUE)),"")</f>
        <v/>
      </c>
      <c r="S39" s="152" t="str" cm="1">
        <f t="array" aca="1" ref="S39" ca="1">IFERROR(_xlfn.XLOOKUP(TableHandbook[[#This Row],[UDC]],INDIRECT("Table"&amp;SUBSTITUTE(S$2,"-","")&amp;"[UDC]",TRUE),INDIRECT("Table"&amp;SUBSTITUTE(S$2,"-","")&amp;"[Component Type]",TRUE)),"")</f>
        <v/>
      </c>
      <c r="T39" s="152" t="str" cm="1">
        <f t="array" aca="1" ref="T39" ca="1">IFERROR(_xlfn.XLOOKUP(TableHandbook[[#This Row],[UDC]],INDIRECT("Table"&amp;SUBSTITUTE(T$2,"-","")&amp;"[UDC]",TRUE),INDIRECT("Table"&amp;SUBSTITUTE(T$2,"-","")&amp;"[Component Type]",TRUE)),"")</f>
        <v/>
      </c>
      <c r="U39" s="152" t="str" cm="1">
        <f t="array" aca="1" ref="U39" ca="1">IFERROR(_xlfn.XLOOKUP(TableHandbook[[#This Row],[UDC]],INDIRECT("Table"&amp;SUBSTITUTE(U$2,"-","")&amp;"[UDC]",TRUE),INDIRECT("Table"&amp;SUBSTITUTE(U$2,"-","")&amp;"[Component Type]",TRUE)),"")</f>
        <v/>
      </c>
      <c r="V39" s="154" t="str" cm="1">
        <f t="array" aca="1" ref="V39" ca="1">IFERROR(_xlfn.XLOOKUP(TableHandbook[[#This Row],[UDC]],INDIRECT("Table"&amp;SUBSTITUTE(V$2,"-","")&amp;"[UDC]",TRUE),INDIRECT("Table"&amp;SUBSTITUTE(V$2,"-","")&amp;"[Component Type]",TRUE)),"")</f>
        <v/>
      </c>
      <c r="W39" s="152" t="str" cm="1">
        <f t="array" aca="1" ref="W39" ca="1">IFERROR(_xlfn.XLOOKUP(TableHandbook[[#This Row],[UDC]],INDIRECT("Table"&amp;SUBSTITUTE(W$2,"-","")&amp;"[UDC]",TRUE),INDIRECT("Table"&amp;SUBSTITUTE(W$2,"-","")&amp;"[Component Type]",TRUE)),"")</f>
        <v/>
      </c>
      <c r="X39" s="152" t="str" cm="1">
        <f t="array" aca="1" ref="X39" ca="1">IFERROR(_xlfn.XLOOKUP(TableHandbook[[#This Row],[UDC]],INDIRECT("Table"&amp;SUBSTITUTE(X$2,"-","")&amp;"[UDC]",TRUE),INDIRECT("Table"&amp;SUBSTITUTE(X$2,"-","")&amp;"[Component Type]",TRUE)),"")</f>
        <v/>
      </c>
      <c r="Y39" s="152" t="str" cm="1">
        <f t="array" aca="1" ref="Y39" ca="1">IFERROR(_xlfn.XLOOKUP(TableHandbook[[#This Row],[UDC]],INDIRECT("Table"&amp;SUBSTITUTE(Y$2,"-","")&amp;"[UDC]",TRUE),INDIRECT("Table"&amp;SUBSTITUTE(Y$2,"-","")&amp;"[Component Type]",TRUE)),"")</f>
        <v/>
      </c>
      <c r="Z39" s="152" t="str" cm="1">
        <f t="array" aca="1" ref="Z39" ca="1">IFERROR(_xlfn.XLOOKUP(TableHandbook[[#This Row],[UDC]],INDIRECT("Table"&amp;SUBSTITUTE(Z$2,"-","")&amp;"[UDC]",TRUE),INDIRECT("Table"&amp;SUBSTITUTE(Z$2,"-","")&amp;"[Component Type]",TRUE)),"")</f>
        <v/>
      </c>
    </row>
    <row r="40" spans="1:26" x14ac:dyDescent="0.25">
      <c r="A40" s="8" t="s">
        <v>87</v>
      </c>
      <c r="B40" s="9">
        <v>1</v>
      </c>
      <c r="C40" s="9" t="s">
        <v>302</v>
      </c>
      <c r="D40" s="8" t="s">
        <v>303</v>
      </c>
      <c r="E40" s="9">
        <v>25</v>
      </c>
      <c r="F40" s="266" t="s">
        <v>712</v>
      </c>
      <c r="G40" s="72" t="str">
        <f>IFERROR(IF(VLOOKUP(TableHandbook[[#This Row],[UDC]],TableAvailabilities[],2,FALSE)&gt;0,"Y",""),"")</f>
        <v/>
      </c>
      <c r="H40" s="72" t="str">
        <f>IFERROR(IF(VLOOKUP(TableHandbook[[#This Row],[UDC]],TableAvailabilities[],3,FALSE)&gt;0,"Y",""),"")</f>
        <v>Y</v>
      </c>
      <c r="I40" s="72" t="str">
        <f>IFERROR(IF(VLOOKUP(TableHandbook[[#This Row],[UDC]],TableAvailabilities[],4,FALSE)&gt;0,"Y",""),"")</f>
        <v/>
      </c>
      <c r="J40" s="72" t="str">
        <f>IFERROR(IF(VLOOKUP(TableHandbook[[#This Row],[UDC]],TableAvailabilities[],5,FALSE)&gt;0,"Y",""),"")</f>
        <v>Y</v>
      </c>
      <c r="K40" s="155" t="s">
        <v>304</v>
      </c>
      <c r="L40" s="152" t="str" cm="1">
        <f t="array" aca="1" ref="L40" ca="1">IFERROR(_xlfn.XLOOKUP(TableHandbook[[#This Row],[UDC]],INDIRECT("Table"&amp;SUBSTITUTE(L$2,"-","")&amp;"[UDC]",TRUE),INDIRECT("Table"&amp;SUBSTITUTE(L$2,"-","")&amp;"[Component Type]",TRUE)),"")</f>
        <v/>
      </c>
      <c r="M40" s="152" t="str" cm="1">
        <f t="array" aca="1" ref="M40" ca="1">IFERROR(_xlfn.XLOOKUP(TableHandbook[[#This Row],[UDC]],INDIRECT("Table"&amp;SUBSTITUTE(M$2,"-","")&amp;"[UDC]",TRUE),INDIRECT("Table"&amp;SUBSTITUTE(M$2,"-","")&amp;"[Component Type]",TRUE)),"")</f>
        <v/>
      </c>
      <c r="N40" s="154" t="str" cm="1">
        <f t="array" aca="1" ref="N40" ca="1">IFERROR(_xlfn.XLOOKUP(TableHandbook[[#This Row],[UDC]],INDIRECT("Table"&amp;SUBSTITUTE(N$2,"-","")&amp;"[UDC]",TRUE),INDIRECT("Table"&amp;SUBSTITUTE(N$2,"-","")&amp;"[Component Type]",TRUE)),"")</f>
        <v>Core</v>
      </c>
      <c r="O40" s="152" t="str" cm="1">
        <f t="array" aca="1" ref="O40" ca="1">IFERROR(_xlfn.XLOOKUP(TableHandbook[[#This Row],[UDC]],INDIRECT("Table"&amp;SUBSTITUTE(O$2,"-","")&amp;"[UDC]",TRUE),INDIRECT("Table"&amp;SUBSTITUTE(O$2,"-","")&amp;"[Component Type]",TRUE)),"")</f>
        <v>Core</v>
      </c>
      <c r="P40" s="152" t="str" cm="1">
        <f t="array" aca="1" ref="P40" ca="1">IFERROR(_xlfn.XLOOKUP(TableHandbook[[#This Row],[UDC]],INDIRECT("Table"&amp;SUBSTITUTE(P$2,"-","")&amp;"[UDC]",TRUE),INDIRECT("Table"&amp;SUBSTITUTE(P$2,"-","")&amp;"[Component Type]",TRUE)),"")</f>
        <v/>
      </c>
      <c r="Q40" s="152" t="str" cm="1">
        <f t="array" aca="1" ref="Q40" ca="1">IFERROR(_xlfn.XLOOKUP(TableHandbook[[#This Row],[UDC]],INDIRECT("Table"&amp;SUBSTITUTE(Q$2,"-","")&amp;"[UDC]",TRUE),INDIRECT("Table"&amp;SUBSTITUTE(Q$2,"-","")&amp;"[Component Type]",TRUE)),"")</f>
        <v/>
      </c>
      <c r="R40" s="152" t="str" cm="1">
        <f t="array" aca="1" ref="R40" ca="1">IFERROR(_xlfn.XLOOKUP(TableHandbook[[#This Row],[UDC]],INDIRECT("Table"&amp;SUBSTITUTE(R$2,"-","")&amp;"[UDC]",TRUE),INDIRECT("Table"&amp;SUBSTITUTE(R$2,"-","")&amp;"[Component Type]",TRUE)),"")</f>
        <v/>
      </c>
      <c r="S40" s="152" t="str" cm="1">
        <f t="array" aca="1" ref="S40" ca="1">IFERROR(_xlfn.XLOOKUP(TableHandbook[[#This Row],[UDC]],INDIRECT("Table"&amp;SUBSTITUTE(S$2,"-","")&amp;"[UDC]",TRUE),INDIRECT("Table"&amp;SUBSTITUTE(S$2,"-","")&amp;"[Component Type]",TRUE)),"")</f>
        <v/>
      </c>
      <c r="T40" s="152" t="str" cm="1">
        <f t="array" aca="1" ref="T40" ca="1">IFERROR(_xlfn.XLOOKUP(TableHandbook[[#This Row],[UDC]],INDIRECT("Table"&amp;SUBSTITUTE(T$2,"-","")&amp;"[UDC]",TRUE),INDIRECT("Table"&amp;SUBSTITUTE(T$2,"-","")&amp;"[Component Type]",TRUE)),"")</f>
        <v/>
      </c>
      <c r="U40" s="152" t="str" cm="1">
        <f t="array" aca="1" ref="U40" ca="1">IFERROR(_xlfn.XLOOKUP(TableHandbook[[#This Row],[UDC]],INDIRECT("Table"&amp;SUBSTITUTE(U$2,"-","")&amp;"[UDC]",TRUE),INDIRECT("Table"&amp;SUBSTITUTE(U$2,"-","")&amp;"[Component Type]",TRUE)),"")</f>
        <v/>
      </c>
      <c r="V40" s="154" t="str" cm="1">
        <f t="array" aca="1" ref="V40" ca="1">IFERROR(_xlfn.XLOOKUP(TableHandbook[[#This Row],[UDC]],INDIRECT("Table"&amp;SUBSTITUTE(V$2,"-","")&amp;"[UDC]",TRUE),INDIRECT("Table"&amp;SUBSTITUTE(V$2,"-","")&amp;"[Component Type]",TRUE)),"")</f>
        <v/>
      </c>
      <c r="W40" s="152" t="str" cm="1">
        <f t="array" aca="1" ref="W40" ca="1">IFERROR(_xlfn.XLOOKUP(TableHandbook[[#This Row],[UDC]],INDIRECT("Table"&amp;SUBSTITUTE(W$2,"-","")&amp;"[UDC]",TRUE),INDIRECT("Table"&amp;SUBSTITUTE(W$2,"-","")&amp;"[Component Type]",TRUE)),"")</f>
        <v/>
      </c>
      <c r="X40" s="152" t="str" cm="1">
        <f t="array" aca="1" ref="X40" ca="1">IFERROR(_xlfn.XLOOKUP(TableHandbook[[#This Row],[UDC]],INDIRECT("Table"&amp;SUBSTITUTE(X$2,"-","")&amp;"[UDC]",TRUE),INDIRECT("Table"&amp;SUBSTITUTE(X$2,"-","")&amp;"[Component Type]",TRUE)),"")</f>
        <v/>
      </c>
      <c r="Y40" s="152" t="str" cm="1">
        <f t="array" aca="1" ref="Y40" ca="1">IFERROR(_xlfn.XLOOKUP(TableHandbook[[#This Row],[UDC]],INDIRECT("Table"&amp;SUBSTITUTE(Y$2,"-","")&amp;"[UDC]",TRUE),INDIRECT("Table"&amp;SUBSTITUTE(Y$2,"-","")&amp;"[Component Type]",TRUE)),"")</f>
        <v/>
      </c>
      <c r="Z40" s="152" t="str" cm="1">
        <f t="array" aca="1" ref="Z40" ca="1">IFERROR(_xlfn.XLOOKUP(TableHandbook[[#This Row],[UDC]],INDIRECT("Table"&amp;SUBSTITUTE(Z$2,"-","")&amp;"[UDC]",TRUE),INDIRECT("Table"&amp;SUBSTITUTE(Z$2,"-","")&amp;"[Component Type]",TRUE)),"")</f>
        <v/>
      </c>
    </row>
    <row r="41" spans="1:26" x14ac:dyDescent="0.25">
      <c r="A41" s="8" t="s">
        <v>675</v>
      </c>
      <c r="B41" s="9">
        <v>1</v>
      </c>
      <c r="C41" s="9" t="s">
        <v>305</v>
      </c>
      <c r="D41" s="8" t="s">
        <v>306</v>
      </c>
      <c r="E41" s="9">
        <v>25</v>
      </c>
      <c r="F41" s="265" t="s">
        <v>586</v>
      </c>
      <c r="G41" s="72" t="str">
        <f>IFERROR(IF(VLOOKUP(TableHandbook[[#This Row],[UDC]],TableAvailabilities[],2,FALSE)&gt;0,"Y",""),"")</f>
        <v/>
      </c>
      <c r="H41" s="72" t="str">
        <f>IFERROR(IF(VLOOKUP(TableHandbook[[#This Row],[UDC]],TableAvailabilities[],3,FALSE)&gt;0,"Y",""),"")</f>
        <v/>
      </c>
      <c r="I41" s="72" t="str">
        <f>IFERROR(IF(VLOOKUP(TableHandbook[[#This Row],[UDC]],TableAvailabilities[],4,FALSE)&gt;0,"Y",""),"")</f>
        <v/>
      </c>
      <c r="J41" s="72" t="str">
        <f>IFERROR(IF(VLOOKUP(TableHandbook[[#This Row],[UDC]],TableAvailabilities[],5,FALSE)&gt;0,"Y",""),"")</f>
        <v/>
      </c>
      <c r="K41" s="155" t="s">
        <v>654</v>
      </c>
      <c r="L41" s="152" t="str" cm="1">
        <f t="array" aca="1" ref="L41" ca="1">IFERROR(_xlfn.XLOOKUP(TableHandbook[[#This Row],[UDC]],INDIRECT("Table"&amp;SUBSTITUTE(L$2,"-","")&amp;"[UDC]",TRUE),INDIRECT("Table"&amp;SUBSTITUTE(L$2,"-","")&amp;"[Component Type]",TRUE)),"")</f>
        <v/>
      </c>
      <c r="M41" s="152" t="str" cm="1">
        <f t="array" aca="1" ref="M41" ca="1">IFERROR(_xlfn.XLOOKUP(TableHandbook[[#This Row],[UDC]],INDIRECT("Table"&amp;SUBSTITUTE(M$2,"-","")&amp;"[UDC]",TRUE),INDIRECT("Table"&amp;SUBSTITUTE(M$2,"-","")&amp;"[Component Type]",TRUE)),"")</f>
        <v/>
      </c>
      <c r="N41" s="154" t="str" cm="1">
        <f t="array" aca="1" ref="N41" ca="1">IFERROR(_xlfn.XLOOKUP(TableHandbook[[#This Row],[UDC]],INDIRECT("Table"&amp;SUBSTITUTE(N$2,"-","")&amp;"[UDC]",TRUE),INDIRECT("Table"&amp;SUBSTITUTE(N$2,"-","")&amp;"[Component Type]",TRUE)),"")</f>
        <v/>
      </c>
      <c r="O41" s="152" t="str" cm="1">
        <f t="array" aca="1" ref="O41" ca="1">IFERROR(_xlfn.XLOOKUP(TableHandbook[[#This Row],[UDC]],INDIRECT("Table"&amp;SUBSTITUTE(O$2,"-","")&amp;"[UDC]",TRUE),INDIRECT("Table"&amp;SUBSTITUTE(O$2,"-","")&amp;"[Component Type]",TRUE)),"")</f>
        <v/>
      </c>
      <c r="P41" s="152" t="str" cm="1">
        <f t="array" aca="1" ref="P41" ca="1">IFERROR(_xlfn.XLOOKUP(TableHandbook[[#This Row],[UDC]],INDIRECT("Table"&amp;SUBSTITUTE(P$2,"-","")&amp;"[UDC]",TRUE),INDIRECT("Table"&amp;SUBSTITUTE(P$2,"-","")&amp;"[Component Type]",TRUE)),"")</f>
        <v/>
      </c>
      <c r="Q41" s="152" t="str" cm="1">
        <f t="array" aca="1" ref="Q41" ca="1">IFERROR(_xlfn.XLOOKUP(TableHandbook[[#This Row],[UDC]],INDIRECT("Table"&amp;SUBSTITUTE(Q$2,"-","")&amp;"[UDC]",TRUE),INDIRECT("Table"&amp;SUBSTITUTE(Q$2,"-","")&amp;"[Component Type]",TRUE)),"")</f>
        <v/>
      </c>
      <c r="R41" s="152" t="str" cm="1">
        <f t="array" aca="1" ref="R41" ca="1">IFERROR(_xlfn.XLOOKUP(TableHandbook[[#This Row],[UDC]],INDIRECT("Table"&amp;SUBSTITUTE(R$2,"-","")&amp;"[UDC]",TRUE),INDIRECT("Table"&amp;SUBSTITUTE(R$2,"-","")&amp;"[Component Type]",TRUE)),"")</f>
        <v/>
      </c>
      <c r="S41" s="152" t="str" cm="1">
        <f t="array" aca="1" ref="S41" ca="1">IFERROR(_xlfn.XLOOKUP(TableHandbook[[#This Row],[UDC]],INDIRECT("Table"&amp;SUBSTITUTE(S$2,"-","")&amp;"[UDC]",TRUE),INDIRECT("Table"&amp;SUBSTITUTE(S$2,"-","")&amp;"[Component Type]",TRUE)),"")</f>
        <v/>
      </c>
      <c r="T41" s="152" t="str" cm="1">
        <f t="array" aca="1" ref="T41" ca="1">IFERROR(_xlfn.XLOOKUP(TableHandbook[[#This Row],[UDC]],INDIRECT("Table"&amp;SUBSTITUTE(T$2,"-","")&amp;"[UDC]",TRUE),INDIRECT("Table"&amp;SUBSTITUTE(T$2,"-","")&amp;"[Component Type]",TRUE)),"")</f>
        <v/>
      </c>
      <c r="U41" s="152" t="str" cm="1">
        <f t="array" aca="1" ref="U41" ca="1">IFERROR(_xlfn.XLOOKUP(TableHandbook[[#This Row],[UDC]],INDIRECT("Table"&amp;SUBSTITUTE(U$2,"-","")&amp;"[UDC]",TRUE),INDIRECT("Table"&amp;SUBSTITUTE(U$2,"-","")&amp;"[Component Type]",TRUE)),"")</f>
        <v/>
      </c>
      <c r="V41" s="154" t="str" cm="1">
        <f t="array" aca="1" ref="V41" ca="1">IFERROR(_xlfn.XLOOKUP(TableHandbook[[#This Row],[UDC]],INDIRECT("Table"&amp;SUBSTITUTE(V$2,"-","")&amp;"[UDC]",TRUE),INDIRECT("Table"&amp;SUBSTITUTE(V$2,"-","")&amp;"[Component Type]",TRUE)),"")</f>
        <v/>
      </c>
      <c r="W41" s="152" t="str" cm="1">
        <f t="array" aca="1" ref="W41" ca="1">IFERROR(_xlfn.XLOOKUP(TableHandbook[[#This Row],[UDC]],INDIRECT("Table"&amp;SUBSTITUTE(W$2,"-","")&amp;"[UDC]",TRUE),INDIRECT("Table"&amp;SUBSTITUTE(W$2,"-","")&amp;"[Component Type]",TRUE)),"")</f>
        <v/>
      </c>
      <c r="X41" s="152" t="str" cm="1">
        <f t="array" aca="1" ref="X41" ca="1">IFERROR(_xlfn.XLOOKUP(TableHandbook[[#This Row],[UDC]],INDIRECT("Table"&amp;SUBSTITUTE(X$2,"-","")&amp;"[UDC]",TRUE),INDIRECT("Table"&amp;SUBSTITUTE(X$2,"-","")&amp;"[Component Type]",TRUE)),"")</f>
        <v/>
      </c>
      <c r="Y41" s="152" t="str" cm="1">
        <f t="array" aca="1" ref="Y41" ca="1">IFERROR(_xlfn.XLOOKUP(TableHandbook[[#This Row],[UDC]],INDIRECT("Table"&amp;SUBSTITUTE(Y$2,"-","")&amp;"[UDC]",TRUE),INDIRECT("Table"&amp;SUBSTITUTE(Y$2,"-","")&amp;"[Component Type]",TRUE)),"")</f>
        <v/>
      </c>
      <c r="Z41" s="152" t="str" cm="1">
        <f t="array" aca="1" ref="Z41" ca="1">IFERROR(_xlfn.XLOOKUP(TableHandbook[[#This Row],[UDC]],INDIRECT("Table"&amp;SUBSTITUTE(Z$2,"-","")&amp;"[UDC]",TRUE),INDIRECT("Table"&amp;SUBSTITUTE(Z$2,"-","")&amp;"[Component Type]",TRUE)),"")</f>
        <v/>
      </c>
    </row>
    <row r="42" spans="1:26" x14ac:dyDescent="0.25">
      <c r="A42" s="8" t="s">
        <v>676</v>
      </c>
      <c r="B42" s="9">
        <v>1</v>
      </c>
      <c r="C42" s="9" t="s">
        <v>307</v>
      </c>
      <c r="D42" s="8" t="s">
        <v>308</v>
      </c>
      <c r="E42" s="9">
        <v>25</v>
      </c>
      <c r="F42" s="265" t="s">
        <v>305</v>
      </c>
      <c r="G42" s="72" t="str">
        <f>IFERROR(IF(VLOOKUP(TableHandbook[[#This Row],[UDC]],TableAvailabilities[],2,FALSE)&gt;0,"Y",""),"")</f>
        <v/>
      </c>
      <c r="H42" s="72" t="str">
        <f>IFERROR(IF(VLOOKUP(TableHandbook[[#This Row],[UDC]],TableAvailabilities[],3,FALSE)&gt;0,"Y",""),"")</f>
        <v/>
      </c>
      <c r="I42" s="72" t="str">
        <f>IFERROR(IF(VLOOKUP(TableHandbook[[#This Row],[UDC]],TableAvailabilities[],4,FALSE)&gt;0,"Y",""),"")</f>
        <v/>
      </c>
      <c r="J42" s="72" t="str">
        <f>IFERROR(IF(VLOOKUP(TableHandbook[[#This Row],[UDC]],TableAvailabilities[],5,FALSE)&gt;0,"Y",""),"")</f>
        <v/>
      </c>
      <c r="K42" s="155" t="s">
        <v>654</v>
      </c>
      <c r="L42" s="152" t="str" cm="1">
        <f t="array" aca="1" ref="L42" ca="1">IFERROR(_xlfn.XLOOKUP(TableHandbook[[#This Row],[UDC]],INDIRECT("Table"&amp;SUBSTITUTE(L$2,"-","")&amp;"[UDC]",TRUE),INDIRECT("Table"&amp;SUBSTITUTE(L$2,"-","")&amp;"[Component Type]",TRUE)),"")</f>
        <v/>
      </c>
      <c r="M42" s="152" t="str" cm="1">
        <f t="array" aca="1" ref="M42" ca="1">IFERROR(_xlfn.XLOOKUP(TableHandbook[[#This Row],[UDC]],INDIRECT("Table"&amp;SUBSTITUTE(M$2,"-","")&amp;"[UDC]",TRUE),INDIRECT("Table"&amp;SUBSTITUTE(M$2,"-","")&amp;"[Component Type]",TRUE)),"")</f>
        <v/>
      </c>
      <c r="N42" s="154" t="str" cm="1">
        <f t="array" aca="1" ref="N42" ca="1">IFERROR(_xlfn.XLOOKUP(TableHandbook[[#This Row],[UDC]],INDIRECT("Table"&amp;SUBSTITUTE(N$2,"-","")&amp;"[UDC]",TRUE),INDIRECT("Table"&amp;SUBSTITUTE(N$2,"-","")&amp;"[Component Type]",TRUE)),"")</f>
        <v/>
      </c>
      <c r="O42" s="152" t="str" cm="1">
        <f t="array" aca="1" ref="O42" ca="1">IFERROR(_xlfn.XLOOKUP(TableHandbook[[#This Row],[UDC]],INDIRECT("Table"&amp;SUBSTITUTE(O$2,"-","")&amp;"[UDC]",TRUE),INDIRECT("Table"&amp;SUBSTITUTE(O$2,"-","")&amp;"[Component Type]",TRUE)),"")</f>
        <v/>
      </c>
      <c r="P42" s="152" t="str" cm="1">
        <f t="array" aca="1" ref="P42" ca="1">IFERROR(_xlfn.XLOOKUP(TableHandbook[[#This Row],[UDC]],INDIRECT("Table"&amp;SUBSTITUTE(P$2,"-","")&amp;"[UDC]",TRUE),INDIRECT("Table"&amp;SUBSTITUTE(P$2,"-","")&amp;"[Component Type]",TRUE)),"")</f>
        <v/>
      </c>
      <c r="Q42" s="152" t="str" cm="1">
        <f t="array" aca="1" ref="Q42" ca="1">IFERROR(_xlfn.XLOOKUP(TableHandbook[[#This Row],[UDC]],INDIRECT("Table"&amp;SUBSTITUTE(Q$2,"-","")&amp;"[UDC]",TRUE),INDIRECT("Table"&amp;SUBSTITUTE(Q$2,"-","")&amp;"[Component Type]",TRUE)),"")</f>
        <v/>
      </c>
      <c r="R42" s="152" t="str" cm="1">
        <f t="array" aca="1" ref="R42" ca="1">IFERROR(_xlfn.XLOOKUP(TableHandbook[[#This Row],[UDC]],INDIRECT("Table"&amp;SUBSTITUTE(R$2,"-","")&amp;"[UDC]",TRUE),INDIRECT("Table"&amp;SUBSTITUTE(R$2,"-","")&amp;"[Component Type]",TRUE)),"")</f>
        <v/>
      </c>
      <c r="S42" s="152" t="str" cm="1">
        <f t="array" aca="1" ref="S42" ca="1">IFERROR(_xlfn.XLOOKUP(TableHandbook[[#This Row],[UDC]],INDIRECT("Table"&amp;SUBSTITUTE(S$2,"-","")&amp;"[UDC]",TRUE),INDIRECT("Table"&amp;SUBSTITUTE(S$2,"-","")&amp;"[Component Type]",TRUE)),"")</f>
        <v/>
      </c>
      <c r="T42" s="152" t="str" cm="1">
        <f t="array" aca="1" ref="T42" ca="1">IFERROR(_xlfn.XLOOKUP(TableHandbook[[#This Row],[UDC]],INDIRECT("Table"&amp;SUBSTITUTE(T$2,"-","")&amp;"[UDC]",TRUE),INDIRECT("Table"&amp;SUBSTITUTE(T$2,"-","")&amp;"[Component Type]",TRUE)),"")</f>
        <v/>
      </c>
      <c r="U42" s="152" t="str" cm="1">
        <f t="array" aca="1" ref="U42" ca="1">IFERROR(_xlfn.XLOOKUP(TableHandbook[[#This Row],[UDC]],INDIRECT("Table"&amp;SUBSTITUTE(U$2,"-","")&amp;"[UDC]",TRUE),INDIRECT("Table"&amp;SUBSTITUTE(U$2,"-","")&amp;"[Component Type]",TRUE)),"")</f>
        <v/>
      </c>
      <c r="V42" s="154" t="str" cm="1">
        <f t="array" aca="1" ref="V42" ca="1">IFERROR(_xlfn.XLOOKUP(TableHandbook[[#This Row],[UDC]],INDIRECT("Table"&amp;SUBSTITUTE(V$2,"-","")&amp;"[UDC]",TRUE),INDIRECT("Table"&amp;SUBSTITUTE(V$2,"-","")&amp;"[Component Type]",TRUE)),"")</f>
        <v/>
      </c>
      <c r="W42" s="152" t="str" cm="1">
        <f t="array" aca="1" ref="W42" ca="1">IFERROR(_xlfn.XLOOKUP(TableHandbook[[#This Row],[UDC]],INDIRECT("Table"&amp;SUBSTITUTE(W$2,"-","")&amp;"[UDC]",TRUE),INDIRECT("Table"&amp;SUBSTITUTE(W$2,"-","")&amp;"[Component Type]",TRUE)),"")</f>
        <v/>
      </c>
      <c r="X42" s="152" t="str" cm="1">
        <f t="array" aca="1" ref="X42" ca="1">IFERROR(_xlfn.XLOOKUP(TableHandbook[[#This Row],[UDC]],INDIRECT("Table"&amp;SUBSTITUTE(X$2,"-","")&amp;"[UDC]",TRUE),INDIRECT("Table"&amp;SUBSTITUTE(X$2,"-","")&amp;"[Component Type]",TRUE)),"")</f>
        <v/>
      </c>
      <c r="Y42" s="152" t="str" cm="1">
        <f t="array" aca="1" ref="Y42" ca="1">IFERROR(_xlfn.XLOOKUP(TableHandbook[[#This Row],[UDC]],INDIRECT("Table"&amp;SUBSTITUTE(Y$2,"-","")&amp;"[UDC]",TRUE),INDIRECT("Table"&amp;SUBSTITUTE(Y$2,"-","")&amp;"[Component Type]",TRUE)),"")</f>
        <v/>
      </c>
      <c r="Z42" s="152" t="str" cm="1">
        <f t="array" aca="1" ref="Z42" ca="1">IFERROR(_xlfn.XLOOKUP(TableHandbook[[#This Row],[UDC]],INDIRECT("Table"&amp;SUBSTITUTE(Z$2,"-","")&amp;"[UDC]",TRUE),INDIRECT("Table"&amp;SUBSTITUTE(Z$2,"-","")&amp;"[Component Type]",TRUE)),"")</f>
        <v/>
      </c>
    </row>
    <row r="43" spans="1:26" x14ac:dyDescent="0.25">
      <c r="A43" s="8" t="s">
        <v>90</v>
      </c>
      <c r="B43" s="9">
        <v>1</v>
      </c>
      <c r="C43" s="9" t="s">
        <v>309</v>
      </c>
      <c r="D43" s="8" t="s">
        <v>310</v>
      </c>
      <c r="E43" s="9">
        <v>25</v>
      </c>
      <c r="F43" s="266" t="s">
        <v>701</v>
      </c>
      <c r="G43" s="72" t="str">
        <f>IFERROR(IF(VLOOKUP(TableHandbook[[#This Row],[UDC]],TableAvailabilities[],2,FALSE)&gt;0,"Y",""),"")</f>
        <v>Y</v>
      </c>
      <c r="H43" s="72" t="str">
        <f>IFERROR(IF(VLOOKUP(TableHandbook[[#This Row],[UDC]],TableAvailabilities[],3,FALSE)&gt;0,"Y",""),"")</f>
        <v/>
      </c>
      <c r="I43" s="72" t="str">
        <f>IFERROR(IF(VLOOKUP(TableHandbook[[#This Row],[UDC]],TableAvailabilities[],4,FALSE)&gt;0,"Y",""),"")</f>
        <v>Y</v>
      </c>
      <c r="J43" s="72" t="str">
        <f>IFERROR(IF(VLOOKUP(TableHandbook[[#This Row],[UDC]],TableAvailabilities[],5,FALSE)&gt;0,"Y",""),"")</f>
        <v/>
      </c>
      <c r="K43" s="155"/>
      <c r="L43" s="152" t="str" cm="1">
        <f t="array" aca="1" ref="L43" ca="1">IFERROR(_xlfn.XLOOKUP(TableHandbook[[#This Row],[UDC]],INDIRECT("Table"&amp;SUBSTITUTE(L$2,"-","")&amp;"[UDC]",TRUE),INDIRECT("Table"&amp;SUBSTITUTE(L$2,"-","")&amp;"[Component Type]",TRUE)),"")</f>
        <v/>
      </c>
      <c r="M43" s="152" t="str" cm="1">
        <f t="array" aca="1" ref="M43" ca="1">IFERROR(_xlfn.XLOOKUP(TableHandbook[[#This Row],[UDC]],INDIRECT("Table"&amp;SUBSTITUTE(M$2,"-","")&amp;"[UDC]",TRUE),INDIRECT("Table"&amp;SUBSTITUTE(M$2,"-","")&amp;"[Component Type]",TRUE)),"")</f>
        <v/>
      </c>
      <c r="N43" s="154" t="str" cm="1">
        <f t="array" aca="1" ref="N43" ca="1">IFERROR(_xlfn.XLOOKUP(TableHandbook[[#This Row],[UDC]],INDIRECT("Table"&amp;SUBSTITUTE(N$2,"-","")&amp;"[UDC]",TRUE),INDIRECT("Table"&amp;SUBSTITUTE(N$2,"-","")&amp;"[Component Type]",TRUE)),"")</f>
        <v>Core</v>
      </c>
      <c r="O43" s="152" t="str" cm="1">
        <f t="array" aca="1" ref="O43" ca="1">IFERROR(_xlfn.XLOOKUP(TableHandbook[[#This Row],[UDC]],INDIRECT("Table"&amp;SUBSTITUTE(O$2,"-","")&amp;"[UDC]",TRUE),INDIRECT("Table"&amp;SUBSTITUTE(O$2,"-","")&amp;"[Component Type]",TRUE)),"")</f>
        <v>Core</v>
      </c>
      <c r="P43" s="152" t="str" cm="1">
        <f t="array" aca="1" ref="P43" ca="1">IFERROR(_xlfn.XLOOKUP(TableHandbook[[#This Row],[UDC]],INDIRECT("Table"&amp;SUBSTITUTE(P$2,"-","")&amp;"[UDC]",TRUE),INDIRECT("Table"&amp;SUBSTITUTE(P$2,"-","")&amp;"[Component Type]",TRUE)),"")</f>
        <v/>
      </c>
      <c r="Q43" s="152" t="str" cm="1">
        <f t="array" aca="1" ref="Q43" ca="1">IFERROR(_xlfn.XLOOKUP(TableHandbook[[#This Row],[UDC]],INDIRECT("Table"&amp;SUBSTITUTE(Q$2,"-","")&amp;"[UDC]",TRUE),INDIRECT("Table"&amp;SUBSTITUTE(Q$2,"-","")&amp;"[Component Type]",TRUE)),"")</f>
        <v/>
      </c>
      <c r="R43" s="152" t="str" cm="1">
        <f t="array" aca="1" ref="R43" ca="1">IFERROR(_xlfn.XLOOKUP(TableHandbook[[#This Row],[UDC]],INDIRECT("Table"&amp;SUBSTITUTE(R$2,"-","")&amp;"[UDC]",TRUE),INDIRECT("Table"&amp;SUBSTITUTE(R$2,"-","")&amp;"[Component Type]",TRUE)),"")</f>
        <v/>
      </c>
      <c r="S43" s="152" t="str" cm="1">
        <f t="array" aca="1" ref="S43" ca="1">IFERROR(_xlfn.XLOOKUP(TableHandbook[[#This Row],[UDC]],INDIRECT("Table"&amp;SUBSTITUTE(S$2,"-","")&amp;"[UDC]",TRUE),INDIRECT("Table"&amp;SUBSTITUTE(S$2,"-","")&amp;"[Component Type]",TRUE)),"")</f>
        <v/>
      </c>
      <c r="T43" s="152" t="str" cm="1">
        <f t="array" aca="1" ref="T43" ca="1">IFERROR(_xlfn.XLOOKUP(TableHandbook[[#This Row],[UDC]],INDIRECT("Table"&amp;SUBSTITUTE(T$2,"-","")&amp;"[UDC]",TRUE),INDIRECT("Table"&amp;SUBSTITUTE(T$2,"-","")&amp;"[Component Type]",TRUE)),"")</f>
        <v/>
      </c>
      <c r="U43" s="152" t="str" cm="1">
        <f t="array" aca="1" ref="U43" ca="1">IFERROR(_xlfn.XLOOKUP(TableHandbook[[#This Row],[UDC]],INDIRECT("Table"&amp;SUBSTITUTE(U$2,"-","")&amp;"[UDC]",TRUE),INDIRECT("Table"&amp;SUBSTITUTE(U$2,"-","")&amp;"[Component Type]",TRUE)),"")</f>
        <v/>
      </c>
      <c r="V43" s="154" t="str" cm="1">
        <f t="array" aca="1" ref="V43" ca="1">IFERROR(_xlfn.XLOOKUP(TableHandbook[[#This Row],[UDC]],INDIRECT("Table"&amp;SUBSTITUTE(V$2,"-","")&amp;"[UDC]",TRUE),INDIRECT("Table"&amp;SUBSTITUTE(V$2,"-","")&amp;"[Component Type]",TRUE)),"")</f>
        <v/>
      </c>
      <c r="W43" s="152" t="str" cm="1">
        <f t="array" aca="1" ref="W43" ca="1">IFERROR(_xlfn.XLOOKUP(TableHandbook[[#This Row],[UDC]],INDIRECT("Table"&amp;SUBSTITUTE(W$2,"-","")&amp;"[UDC]",TRUE),INDIRECT("Table"&amp;SUBSTITUTE(W$2,"-","")&amp;"[Component Type]",TRUE)),"")</f>
        <v/>
      </c>
      <c r="X43" s="152" t="str" cm="1">
        <f t="array" aca="1" ref="X43" ca="1">IFERROR(_xlfn.XLOOKUP(TableHandbook[[#This Row],[UDC]],INDIRECT("Table"&amp;SUBSTITUTE(X$2,"-","")&amp;"[UDC]",TRUE),INDIRECT("Table"&amp;SUBSTITUTE(X$2,"-","")&amp;"[Component Type]",TRUE)),"")</f>
        <v/>
      </c>
      <c r="Y43" s="152" t="str" cm="1">
        <f t="array" aca="1" ref="Y43" ca="1">IFERROR(_xlfn.XLOOKUP(TableHandbook[[#This Row],[UDC]],INDIRECT("Table"&amp;SUBSTITUTE(Y$2,"-","")&amp;"[UDC]",TRUE),INDIRECT("Table"&amp;SUBSTITUTE(Y$2,"-","")&amp;"[Component Type]",TRUE)),"")</f>
        <v/>
      </c>
      <c r="Z43" s="152" t="str" cm="1">
        <f t="array" aca="1" ref="Z43" ca="1">IFERROR(_xlfn.XLOOKUP(TableHandbook[[#This Row],[UDC]],INDIRECT("Table"&amp;SUBSTITUTE(Z$2,"-","")&amp;"[UDC]",TRUE),INDIRECT("Table"&amp;SUBSTITUTE(Z$2,"-","")&amp;"[Component Type]",TRUE)),"")</f>
        <v/>
      </c>
    </row>
    <row r="44" spans="1:26" x14ac:dyDescent="0.25">
      <c r="A44" s="246" t="s">
        <v>609</v>
      </c>
      <c r="B44" s="9">
        <v>1</v>
      </c>
      <c r="C44" s="9" t="s">
        <v>609</v>
      </c>
      <c r="D44" s="8" t="s">
        <v>648</v>
      </c>
      <c r="E44" s="9">
        <v>25</v>
      </c>
      <c r="F44" s="266" t="s">
        <v>713</v>
      </c>
      <c r="G44" s="72" t="str">
        <f>IFERROR(IF(VLOOKUP(TableHandbook[[#This Row],[UDC]],TableAvailabilities[],2,FALSE)&gt;0,"Y",""),"")</f>
        <v>Y</v>
      </c>
      <c r="H44" s="72" t="str">
        <f>IFERROR(IF(VLOOKUP(TableHandbook[[#This Row],[UDC]],TableAvailabilities[],3,FALSE)&gt;0,"Y",""),"")</f>
        <v>Y</v>
      </c>
      <c r="I44" s="72" t="str">
        <f>IFERROR(IF(VLOOKUP(TableHandbook[[#This Row],[UDC]],TableAvailabilities[],4,FALSE)&gt;0,"Y",""),"")</f>
        <v/>
      </c>
      <c r="J44" s="72" t="str">
        <f>IFERROR(IF(VLOOKUP(TableHandbook[[#This Row],[UDC]],TableAvailabilities[],5,FALSE)&gt;0,"Y",""),"")</f>
        <v/>
      </c>
      <c r="K44" s="155"/>
      <c r="L44" s="152" t="str" cm="1">
        <f t="array" aca="1" ref="L44" ca="1">IFERROR(_xlfn.XLOOKUP(TableHandbook[[#This Row],[UDC]],INDIRECT("Table"&amp;SUBSTITUTE(L$2,"-","")&amp;"[UDC]",TRUE),INDIRECT("Table"&amp;SUBSTITUTE(L$2,"-","")&amp;"[Component Type]",TRUE)),"")</f>
        <v/>
      </c>
      <c r="M44" s="152" t="str" cm="1">
        <f t="array" aca="1" ref="M44" ca="1">IFERROR(_xlfn.XLOOKUP(TableHandbook[[#This Row],[UDC]],INDIRECT("Table"&amp;SUBSTITUTE(M$2,"-","")&amp;"[UDC]",TRUE),INDIRECT("Table"&amp;SUBSTITUTE(M$2,"-","")&amp;"[Component Type]",TRUE)),"")</f>
        <v/>
      </c>
      <c r="N44" s="154" t="str" cm="1">
        <f t="array" aca="1" ref="N44" ca="1">IFERROR(_xlfn.XLOOKUP(TableHandbook[[#This Row],[UDC]],INDIRECT("Table"&amp;SUBSTITUTE(N$2,"-","")&amp;"[UDC]",TRUE),INDIRECT("Table"&amp;SUBSTITUTE(N$2,"-","")&amp;"[Component Type]",TRUE)),"")</f>
        <v>Core</v>
      </c>
      <c r="O44" s="152" t="str" cm="1">
        <f t="array" aca="1" ref="O44" ca="1">IFERROR(_xlfn.XLOOKUP(TableHandbook[[#This Row],[UDC]],INDIRECT("Table"&amp;SUBSTITUTE(O$2,"-","")&amp;"[UDC]",TRUE),INDIRECT("Table"&amp;SUBSTITUTE(O$2,"-","")&amp;"[Component Type]",TRUE)),"")</f>
        <v>Core</v>
      </c>
      <c r="P44" s="152" t="str" cm="1">
        <f t="array" aca="1" ref="P44" ca="1">IFERROR(_xlfn.XLOOKUP(TableHandbook[[#This Row],[UDC]],INDIRECT("Table"&amp;SUBSTITUTE(P$2,"-","")&amp;"[UDC]",TRUE),INDIRECT("Table"&amp;SUBSTITUTE(P$2,"-","")&amp;"[Component Type]",TRUE)),"")</f>
        <v/>
      </c>
      <c r="Q44" s="152" t="str" cm="1">
        <f t="array" aca="1" ref="Q44" ca="1">IFERROR(_xlfn.XLOOKUP(TableHandbook[[#This Row],[UDC]],INDIRECT("Table"&amp;SUBSTITUTE(Q$2,"-","")&amp;"[UDC]",TRUE),INDIRECT("Table"&amp;SUBSTITUTE(Q$2,"-","")&amp;"[Component Type]",TRUE)),"")</f>
        <v/>
      </c>
      <c r="R44" s="152" t="str" cm="1">
        <f t="array" aca="1" ref="R44" ca="1">IFERROR(_xlfn.XLOOKUP(TableHandbook[[#This Row],[UDC]],INDIRECT("Table"&amp;SUBSTITUTE(R$2,"-","")&amp;"[UDC]",TRUE),INDIRECT("Table"&amp;SUBSTITUTE(R$2,"-","")&amp;"[Component Type]",TRUE)),"")</f>
        <v/>
      </c>
      <c r="S44" s="152" t="str" cm="1">
        <f t="array" aca="1" ref="S44" ca="1">IFERROR(_xlfn.XLOOKUP(TableHandbook[[#This Row],[UDC]],INDIRECT("Table"&amp;SUBSTITUTE(S$2,"-","")&amp;"[UDC]",TRUE),INDIRECT("Table"&amp;SUBSTITUTE(S$2,"-","")&amp;"[Component Type]",TRUE)),"")</f>
        <v/>
      </c>
      <c r="T44" s="152" t="str" cm="1">
        <f t="array" aca="1" ref="T44" ca="1">IFERROR(_xlfn.XLOOKUP(TableHandbook[[#This Row],[UDC]],INDIRECT("Table"&amp;SUBSTITUTE(T$2,"-","")&amp;"[UDC]",TRUE),INDIRECT("Table"&amp;SUBSTITUTE(T$2,"-","")&amp;"[Component Type]",TRUE)),"")</f>
        <v/>
      </c>
      <c r="U44" s="152" t="str" cm="1">
        <f t="array" aca="1" ref="U44" ca="1">IFERROR(_xlfn.XLOOKUP(TableHandbook[[#This Row],[UDC]],INDIRECT("Table"&amp;SUBSTITUTE(U$2,"-","")&amp;"[UDC]",TRUE),INDIRECT("Table"&amp;SUBSTITUTE(U$2,"-","")&amp;"[Component Type]",TRUE)),"")</f>
        <v/>
      </c>
      <c r="V44" s="154" t="str" cm="1">
        <f t="array" aca="1" ref="V44" ca="1">IFERROR(_xlfn.XLOOKUP(TableHandbook[[#This Row],[UDC]],INDIRECT("Table"&amp;SUBSTITUTE(V$2,"-","")&amp;"[UDC]",TRUE),INDIRECT("Table"&amp;SUBSTITUTE(V$2,"-","")&amp;"[Component Type]",TRUE)),"")</f>
        <v/>
      </c>
      <c r="W44" s="152" t="str" cm="1">
        <f t="array" aca="1" ref="W44" ca="1">IFERROR(_xlfn.XLOOKUP(TableHandbook[[#This Row],[UDC]],INDIRECT("Table"&amp;SUBSTITUTE(W$2,"-","")&amp;"[UDC]",TRUE),INDIRECT("Table"&amp;SUBSTITUTE(W$2,"-","")&amp;"[Component Type]",TRUE)),"")</f>
        <v/>
      </c>
      <c r="X44" s="152" t="str" cm="1">
        <f t="array" aca="1" ref="X44" ca="1">IFERROR(_xlfn.XLOOKUP(TableHandbook[[#This Row],[UDC]],INDIRECT("Table"&amp;SUBSTITUTE(X$2,"-","")&amp;"[UDC]",TRUE),INDIRECT("Table"&amp;SUBSTITUTE(X$2,"-","")&amp;"[Component Type]",TRUE)),"")</f>
        <v/>
      </c>
      <c r="Y44" s="152" t="str" cm="1">
        <f t="array" aca="1" ref="Y44" ca="1">IFERROR(_xlfn.XLOOKUP(TableHandbook[[#This Row],[UDC]],INDIRECT("Table"&amp;SUBSTITUTE(Y$2,"-","")&amp;"[UDC]",TRUE),INDIRECT("Table"&amp;SUBSTITUTE(Y$2,"-","")&amp;"[Component Type]",TRUE)),"")</f>
        <v/>
      </c>
      <c r="Z44" s="152" t="str" cm="1">
        <f t="array" aca="1" ref="Z44" ca="1">IFERROR(_xlfn.XLOOKUP(TableHandbook[[#This Row],[UDC]],INDIRECT("Table"&amp;SUBSTITUTE(Z$2,"-","")&amp;"[UDC]",TRUE),INDIRECT("Table"&amp;SUBSTITUTE(Z$2,"-","")&amp;"[Component Type]",TRUE)),"")</f>
        <v/>
      </c>
    </row>
    <row r="45" spans="1:26" ht="26.25" x14ac:dyDescent="0.25">
      <c r="A45" s="246" t="s">
        <v>611</v>
      </c>
      <c r="B45" s="9">
        <v>1</v>
      </c>
      <c r="C45" s="9" t="s">
        <v>611</v>
      </c>
      <c r="D45" s="8" t="s">
        <v>649</v>
      </c>
      <c r="E45" s="9">
        <v>25</v>
      </c>
      <c r="F45" s="266" t="s">
        <v>722</v>
      </c>
      <c r="G45" s="72" t="str">
        <f>IFERROR(IF(VLOOKUP(TableHandbook[[#This Row],[UDC]],TableAvailabilities[],2,FALSE)&gt;0,"Y",""),"")</f>
        <v/>
      </c>
      <c r="H45" s="72" t="str">
        <f>IFERROR(IF(VLOOKUP(TableHandbook[[#This Row],[UDC]],TableAvailabilities[],3,FALSE)&gt;0,"Y",""),"")</f>
        <v>Y</v>
      </c>
      <c r="I45" s="72" t="str">
        <f>IFERROR(IF(VLOOKUP(TableHandbook[[#This Row],[UDC]],TableAvailabilities[],4,FALSE)&gt;0,"Y",""),"")</f>
        <v>Y</v>
      </c>
      <c r="J45" s="72" t="str">
        <f>IFERROR(IF(VLOOKUP(TableHandbook[[#This Row],[UDC]],TableAvailabilities[],5,FALSE)&gt;0,"Y",""),"")</f>
        <v/>
      </c>
      <c r="K45" s="155"/>
      <c r="L45" s="152" t="str" cm="1">
        <f t="array" aca="1" ref="L45" ca="1">IFERROR(_xlfn.XLOOKUP(TableHandbook[[#This Row],[UDC]],INDIRECT("Table"&amp;SUBSTITUTE(L$2,"-","")&amp;"[UDC]",TRUE),INDIRECT("Table"&amp;SUBSTITUTE(L$2,"-","")&amp;"[Component Type]",TRUE)),"")</f>
        <v/>
      </c>
      <c r="M45" s="152" t="str" cm="1">
        <f t="array" aca="1" ref="M45" ca="1">IFERROR(_xlfn.XLOOKUP(TableHandbook[[#This Row],[UDC]],INDIRECT("Table"&amp;SUBSTITUTE(M$2,"-","")&amp;"[UDC]",TRUE),INDIRECT("Table"&amp;SUBSTITUTE(M$2,"-","")&amp;"[Component Type]",TRUE)),"")</f>
        <v/>
      </c>
      <c r="N45" s="154" t="str" cm="1">
        <f t="array" aca="1" ref="N45" ca="1">IFERROR(_xlfn.XLOOKUP(TableHandbook[[#This Row],[UDC]],INDIRECT("Table"&amp;SUBSTITUTE(N$2,"-","")&amp;"[UDC]",TRUE),INDIRECT("Table"&amp;SUBSTITUTE(N$2,"-","")&amp;"[Component Type]",TRUE)),"")</f>
        <v>Core</v>
      </c>
      <c r="O45" s="152" t="str" cm="1">
        <f t="array" aca="1" ref="O45" ca="1">IFERROR(_xlfn.XLOOKUP(TableHandbook[[#This Row],[UDC]],INDIRECT("Table"&amp;SUBSTITUTE(O$2,"-","")&amp;"[UDC]",TRUE),INDIRECT("Table"&amp;SUBSTITUTE(O$2,"-","")&amp;"[Component Type]",TRUE)),"")</f>
        <v>Core</v>
      </c>
      <c r="P45" s="152" t="str" cm="1">
        <f t="array" aca="1" ref="P45" ca="1">IFERROR(_xlfn.XLOOKUP(TableHandbook[[#This Row],[UDC]],INDIRECT("Table"&amp;SUBSTITUTE(P$2,"-","")&amp;"[UDC]",TRUE),INDIRECT("Table"&amp;SUBSTITUTE(P$2,"-","")&amp;"[Component Type]",TRUE)),"")</f>
        <v/>
      </c>
      <c r="Q45" s="152" t="str" cm="1">
        <f t="array" aca="1" ref="Q45" ca="1">IFERROR(_xlfn.XLOOKUP(TableHandbook[[#This Row],[UDC]],INDIRECT("Table"&amp;SUBSTITUTE(Q$2,"-","")&amp;"[UDC]",TRUE),INDIRECT("Table"&amp;SUBSTITUTE(Q$2,"-","")&amp;"[Component Type]",TRUE)),"")</f>
        <v/>
      </c>
      <c r="R45" s="152" t="str" cm="1">
        <f t="array" aca="1" ref="R45" ca="1">IFERROR(_xlfn.XLOOKUP(TableHandbook[[#This Row],[UDC]],INDIRECT("Table"&amp;SUBSTITUTE(R$2,"-","")&amp;"[UDC]",TRUE),INDIRECT("Table"&amp;SUBSTITUTE(R$2,"-","")&amp;"[Component Type]",TRUE)),"")</f>
        <v/>
      </c>
      <c r="S45" s="152" t="str" cm="1">
        <f t="array" aca="1" ref="S45" ca="1">IFERROR(_xlfn.XLOOKUP(TableHandbook[[#This Row],[UDC]],INDIRECT("Table"&amp;SUBSTITUTE(S$2,"-","")&amp;"[UDC]",TRUE),INDIRECT("Table"&amp;SUBSTITUTE(S$2,"-","")&amp;"[Component Type]",TRUE)),"")</f>
        <v/>
      </c>
      <c r="T45" s="152" t="str" cm="1">
        <f t="array" aca="1" ref="T45" ca="1">IFERROR(_xlfn.XLOOKUP(TableHandbook[[#This Row],[UDC]],INDIRECT("Table"&amp;SUBSTITUTE(T$2,"-","")&amp;"[UDC]",TRUE),INDIRECT("Table"&amp;SUBSTITUTE(T$2,"-","")&amp;"[Component Type]",TRUE)),"")</f>
        <v/>
      </c>
      <c r="U45" s="152" t="str" cm="1">
        <f t="array" aca="1" ref="U45" ca="1">IFERROR(_xlfn.XLOOKUP(TableHandbook[[#This Row],[UDC]],INDIRECT("Table"&amp;SUBSTITUTE(U$2,"-","")&amp;"[UDC]",TRUE),INDIRECT("Table"&amp;SUBSTITUTE(U$2,"-","")&amp;"[Component Type]",TRUE)),"")</f>
        <v/>
      </c>
      <c r="V45" s="154" t="str" cm="1">
        <f t="array" aca="1" ref="V45" ca="1">IFERROR(_xlfn.XLOOKUP(TableHandbook[[#This Row],[UDC]],INDIRECT("Table"&amp;SUBSTITUTE(V$2,"-","")&amp;"[UDC]",TRUE),INDIRECT("Table"&amp;SUBSTITUTE(V$2,"-","")&amp;"[Component Type]",TRUE)),"")</f>
        <v/>
      </c>
      <c r="W45" s="152" t="str" cm="1">
        <f t="array" aca="1" ref="W45" ca="1">IFERROR(_xlfn.XLOOKUP(TableHandbook[[#This Row],[UDC]],INDIRECT("Table"&amp;SUBSTITUTE(W$2,"-","")&amp;"[UDC]",TRUE),INDIRECT("Table"&amp;SUBSTITUTE(W$2,"-","")&amp;"[Component Type]",TRUE)),"")</f>
        <v/>
      </c>
      <c r="X45" s="152" t="str" cm="1">
        <f t="array" aca="1" ref="X45" ca="1">IFERROR(_xlfn.XLOOKUP(TableHandbook[[#This Row],[UDC]],INDIRECT("Table"&amp;SUBSTITUTE(X$2,"-","")&amp;"[UDC]",TRUE),INDIRECT("Table"&amp;SUBSTITUTE(X$2,"-","")&amp;"[Component Type]",TRUE)),"")</f>
        <v/>
      </c>
      <c r="Y45" s="152" t="str" cm="1">
        <f t="array" aca="1" ref="Y45" ca="1">IFERROR(_xlfn.XLOOKUP(TableHandbook[[#This Row],[UDC]],INDIRECT("Table"&amp;SUBSTITUTE(Y$2,"-","")&amp;"[UDC]",TRUE),INDIRECT("Table"&amp;SUBSTITUTE(Y$2,"-","")&amp;"[Component Type]",TRUE)),"")</f>
        <v/>
      </c>
      <c r="Z45" s="152" t="str" cm="1">
        <f t="array" aca="1" ref="Z45" ca="1">IFERROR(_xlfn.XLOOKUP(TableHandbook[[#This Row],[UDC]],INDIRECT("Table"&amp;SUBSTITUTE(Z$2,"-","")&amp;"[UDC]",TRUE),INDIRECT("Table"&amp;SUBSTITUTE(Z$2,"-","")&amp;"[Component Type]",TRUE)),"")</f>
        <v/>
      </c>
    </row>
    <row r="46" spans="1:26" x14ac:dyDescent="0.25">
      <c r="A46" s="8" t="s">
        <v>118</v>
      </c>
      <c r="B46" s="9">
        <v>1</v>
      </c>
      <c r="C46" s="9" t="s">
        <v>311</v>
      </c>
      <c r="D46" s="8" t="s">
        <v>312</v>
      </c>
      <c r="E46" s="9">
        <v>25</v>
      </c>
      <c r="F46" s="266" t="s">
        <v>300</v>
      </c>
      <c r="G46" s="72" t="str">
        <f>IFERROR(IF(VLOOKUP(TableHandbook[[#This Row],[UDC]],TableAvailabilities[],2,FALSE)&gt;0,"Y",""),"")</f>
        <v/>
      </c>
      <c r="H46" s="72" t="str">
        <f>IFERROR(IF(VLOOKUP(TableHandbook[[#This Row],[UDC]],TableAvailabilities[],3,FALSE)&gt;0,"Y",""),"")</f>
        <v>Y</v>
      </c>
      <c r="I46" s="72" t="str">
        <f>IFERROR(IF(VLOOKUP(TableHandbook[[#This Row],[UDC]],TableAvailabilities[],4,FALSE)&gt;0,"Y",""),"")</f>
        <v/>
      </c>
      <c r="J46" s="72" t="str">
        <f>IFERROR(IF(VLOOKUP(TableHandbook[[#This Row],[UDC]],TableAvailabilities[],5,FALSE)&gt;0,"Y",""),"")</f>
        <v>Y</v>
      </c>
      <c r="K46" s="155"/>
      <c r="L46" s="152" t="str" cm="1">
        <f t="array" aca="1" ref="L46" ca="1">IFERROR(_xlfn.XLOOKUP(TableHandbook[[#This Row],[UDC]],INDIRECT("Table"&amp;SUBSTITUTE(L$2,"-","")&amp;"[UDC]",TRUE),INDIRECT("Table"&amp;SUBSTITUTE(L$2,"-","")&amp;"[Component Type]",TRUE)),"")</f>
        <v/>
      </c>
      <c r="M46" s="152" t="str" cm="1">
        <f t="array" aca="1" ref="M46" ca="1">IFERROR(_xlfn.XLOOKUP(TableHandbook[[#This Row],[UDC]],INDIRECT("Table"&amp;SUBSTITUTE(M$2,"-","")&amp;"[UDC]",TRUE),INDIRECT("Table"&amp;SUBSTITUTE(M$2,"-","")&amp;"[Component Type]",TRUE)),"")</f>
        <v/>
      </c>
      <c r="N46" s="154" t="str" cm="1">
        <f t="array" aca="1" ref="N46" ca="1">IFERROR(_xlfn.XLOOKUP(TableHandbook[[#This Row],[UDC]],INDIRECT("Table"&amp;SUBSTITUTE(N$2,"-","")&amp;"[UDC]",TRUE),INDIRECT("Table"&amp;SUBSTITUTE(N$2,"-","")&amp;"[Component Type]",TRUE)),"")</f>
        <v>Core</v>
      </c>
      <c r="O46" s="152" t="str" cm="1">
        <f t="array" aca="1" ref="O46" ca="1">IFERROR(_xlfn.XLOOKUP(TableHandbook[[#This Row],[UDC]],INDIRECT("Table"&amp;SUBSTITUTE(O$2,"-","")&amp;"[UDC]",TRUE),INDIRECT("Table"&amp;SUBSTITUTE(O$2,"-","")&amp;"[Component Type]",TRUE)),"")</f>
        <v>Core</v>
      </c>
      <c r="P46" s="152" t="str" cm="1">
        <f t="array" aca="1" ref="P46" ca="1">IFERROR(_xlfn.XLOOKUP(TableHandbook[[#This Row],[UDC]],INDIRECT("Table"&amp;SUBSTITUTE(P$2,"-","")&amp;"[UDC]",TRUE),INDIRECT("Table"&amp;SUBSTITUTE(P$2,"-","")&amp;"[Component Type]",TRUE)),"")</f>
        <v/>
      </c>
      <c r="Q46" s="152" t="str" cm="1">
        <f t="array" aca="1" ref="Q46" ca="1">IFERROR(_xlfn.XLOOKUP(TableHandbook[[#This Row],[UDC]],INDIRECT("Table"&amp;SUBSTITUTE(Q$2,"-","")&amp;"[UDC]",TRUE),INDIRECT("Table"&amp;SUBSTITUTE(Q$2,"-","")&amp;"[Component Type]",TRUE)),"")</f>
        <v/>
      </c>
      <c r="R46" s="152" t="str" cm="1">
        <f t="array" aca="1" ref="R46" ca="1">IFERROR(_xlfn.XLOOKUP(TableHandbook[[#This Row],[UDC]],INDIRECT("Table"&amp;SUBSTITUTE(R$2,"-","")&amp;"[UDC]",TRUE),INDIRECT("Table"&amp;SUBSTITUTE(R$2,"-","")&amp;"[Component Type]",TRUE)),"")</f>
        <v/>
      </c>
      <c r="S46" s="152" t="str" cm="1">
        <f t="array" aca="1" ref="S46" ca="1">IFERROR(_xlfn.XLOOKUP(TableHandbook[[#This Row],[UDC]],INDIRECT("Table"&amp;SUBSTITUTE(S$2,"-","")&amp;"[UDC]",TRUE),INDIRECT("Table"&amp;SUBSTITUTE(S$2,"-","")&amp;"[Component Type]",TRUE)),"")</f>
        <v/>
      </c>
      <c r="T46" s="152" t="str" cm="1">
        <f t="array" aca="1" ref="T46" ca="1">IFERROR(_xlfn.XLOOKUP(TableHandbook[[#This Row],[UDC]],INDIRECT("Table"&amp;SUBSTITUTE(T$2,"-","")&amp;"[UDC]",TRUE),INDIRECT("Table"&amp;SUBSTITUTE(T$2,"-","")&amp;"[Component Type]",TRUE)),"")</f>
        <v/>
      </c>
      <c r="U46" s="152" t="str" cm="1">
        <f t="array" aca="1" ref="U46" ca="1">IFERROR(_xlfn.XLOOKUP(TableHandbook[[#This Row],[UDC]],INDIRECT("Table"&amp;SUBSTITUTE(U$2,"-","")&amp;"[UDC]",TRUE),INDIRECT("Table"&amp;SUBSTITUTE(U$2,"-","")&amp;"[Component Type]",TRUE)),"")</f>
        <v/>
      </c>
      <c r="V46" s="154" t="str" cm="1">
        <f t="array" aca="1" ref="V46" ca="1">IFERROR(_xlfn.XLOOKUP(TableHandbook[[#This Row],[UDC]],INDIRECT("Table"&amp;SUBSTITUTE(V$2,"-","")&amp;"[UDC]",TRUE),INDIRECT("Table"&amp;SUBSTITUTE(V$2,"-","")&amp;"[Component Type]",TRUE)),"")</f>
        <v/>
      </c>
      <c r="W46" s="152" t="str" cm="1">
        <f t="array" aca="1" ref="W46" ca="1">IFERROR(_xlfn.XLOOKUP(TableHandbook[[#This Row],[UDC]],INDIRECT("Table"&amp;SUBSTITUTE(W$2,"-","")&amp;"[UDC]",TRUE),INDIRECT("Table"&amp;SUBSTITUTE(W$2,"-","")&amp;"[Component Type]",TRUE)),"")</f>
        <v/>
      </c>
      <c r="X46" s="152" t="str" cm="1">
        <f t="array" aca="1" ref="X46" ca="1">IFERROR(_xlfn.XLOOKUP(TableHandbook[[#This Row],[UDC]],INDIRECT("Table"&amp;SUBSTITUTE(X$2,"-","")&amp;"[UDC]",TRUE),INDIRECT("Table"&amp;SUBSTITUTE(X$2,"-","")&amp;"[Component Type]",TRUE)),"")</f>
        <v/>
      </c>
      <c r="Y46" s="152" t="str" cm="1">
        <f t="array" aca="1" ref="Y46" ca="1">IFERROR(_xlfn.XLOOKUP(TableHandbook[[#This Row],[UDC]],INDIRECT("Table"&amp;SUBSTITUTE(Y$2,"-","")&amp;"[UDC]",TRUE),INDIRECT("Table"&amp;SUBSTITUTE(Y$2,"-","")&amp;"[Component Type]",TRUE)),"")</f>
        <v/>
      </c>
      <c r="Z46" s="152" t="str" cm="1">
        <f t="array" aca="1" ref="Z46" ca="1">IFERROR(_xlfn.XLOOKUP(TableHandbook[[#This Row],[UDC]],INDIRECT("Table"&amp;SUBSTITUTE(Z$2,"-","")&amp;"[UDC]",TRUE),INDIRECT("Table"&amp;SUBSTITUTE(Z$2,"-","")&amp;"[Component Type]",TRUE)),"")</f>
        <v/>
      </c>
    </row>
    <row r="47" spans="1:26" x14ac:dyDescent="0.25">
      <c r="A47" s="246" t="s">
        <v>111</v>
      </c>
      <c r="B47" s="9">
        <v>3</v>
      </c>
      <c r="C47" s="9" t="s">
        <v>313</v>
      </c>
      <c r="D47" s="8" t="s">
        <v>650</v>
      </c>
      <c r="E47" s="9">
        <v>25</v>
      </c>
      <c r="F47" s="266" t="s">
        <v>714</v>
      </c>
      <c r="G47" s="72" t="str">
        <f>IFERROR(IF(VLOOKUP(TableHandbook[[#This Row],[UDC]],TableAvailabilities[],2,FALSE)&gt;0,"Y",""),"")</f>
        <v>Y</v>
      </c>
      <c r="H47" s="72" t="str">
        <f>IFERROR(IF(VLOOKUP(TableHandbook[[#This Row],[UDC]],TableAvailabilities[],3,FALSE)&gt;0,"Y",""),"")</f>
        <v/>
      </c>
      <c r="I47" s="72" t="str">
        <f>IFERROR(IF(VLOOKUP(TableHandbook[[#This Row],[UDC]],TableAvailabilities[],4,FALSE)&gt;0,"Y",""),"")</f>
        <v>Y</v>
      </c>
      <c r="J47" s="72" t="str">
        <f>IFERROR(IF(VLOOKUP(TableHandbook[[#This Row],[UDC]],TableAvailabilities[],5,FALSE)&gt;0,"Y",""),"")</f>
        <v/>
      </c>
      <c r="K47" s="155" t="s">
        <v>657</v>
      </c>
      <c r="L47" s="152" t="str" cm="1">
        <f t="array" aca="1" ref="L47" ca="1">IFERROR(_xlfn.XLOOKUP(TableHandbook[[#This Row],[UDC]],INDIRECT("Table"&amp;SUBSTITUTE(L$2,"-","")&amp;"[UDC]",TRUE),INDIRECT("Table"&amp;SUBSTITUTE(L$2,"-","")&amp;"[Component Type]",TRUE)),"")</f>
        <v/>
      </c>
      <c r="M47" s="152" t="str" cm="1">
        <f t="array" aca="1" ref="M47" ca="1">IFERROR(_xlfn.XLOOKUP(TableHandbook[[#This Row],[UDC]],INDIRECT("Table"&amp;SUBSTITUTE(M$2,"-","")&amp;"[UDC]",TRUE),INDIRECT("Table"&amp;SUBSTITUTE(M$2,"-","")&amp;"[Component Type]",TRUE)),"")</f>
        <v/>
      </c>
      <c r="N47" s="154" t="str" cm="1">
        <f t="array" aca="1" ref="N47" ca="1">IFERROR(_xlfn.XLOOKUP(TableHandbook[[#This Row],[UDC]],INDIRECT("Table"&amp;SUBSTITUTE(N$2,"-","")&amp;"[UDC]",TRUE),INDIRECT("Table"&amp;SUBSTITUTE(N$2,"-","")&amp;"[Component Type]",TRUE)),"")</f>
        <v>Core</v>
      </c>
      <c r="O47" s="152" t="str" cm="1">
        <f t="array" aca="1" ref="O47" ca="1">IFERROR(_xlfn.XLOOKUP(TableHandbook[[#This Row],[UDC]],INDIRECT("Table"&amp;SUBSTITUTE(O$2,"-","")&amp;"[UDC]",TRUE),INDIRECT("Table"&amp;SUBSTITUTE(O$2,"-","")&amp;"[Component Type]",TRUE)),"")</f>
        <v>Core</v>
      </c>
      <c r="P47" s="152" t="str" cm="1">
        <f t="array" aca="1" ref="P47" ca="1">IFERROR(_xlfn.XLOOKUP(TableHandbook[[#This Row],[UDC]],INDIRECT("Table"&amp;SUBSTITUTE(P$2,"-","")&amp;"[UDC]",TRUE),INDIRECT("Table"&amp;SUBSTITUTE(P$2,"-","")&amp;"[Component Type]",TRUE)),"")</f>
        <v/>
      </c>
      <c r="Q47" s="152" t="str" cm="1">
        <f t="array" aca="1" ref="Q47" ca="1">IFERROR(_xlfn.XLOOKUP(TableHandbook[[#This Row],[UDC]],INDIRECT("Table"&amp;SUBSTITUTE(Q$2,"-","")&amp;"[UDC]",TRUE),INDIRECT("Table"&amp;SUBSTITUTE(Q$2,"-","")&amp;"[Component Type]",TRUE)),"")</f>
        <v/>
      </c>
      <c r="R47" s="152" t="str" cm="1">
        <f t="array" aca="1" ref="R47" ca="1">IFERROR(_xlfn.XLOOKUP(TableHandbook[[#This Row],[UDC]],INDIRECT("Table"&amp;SUBSTITUTE(R$2,"-","")&amp;"[UDC]",TRUE),INDIRECT("Table"&amp;SUBSTITUTE(R$2,"-","")&amp;"[Component Type]",TRUE)),"")</f>
        <v/>
      </c>
      <c r="S47" s="152" t="str" cm="1">
        <f t="array" aca="1" ref="S47" ca="1">IFERROR(_xlfn.XLOOKUP(TableHandbook[[#This Row],[UDC]],INDIRECT("Table"&amp;SUBSTITUTE(S$2,"-","")&amp;"[UDC]",TRUE),INDIRECT("Table"&amp;SUBSTITUTE(S$2,"-","")&amp;"[Component Type]",TRUE)),"")</f>
        <v/>
      </c>
      <c r="T47" s="152" t="str" cm="1">
        <f t="array" aca="1" ref="T47" ca="1">IFERROR(_xlfn.XLOOKUP(TableHandbook[[#This Row],[UDC]],INDIRECT("Table"&amp;SUBSTITUTE(T$2,"-","")&amp;"[UDC]",TRUE),INDIRECT("Table"&amp;SUBSTITUTE(T$2,"-","")&amp;"[Component Type]",TRUE)),"")</f>
        <v/>
      </c>
      <c r="U47" s="152" t="str" cm="1">
        <f t="array" aca="1" ref="U47" ca="1">IFERROR(_xlfn.XLOOKUP(TableHandbook[[#This Row],[UDC]],INDIRECT("Table"&amp;SUBSTITUTE(U$2,"-","")&amp;"[UDC]",TRUE),INDIRECT("Table"&amp;SUBSTITUTE(U$2,"-","")&amp;"[Component Type]",TRUE)),"")</f>
        <v/>
      </c>
      <c r="V47" s="154" t="str" cm="1">
        <f t="array" aca="1" ref="V47" ca="1">IFERROR(_xlfn.XLOOKUP(TableHandbook[[#This Row],[UDC]],INDIRECT("Table"&amp;SUBSTITUTE(V$2,"-","")&amp;"[UDC]",TRUE),INDIRECT("Table"&amp;SUBSTITUTE(V$2,"-","")&amp;"[Component Type]",TRUE)),"")</f>
        <v/>
      </c>
      <c r="W47" s="152" t="str" cm="1">
        <f t="array" aca="1" ref="W47" ca="1">IFERROR(_xlfn.XLOOKUP(TableHandbook[[#This Row],[UDC]],INDIRECT("Table"&amp;SUBSTITUTE(W$2,"-","")&amp;"[UDC]",TRUE),INDIRECT("Table"&amp;SUBSTITUTE(W$2,"-","")&amp;"[Component Type]",TRUE)),"")</f>
        <v/>
      </c>
      <c r="X47" s="152" t="str" cm="1">
        <f t="array" aca="1" ref="X47" ca="1">IFERROR(_xlfn.XLOOKUP(TableHandbook[[#This Row],[UDC]],INDIRECT("Table"&amp;SUBSTITUTE(X$2,"-","")&amp;"[UDC]",TRUE),INDIRECT("Table"&amp;SUBSTITUTE(X$2,"-","")&amp;"[Component Type]",TRUE)),"")</f>
        <v/>
      </c>
      <c r="Y47" s="152" t="str" cm="1">
        <f t="array" aca="1" ref="Y47" ca="1">IFERROR(_xlfn.XLOOKUP(TableHandbook[[#This Row],[UDC]],INDIRECT("Table"&amp;SUBSTITUTE(Y$2,"-","")&amp;"[UDC]",TRUE),INDIRECT("Table"&amp;SUBSTITUTE(Y$2,"-","")&amp;"[Component Type]",TRUE)),"")</f>
        <v/>
      </c>
      <c r="Z47" s="152" t="str" cm="1">
        <f t="array" aca="1" ref="Z47" ca="1">IFERROR(_xlfn.XLOOKUP(TableHandbook[[#This Row],[UDC]],INDIRECT("Table"&amp;SUBSTITUTE(Z$2,"-","")&amp;"[UDC]",TRUE),INDIRECT("Table"&amp;SUBSTITUTE(Z$2,"-","")&amp;"[Component Type]",TRUE)),"")</f>
        <v/>
      </c>
    </row>
    <row r="48" spans="1:26" x14ac:dyDescent="0.25">
      <c r="A48" s="8" t="s">
        <v>658</v>
      </c>
      <c r="B48" s="9">
        <v>2</v>
      </c>
      <c r="C48" s="9" t="s">
        <v>313</v>
      </c>
      <c r="D48" s="8" t="s">
        <v>314</v>
      </c>
      <c r="E48" s="9">
        <v>25</v>
      </c>
      <c r="F48" s="265" t="s">
        <v>315</v>
      </c>
      <c r="G48" s="72" t="str">
        <f>IFERROR(IF(VLOOKUP(TableHandbook[[#This Row],[UDC]],TableAvailabilities[],2,FALSE)&gt;0,"Y",""),"")</f>
        <v/>
      </c>
      <c r="H48" s="72" t="str">
        <f>IFERROR(IF(VLOOKUP(TableHandbook[[#This Row],[UDC]],TableAvailabilities[],3,FALSE)&gt;0,"Y",""),"")</f>
        <v/>
      </c>
      <c r="I48" s="72" t="str">
        <f>IFERROR(IF(VLOOKUP(TableHandbook[[#This Row],[UDC]],TableAvailabilities[],4,FALSE)&gt;0,"Y",""),"")</f>
        <v/>
      </c>
      <c r="J48" s="72" t="str">
        <f>IFERROR(IF(VLOOKUP(TableHandbook[[#This Row],[UDC]],TableAvailabilities[],5,FALSE)&gt;0,"Y",""),"")</f>
        <v/>
      </c>
      <c r="K48" s="155" t="s">
        <v>656</v>
      </c>
      <c r="L48" s="152" t="str" cm="1">
        <f t="array" aca="1" ref="L48" ca="1">IFERROR(_xlfn.XLOOKUP(TableHandbook[[#This Row],[UDC]],INDIRECT("Table"&amp;SUBSTITUTE(L$2,"-","")&amp;"[UDC]",TRUE),INDIRECT("Table"&amp;SUBSTITUTE(L$2,"-","")&amp;"[Component Type]",TRUE)),"")</f>
        <v/>
      </c>
      <c r="M48" s="152" t="str" cm="1">
        <f t="array" aca="1" ref="M48" ca="1">IFERROR(_xlfn.XLOOKUP(TableHandbook[[#This Row],[UDC]],INDIRECT("Table"&amp;SUBSTITUTE(M$2,"-","")&amp;"[UDC]",TRUE),INDIRECT("Table"&amp;SUBSTITUTE(M$2,"-","")&amp;"[Component Type]",TRUE)),"")</f>
        <v/>
      </c>
      <c r="N48" s="154" t="str" cm="1">
        <f t="array" aca="1" ref="N48" ca="1">IFERROR(_xlfn.XLOOKUP(TableHandbook[[#This Row],[UDC]],INDIRECT("Table"&amp;SUBSTITUTE(N$2,"-","")&amp;"[UDC]",TRUE),INDIRECT("Table"&amp;SUBSTITUTE(N$2,"-","")&amp;"[Component Type]",TRUE)),"")</f>
        <v/>
      </c>
      <c r="O48" s="152" t="str" cm="1">
        <f t="array" aca="1" ref="O48" ca="1">IFERROR(_xlfn.XLOOKUP(TableHandbook[[#This Row],[UDC]],INDIRECT("Table"&amp;SUBSTITUTE(O$2,"-","")&amp;"[UDC]",TRUE),INDIRECT("Table"&amp;SUBSTITUTE(O$2,"-","")&amp;"[Component Type]",TRUE)),"")</f>
        <v/>
      </c>
      <c r="P48" s="152" t="str" cm="1">
        <f t="array" aca="1" ref="P48" ca="1">IFERROR(_xlfn.XLOOKUP(TableHandbook[[#This Row],[UDC]],INDIRECT("Table"&amp;SUBSTITUTE(P$2,"-","")&amp;"[UDC]",TRUE),INDIRECT("Table"&amp;SUBSTITUTE(P$2,"-","")&amp;"[Component Type]",TRUE)),"")</f>
        <v/>
      </c>
      <c r="Q48" s="152" t="str" cm="1">
        <f t="array" aca="1" ref="Q48" ca="1">IFERROR(_xlfn.XLOOKUP(TableHandbook[[#This Row],[UDC]],INDIRECT("Table"&amp;SUBSTITUTE(Q$2,"-","")&amp;"[UDC]",TRUE),INDIRECT("Table"&amp;SUBSTITUTE(Q$2,"-","")&amp;"[Component Type]",TRUE)),"")</f>
        <v/>
      </c>
      <c r="R48" s="152" t="str" cm="1">
        <f t="array" aca="1" ref="R48" ca="1">IFERROR(_xlfn.XLOOKUP(TableHandbook[[#This Row],[UDC]],INDIRECT("Table"&amp;SUBSTITUTE(R$2,"-","")&amp;"[UDC]",TRUE),INDIRECT("Table"&amp;SUBSTITUTE(R$2,"-","")&amp;"[Component Type]",TRUE)),"")</f>
        <v/>
      </c>
      <c r="S48" s="152" t="str" cm="1">
        <f t="array" aca="1" ref="S48" ca="1">IFERROR(_xlfn.XLOOKUP(TableHandbook[[#This Row],[UDC]],INDIRECT("Table"&amp;SUBSTITUTE(S$2,"-","")&amp;"[UDC]",TRUE),INDIRECT("Table"&amp;SUBSTITUTE(S$2,"-","")&amp;"[Component Type]",TRUE)),"")</f>
        <v/>
      </c>
      <c r="T48" s="152" t="str" cm="1">
        <f t="array" aca="1" ref="T48" ca="1">IFERROR(_xlfn.XLOOKUP(TableHandbook[[#This Row],[UDC]],INDIRECT("Table"&amp;SUBSTITUTE(T$2,"-","")&amp;"[UDC]",TRUE),INDIRECT("Table"&amp;SUBSTITUTE(T$2,"-","")&amp;"[Component Type]",TRUE)),"")</f>
        <v/>
      </c>
      <c r="U48" s="152" t="str" cm="1">
        <f t="array" aca="1" ref="U48" ca="1">IFERROR(_xlfn.XLOOKUP(TableHandbook[[#This Row],[UDC]],INDIRECT("Table"&amp;SUBSTITUTE(U$2,"-","")&amp;"[UDC]",TRUE),INDIRECT("Table"&amp;SUBSTITUTE(U$2,"-","")&amp;"[Component Type]",TRUE)),"")</f>
        <v/>
      </c>
      <c r="V48" s="154" t="str" cm="1">
        <f t="array" aca="1" ref="V48" ca="1">IFERROR(_xlfn.XLOOKUP(TableHandbook[[#This Row],[UDC]],INDIRECT("Table"&amp;SUBSTITUTE(V$2,"-","")&amp;"[UDC]",TRUE),INDIRECT("Table"&amp;SUBSTITUTE(V$2,"-","")&amp;"[Component Type]",TRUE)),"")</f>
        <v/>
      </c>
      <c r="W48" s="152" t="str" cm="1">
        <f t="array" aca="1" ref="W48" ca="1">IFERROR(_xlfn.XLOOKUP(TableHandbook[[#This Row],[UDC]],INDIRECT("Table"&amp;SUBSTITUTE(W$2,"-","")&amp;"[UDC]",TRUE),INDIRECT("Table"&amp;SUBSTITUTE(W$2,"-","")&amp;"[Component Type]",TRUE)),"")</f>
        <v/>
      </c>
      <c r="X48" s="152" t="str" cm="1">
        <f t="array" aca="1" ref="X48" ca="1">IFERROR(_xlfn.XLOOKUP(TableHandbook[[#This Row],[UDC]],INDIRECT("Table"&amp;SUBSTITUTE(X$2,"-","")&amp;"[UDC]",TRUE),INDIRECT("Table"&amp;SUBSTITUTE(X$2,"-","")&amp;"[Component Type]",TRUE)),"")</f>
        <v/>
      </c>
      <c r="Y48" s="152" t="str" cm="1">
        <f t="array" aca="1" ref="Y48" ca="1">IFERROR(_xlfn.XLOOKUP(TableHandbook[[#This Row],[UDC]],INDIRECT("Table"&amp;SUBSTITUTE(Y$2,"-","")&amp;"[UDC]",TRUE),INDIRECT("Table"&amp;SUBSTITUTE(Y$2,"-","")&amp;"[Component Type]",TRUE)),"")</f>
        <v/>
      </c>
      <c r="Z48" s="152" t="str" cm="1">
        <f t="array" aca="1" ref="Z48" ca="1">IFERROR(_xlfn.XLOOKUP(TableHandbook[[#This Row],[UDC]],INDIRECT("Table"&amp;SUBSTITUTE(Z$2,"-","")&amp;"[UDC]",TRUE),INDIRECT("Table"&amp;SUBSTITUTE(Z$2,"-","")&amp;"[Component Type]",TRUE)),"")</f>
        <v/>
      </c>
    </row>
    <row r="49" spans="1:26" x14ac:dyDescent="0.25">
      <c r="A49" s="8" t="s">
        <v>115</v>
      </c>
      <c r="B49" s="9">
        <v>3</v>
      </c>
      <c r="C49" s="9" t="s">
        <v>316</v>
      </c>
      <c r="D49" s="8" t="s">
        <v>317</v>
      </c>
      <c r="E49" s="9">
        <v>25</v>
      </c>
      <c r="F49" s="266" t="s">
        <v>715</v>
      </c>
      <c r="G49" s="72" t="str">
        <f>IFERROR(IF(VLOOKUP(TableHandbook[[#This Row],[UDC]],TableAvailabilities[],2,FALSE)&gt;0,"Y",""),"")</f>
        <v/>
      </c>
      <c r="H49" s="72" t="str">
        <f>IFERROR(IF(VLOOKUP(TableHandbook[[#This Row],[UDC]],TableAvailabilities[],3,FALSE)&gt;0,"Y",""),"")</f>
        <v>Y</v>
      </c>
      <c r="I49" s="72" t="str">
        <f>IFERROR(IF(VLOOKUP(TableHandbook[[#This Row],[UDC]],TableAvailabilities[],4,FALSE)&gt;0,"Y",""),"")</f>
        <v/>
      </c>
      <c r="J49" s="72" t="str">
        <f>IFERROR(IF(VLOOKUP(TableHandbook[[#This Row],[UDC]],TableAvailabilities[],5,FALSE)&gt;0,"Y",""),"")</f>
        <v>Y</v>
      </c>
      <c r="K49" s="155"/>
      <c r="L49" s="152" t="str" cm="1">
        <f t="array" aca="1" ref="L49" ca="1">IFERROR(_xlfn.XLOOKUP(TableHandbook[[#This Row],[UDC]],INDIRECT("Table"&amp;SUBSTITUTE(L$2,"-","")&amp;"[UDC]",TRUE),INDIRECT("Table"&amp;SUBSTITUTE(L$2,"-","")&amp;"[Component Type]",TRUE)),"")</f>
        <v/>
      </c>
      <c r="M49" s="152" t="str" cm="1">
        <f t="array" aca="1" ref="M49" ca="1">IFERROR(_xlfn.XLOOKUP(TableHandbook[[#This Row],[UDC]],INDIRECT("Table"&amp;SUBSTITUTE(M$2,"-","")&amp;"[UDC]",TRUE),INDIRECT("Table"&amp;SUBSTITUTE(M$2,"-","")&amp;"[Component Type]",TRUE)),"")</f>
        <v/>
      </c>
      <c r="N49" s="154" t="str" cm="1">
        <f t="array" aca="1" ref="N49" ca="1">IFERROR(_xlfn.XLOOKUP(TableHandbook[[#This Row],[UDC]],INDIRECT("Table"&amp;SUBSTITUTE(N$2,"-","")&amp;"[UDC]",TRUE),INDIRECT("Table"&amp;SUBSTITUTE(N$2,"-","")&amp;"[Component Type]",TRUE)),"")</f>
        <v>Core</v>
      </c>
      <c r="O49" s="152" t="str" cm="1">
        <f t="array" aca="1" ref="O49" ca="1">IFERROR(_xlfn.XLOOKUP(TableHandbook[[#This Row],[UDC]],INDIRECT("Table"&amp;SUBSTITUTE(O$2,"-","")&amp;"[UDC]",TRUE),INDIRECT("Table"&amp;SUBSTITUTE(O$2,"-","")&amp;"[Component Type]",TRUE)),"")</f>
        <v>Core</v>
      </c>
      <c r="P49" s="152" t="str" cm="1">
        <f t="array" aca="1" ref="P49" ca="1">IFERROR(_xlfn.XLOOKUP(TableHandbook[[#This Row],[UDC]],INDIRECT("Table"&amp;SUBSTITUTE(P$2,"-","")&amp;"[UDC]",TRUE),INDIRECT("Table"&amp;SUBSTITUTE(P$2,"-","")&amp;"[Component Type]",TRUE)),"")</f>
        <v/>
      </c>
      <c r="Q49" s="152" t="str" cm="1">
        <f t="array" aca="1" ref="Q49" ca="1">IFERROR(_xlfn.XLOOKUP(TableHandbook[[#This Row],[UDC]],INDIRECT("Table"&amp;SUBSTITUTE(Q$2,"-","")&amp;"[UDC]",TRUE),INDIRECT("Table"&amp;SUBSTITUTE(Q$2,"-","")&amp;"[Component Type]",TRUE)),"")</f>
        <v/>
      </c>
      <c r="R49" s="152" t="str" cm="1">
        <f t="array" aca="1" ref="R49" ca="1">IFERROR(_xlfn.XLOOKUP(TableHandbook[[#This Row],[UDC]],INDIRECT("Table"&amp;SUBSTITUTE(R$2,"-","")&amp;"[UDC]",TRUE),INDIRECT("Table"&amp;SUBSTITUTE(R$2,"-","")&amp;"[Component Type]",TRUE)),"")</f>
        <v/>
      </c>
      <c r="S49" s="152" t="str" cm="1">
        <f t="array" aca="1" ref="S49" ca="1">IFERROR(_xlfn.XLOOKUP(TableHandbook[[#This Row],[UDC]],INDIRECT("Table"&amp;SUBSTITUTE(S$2,"-","")&amp;"[UDC]",TRUE),INDIRECT("Table"&amp;SUBSTITUTE(S$2,"-","")&amp;"[Component Type]",TRUE)),"")</f>
        <v/>
      </c>
      <c r="T49" s="152" t="str" cm="1">
        <f t="array" aca="1" ref="T49" ca="1">IFERROR(_xlfn.XLOOKUP(TableHandbook[[#This Row],[UDC]],INDIRECT("Table"&amp;SUBSTITUTE(T$2,"-","")&amp;"[UDC]",TRUE),INDIRECT("Table"&amp;SUBSTITUTE(T$2,"-","")&amp;"[Component Type]",TRUE)),"")</f>
        <v/>
      </c>
      <c r="U49" s="152" t="str" cm="1">
        <f t="array" aca="1" ref="U49" ca="1">IFERROR(_xlfn.XLOOKUP(TableHandbook[[#This Row],[UDC]],INDIRECT("Table"&amp;SUBSTITUTE(U$2,"-","")&amp;"[UDC]",TRUE),INDIRECT("Table"&amp;SUBSTITUTE(U$2,"-","")&amp;"[Component Type]",TRUE)),"")</f>
        <v/>
      </c>
      <c r="V49" s="154" t="str" cm="1">
        <f t="array" aca="1" ref="V49" ca="1">IFERROR(_xlfn.XLOOKUP(TableHandbook[[#This Row],[UDC]],INDIRECT("Table"&amp;SUBSTITUTE(V$2,"-","")&amp;"[UDC]",TRUE),INDIRECT("Table"&amp;SUBSTITUTE(V$2,"-","")&amp;"[Component Type]",TRUE)),"")</f>
        <v/>
      </c>
      <c r="W49" s="152" t="str" cm="1">
        <f t="array" aca="1" ref="W49" ca="1">IFERROR(_xlfn.XLOOKUP(TableHandbook[[#This Row],[UDC]],INDIRECT("Table"&amp;SUBSTITUTE(W$2,"-","")&amp;"[UDC]",TRUE),INDIRECT("Table"&amp;SUBSTITUTE(W$2,"-","")&amp;"[Component Type]",TRUE)),"")</f>
        <v/>
      </c>
      <c r="X49" s="152" t="str" cm="1">
        <f t="array" aca="1" ref="X49" ca="1">IFERROR(_xlfn.XLOOKUP(TableHandbook[[#This Row],[UDC]],INDIRECT("Table"&amp;SUBSTITUTE(X$2,"-","")&amp;"[UDC]",TRUE),INDIRECT("Table"&amp;SUBSTITUTE(X$2,"-","")&amp;"[Component Type]",TRUE)),"")</f>
        <v/>
      </c>
      <c r="Y49" s="152" t="str" cm="1">
        <f t="array" aca="1" ref="Y49" ca="1">IFERROR(_xlfn.XLOOKUP(TableHandbook[[#This Row],[UDC]],INDIRECT("Table"&amp;SUBSTITUTE(Y$2,"-","")&amp;"[UDC]",TRUE),INDIRECT("Table"&amp;SUBSTITUTE(Y$2,"-","")&amp;"[Component Type]",TRUE)),"")</f>
        <v/>
      </c>
      <c r="Z49" s="152" t="str" cm="1">
        <f t="array" aca="1" ref="Z49" ca="1">IFERROR(_xlfn.XLOOKUP(TableHandbook[[#This Row],[UDC]],INDIRECT("Table"&amp;SUBSTITUTE(Z$2,"-","")&amp;"[UDC]",TRUE),INDIRECT("Table"&amp;SUBSTITUTE(Z$2,"-","")&amp;"[Component Type]",TRUE)),"")</f>
        <v>Core</v>
      </c>
    </row>
    <row r="50" spans="1:26" x14ac:dyDescent="0.25">
      <c r="A50" s="8" t="s">
        <v>677</v>
      </c>
      <c r="B50" s="9">
        <v>3</v>
      </c>
      <c r="C50" s="9" t="s">
        <v>318</v>
      </c>
      <c r="D50" s="8" t="s">
        <v>319</v>
      </c>
      <c r="E50" s="9">
        <v>25</v>
      </c>
      <c r="F50" s="265" t="s">
        <v>295</v>
      </c>
      <c r="G50" s="72" t="str">
        <f>IFERROR(IF(VLOOKUP(TableHandbook[[#This Row],[UDC]],TableAvailabilities[],2,FALSE)&gt;0,"Y",""),"")</f>
        <v/>
      </c>
      <c r="H50" s="72" t="str">
        <f>IFERROR(IF(VLOOKUP(TableHandbook[[#This Row],[UDC]],TableAvailabilities[],3,FALSE)&gt;0,"Y",""),"")</f>
        <v/>
      </c>
      <c r="I50" s="72" t="str">
        <f>IFERROR(IF(VLOOKUP(TableHandbook[[#This Row],[UDC]],TableAvailabilities[],4,FALSE)&gt;0,"Y",""),"")</f>
        <v/>
      </c>
      <c r="J50" s="72" t="str">
        <f>IFERROR(IF(VLOOKUP(TableHandbook[[#This Row],[UDC]],TableAvailabilities[],5,FALSE)&gt;0,"Y",""),"")</f>
        <v/>
      </c>
      <c r="K50" s="155" t="s">
        <v>674</v>
      </c>
      <c r="L50" s="152" t="str" cm="1">
        <f t="array" aca="1" ref="L50" ca="1">IFERROR(_xlfn.XLOOKUP(TableHandbook[[#This Row],[UDC]],INDIRECT("Table"&amp;SUBSTITUTE(L$2,"-","")&amp;"[UDC]",TRUE),INDIRECT("Table"&amp;SUBSTITUTE(L$2,"-","")&amp;"[Component Type]",TRUE)),"")</f>
        <v/>
      </c>
      <c r="M50" s="152" t="str" cm="1">
        <f t="array" aca="1" ref="M50" ca="1">IFERROR(_xlfn.XLOOKUP(TableHandbook[[#This Row],[UDC]],INDIRECT("Table"&amp;SUBSTITUTE(M$2,"-","")&amp;"[UDC]",TRUE),INDIRECT("Table"&amp;SUBSTITUTE(M$2,"-","")&amp;"[Component Type]",TRUE)),"")</f>
        <v/>
      </c>
      <c r="N50" s="154" t="str" cm="1">
        <f t="array" aca="1" ref="N50" ca="1">IFERROR(_xlfn.XLOOKUP(TableHandbook[[#This Row],[UDC]],INDIRECT("Table"&amp;SUBSTITUTE(N$2,"-","")&amp;"[UDC]",TRUE),INDIRECT("Table"&amp;SUBSTITUTE(N$2,"-","")&amp;"[Component Type]",TRUE)),"")</f>
        <v/>
      </c>
      <c r="O50" s="152" t="str" cm="1">
        <f t="array" aca="1" ref="O50" ca="1">IFERROR(_xlfn.XLOOKUP(TableHandbook[[#This Row],[UDC]],INDIRECT("Table"&amp;SUBSTITUTE(O$2,"-","")&amp;"[UDC]",TRUE),INDIRECT("Table"&amp;SUBSTITUTE(O$2,"-","")&amp;"[Component Type]",TRUE)),"")</f>
        <v/>
      </c>
      <c r="P50" s="152" t="str" cm="1">
        <f t="array" aca="1" ref="P50" ca="1">IFERROR(_xlfn.XLOOKUP(TableHandbook[[#This Row],[UDC]],INDIRECT("Table"&amp;SUBSTITUTE(P$2,"-","")&amp;"[UDC]",TRUE),INDIRECT("Table"&amp;SUBSTITUTE(P$2,"-","")&amp;"[Component Type]",TRUE)),"")</f>
        <v/>
      </c>
      <c r="Q50" s="152" t="str" cm="1">
        <f t="array" aca="1" ref="Q50" ca="1">IFERROR(_xlfn.XLOOKUP(TableHandbook[[#This Row],[UDC]],INDIRECT("Table"&amp;SUBSTITUTE(Q$2,"-","")&amp;"[UDC]",TRUE),INDIRECT("Table"&amp;SUBSTITUTE(Q$2,"-","")&amp;"[Component Type]",TRUE)),"")</f>
        <v/>
      </c>
      <c r="R50" s="152" t="str" cm="1">
        <f t="array" aca="1" ref="R50" ca="1">IFERROR(_xlfn.XLOOKUP(TableHandbook[[#This Row],[UDC]],INDIRECT("Table"&amp;SUBSTITUTE(R$2,"-","")&amp;"[UDC]",TRUE),INDIRECT("Table"&amp;SUBSTITUTE(R$2,"-","")&amp;"[Component Type]",TRUE)),"")</f>
        <v/>
      </c>
      <c r="S50" s="152" t="str" cm="1">
        <f t="array" aca="1" ref="S50" ca="1">IFERROR(_xlfn.XLOOKUP(TableHandbook[[#This Row],[UDC]],INDIRECT("Table"&amp;SUBSTITUTE(S$2,"-","")&amp;"[UDC]",TRUE),INDIRECT("Table"&amp;SUBSTITUTE(S$2,"-","")&amp;"[Component Type]",TRUE)),"")</f>
        <v/>
      </c>
      <c r="T50" s="152" t="str" cm="1">
        <f t="array" aca="1" ref="T50" ca="1">IFERROR(_xlfn.XLOOKUP(TableHandbook[[#This Row],[UDC]],INDIRECT("Table"&amp;SUBSTITUTE(T$2,"-","")&amp;"[UDC]",TRUE),INDIRECT("Table"&amp;SUBSTITUTE(T$2,"-","")&amp;"[Component Type]",TRUE)),"")</f>
        <v/>
      </c>
      <c r="U50" s="152" t="str" cm="1">
        <f t="array" aca="1" ref="U50" ca="1">IFERROR(_xlfn.XLOOKUP(TableHandbook[[#This Row],[UDC]],INDIRECT("Table"&amp;SUBSTITUTE(U$2,"-","")&amp;"[UDC]",TRUE),INDIRECT("Table"&amp;SUBSTITUTE(U$2,"-","")&amp;"[Component Type]",TRUE)),"")</f>
        <v/>
      </c>
      <c r="V50" s="154" t="str" cm="1">
        <f t="array" aca="1" ref="V50" ca="1">IFERROR(_xlfn.XLOOKUP(TableHandbook[[#This Row],[UDC]],INDIRECT("Table"&amp;SUBSTITUTE(V$2,"-","")&amp;"[UDC]",TRUE),INDIRECT("Table"&amp;SUBSTITUTE(V$2,"-","")&amp;"[Component Type]",TRUE)),"")</f>
        <v/>
      </c>
      <c r="W50" s="152" t="str" cm="1">
        <f t="array" aca="1" ref="W50" ca="1">IFERROR(_xlfn.XLOOKUP(TableHandbook[[#This Row],[UDC]],INDIRECT("Table"&amp;SUBSTITUTE(W$2,"-","")&amp;"[UDC]",TRUE),INDIRECT("Table"&amp;SUBSTITUTE(W$2,"-","")&amp;"[Component Type]",TRUE)),"")</f>
        <v/>
      </c>
      <c r="X50" s="152" t="str" cm="1">
        <f t="array" aca="1" ref="X50" ca="1">IFERROR(_xlfn.XLOOKUP(TableHandbook[[#This Row],[UDC]],INDIRECT("Table"&amp;SUBSTITUTE(X$2,"-","")&amp;"[UDC]",TRUE),INDIRECT("Table"&amp;SUBSTITUTE(X$2,"-","")&amp;"[Component Type]",TRUE)),"")</f>
        <v/>
      </c>
      <c r="Y50" s="152" t="str" cm="1">
        <f t="array" aca="1" ref="Y50" ca="1">IFERROR(_xlfn.XLOOKUP(TableHandbook[[#This Row],[UDC]],INDIRECT("Table"&amp;SUBSTITUTE(Y$2,"-","")&amp;"[UDC]",TRUE),INDIRECT("Table"&amp;SUBSTITUTE(Y$2,"-","")&amp;"[Component Type]",TRUE)),"")</f>
        <v/>
      </c>
      <c r="Z50" s="152" t="str" cm="1">
        <f t="array" aca="1" ref="Z50" ca="1">IFERROR(_xlfn.XLOOKUP(TableHandbook[[#This Row],[UDC]],INDIRECT("Table"&amp;SUBSTITUTE(Z$2,"-","")&amp;"[UDC]",TRUE),INDIRECT("Table"&amp;SUBSTITUTE(Z$2,"-","")&amp;"[Component Type]",TRUE)),"")</f>
        <v/>
      </c>
    </row>
    <row r="51" spans="1:26" x14ac:dyDescent="0.25">
      <c r="A51" s="8" t="s">
        <v>678</v>
      </c>
      <c r="B51" s="9">
        <v>1</v>
      </c>
      <c r="C51" s="9" t="s">
        <v>320</v>
      </c>
      <c r="D51" s="8" t="s">
        <v>321</v>
      </c>
      <c r="E51" s="9">
        <v>25</v>
      </c>
      <c r="F51" s="265" t="s">
        <v>307</v>
      </c>
      <c r="G51" s="72" t="str">
        <f>IFERROR(IF(VLOOKUP(TableHandbook[[#This Row],[UDC]],TableAvailabilities[],2,FALSE)&gt;0,"Y",""),"")</f>
        <v/>
      </c>
      <c r="H51" s="72" t="str">
        <f>IFERROR(IF(VLOOKUP(TableHandbook[[#This Row],[UDC]],TableAvailabilities[],3,FALSE)&gt;0,"Y",""),"")</f>
        <v/>
      </c>
      <c r="I51" s="72" t="str">
        <f>IFERROR(IF(VLOOKUP(TableHandbook[[#This Row],[UDC]],TableAvailabilities[],4,FALSE)&gt;0,"Y",""),"")</f>
        <v/>
      </c>
      <c r="J51" s="72" t="str">
        <f>IFERROR(IF(VLOOKUP(TableHandbook[[#This Row],[UDC]],TableAvailabilities[],5,FALSE)&gt;0,"Y",""),"")</f>
        <v/>
      </c>
      <c r="K51" s="155" t="s">
        <v>654</v>
      </c>
      <c r="L51" s="152" t="str" cm="1">
        <f t="array" aca="1" ref="L51" ca="1">IFERROR(_xlfn.XLOOKUP(TableHandbook[[#This Row],[UDC]],INDIRECT("Table"&amp;SUBSTITUTE(L$2,"-","")&amp;"[UDC]",TRUE),INDIRECT("Table"&amp;SUBSTITUTE(L$2,"-","")&amp;"[Component Type]",TRUE)),"")</f>
        <v/>
      </c>
      <c r="M51" s="152" t="str" cm="1">
        <f t="array" aca="1" ref="M51" ca="1">IFERROR(_xlfn.XLOOKUP(TableHandbook[[#This Row],[UDC]],INDIRECT("Table"&amp;SUBSTITUTE(M$2,"-","")&amp;"[UDC]",TRUE),INDIRECT("Table"&amp;SUBSTITUTE(M$2,"-","")&amp;"[Component Type]",TRUE)),"")</f>
        <v/>
      </c>
      <c r="N51" s="154" t="str" cm="1">
        <f t="array" aca="1" ref="N51" ca="1">IFERROR(_xlfn.XLOOKUP(TableHandbook[[#This Row],[UDC]],INDIRECT("Table"&amp;SUBSTITUTE(N$2,"-","")&amp;"[UDC]",TRUE),INDIRECT("Table"&amp;SUBSTITUTE(N$2,"-","")&amp;"[Component Type]",TRUE)),"")</f>
        <v/>
      </c>
      <c r="O51" s="152" t="str" cm="1">
        <f t="array" aca="1" ref="O51" ca="1">IFERROR(_xlfn.XLOOKUP(TableHandbook[[#This Row],[UDC]],INDIRECT("Table"&amp;SUBSTITUTE(O$2,"-","")&amp;"[UDC]",TRUE),INDIRECT("Table"&amp;SUBSTITUTE(O$2,"-","")&amp;"[Component Type]",TRUE)),"")</f>
        <v/>
      </c>
      <c r="P51" s="152" t="str" cm="1">
        <f t="array" aca="1" ref="P51" ca="1">IFERROR(_xlfn.XLOOKUP(TableHandbook[[#This Row],[UDC]],INDIRECT("Table"&amp;SUBSTITUTE(P$2,"-","")&amp;"[UDC]",TRUE),INDIRECT("Table"&amp;SUBSTITUTE(P$2,"-","")&amp;"[Component Type]",TRUE)),"")</f>
        <v/>
      </c>
      <c r="Q51" s="152" t="str" cm="1">
        <f t="array" aca="1" ref="Q51" ca="1">IFERROR(_xlfn.XLOOKUP(TableHandbook[[#This Row],[UDC]],INDIRECT("Table"&amp;SUBSTITUTE(Q$2,"-","")&amp;"[UDC]",TRUE),INDIRECT("Table"&amp;SUBSTITUTE(Q$2,"-","")&amp;"[Component Type]",TRUE)),"")</f>
        <v/>
      </c>
      <c r="R51" s="152" t="str" cm="1">
        <f t="array" aca="1" ref="R51" ca="1">IFERROR(_xlfn.XLOOKUP(TableHandbook[[#This Row],[UDC]],INDIRECT("Table"&amp;SUBSTITUTE(R$2,"-","")&amp;"[UDC]",TRUE),INDIRECT("Table"&amp;SUBSTITUTE(R$2,"-","")&amp;"[Component Type]",TRUE)),"")</f>
        <v/>
      </c>
      <c r="S51" s="152" t="str" cm="1">
        <f t="array" aca="1" ref="S51" ca="1">IFERROR(_xlfn.XLOOKUP(TableHandbook[[#This Row],[UDC]],INDIRECT("Table"&amp;SUBSTITUTE(S$2,"-","")&amp;"[UDC]",TRUE),INDIRECT("Table"&amp;SUBSTITUTE(S$2,"-","")&amp;"[Component Type]",TRUE)),"")</f>
        <v/>
      </c>
      <c r="T51" s="152" t="str" cm="1">
        <f t="array" aca="1" ref="T51" ca="1">IFERROR(_xlfn.XLOOKUP(TableHandbook[[#This Row],[UDC]],INDIRECT("Table"&amp;SUBSTITUTE(T$2,"-","")&amp;"[UDC]",TRUE),INDIRECT("Table"&amp;SUBSTITUTE(T$2,"-","")&amp;"[Component Type]",TRUE)),"")</f>
        <v/>
      </c>
      <c r="U51" s="152" t="str" cm="1">
        <f t="array" aca="1" ref="U51" ca="1">IFERROR(_xlfn.XLOOKUP(TableHandbook[[#This Row],[UDC]],INDIRECT("Table"&amp;SUBSTITUTE(U$2,"-","")&amp;"[UDC]",TRUE),INDIRECT("Table"&amp;SUBSTITUTE(U$2,"-","")&amp;"[Component Type]",TRUE)),"")</f>
        <v/>
      </c>
      <c r="V51" s="154" t="str" cm="1">
        <f t="array" aca="1" ref="V51" ca="1">IFERROR(_xlfn.XLOOKUP(TableHandbook[[#This Row],[UDC]],INDIRECT("Table"&amp;SUBSTITUTE(V$2,"-","")&amp;"[UDC]",TRUE),INDIRECT("Table"&amp;SUBSTITUTE(V$2,"-","")&amp;"[Component Type]",TRUE)),"")</f>
        <v/>
      </c>
      <c r="W51" s="152" t="str" cm="1">
        <f t="array" aca="1" ref="W51" ca="1">IFERROR(_xlfn.XLOOKUP(TableHandbook[[#This Row],[UDC]],INDIRECT("Table"&amp;SUBSTITUTE(W$2,"-","")&amp;"[UDC]",TRUE),INDIRECT("Table"&amp;SUBSTITUTE(W$2,"-","")&amp;"[Component Type]",TRUE)),"")</f>
        <v/>
      </c>
      <c r="X51" s="152" t="str" cm="1">
        <f t="array" aca="1" ref="X51" ca="1">IFERROR(_xlfn.XLOOKUP(TableHandbook[[#This Row],[UDC]],INDIRECT("Table"&amp;SUBSTITUTE(X$2,"-","")&amp;"[UDC]",TRUE),INDIRECT("Table"&amp;SUBSTITUTE(X$2,"-","")&amp;"[Component Type]",TRUE)),"")</f>
        <v/>
      </c>
      <c r="Y51" s="152" t="str" cm="1">
        <f t="array" aca="1" ref="Y51" ca="1">IFERROR(_xlfn.XLOOKUP(TableHandbook[[#This Row],[UDC]],INDIRECT("Table"&amp;SUBSTITUTE(Y$2,"-","")&amp;"[UDC]",TRUE),INDIRECT("Table"&amp;SUBSTITUTE(Y$2,"-","")&amp;"[Component Type]",TRUE)),"")</f>
        <v/>
      </c>
      <c r="Z51" s="152" t="str" cm="1">
        <f t="array" aca="1" ref="Z51" ca="1">IFERROR(_xlfn.XLOOKUP(TableHandbook[[#This Row],[UDC]],INDIRECT("Table"&amp;SUBSTITUTE(Z$2,"-","")&amp;"[UDC]",TRUE),INDIRECT("Table"&amp;SUBSTITUTE(Z$2,"-","")&amp;"[Component Type]",TRUE)),"")</f>
        <v/>
      </c>
    </row>
    <row r="52" spans="1:26" x14ac:dyDescent="0.25">
      <c r="A52" s="8" t="s">
        <v>122</v>
      </c>
      <c r="B52" s="9">
        <v>1</v>
      </c>
      <c r="C52" s="9" t="s">
        <v>322</v>
      </c>
      <c r="D52" s="8" t="s">
        <v>323</v>
      </c>
      <c r="E52" s="9">
        <v>25</v>
      </c>
      <c r="F52" s="266" t="s">
        <v>716</v>
      </c>
      <c r="G52" s="72" t="str">
        <f>IFERROR(IF(VLOOKUP(TableHandbook[[#This Row],[UDC]],TableAvailabilities[],2,FALSE)&gt;0,"Y",""),"")</f>
        <v/>
      </c>
      <c r="H52" s="72" t="str">
        <f>IFERROR(IF(VLOOKUP(TableHandbook[[#This Row],[UDC]],TableAvailabilities[],3,FALSE)&gt;0,"Y",""),"")</f>
        <v>Y</v>
      </c>
      <c r="I52" s="72" t="str">
        <f>IFERROR(IF(VLOOKUP(TableHandbook[[#This Row],[UDC]],TableAvailabilities[],4,FALSE)&gt;0,"Y",""),"")</f>
        <v/>
      </c>
      <c r="J52" s="72" t="str">
        <f>IFERROR(IF(VLOOKUP(TableHandbook[[#This Row],[UDC]],TableAvailabilities[],5,FALSE)&gt;0,"Y",""),"")</f>
        <v>Y</v>
      </c>
      <c r="K52" s="155"/>
      <c r="L52" s="152" t="str" cm="1">
        <f t="array" aca="1" ref="L52" ca="1">IFERROR(_xlfn.XLOOKUP(TableHandbook[[#This Row],[UDC]],INDIRECT("Table"&amp;SUBSTITUTE(L$2,"-","")&amp;"[UDC]",TRUE),INDIRECT("Table"&amp;SUBSTITUTE(L$2,"-","")&amp;"[Component Type]",TRUE)),"")</f>
        <v/>
      </c>
      <c r="M52" s="152" t="str" cm="1">
        <f t="array" aca="1" ref="M52" ca="1">IFERROR(_xlfn.XLOOKUP(TableHandbook[[#This Row],[UDC]],INDIRECT("Table"&amp;SUBSTITUTE(M$2,"-","")&amp;"[UDC]",TRUE),INDIRECT("Table"&amp;SUBSTITUTE(M$2,"-","")&amp;"[Component Type]",TRUE)),"")</f>
        <v/>
      </c>
      <c r="N52" s="154" t="str" cm="1">
        <f t="array" aca="1" ref="N52" ca="1">IFERROR(_xlfn.XLOOKUP(TableHandbook[[#This Row],[UDC]],INDIRECT("Table"&amp;SUBSTITUTE(N$2,"-","")&amp;"[UDC]",TRUE),INDIRECT("Table"&amp;SUBSTITUTE(N$2,"-","")&amp;"[Component Type]",TRUE)),"")</f>
        <v>Core</v>
      </c>
      <c r="O52" s="152" t="str" cm="1">
        <f t="array" aca="1" ref="O52" ca="1">IFERROR(_xlfn.XLOOKUP(TableHandbook[[#This Row],[UDC]],INDIRECT("Table"&amp;SUBSTITUTE(O$2,"-","")&amp;"[UDC]",TRUE),INDIRECT("Table"&amp;SUBSTITUTE(O$2,"-","")&amp;"[Component Type]",TRUE)),"")</f>
        <v>Core</v>
      </c>
      <c r="P52" s="152" t="str" cm="1">
        <f t="array" aca="1" ref="P52" ca="1">IFERROR(_xlfn.XLOOKUP(TableHandbook[[#This Row],[UDC]],INDIRECT("Table"&amp;SUBSTITUTE(P$2,"-","")&amp;"[UDC]",TRUE),INDIRECT("Table"&amp;SUBSTITUTE(P$2,"-","")&amp;"[Component Type]",TRUE)),"")</f>
        <v/>
      </c>
      <c r="Q52" s="152" t="str" cm="1">
        <f t="array" aca="1" ref="Q52" ca="1">IFERROR(_xlfn.XLOOKUP(TableHandbook[[#This Row],[UDC]],INDIRECT("Table"&amp;SUBSTITUTE(Q$2,"-","")&amp;"[UDC]",TRUE),INDIRECT("Table"&amp;SUBSTITUTE(Q$2,"-","")&amp;"[Component Type]",TRUE)),"")</f>
        <v/>
      </c>
      <c r="R52" s="152" t="str" cm="1">
        <f t="array" aca="1" ref="R52" ca="1">IFERROR(_xlfn.XLOOKUP(TableHandbook[[#This Row],[UDC]],INDIRECT("Table"&amp;SUBSTITUTE(R$2,"-","")&amp;"[UDC]",TRUE),INDIRECT("Table"&amp;SUBSTITUTE(R$2,"-","")&amp;"[Component Type]",TRUE)),"")</f>
        <v/>
      </c>
      <c r="S52" s="152" t="str" cm="1">
        <f t="array" aca="1" ref="S52" ca="1">IFERROR(_xlfn.XLOOKUP(TableHandbook[[#This Row],[UDC]],INDIRECT("Table"&amp;SUBSTITUTE(S$2,"-","")&amp;"[UDC]",TRUE),INDIRECT("Table"&amp;SUBSTITUTE(S$2,"-","")&amp;"[Component Type]",TRUE)),"")</f>
        <v/>
      </c>
      <c r="T52" s="152" t="str" cm="1">
        <f t="array" aca="1" ref="T52" ca="1">IFERROR(_xlfn.XLOOKUP(TableHandbook[[#This Row],[UDC]],INDIRECT("Table"&amp;SUBSTITUTE(T$2,"-","")&amp;"[UDC]",TRUE),INDIRECT("Table"&amp;SUBSTITUTE(T$2,"-","")&amp;"[Component Type]",TRUE)),"")</f>
        <v/>
      </c>
      <c r="U52" s="152" t="str" cm="1">
        <f t="array" aca="1" ref="U52" ca="1">IFERROR(_xlfn.XLOOKUP(TableHandbook[[#This Row],[UDC]],INDIRECT("Table"&amp;SUBSTITUTE(U$2,"-","")&amp;"[UDC]",TRUE),INDIRECT("Table"&amp;SUBSTITUTE(U$2,"-","")&amp;"[Component Type]",TRUE)),"")</f>
        <v/>
      </c>
      <c r="V52" s="154" t="str" cm="1">
        <f t="array" aca="1" ref="V52" ca="1">IFERROR(_xlfn.XLOOKUP(TableHandbook[[#This Row],[UDC]],INDIRECT("Table"&amp;SUBSTITUTE(V$2,"-","")&amp;"[UDC]",TRUE),INDIRECT("Table"&amp;SUBSTITUTE(V$2,"-","")&amp;"[Component Type]",TRUE)),"")</f>
        <v/>
      </c>
      <c r="W52" s="152" t="str" cm="1">
        <f t="array" aca="1" ref="W52" ca="1">IFERROR(_xlfn.XLOOKUP(TableHandbook[[#This Row],[UDC]],INDIRECT("Table"&amp;SUBSTITUTE(W$2,"-","")&amp;"[UDC]",TRUE),INDIRECT("Table"&amp;SUBSTITUTE(W$2,"-","")&amp;"[Component Type]",TRUE)),"")</f>
        <v/>
      </c>
      <c r="X52" s="152" t="str" cm="1">
        <f t="array" aca="1" ref="X52" ca="1">IFERROR(_xlfn.XLOOKUP(TableHandbook[[#This Row],[UDC]],INDIRECT("Table"&amp;SUBSTITUTE(X$2,"-","")&amp;"[UDC]",TRUE),INDIRECT("Table"&amp;SUBSTITUTE(X$2,"-","")&amp;"[Component Type]",TRUE)),"")</f>
        <v>Core</v>
      </c>
      <c r="Y52" s="152" t="str" cm="1">
        <f t="array" aca="1" ref="Y52" ca="1">IFERROR(_xlfn.XLOOKUP(TableHandbook[[#This Row],[UDC]],INDIRECT("Table"&amp;SUBSTITUTE(Y$2,"-","")&amp;"[UDC]",TRUE),INDIRECT("Table"&amp;SUBSTITUTE(Y$2,"-","")&amp;"[Component Type]",TRUE)),"")</f>
        <v/>
      </c>
      <c r="Z52" s="152" t="str" cm="1">
        <f t="array" aca="1" ref="Z52" ca="1">IFERROR(_xlfn.XLOOKUP(TableHandbook[[#This Row],[UDC]],INDIRECT("Table"&amp;SUBSTITUTE(Z$2,"-","")&amp;"[UDC]",TRUE),INDIRECT("Table"&amp;SUBSTITUTE(Z$2,"-","")&amp;"[Component Type]",TRUE)),"")</f>
        <v/>
      </c>
    </row>
    <row r="53" spans="1:26" x14ac:dyDescent="0.25">
      <c r="A53" s="246" t="s">
        <v>614</v>
      </c>
      <c r="B53" s="9">
        <v>1</v>
      </c>
      <c r="C53" s="9" t="s">
        <v>614</v>
      </c>
      <c r="D53" s="8" t="s">
        <v>651</v>
      </c>
      <c r="E53" s="9">
        <v>25</v>
      </c>
      <c r="F53" s="266" t="s">
        <v>717</v>
      </c>
      <c r="G53" s="72" t="str">
        <f>IFERROR(IF(VLOOKUP(TableHandbook[[#This Row],[UDC]],TableAvailabilities[],2,FALSE)&gt;0,"Y",""),"")</f>
        <v>Y</v>
      </c>
      <c r="H53" s="72" t="str">
        <f>IFERROR(IF(VLOOKUP(TableHandbook[[#This Row],[UDC]],TableAvailabilities[],3,FALSE)&gt;0,"Y",""),"")</f>
        <v/>
      </c>
      <c r="I53" s="72" t="str">
        <f>IFERROR(IF(VLOOKUP(TableHandbook[[#This Row],[UDC]],TableAvailabilities[],4,FALSE)&gt;0,"Y",""),"")</f>
        <v>Y</v>
      </c>
      <c r="J53" s="72" t="str">
        <f>IFERROR(IF(VLOOKUP(TableHandbook[[#This Row],[UDC]],TableAvailabilities[],5,FALSE)&gt;0,"Y",""),"")</f>
        <v/>
      </c>
      <c r="K53" s="155"/>
      <c r="L53" s="152" t="str" cm="1">
        <f t="array" aca="1" ref="L53" ca="1">IFERROR(_xlfn.XLOOKUP(TableHandbook[[#This Row],[UDC]],INDIRECT("Table"&amp;SUBSTITUTE(L$2,"-","")&amp;"[UDC]",TRUE),INDIRECT("Table"&amp;SUBSTITUTE(L$2,"-","")&amp;"[Component Type]",TRUE)),"")</f>
        <v/>
      </c>
      <c r="M53" s="152" t="str" cm="1">
        <f t="array" aca="1" ref="M53" ca="1">IFERROR(_xlfn.XLOOKUP(TableHandbook[[#This Row],[UDC]],INDIRECT("Table"&amp;SUBSTITUTE(M$2,"-","")&amp;"[UDC]",TRUE),INDIRECT("Table"&amp;SUBSTITUTE(M$2,"-","")&amp;"[Component Type]",TRUE)),"")</f>
        <v/>
      </c>
      <c r="N53" s="154" t="str" cm="1">
        <f t="array" aca="1" ref="N53" ca="1">IFERROR(_xlfn.XLOOKUP(TableHandbook[[#This Row],[UDC]],INDIRECT("Table"&amp;SUBSTITUTE(N$2,"-","")&amp;"[UDC]",TRUE),INDIRECT("Table"&amp;SUBSTITUTE(N$2,"-","")&amp;"[Component Type]",TRUE)),"")</f>
        <v>Core</v>
      </c>
      <c r="O53" s="152" t="str" cm="1">
        <f t="array" aca="1" ref="O53" ca="1">IFERROR(_xlfn.XLOOKUP(TableHandbook[[#This Row],[UDC]],INDIRECT("Table"&amp;SUBSTITUTE(O$2,"-","")&amp;"[UDC]",TRUE),INDIRECT("Table"&amp;SUBSTITUTE(O$2,"-","")&amp;"[Component Type]",TRUE)),"")</f>
        <v>Core</v>
      </c>
      <c r="P53" s="152" t="str" cm="1">
        <f t="array" aca="1" ref="P53" ca="1">IFERROR(_xlfn.XLOOKUP(TableHandbook[[#This Row],[UDC]],INDIRECT("Table"&amp;SUBSTITUTE(P$2,"-","")&amp;"[UDC]",TRUE),INDIRECT("Table"&amp;SUBSTITUTE(P$2,"-","")&amp;"[Component Type]",TRUE)),"")</f>
        <v/>
      </c>
      <c r="Q53" s="152" t="str" cm="1">
        <f t="array" aca="1" ref="Q53" ca="1">IFERROR(_xlfn.XLOOKUP(TableHandbook[[#This Row],[UDC]],INDIRECT("Table"&amp;SUBSTITUTE(Q$2,"-","")&amp;"[UDC]",TRUE),INDIRECT("Table"&amp;SUBSTITUTE(Q$2,"-","")&amp;"[Component Type]",TRUE)),"")</f>
        <v/>
      </c>
      <c r="R53" s="152" t="str" cm="1">
        <f t="array" aca="1" ref="R53" ca="1">IFERROR(_xlfn.XLOOKUP(TableHandbook[[#This Row],[UDC]],INDIRECT("Table"&amp;SUBSTITUTE(R$2,"-","")&amp;"[UDC]",TRUE),INDIRECT("Table"&amp;SUBSTITUTE(R$2,"-","")&amp;"[Component Type]",TRUE)),"")</f>
        <v/>
      </c>
      <c r="S53" s="152" t="str" cm="1">
        <f t="array" aca="1" ref="S53" ca="1">IFERROR(_xlfn.XLOOKUP(TableHandbook[[#This Row],[UDC]],INDIRECT("Table"&amp;SUBSTITUTE(S$2,"-","")&amp;"[UDC]",TRUE),INDIRECT("Table"&amp;SUBSTITUTE(S$2,"-","")&amp;"[Component Type]",TRUE)),"")</f>
        <v/>
      </c>
      <c r="T53" s="152" t="str" cm="1">
        <f t="array" aca="1" ref="T53" ca="1">IFERROR(_xlfn.XLOOKUP(TableHandbook[[#This Row],[UDC]],INDIRECT("Table"&amp;SUBSTITUTE(T$2,"-","")&amp;"[UDC]",TRUE),INDIRECT("Table"&amp;SUBSTITUTE(T$2,"-","")&amp;"[Component Type]",TRUE)),"")</f>
        <v/>
      </c>
      <c r="U53" s="152" t="str" cm="1">
        <f t="array" aca="1" ref="U53" ca="1">IFERROR(_xlfn.XLOOKUP(TableHandbook[[#This Row],[UDC]],INDIRECT("Table"&amp;SUBSTITUTE(U$2,"-","")&amp;"[UDC]",TRUE),INDIRECT("Table"&amp;SUBSTITUTE(U$2,"-","")&amp;"[Component Type]",TRUE)),"")</f>
        <v/>
      </c>
      <c r="V53" s="154" t="str" cm="1">
        <f t="array" aca="1" ref="V53" ca="1">IFERROR(_xlfn.XLOOKUP(TableHandbook[[#This Row],[UDC]],INDIRECT("Table"&amp;SUBSTITUTE(V$2,"-","")&amp;"[UDC]",TRUE),INDIRECT("Table"&amp;SUBSTITUTE(V$2,"-","")&amp;"[Component Type]",TRUE)),"")</f>
        <v/>
      </c>
      <c r="W53" s="152" t="str" cm="1">
        <f t="array" aca="1" ref="W53" ca="1">IFERROR(_xlfn.XLOOKUP(TableHandbook[[#This Row],[UDC]],INDIRECT("Table"&amp;SUBSTITUTE(W$2,"-","")&amp;"[UDC]",TRUE),INDIRECT("Table"&amp;SUBSTITUTE(W$2,"-","")&amp;"[Component Type]",TRUE)),"")</f>
        <v/>
      </c>
      <c r="X53" s="152" t="str" cm="1">
        <f t="array" aca="1" ref="X53" ca="1">IFERROR(_xlfn.XLOOKUP(TableHandbook[[#This Row],[UDC]],INDIRECT("Table"&amp;SUBSTITUTE(X$2,"-","")&amp;"[UDC]",TRUE),INDIRECT("Table"&amp;SUBSTITUTE(X$2,"-","")&amp;"[Component Type]",TRUE)),"")</f>
        <v/>
      </c>
      <c r="Y53" s="152" t="str" cm="1">
        <f t="array" aca="1" ref="Y53" ca="1">IFERROR(_xlfn.XLOOKUP(TableHandbook[[#This Row],[UDC]],INDIRECT("Table"&amp;SUBSTITUTE(Y$2,"-","")&amp;"[UDC]",TRUE),INDIRECT("Table"&amp;SUBSTITUTE(Y$2,"-","")&amp;"[Component Type]",TRUE)),"")</f>
        <v/>
      </c>
      <c r="Z53" s="152" t="str" cm="1">
        <f t="array" aca="1" ref="Z53" ca="1">IFERROR(_xlfn.XLOOKUP(TableHandbook[[#This Row],[UDC]],INDIRECT("Table"&amp;SUBSTITUTE(Z$2,"-","")&amp;"[UDC]",TRUE),INDIRECT("Table"&amp;SUBSTITUTE(Z$2,"-","")&amp;"[Component Type]",TRUE)),"")</f>
        <v/>
      </c>
    </row>
    <row r="54" spans="1:26" x14ac:dyDescent="0.25">
      <c r="A54" s="246" t="s">
        <v>616</v>
      </c>
      <c r="B54" s="9">
        <v>1</v>
      </c>
      <c r="C54" s="9" t="s">
        <v>616</v>
      </c>
      <c r="D54" s="8" t="s">
        <v>652</v>
      </c>
      <c r="E54" s="9">
        <v>25</v>
      </c>
      <c r="F54" s="266" t="s">
        <v>718</v>
      </c>
      <c r="G54" s="72" t="str">
        <f>IFERROR(IF(VLOOKUP(TableHandbook[[#This Row],[UDC]],TableAvailabilities[],2,FALSE)&gt;0,"Y",""),"")</f>
        <v>Y</v>
      </c>
      <c r="H54" s="72" t="str">
        <f>IFERROR(IF(VLOOKUP(TableHandbook[[#This Row],[UDC]],TableAvailabilities[],3,FALSE)&gt;0,"Y",""),"")</f>
        <v/>
      </c>
      <c r="I54" s="72" t="str">
        <f>IFERROR(IF(VLOOKUP(TableHandbook[[#This Row],[UDC]],TableAvailabilities[],4,FALSE)&gt;0,"Y",""),"")</f>
        <v>Y</v>
      </c>
      <c r="J54" s="72" t="str">
        <f>IFERROR(IF(VLOOKUP(TableHandbook[[#This Row],[UDC]],TableAvailabilities[],5,FALSE)&gt;0,"Y",""),"")</f>
        <v/>
      </c>
      <c r="K54" s="155"/>
      <c r="L54" s="152" t="str" cm="1">
        <f t="array" aca="1" ref="L54" ca="1">IFERROR(_xlfn.XLOOKUP(TableHandbook[[#This Row],[UDC]],INDIRECT("Table"&amp;SUBSTITUTE(L$2,"-","")&amp;"[UDC]",TRUE),INDIRECT("Table"&amp;SUBSTITUTE(L$2,"-","")&amp;"[Component Type]",TRUE)),"")</f>
        <v/>
      </c>
      <c r="M54" s="152" t="str" cm="1">
        <f t="array" aca="1" ref="M54" ca="1">IFERROR(_xlfn.XLOOKUP(TableHandbook[[#This Row],[UDC]],INDIRECT("Table"&amp;SUBSTITUTE(M$2,"-","")&amp;"[UDC]",TRUE),INDIRECT("Table"&amp;SUBSTITUTE(M$2,"-","")&amp;"[Component Type]",TRUE)),"")</f>
        <v/>
      </c>
      <c r="N54" s="154" t="str" cm="1">
        <f t="array" aca="1" ref="N54" ca="1">IFERROR(_xlfn.XLOOKUP(TableHandbook[[#This Row],[UDC]],INDIRECT("Table"&amp;SUBSTITUTE(N$2,"-","")&amp;"[UDC]",TRUE),INDIRECT("Table"&amp;SUBSTITUTE(N$2,"-","")&amp;"[Component Type]",TRUE)),"")</f>
        <v>Core</v>
      </c>
      <c r="O54" s="152" t="str" cm="1">
        <f t="array" aca="1" ref="O54" ca="1">IFERROR(_xlfn.XLOOKUP(TableHandbook[[#This Row],[UDC]],INDIRECT("Table"&amp;SUBSTITUTE(O$2,"-","")&amp;"[UDC]",TRUE),INDIRECT("Table"&amp;SUBSTITUTE(O$2,"-","")&amp;"[Component Type]",TRUE)),"")</f>
        <v>Core</v>
      </c>
      <c r="P54" s="152" t="str" cm="1">
        <f t="array" aca="1" ref="P54" ca="1">IFERROR(_xlfn.XLOOKUP(TableHandbook[[#This Row],[UDC]],INDIRECT("Table"&amp;SUBSTITUTE(P$2,"-","")&amp;"[UDC]",TRUE),INDIRECT("Table"&amp;SUBSTITUTE(P$2,"-","")&amp;"[Component Type]",TRUE)),"")</f>
        <v/>
      </c>
      <c r="Q54" s="152" t="str" cm="1">
        <f t="array" aca="1" ref="Q54" ca="1">IFERROR(_xlfn.XLOOKUP(TableHandbook[[#This Row],[UDC]],INDIRECT("Table"&amp;SUBSTITUTE(Q$2,"-","")&amp;"[UDC]",TRUE),INDIRECT("Table"&amp;SUBSTITUTE(Q$2,"-","")&amp;"[Component Type]",TRUE)),"")</f>
        <v/>
      </c>
      <c r="R54" s="152" t="str" cm="1">
        <f t="array" aca="1" ref="R54" ca="1">IFERROR(_xlfn.XLOOKUP(TableHandbook[[#This Row],[UDC]],INDIRECT("Table"&amp;SUBSTITUTE(R$2,"-","")&amp;"[UDC]",TRUE),INDIRECT("Table"&amp;SUBSTITUTE(R$2,"-","")&amp;"[Component Type]",TRUE)),"")</f>
        <v/>
      </c>
      <c r="S54" s="152" t="str" cm="1">
        <f t="array" aca="1" ref="S54" ca="1">IFERROR(_xlfn.XLOOKUP(TableHandbook[[#This Row],[UDC]],INDIRECT("Table"&amp;SUBSTITUTE(S$2,"-","")&amp;"[UDC]",TRUE),INDIRECT("Table"&amp;SUBSTITUTE(S$2,"-","")&amp;"[Component Type]",TRUE)),"")</f>
        <v/>
      </c>
      <c r="T54" s="152" t="str" cm="1">
        <f t="array" aca="1" ref="T54" ca="1">IFERROR(_xlfn.XLOOKUP(TableHandbook[[#This Row],[UDC]],INDIRECT("Table"&amp;SUBSTITUTE(T$2,"-","")&amp;"[UDC]",TRUE),INDIRECT("Table"&amp;SUBSTITUTE(T$2,"-","")&amp;"[Component Type]",TRUE)),"")</f>
        <v/>
      </c>
      <c r="U54" s="152" t="str" cm="1">
        <f t="array" aca="1" ref="U54" ca="1">IFERROR(_xlfn.XLOOKUP(TableHandbook[[#This Row],[UDC]],INDIRECT("Table"&amp;SUBSTITUTE(U$2,"-","")&amp;"[UDC]",TRUE),INDIRECT("Table"&amp;SUBSTITUTE(U$2,"-","")&amp;"[Component Type]",TRUE)),"")</f>
        <v/>
      </c>
      <c r="V54" s="154" t="str" cm="1">
        <f t="array" aca="1" ref="V54" ca="1">IFERROR(_xlfn.XLOOKUP(TableHandbook[[#This Row],[UDC]],INDIRECT("Table"&amp;SUBSTITUTE(V$2,"-","")&amp;"[UDC]",TRUE),INDIRECT("Table"&amp;SUBSTITUTE(V$2,"-","")&amp;"[Component Type]",TRUE)),"")</f>
        <v/>
      </c>
      <c r="W54" s="152" t="str" cm="1">
        <f t="array" aca="1" ref="W54" ca="1">IFERROR(_xlfn.XLOOKUP(TableHandbook[[#This Row],[UDC]],INDIRECT("Table"&amp;SUBSTITUTE(W$2,"-","")&amp;"[UDC]",TRUE),INDIRECT("Table"&amp;SUBSTITUTE(W$2,"-","")&amp;"[Component Type]",TRUE)),"")</f>
        <v/>
      </c>
      <c r="X54" s="152" t="str" cm="1">
        <f t="array" aca="1" ref="X54" ca="1">IFERROR(_xlfn.XLOOKUP(TableHandbook[[#This Row],[UDC]],INDIRECT("Table"&amp;SUBSTITUTE(X$2,"-","")&amp;"[UDC]",TRUE),INDIRECT("Table"&amp;SUBSTITUTE(X$2,"-","")&amp;"[Component Type]",TRUE)),"")</f>
        <v/>
      </c>
      <c r="Y54" s="152" t="str" cm="1">
        <f t="array" aca="1" ref="Y54" ca="1">IFERROR(_xlfn.XLOOKUP(TableHandbook[[#This Row],[UDC]],INDIRECT("Table"&amp;SUBSTITUTE(Y$2,"-","")&amp;"[UDC]",TRUE),INDIRECT("Table"&amp;SUBSTITUTE(Y$2,"-","")&amp;"[Component Type]",TRUE)),"")</f>
        <v/>
      </c>
      <c r="Z54" s="152" t="str" cm="1">
        <f t="array" aca="1" ref="Z54" ca="1">IFERROR(_xlfn.XLOOKUP(TableHandbook[[#This Row],[UDC]],INDIRECT("Table"&amp;SUBSTITUTE(Z$2,"-","")&amp;"[UDC]",TRUE),INDIRECT("Table"&amp;SUBSTITUTE(Z$2,"-","")&amp;"[Component Type]",TRUE)),"")</f>
        <v/>
      </c>
    </row>
    <row r="55" spans="1:26" x14ac:dyDescent="0.25">
      <c r="A55" s="8" t="s">
        <v>131</v>
      </c>
      <c r="B55" s="9">
        <v>3</v>
      </c>
      <c r="C55" s="9" t="s">
        <v>324</v>
      </c>
      <c r="D55" s="8" t="s">
        <v>325</v>
      </c>
      <c r="E55" s="9">
        <v>25</v>
      </c>
      <c r="F55" s="266" t="s">
        <v>311</v>
      </c>
      <c r="G55" s="72" t="str">
        <f>IFERROR(IF(VLOOKUP(TableHandbook[[#This Row],[UDC]],TableAvailabilities[],2,FALSE)&gt;0,"Y",""),"")</f>
        <v>Y</v>
      </c>
      <c r="H55" s="72" t="str">
        <f>IFERROR(IF(VLOOKUP(TableHandbook[[#This Row],[UDC]],TableAvailabilities[],3,FALSE)&gt;0,"Y",""),"")</f>
        <v>Y</v>
      </c>
      <c r="I55" s="72" t="str">
        <f>IFERROR(IF(VLOOKUP(TableHandbook[[#This Row],[UDC]],TableAvailabilities[],4,FALSE)&gt;0,"Y",""),"")</f>
        <v/>
      </c>
      <c r="J55" s="72" t="str">
        <f>IFERROR(IF(VLOOKUP(TableHandbook[[#This Row],[UDC]],TableAvailabilities[],5,FALSE)&gt;0,"Y",""),"")</f>
        <v>Y</v>
      </c>
      <c r="K55" s="155"/>
      <c r="L55" s="152" t="str" cm="1">
        <f t="array" aca="1" ref="L55" ca="1">IFERROR(_xlfn.XLOOKUP(TableHandbook[[#This Row],[UDC]],INDIRECT("Table"&amp;SUBSTITUTE(L$2,"-","")&amp;"[UDC]",TRUE),INDIRECT("Table"&amp;SUBSTITUTE(L$2,"-","")&amp;"[Component Type]",TRUE)),"")</f>
        <v/>
      </c>
      <c r="M55" s="152" t="str" cm="1">
        <f t="array" aca="1" ref="M55" ca="1">IFERROR(_xlfn.XLOOKUP(TableHandbook[[#This Row],[UDC]],INDIRECT("Table"&amp;SUBSTITUTE(M$2,"-","")&amp;"[UDC]",TRUE),INDIRECT("Table"&amp;SUBSTITUTE(M$2,"-","")&amp;"[Component Type]",TRUE)),"")</f>
        <v/>
      </c>
      <c r="N55" s="154" t="str" cm="1">
        <f t="array" aca="1" ref="N55" ca="1">IFERROR(_xlfn.XLOOKUP(TableHandbook[[#This Row],[UDC]],INDIRECT("Table"&amp;SUBSTITUTE(N$2,"-","")&amp;"[UDC]",TRUE),INDIRECT("Table"&amp;SUBSTITUTE(N$2,"-","")&amp;"[Component Type]",TRUE)),"")</f>
        <v>Core</v>
      </c>
      <c r="O55" s="152" t="str" cm="1">
        <f t="array" aca="1" ref="O55" ca="1">IFERROR(_xlfn.XLOOKUP(TableHandbook[[#This Row],[UDC]],INDIRECT("Table"&amp;SUBSTITUTE(O$2,"-","")&amp;"[UDC]",TRUE),INDIRECT("Table"&amp;SUBSTITUTE(O$2,"-","")&amp;"[Component Type]",TRUE)),"")</f>
        <v>Core</v>
      </c>
      <c r="P55" s="152" t="str" cm="1">
        <f t="array" aca="1" ref="P55" ca="1">IFERROR(_xlfn.XLOOKUP(TableHandbook[[#This Row],[UDC]],INDIRECT("Table"&amp;SUBSTITUTE(P$2,"-","")&amp;"[UDC]",TRUE),INDIRECT("Table"&amp;SUBSTITUTE(P$2,"-","")&amp;"[Component Type]",TRUE)),"")</f>
        <v/>
      </c>
      <c r="Q55" s="152" t="str" cm="1">
        <f t="array" aca="1" ref="Q55" ca="1">IFERROR(_xlfn.XLOOKUP(TableHandbook[[#This Row],[UDC]],INDIRECT("Table"&amp;SUBSTITUTE(Q$2,"-","")&amp;"[UDC]",TRUE),INDIRECT("Table"&amp;SUBSTITUTE(Q$2,"-","")&amp;"[Component Type]",TRUE)),"")</f>
        <v/>
      </c>
      <c r="R55" s="152" t="str" cm="1">
        <f t="array" aca="1" ref="R55" ca="1">IFERROR(_xlfn.XLOOKUP(TableHandbook[[#This Row],[UDC]],INDIRECT("Table"&amp;SUBSTITUTE(R$2,"-","")&amp;"[UDC]",TRUE),INDIRECT("Table"&amp;SUBSTITUTE(R$2,"-","")&amp;"[Component Type]",TRUE)),"")</f>
        <v/>
      </c>
      <c r="S55" s="152" t="str" cm="1">
        <f t="array" aca="1" ref="S55" ca="1">IFERROR(_xlfn.XLOOKUP(TableHandbook[[#This Row],[UDC]],INDIRECT("Table"&amp;SUBSTITUTE(S$2,"-","")&amp;"[UDC]",TRUE),INDIRECT("Table"&amp;SUBSTITUTE(S$2,"-","")&amp;"[Component Type]",TRUE)),"")</f>
        <v/>
      </c>
      <c r="T55" s="152" t="str" cm="1">
        <f t="array" aca="1" ref="T55" ca="1">IFERROR(_xlfn.XLOOKUP(TableHandbook[[#This Row],[UDC]],INDIRECT("Table"&amp;SUBSTITUTE(T$2,"-","")&amp;"[UDC]",TRUE),INDIRECT("Table"&amp;SUBSTITUTE(T$2,"-","")&amp;"[Component Type]",TRUE)),"")</f>
        <v/>
      </c>
      <c r="U55" s="152" t="str" cm="1">
        <f t="array" aca="1" ref="U55" ca="1">IFERROR(_xlfn.XLOOKUP(TableHandbook[[#This Row],[UDC]],INDIRECT("Table"&amp;SUBSTITUTE(U$2,"-","")&amp;"[UDC]",TRUE),INDIRECT("Table"&amp;SUBSTITUTE(U$2,"-","")&amp;"[Component Type]",TRUE)),"")</f>
        <v/>
      </c>
      <c r="V55" s="154" t="str" cm="1">
        <f t="array" aca="1" ref="V55" ca="1">IFERROR(_xlfn.XLOOKUP(TableHandbook[[#This Row],[UDC]],INDIRECT("Table"&amp;SUBSTITUTE(V$2,"-","")&amp;"[UDC]",TRUE),INDIRECT("Table"&amp;SUBSTITUTE(V$2,"-","")&amp;"[Component Type]",TRUE)),"")</f>
        <v/>
      </c>
      <c r="W55" s="152" t="str" cm="1">
        <f t="array" aca="1" ref="W55" ca="1">IFERROR(_xlfn.XLOOKUP(TableHandbook[[#This Row],[UDC]],INDIRECT("Table"&amp;SUBSTITUTE(W$2,"-","")&amp;"[UDC]",TRUE),INDIRECT("Table"&amp;SUBSTITUTE(W$2,"-","")&amp;"[Component Type]",TRUE)),"")</f>
        <v/>
      </c>
      <c r="X55" s="152" t="str" cm="1">
        <f t="array" aca="1" ref="X55" ca="1">IFERROR(_xlfn.XLOOKUP(TableHandbook[[#This Row],[UDC]],INDIRECT("Table"&amp;SUBSTITUTE(X$2,"-","")&amp;"[UDC]",TRUE),INDIRECT("Table"&amp;SUBSTITUTE(X$2,"-","")&amp;"[Component Type]",TRUE)),"")</f>
        <v/>
      </c>
      <c r="Y55" s="152" t="str" cm="1">
        <f t="array" aca="1" ref="Y55" ca="1">IFERROR(_xlfn.XLOOKUP(TableHandbook[[#This Row],[UDC]],INDIRECT("Table"&amp;SUBSTITUTE(Y$2,"-","")&amp;"[UDC]",TRUE),INDIRECT("Table"&amp;SUBSTITUTE(Y$2,"-","")&amp;"[Component Type]",TRUE)),"")</f>
        <v/>
      </c>
      <c r="Z55" s="152" t="str" cm="1">
        <f t="array" aca="1" ref="Z55" ca="1">IFERROR(_xlfn.XLOOKUP(TableHandbook[[#This Row],[UDC]],INDIRECT("Table"&amp;SUBSTITUTE(Z$2,"-","")&amp;"[UDC]",TRUE),INDIRECT("Table"&amp;SUBSTITUTE(Z$2,"-","")&amp;"[Component Type]",TRUE)),"")</f>
        <v/>
      </c>
    </row>
    <row r="56" spans="1:26" x14ac:dyDescent="0.25">
      <c r="A56" s="246" t="s">
        <v>129</v>
      </c>
      <c r="B56" s="9">
        <v>2</v>
      </c>
      <c r="C56" s="9" t="s">
        <v>326</v>
      </c>
      <c r="D56" s="8" t="s">
        <v>659</v>
      </c>
      <c r="E56" s="9">
        <v>25</v>
      </c>
      <c r="F56" s="266" t="s">
        <v>719</v>
      </c>
      <c r="G56" s="72" t="str">
        <f>IFERROR(IF(VLOOKUP(TableHandbook[[#This Row],[UDC]],TableAvailabilities[],2,FALSE)&gt;0,"Y",""),"")</f>
        <v>Y</v>
      </c>
      <c r="H56" s="72" t="str">
        <f>IFERROR(IF(VLOOKUP(TableHandbook[[#This Row],[UDC]],TableAvailabilities[],3,FALSE)&gt;0,"Y",""),"")</f>
        <v/>
      </c>
      <c r="I56" s="72" t="str">
        <f>IFERROR(IF(VLOOKUP(TableHandbook[[#This Row],[UDC]],TableAvailabilities[],4,FALSE)&gt;0,"Y",""),"")</f>
        <v>Y</v>
      </c>
      <c r="J56" s="72" t="str">
        <f>IFERROR(IF(VLOOKUP(TableHandbook[[#This Row],[UDC]],TableAvailabilities[],5,FALSE)&gt;0,"Y",""),"")</f>
        <v/>
      </c>
      <c r="K56" s="155" t="s">
        <v>657</v>
      </c>
      <c r="L56" s="152" t="str" cm="1">
        <f t="array" aca="1" ref="L56" ca="1">IFERROR(_xlfn.XLOOKUP(TableHandbook[[#This Row],[UDC]],INDIRECT("Table"&amp;SUBSTITUTE(L$2,"-","")&amp;"[UDC]",TRUE),INDIRECT("Table"&amp;SUBSTITUTE(L$2,"-","")&amp;"[Component Type]",TRUE)),"")</f>
        <v/>
      </c>
      <c r="M56" s="152" t="str" cm="1">
        <f t="array" aca="1" ref="M56" ca="1">IFERROR(_xlfn.XLOOKUP(TableHandbook[[#This Row],[UDC]],INDIRECT("Table"&amp;SUBSTITUTE(M$2,"-","")&amp;"[UDC]",TRUE),INDIRECT("Table"&amp;SUBSTITUTE(M$2,"-","")&amp;"[Component Type]",TRUE)),"")</f>
        <v/>
      </c>
      <c r="N56" s="154" t="str" cm="1">
        <f t="array" aca="1" ref="N56" ca="1">IFERROR(_xlfn.XLOOKUP(TableHandbook[[#This Row],[UDC]],INDIRECT("Table"&amp;SUBSTITUTE(N$2,"-","")&amp;"[UDC]",TRUE),INDIRECT("Table"&amp;SUBSTITUTE(N$2,"-","")&amp;"[Component Type]",TRUE)),"")</f>
        <v>Core</v>
      </c>
      <c r="O56" s="152" t="str" cm="1">
        <f t="array" aca="1" ref="O56" ca="1">IFERROR(_xlfn.XLOOKUP(TableHandbook[[#This Row],[UDC]],INDIRECT("Table"&amp;SUBSTITUTE(O$2,"-","")&amp;"[UDC]",TRUE),INDIRECT("Table"&amp;SUBSTITUTE(O$2,"-","")&amp;"[Component Type]",TRUE)),"")</f>
        <v>Core</v>
      </c>
      <c r="P56" s="152" t="str" cm="1">
        <f t="array" aca="1" ref="P56" ca="1">IFERROR(_xlfn.XLOOKUP(TableHandbook[[#This Row],[UDC]],INDIRECT("Table"&amp;SUBSTITUTE(P$2,"-","")&amp;"[UDC]",TRUE),INDIRECT("Table"&amp;SUBSTITUTE(P$2,"-","")&amp;"[Component Type]",TRUE)),"")</f>
        <v/>
      </c>
      <c r="Q56" s="152" t="str" cm="1">
        <f t="array" aca="1" ref="Q56" ca="1">IFERROR(_xlfn.XLOOKUP(TableHandbook[[#This Row],[UDC]],INDIRECT("Table"&amp;SUBSTITUTE(Q$2,"-","")&amp;"[UDC]",TRUE),INDIRECT("Table"&amp;SUBSTITUTE(Q$2,"-","")&amp;"[Component Type]",TRUE)),"")</f>
        <v/>
      </c>
      <c r="R56" s="152" t="str" cm="1">
        <f t="array" aca="1" ref="R56" ca="1">IFERROR(_xlfn.XLOOKUP(TableHandbook[[#This Row],[UDC]],INDIRECT("Table"&amp;SUBSTITUTE(R$2,"-","")&amp;"[UDC]",TRUE),INDIRECT("Table"&amp;SUBSTITUTE(R$2,"-","")&amp;"[Component Type]",TRUE)),"")</f>
        <v/>
      </c>
      <c r="S56" s="152" t="str" cm="1">
        <f t="array" aca="1" ref="S56" ca="1">IFERROR(_xlfn.XLOOKUP(TableHandbook[[#This Row],[UDC]],INDIRECT("Table"&amp;SUBSTITUTE(S$2,"-","")&amp;"[UDC]",TRUE),INDIRECT("Table"&amp;SUBSTITUTE(S$2,"-","")&amp;"[Component Type]",TRUE)),"")</f>
        <v/>
      </c>
      <c r="T56" s="152" t="str" cm="1">
        <f t="array" aca="1" ref="T56" ca="1">IFERROR(_xlfn.XLOOKUP(TableHandbook[[#This Row],[UDC]],INDIRECT("Table"&amp;SUBSTITUTE(T$2,"-","")&amp;"[UDC]",TRUE),INDIRECT("Table"&amp;SUBSTITUTE(T$2,"-","")&amp;"[Component Type]",TRUE)),"")</f>
        <v/>
      </c>
      <c r="U56" s="152" t="str" cm="1">
        <f t="array" aca="1" ref="U56" ca="1">IFERROR(_xlfn.XLOOKUP(TableHandbook[[#This Row],[UDC]],INDIRECT("Table"&amp;SUBSTITUTE(U$2,"-","")&amp;"[UDC]",TRUE),INDIRECT("Table"&amp;SUBSTITUTE(U$2,"-","")&amp;"[Component Type]",TRUE)),"")</f>
        <v/>
      </c>
      <c r="V56" s="154" t="str" cm="1">
        <f t="array" aca="1" ref="V56" ca="1">IFERROR(_xlfn.XLOOKUP(TableHandbook[[#This Row],[UDC]],INDIRECT("Table"&amp;SUBSTITUTE(V$2,"-","")&amp;"[UDC]",TRUE),INDIRECT("Table"&amp;SUBSTITUTE(V$2,"-","")&amp;"[Component Type]",TRUE)),"")</f>
        <v/>
      </c>
      <c r="W56" s="152" t="str" cm="1">
        <f t="array" aca="1" ref="W56" ca="1">IFERROR(_xlfn.XLOOKUP(TableHandbook[[#This Row],[UDC]],INDIRECT("Table"&amp;SUBSTITUTE(W$2,"-","")&amp;"[UDC]",TRUE),INDIRECT("Table"&amp;SUBSTITUTE(W$2,"-","")&amp;"[Component Type]",TRUE)),"")</f>
        <v/>
      </c>
      <c r="X56" s="152" t="str" cm="1">
        <f t="array" aca="1" ref="X56" ca="1">IFERROR(_xlfn.XLOOKUP(TableHandbook[[#This Row],[UDC]],INDIRECT("Table"&amp;SUBSTITUTE(X$2,"-","")&amp;"[UDC]",TRUE),INDIRECT("Table"&amp;SUBSTITUTE(X$2,"-","")&amp;"[Component Type]",TRUE)),"")</f>
        <v/>
      </c>
      <c r="Y56" s="152" t="str" cm="1">
        <f t="array" aca="1" ref="Y56" ca="1">IFERROR(_xlfn.XLOOKUP(TableHandbook[[#This Row],[UDC]],INDIRECT("Table"&amp;SUBSTITUTE(Y$2,"-","")&amp;"[UDC]",TRUE),INDIRECT("Table"&amp;SUBSTITUTE(Y$2,"-","")&amp;"[Component Type]",TRUE)),"")</f>
        <v/>
      </c>
      <c r="Z56" s="152" t="str" cm="1">
        <f t="array" aca="1" ref="Z56" ca="1">IFERROR(_xlfn.XLOOKUP(TableHandbook[[#This Row],[UDC]],INDIRECT("Table"&amp;SUBSTITUTE(Z$2,"-","")&amp;"[UDC]",TRUE),INDIRECT("Table"&amp;SUBSTITUTE(Z$2,"-","")&amp;"[Component Type]",TRUE)),"")</f>
        <v/>
      </c>
    </row>
    <row r="57" spans="1:26" x14ac:dyDescent="0.25">
      <c r="A57" s="8" t="s">
        <v>660</v>
      </c>
      <c r="B57" s="9">
        <v>1</v>
      </c>
      <c r="C57" s="9" t="s">
        <v>326</v>
      </c>
      <c r="D57" s="8" t="s">
        <v>327</v>
      </c>
      <c r="E57" s="9">
        <v>25</v>
      </c>
      <c r="F57" s="265" t="s">
        <v>318</v>
      </c>
      <c r="G57" s="72" t="str">
        <f>IFERROR(IF(VLOOKUP(TableHandbook[[#This Row],[UDC]],TableAvailabilities[],2,FALSE)&gt;0,"Y",""),"")</f>
        <v/>
      </c>
      <c r="H57" s="72" t="str">
        <f>IFERROR(IF(VLOOKUP(TableHandbook[[#This Row],[UDC]],TableAvailabilities[],3,FALSE)&gt;0,"Y",""),"")</f>
        <v/>
      </c>
      <c r="I57" s="72" t="str">
        <f>IFERROR(IF(VLOOKUP(TableHandbook[[#This Row],[UDC]],TableAvailabilities[],4,FALSE)&gt;0,"Y",""),"")</f>
        <v/>
      </c>
      <c r="J57" s="72" t="str">
        <f>IFERROR(IF(VLOOKUP(TableHandbook[[#This Row],[UDC]],TableAvailabilities[],5,FALSE)&gt;0,"Y",""),"")</f>
        <v/>
      </c>
      <c r="K57" s="155" t="s">
        <v>656</v>
      </c>
      <c r="L57" s="152" t="str" cm="1">
        <f t="array" aca="1" ref="L57" ca="1">IFERROR(_xlfn.XLOOKUP(TableHandbook[[#This Row],[UDC]],INDIRECT("Table"&amp;SUBSTITUTE(L$2,"-","")&amp;"[UDC]",TRUE),INDIRECT("Table"&amp;SUBSTITUTE(L$2,"-","")&amp;"[Component Type]",TRUE)),"")</f>
        <v/>
      </c>
      <c r="M57" s="152" t="str" cm="1">
        <f t="array" aca="1" ref="M57" ca="1">IFERROR(_xlfn.XLOOKUP(TableHandbook[[#This Row],[UDC]],INDIRECT("Table"&amp;SUBSTITUTE(M$2,"-","")&amp;"[UDC]",TRUE),INDIRECT("Table"&amp;SUBSTITUTE(M$2,"-","")&amp;"[Component Type]",TRUE)),"")</f>
        <v/>
      </c>
      <c r="N57" s="154" t="str" cm="1">
        <f t="array" aca="1" ref="N57" ca="1">IFERROR(_xlfn.XLOOKUP(TableHandbook[[#This Row],[UDC]],INDIRECT("Table"&amp;SUBSTITUTE(N$2,"-","")&amp;"[UDC]",TRUE),INDIRECT("Table"&amp;SUBSTITUTE(N$2,"-","")&amp;"[Component Type]",TRUE)),"")</f>
        <v/>
      </c>
      <c r="O57" s="152" t="str" cm="1">
        <f t="array" aca="1" ref="O57" ca="1">IFERROR(_xlfn.XLOOKUP(TableHandbook[[#This Row],[UDC]],INDIRECT("Table"&amp;SUBSTITUTE(O$2,"-","")&amp;"[UDC]",TRUE),INDIRECT("Table"&amp;SUBSTITUTE(O$2,"-","")&amp;"[Component Type]",TRUE)),"")</f>
        <v/>
      </c>
      <c r="P57" s="152" t="str" cm="1">
        <f t="array" aca="1" ref="P57" ca="1">IFERROR(_xlfn.XLOOKUP(TableHandbook[[#This Row],[UDC]],INDIRECT("Table"&amp;SUBSTITUTE(P$2,"-","")&amp;"[UDC]",TRUE),INDIRECT("Table"&amp;SUBSTITUTE(P$2,"-","")&amp;"[Component Type]",TRUE)),"")</f>
        <v/>
      </c>
      <c r="Q57" s="152" t="str" cm="1">
        <f t="array" aca="1" ref="Q57" ca="1">IFERROR(_xlfn.XLOOKUP(TableHandbook[[#This Row],[UDC]],INDIRECT("Table"&amp;SUBSTITUTE(Q$2,"-","")&amp;"[UDC]",TRUE),INDIRECT("Table"&amp;SUBSTITUTE(Q$2,"-","")&amp;"[Component Type]",TRUE)),"")</f>
        <v/>
      </c>
      <c r="R57" s="152" t="str" cm="1">
        <f t="array" aca="1" ref="R57" ca="1">IFERROR(_xlfn.XLOOKUP(TableHandbook[[#This Row],[UDC]],INDIRECT("Table"&amp;SUBSTITUTE(R$2,"-","")&amp;"[UDC]",TRUE),INDIRECT("Table"&amp;SUBSTITUTE(R$2,"-","")&amp;"[Component Type]",TRUE)),"")</f>
        <v/>
      </c>
      <c r="S57" s="152" t="str" cm="1">
        <f t="array" aca="1" ref="S57" ca="1">IFERROR(_xlfn.XLOOKUP(TableHandbook[[#This Row],[UDC]],INDIRECT("Table"&amp;SUBSTITUTE(S$2,"-","")&amp;"[UDC]",TRUE),INDIRECT("Table"&amp;SUBSTITUTE(S$2,"-","")&amp;"[Component Type]",TRUE)),"")</f>
        <v/>
      </c>
      <c r="T57" s="152" t="str" cm="1">
        <f t="array" aca="1" ref="T57" ca="1">IFERROR(_xlfn.XLOOKUP(TableHandbook[[#This Row],[UDC]],INDIRECT("Table"&amp;SUBSTITUTE(T$2,"-","")&amp;"[UDC]",TRUE),INDIRECT("Table"&amp;SUBSTITUTE(T$2,"-","")&amp;"[Component Type]",TRUE)),"")</f>
        <v/>
      </c>
      <c r="U57" s="152" t="str" cm="1">
        <f t="array" aca="1" ref="U57" ca="1">IFERROR(_xlfn.XLOOKUP(TableHandbook[[#This Row],[UDC]],INDIRECT("Table"&amp;SUBSTITUTE(U$2,"-","")&amp;"[UDC]",TRUE),INDIRECT("Table"&amp;SUBSTITUTE(U$2,"-","")&amp;"[Component Type]",TRUE)),"")</f>
        <v/>
      </c>
      <c r="V57" s="154" t="str" cm="1">
        <f t="array" aca="1" ref="V57" ca="1">IFERROR(_xlfn.XLOOKUP(TableHandbook[[#This Row],[UDC]],INDIRECT("Table"&amp;SUBSTITUTE(V$2,"-","")&amp;"[UDC]",TRUE),INDIRECT("Table"&amp;SUBSTITUTE(V$2,"-","")&amp;"[Component Type]",TRUE)),"")</f>
        <v/>
      </c>
      <c r="W57" s="152" t="str" cm="1">
        <f t="array" aca="1" ref="W57" ca="1">IFERROR(_xlfn.XLOOKUP(TableHandbook[[#This Row],[UDC]],INDIRECT("Table"&amp;SUBSTITUTE(W$2,"-","")&amp;"[UDC]",TRUE),INDIRECT("Table"&amp;SUBSTITUTE(W$2,"-","")&amp;"[Component Type]",TRUE)),"")</f>
        <v/>
      </c>
      <c r="X57" s="152" t="str" cm="1">
        <f t="array" aca="1" ref="X57" ca="1">IFERROR(_xlfn.XLOOKUP(TableHandbook[[#This Row],[UDC]],INDIRECT("Table"&amp;SUBSTITUTE(X$2,"-","")&amp;"[UDC]",TRUE),INDIRECT("Table"&amp;SUBSTITUTE(X$2,"-","")&amp;"[Component Type]",TRUE)),"")</f>
        <v/>
      </c>
      <c r="Y57" s="152" t="str" cm="1">
        <f t="array" aca="1" ref="Y57" ca="1">IFERROR(_xlfn.XLOOKUP(TableHandbook[[#This Row],[UDC]],INDIRECT("Table"&amp;SUBSTITUTE(Y$2,"-","")&amp;"[UDC]",TRUE),INDIRECT("Table"&amp;SUBSTITUTE(Y$2,"-","")&amp;"[Component Type]",TRUE)),"")</f>
        <v/>
      </c>
      <c r="Z57" s="152" t="str" cm="1">
        <f t="array" aca="1" ref="Z57" ca="1">IFERROR(_xlfn.XLOOKUP(TableHandbook[[#This Row],[UDC]],INDIRECT("Table"&amp;SUBSTITUTE(Z$2,"-","")&amp;"[UDC]",TRUE),INDIRECT("Table"&amp;SUBSTITUTE(Z$2,"-","")&amp;"[Component Type]",TRUE)),"")</f>
        <v/>
      </c>
    </row>
    <row r="58" spans="1:26" x14ac:dyDescent="0.25">
      <c r="A58" s="8" t="s">
        <v>191</v>
      </c>
      <c r="B58" s="9">
        <v>1</v>
      </c>
      <c r="C58" s="9" t="s">
        <v>328</v>
      </c>
      <c r="D58" s="8" t="s">
        <v>329</v>
      </c>
      <c r="E58" s="9">
        <v>25</v>
      </c>
      <c r="F58" s="266" t="s">
        <v>282</v>
      </c>
      <c r="G58" s="72" t="str">
        <f>IFERROR(IF(VLOOKUP(TableHandbook[[#This Row],[UDC]],TableAvailabilities[],2,FALSE)&gt;0,"Y",""),"")</f>
        <v>Y</v>
      </c>
      <c r="H58" s="72" t="str">
        <f>IFERROR(IF(VLOOKUP(TableHandbook[[#This Row],[UDC]],TableAvailabilities[],3,FALSE)&gt;0,"Y",""),"")</f>
        <v/>
      </c>
      <c r="I58" s="72" t="str">
        <f>IFERROR(IF(VLOOKUP(TableHandbook[[#This Row],[UDC]],TableAvailabilities[],4,FALSE)&gt;0,"Y",""),"")</f>
        <v>Y</v>
      </c>
      <c r="J58" s="72" t="str">
        <f>IFERROR(IF(VLOOKUP(TableHandbook[[#This Row],[UDC]],TableAvailabilities[],5,FALSE)&gt;0,"Y",""),"")</f>
        <v/>
      </c>
      <c r="K58" s="155"/>
      <c r="L58" s="152" t="str" cm="1">
        <f t="array" aca="1" ref="L58" ca="1">IFERROR(_xlfn.XLOOKUP(TableHandbook[[#This Row],[UDC]],INDIRECT("Table"&amp;SUBSTITUTE(L$2,"-","")&amp;"[UDC]",TRUE),INDIRECT("Table"&amp;SUBSTITUTE(L$2,"-","")&amp;"[Component Type]",TRUE)),"")</f>
        <v/>
      </c>
      <c r="M58" s="152" t="str" cm="1">
        <f t="array" aca="1" ref="M58" ca="1">IFERROR(_xlfn.XLOOKUP(TableHandbook[[#This Row],[UDC]],INDIRECT("Table"&amp;SUBSTITUTE(M$2,"-","")&amp;"[UDC]",TRUE),INDIRECT("Table"&amp;SUBSTITUTE(M$2,"-","")&amp;"[Component Type]",TRUE)),"")</f>
        <v/>
      </c>
      <c r="N58" s="154" t="str" cm="1">
        <f t="array" aca="1" ref="N58" ca="1">IFERROR(_xlfn.XLOOKUP(TableHandbook[[#This Row],[UDC]],INDIRECT("Table"&amp;SUBSTITUTE(N$2,"-","")&amp;"[UDC]",TRUE),INDIRECT("Table"&amp;SUBSTITUTE(N$2,"-","")&amp;"[Component Type]",TRUE)),"")</f>
        <v/>
      </c>
      <c r="O58" s="152" t="str" cm="1">
        <f t="array" aca="1" ref="O58" ca="1">IFERROR(_xlfn.XLOOKUP(TableHandbook[[#This Row],[UDC]],INDIRECT("Table"&amp;SUBSTITUTE(O$2,"-","")&amp;"[UDC]",TRUE),INDIRECT("Table"&amp;SUBSTITUTE(O$2,"-","")&amp;"[Component Type]",TRUE)),"")</f>
        <v/>
      </c>
      <c r="P58" s="152" t="str" cm="1">
        <f t="array" aca="1" ref="P58" ca="1">IFERROR(_xlfn.XLOOKUP(TableHandbook[[#This Row],[UDC]],INDIRECT("Table"&amp;SUBSTITUTE(P$2,"-","")&amp;"[UDC]",TRUE),INDIRECT("Table"&amp;SUBSTITUTE(P$2,"-","")&amp;"[Component Type]",TRUE)),"")</f>
        <v/>
      </c>
      <c r="Q58" s="152" t="str" cm="1">
        <f t="array" aca="1" ref="Q58" ca="1">IFERROR(_xlfn.XLOOKUP(TableHandbook[[#This Row],[UDC]],INDIRECT("Table"&amp;SUBSTITUTE(Q$2,"-","")&amp;"[UDC]",TRUE),INDIRECT("Table"&amp;SUBSTITUTE(Q$2,"-","")&amp;"[Component Type]",TRUE)),"")</f>
        <v/>
      </c>
      <c r="R58" s="152" t="str" cm="1">
        <f t="array" aca="1" ref="R58" ca="1">IFERROR(_xlfn.XLOOKUP(TableHandbook[[#This Row],[UDC]],INDIRECT("Table"&amp;SUBSTITUTE(R$2,"-","")&amp;"[UDC]",TRUE),INDIRECT("Table"&amp;SUBSTITUTE(R$2,"-","")&amp;"[Component Type]",TRUE)),"")</f>
        <v/>
      </c>
      <c r="S58" s="152" t="str" cm="1">
        <f t="array" aca="1" ref="S58" ca="1">IFERROR(_xlfn.XLOOKUP(TableHandbook[[#This Row],[UDC]],INDIRECT("Table"&amp;SUBSTITUTE(S$2,"-","")&amp;"[UDC]",TRUE),INDIRECT("Table"&amp;SUBSTITUTE(S$2,"-","")&amp;"[Component Type]",TRUE)),"")</f>
        <v/>
      </c>
      <c r="T58" s="152" t="str" cm="1">
        <f t="array" aca="1" ref="T58" ca="1">IFERROR(_xlfn.XLOOKUP(TableHandbook[[#This Row],[UDC]],INDIRECT("Table"&amp;SUBSTITUTE(T$2,"-","")&amp;"[UDC]",TRUE),INDIRECT("Table"&amp;SUBSTITUTE(T$2,"-","")&amp;"[Component Type]",TRUE)),"")</f>
        <v/>
      </c>
      <c r="U58" s="152" t="str" cm="1">
        <f t="array" aca="1" ref="U58" ca="1">IFERROR(_xlfn.XLOOKUP(TableHandbook[[#This Row],[UDC]],INDIRECT("Table"&amp;SUBSTITUTE(U$2,"-","")&amp;"[UDC]",TRUE),INDIRECT("Table"&amp;SUBSTITUTE(U$2,"-","")&amp;"[Component Type]",TRUE)),"")</f>
        <v/>
      </c>
      <c r="V58" s="154" t="str" cm="1">
        <f t="array" aca="1" ref="V58" ca="1">IFERROR(_xlfn.XLOOKUP(TableHandbook[[#This Row],[UDC]],INDIRECT("Table"&amp;SUBSTITUTE(V$2,"-","")&amp;"[UDC]",TRUE),INDIRECT("Table"&amp;SUBSTITUTE(V$2,"-","")&amp;"[Component Type]",TRUE)),"")</f>
        <v>Core</v>
      </c>
      <c r="W58" s="152" t="str" cm="1">
        <f t="array" aca="1" ref="W58" ca="1">IFERROR(_xlfn.XLOOKUP(TableHandbook[[#This Row],[UDC]],INDIRECT("Table"&amp;SUBSTITUTE(W$2,"-","")&amp;"[UDC]",TRUE),INDIRECT("Table"&amp;SUBSTITUTE(W$2,"-","")&amp;"[Component Type]",TRUE)),"")</f>
        <v>Core</v>
      </c>
      <c r="X58" s="152" t="str" cm="1">
        <f t="array" aca="1" ref="X58" ca="1">IFERROR(_xlfn.XLOOKUP(TableHandbook[[#This Row],[UDC]],INDIRECT("Table"&amp;SUBSTITUTE(X$2,"-","")&amp;"[UDC]",TRUE),INDIRECT("Table"&amp;SUBSTITUTE(X$2,"-","")&amp;"[Component Type]",TRUE)),"")</f>
        <v/>
      </c>
      <c r="Y58" s="152" t="str" cm="1">
        <f t="array" aca="1" ref="Y58" ca="1">IFERROR(_xlfn.XLOOKUP(TableHandbook[[#This Row],[UDC]],INDIRECT("Table"&amp;SUBSTITUTE(Y$2,"-","")&amp;"[UDC]",TRUE),INDIRECT("Table"&amp;SUBSTITUTE(Y$2,"-","")&amp;"[Component Type]",TRUE)),"")</f>
        <v/>
      </c>
      <c r="Z58" s="152" t="str" cm="1">
        <f t="array" aca="1" ref="Z58" ca="1">IFERROR(_xlfn.XLOOKUP(TableHandbook[[#This Row],[UDC]],INDIRECT("Table"&amp;SUBSTITUTE(Z$2,"-","")&amp;"[UDC]",TRUE),INDIRECT("Table"&amp;SUBSTITUTE(Z$2,"-","")&amp;"[Component Type]",TRUE)),"")</f>
        <v/>
      </c>
    </row>
    <row r="59" spans="1:26" x14ac:dyDescent="0.25">
      <c r="A59" s="8" t="s">
        <v>195</v>
      </c>
      <c r="B59" s="9">
        <v>1</v>
      </c>
      <c r="C59" s="9" t="s">
        <v>330</v>
      </c>
      <c r="D59" s="8" t="s">
        <v>684</v>
      </c>
      <c r="E59" s="9">
        <v>25</v>
      </c>
      <c r="F59" s="266" t="s">
        <v>331</v>
      </c>
      <c r="G59" s="72" t="str">
        <f>IFERROR(IF(VLOOKUP(TableHandbook[[#This Row],[UDC]],TableAvailabilities[],2,FALSE)&gt;0,"Y",""),"")</f>
        <v/>
      </c>
      <c r="H59" s="72" t="str">
        <f>IFERROR(IF(VLOOKUP(TableHandbook[[#This Row],[UDC]],TableAvailabilities[],3,FALSE)&gt;0,"Y",""),"")</f>
        <v>Y</v>
      </c>
      <c r="I59" s="72" t="str">
        <f>IFERROR(IF(VLOOKUP(TableHandbook[[#This Row],[UDC]],TableAvailabilities[],4,FALSE)&gt;0,"Y",""),"")</f>
        <v/>
      </c>
      <c r="J59" s="72" t="str">
        <f>IFERROR(IF(VLOOKUP(TableHandbook[[#This Row],[UDC]],TableAvailabilities[],5,FALSE)&gt;0,"Y",""),"")</f>
        <v>Y</v>
      </c>
      <c r="K59" s="155"/>
      <c r="L59" s="152" t="str" cm="1">
        <f t="array" aca="1" ref="L59" ca="1">IFERROR(_xlfn.XLOOKUP(TableHandbook[[#This Row],[UDC]],INDIRECT("Table"&amp;SUBSTITUTE(L$2,"-","")&amp;"[UDC]",TRUE),INDIRECT("Table"&amp;SUBSTITUTE(L$2,"-","")&amp;"[Component Type]",TRUE)),"")</f>
        <v/>
      </c>
      <c r="M59" s="152" t="str" cm="1">
        <f t="array" aca="1" ref="M59" ca="1">IFERROR(_xlfn.XLOOKUP(TableHandbook[[#This Row],[UDC]],INDIRECT("Table"&amp;SUBSTITUTE(M$2,"-","")&amp;"[UDC]",TRUE),INDIRECT("Table"&amp;SUBSTITUTE(M$2,"-","")&amp;"[Component Type]",TRUE)),"")</f>
        <v/>
      </c>
      <c r="N59" s="154" t="str" cm="1">
        <f t="array" aca="1" ref="N59" ca="1">IFERROR(_xlfn.XLOOKUP(TableHandbook[[#This Row],[UDC]],INDIRECT("Table"&amp;SUBSTITUTE(N$2,"-","")&amp;"[UDC]",TRUE),INDIRECT("Table"&amp;SUBSTITUTE(N$2,"-","")&amp;"[Component Type]",TRUE)),"")</f>
        <v/>
      </c>
      <c r="O59" s="152" t="str" cm="1">
        <f t="array" aca="1" ref="O59" ca="1">IFERROR(_xlfn.XLOOKUP(TableHandbook[[#This Row],[UDC]],INDIRECT("Table"&amp;SUBSTITUTE(O$2,"-","")&amp;"[UDC]",TRUE),INDIRECT("Table"&amp;SUBSTITUTE(O$2,"-","")&amp;"[Component Type]",TRUE)),"")</f>
        <v/>
      </c>
      <c r="P59" s="152" t="str" cm="1">
        <f t="array" aca="1" ref="P59" ca="1">IFERROR(_xlfn.XLOOKUP(TableHandbook[[#This Row],[UDC]],INDIRECT("Table"&amp;SUBSTITUTE(P$2,"-","")&amp;"[UDC]",TRUE),INDIRECT("Table"&amp;SUBSTITUTE(P$2,"-","")&amp;"[Component Type]",TRUE)),"")</f>
        <v/>
      </c>
      <c r="Q59" s="152" t="str" cm="1">
        <f t="array" aca="1" ref="Q59" ca="1">IFERROR(_xlfn.XLOOKUP(TableHandbook[[#This Row],[UDC]],INDIRECT("Table"&amp;SUBSTITUTE(Q$2,"-","")&amp;"[UDC]",TRUE),INDIRECT("Table"&amp;SUBSTITUTE(Q$2,"-","")&amp;"[Component Type]",TRUE)),"")</f>
        <v/>
      </c>
      <c r="R59" s="152" t="str" cm="1">
        <f t="array" aca="1" ref="R59" ca="1">IFERROR(_xlfn.XLOOKUP(TableHandbook[[#This Row],[UDC]],INDIRECT("Table"&amp;SUBSTITUTE(R$2,"-","")&amp;"[UDC]",TRUE),INDIRECT("Table"&amp;SUBSTITUTE(R$2,"-","")&amp;"[Component Type]",TRUE)),"")</f>
        <v/>
      </c>
      <c r="S59" s="152" t="str" cm="1">
        <f t="array" aca="1" ref="S59" ca="1">IFERROR(_xlfn.XLOOKUP(TableHandbook[[#This Row],[UDC]],INDIRECT("Table"&amp;SUBSTITUTE(S$2,"-","")&amp;"[UDC]",TRUE),INDIRECT("Table"&amp;SUBSTITUTE(S$2,"-","")&amp;"[Component Type]",TRUE)),"")</f>
        <v/>
      </c>
      <c r="T59" s="152" t="str" cm="1">
        <f t="array" aca="1" ref="T59" ca="1">IFERROR(_xlfn.XLOOKUP(TableHandbook[[#This Row],[UDC]],INDIRECT("Table"&amp;SUBSTITUTE(T$2,"-","")&amp;"[UDC]",TRUE),INDIRECT("Table"&amp;SUBSTITUTE(T$2,"-","")&amp;"[Component Type]",TRUE)),"")</f>
        <v/>
      </c>
      <c r="U59" s="152" t="str" cm="1">
        <f t="array" aca="1" ref="U59" ca="1">IFERROR(_xlfn.XLOOKUP(TableHandbook[[#This Row],[UDC]],INDIRECT("Table"&amp;SUBSTITUTE(U$2,"-","")&amp;"[UDC]",TRUE),INDIRECT("Table"&amp;SUBSTITUTE(U$2,"-","")&amp;"[Component Type]",TRUE)),"")</f>
        <v/>
      </c>
      <c r="V59" s="154" t="str" cm="1">
        <f t="array" aca="1" ref="V59" ca="1">IFERROR(_xlfn.XLOOKUP(TableHandbook[[#This Row],[UDC]],INDIRECT("Table"&amp;SUBSTITUTE(V$2,"-","")&amp;"[UDC]",TRUE),INDIRECT("Table"&amp;SUBSTITUTE(V$2,"-","")&amp;"[Component Type]",TRUE)),"")</f>
        <v>Core</v>
      </c>
      <c r="W59" s="152" t="str" cm="1">
        <f t="array" aca="1" ref="W59" ca="1">IFERROR(_xlfn.XLOOKUP(TableHandbook[[#This Row],[UDC]],INDIRECT("Table"&amp;SUBSTITUTE(W$2,"-","")&amp;"[UDC]",TRUE),INDIRECT("Table"&amp;SUBSTITUTE(W$2,"-","")&amp;"[Component Type]",TRUE)),"")</f>
        <v>Core</v>
      </c>
      <c r="X59" s="152" t="str" cm="1">
        <f t="array" aca="1" ref="X59" ca="1">IFERROR(_xlfn.XLOOKUP(TableHandbook[[#This Row],[UDC]],INDIRECT("Table"&amp;SUBSTITUTE(X$2,"-","")&amp;"[UDC]",TRUE),INDIRECT("Table"&amp;SUBSTITUTE(X$2,"-","")&amp;"[Component Type]",TRUE)),"")</f>
        <v/>
      </c>
      <c r="Y59" s="152" t="str" cm="1">
        <f t="array" aca="1" ref="Y59" ca="1">IFERROR(_xlfn.XLOOKUP(TableHandbook[[#This Row],[UDC]],INDIRECT("Table"&amp;SUBSTITUTE(Y$2,"-","")&amp;"[UDC]",TRUE),INDIRECT("Table"&amp;SUBSTITUTE(Y$2,"-","")&amp;"[Component Type]",TRUE)),"")</f>
        <v/>
      </c>
      <c r="Z59" s="152" t="str" cm="1">
        <f t="array" aca="1" ref="Z59" ca="1">IFERROR(_xlfn.XLOOKUP(TableHandbook[[#This Row],[UDC]],INDIRECT("Table"&amp;SUBSTITUTE(Z$2,"-","")&amp;"[UDC]",TRUE),INDIRECT("Table"&amp;SUBSTITUTE(Z$2,"-","")&amp;"[Component Type]",TRUE)),"")</f>
        <v/>
      </c>
    </row>
    <row r="60" spans="1:26" x14ac:dyDescent="0.25">
      <c r="A60" s="8" t="s">
        <v>199</v>
      </c>
      <c r="B60" s="9">
        <v>1</v>
      </c>
      <c r="C60" s="9" t="s">
        <v>332</v>
      </c>
      <c r="D60" s="8" t="s">
        <v>685</v>
      </c>
      <c r="E60" s="9">
        <v>25</v>
      </c>
      <c r="F60" s="266" t="s">
        <v>333</v>
      </c>
      <c r="G60" s="72" t="str">
        <f>IFERROR(IF(VLOOKUP(TableHandbook[[#This Row],[UDC]],TableAvailabilities[],2,FALSE)&gt;0,"Y",""),"")</f>
        <v>Y</v>
      </c>
      <c r="H60" s="72" t="str">
        <f>IFERROR(IF(VLOOKUP(TableHandbook[[#This Row],[UDC]],TableAvailabilities[],3,FALSE)&gt;0,"Y",""),"")</f>
        <v/>
      </c>
      <c r="I60" s="72" t="str">
        <f>IFERROR(IF(VLOOKUP(TableHandbook[[#This Row],[UDC]],TableAvailabilities[],4,FALSE)&gt;0,"Y",""),"")</f>
        <v>Y</v>
      </c>
      <c r="J60" s="72" t="str">
        <f>IFERROR(IF(VLOOKUP(TableHandbook[[#This Row],[UDC]],TableAvailabilities[],5,FALSE)&gt;0,"Y",""),"")</f>
        <v/>
      </c>
      <c r="K60" s="155"/>
      <c r="L60" s="152" t="str" cm="1">
        <f t="array" aca="1" ref="L60" ca="1">IFERROR(_xlfn.XLOOKUP(TableHandbook[[#This Row],[UDC]],INDIRECT("Table"&amp;SUBSTITUTE(L$2,"-","")&amp;"[UDC]",TRUE),INDIRECT("Table"&amp;SUBSTITUTE(L$2,"-","")&amp;"[Component Type]",TRUE)),"")</f>
        <v/>
      </c>
      <c r="M60" s="152" t="str" cm="1">
        <f t="array" aca="1" ref="M60" ca="1">IFERROR(_xlfn.XLOOKUP(TableHandbook[[#This Row],[UDC]],INDIRECT("Table"&amp;SUBSTITUTE(M$2,"-","")&amp;"[UDC]",TRUE),INDIRECT("Table"&amp;SUBSTITUTE(M$2,"-","")&amp;"[Component Type]",TRUE)),"")</f>
        <v/>
      </c>
      <c r="N60" s="154" t="str" cm="1">
        <f t="array" aca="1" ref="N60" ca="1">IFERROR(_xlfn.XLOOKUP(TableHandbook[[#This Row],[UDC]],INDIRECT("Table"&amp;SUBSTITUTE(N$2,"-","")&amp;"[UDC]",TRUE),INDIRECT("Table"&amp;SUBSTITUTE(N$2,"-","")&amp;"[Component Type]",TRUE)),"")</f>
        <v/>
      </c>
      <c r="O60" s="152" t="str" cm="1">
        <f t="array" aca="1" ref="O60" ca="1">IFERROR(_xlfn.XLOOKUP(TableHandbook[[#This Row],[UDC]],INDIRECT("Table"&amp;SUBSTITUTE(O$2,"-","")&amp;"[UDC]",TRUE),INDIRECT("Table"&amp;SUBSTITUTE(O$2,"-","")&amp;"[Component Type]",TRUE)),"")</f>
        <v/>
      </c>
      <c r="P60" s="152" t="str" cm="1">
        <f t="array" aca="1" ref="P60" ca="1">IFERROR(_xlfn.XLOOKUP(TableHandbook[[#This Row],[UDC]],INDIRECT("Table"&amp;SUBSTITUTE(P$2,"-","")&amp;"[UDC]",TRUE),INDIRECT("Table"&amp;SUBSTITUTE(P$2,"-","")&amp;"[Component Type]",TRUE)),"")</f>
        <v/>
      </c>
      <c r="Q60" s="152" t="str" cm="1">
        <f t="array" aca="1" ref="Q60" ca="1">IFERROR(_xlfn.XLOOKUP(TableHandbook[[#This Row],[UDC]],INDIRECT("Table"&amp;SUBSTITUTE(Q$2,"-","")&amp;"[UDC]",TRUE),INDIRECT("Table"&amp;SUBSTITUTE(Q$2,"-","")&amp;"[Component Type]",TRUE)),"")</f>
        <v/>
      </c>
      <c r="R60" s="152" t="str" cm="1">
        <f t="array" aca="1" ref="R60" ca="1">IFERROR(_xlfn.XLOOKUP(TableHandbook[[#This Row],[UDC]],INDIRECT("Table"&amp;SUBSTITUTE(R$2,"-","")&amp;"[UDC]",TRUE),INDIRECT("Table"&amp;SUBSTITUTE(R$2,"-","")&amp;"[Component Type]",TRUE)),"")</f>
        <v/>
      </c>
      <c r="S60" s="152" t="str" cm="1">
        <f t="array" aca="1" ref="S60" ca="1">IFERROR(_xlfn.XLOOKUP(TableHandbook[[#This Row],[UDC]],INDIRECT("Table"&amp;SUBSTITUTE(S$2,"-","")&amp;"[UDC]",TRUE),INDIRECT("Table"&amp;SUBSTITUTE(S$2,"-","")&amp;"[Component Type]",TRUE)),"")</f>
        <v/>
      </c>
      <c r="T60" s="152" t="str" cm="1">
        <f t="array" aca="1" ref="T60" ca="1">IFERROR(_xlfn.XLOOKUP(TableHandbook[[#This Row],[UDC]],INDIRECT("Table"&amp;SUBSTITUTE(T$2,"-","")&amp;"[UDC]",TRUE),INDIRECT("Table"&amp;SUBSTITUTE(T$2,"-","")&amp;"[Component Type]",TRUE)),"")</f>
        <v/>
      </c>
      <c r="U60" s="152" t="str" cm="1">
        <f t="array" aca="1" ref="U60" ca="1">IFERROR(_xlfn.XLOOKUP(TableHandbook[[#This Row],[UDC]],INDIRECT("Table"&amp;SUBSTITUTE(U$2,"-","")&amp;"[UDC]",TRUE),INDIRECT("Table"&amp;SUBSTITUTE(U$2,"-","")&amp;"[Component Type]",TRUE)),"")</f>
        <v/>
      </c>
      <c r="V60" s="154" t="str" cm="1">
        <f t="array" aca="1" ref="V60" ca="1">IFERROR(_xlfn.XLOOKUP(TableHandbook[[#This Row],[UDC]],INDIRECT("Table"&amp;SUBSTITUTE(V$2,"-","")&amp;"[UDC]",TRUE),INDIRECT("Table"&amp;SUBSTITUTE(V$2,"-","")&amp;"[Component Type]",TRUE)),"")</f>
        <v>Core</v>
      </c>
      <c r="W60" s="152" t="str" cm="1">
        <f t="array" aca="1" ref="W60" ca="1">IFERROR(_xlfn.XLOOKUP(TableHandbook[[#This Row],[UDC]],INDIRECT("Table"&amp;SUBSTITUTE(W$2,"-","")&amp;"[UDC]",TRUE),INDIRECT("Table"&amp;SUBSTITUTE(W$2,"-","")&amp;"[Component Type]",TRUE)),"")</f>
        <v>Core</v>
      </c>
      <c r="X60" s="152" t="str" cm="1">
        <f t="array" aca="1" ref="X60" ca="1">IFERROR(_xlfn.XLOOKUP(TableHandbook[[#This Row],[UDC]],INDIRECT("Table"&amp;SUBSTITUTE(X$2,"-","")&amp;"[UDC]",TRUE),INDIRECT("Table"&amp;SUBSTITUTE(X$2,"-","")&amp;"[Component Type]",TRUE)),"")</f>
        <v/>
      </c>
      <c r="Y60" s="152" t="str" cm="1">
        <f t="array" aca="1" ref="Y60" ca="1">IFERROR(_xlfn.XLOOKUP(TableHandbook[[#This Row],[UDC]],INDIRECT("Table"&amp;SUBSTITUTE(Y$2,"-","")&amp;"[UDC]",TRUE),INDIRECT("Table"&amp;SUBSTITUTE(Y$2,"-","")&amp;"[Component Type]",TRUE)),"")</f>
        <v/>
      </c>
      <c r="Z60" s="152" t="str" cm="1">
        <f t="array" aca="1" ref="Z60" ca="1">IFERROR(_xlfn.XLOOKUP(TableHandbook[[#This Row],[UDC]],INDIRECT("Table"&amp;SUBSTITUTE(Z$2,"-","")&amp;"[UDC]",TRUE),INDIRECT("Table"&amp;SUBSTITUTE(Z$2,"-","")&amp;"[Component Type]",TRUE)),"")</f>
        <v/>
      </c>
    </row>
    <row r="61" spans="1:26" x14ac:dyDescent="0.25">
      <c r="A61" s="8" t="s">
        <v>211</v>
      </c>
      <c r="B61" s="9">
        <v>1</v>
      </c>
      <c r="C61" s="9" t="s">
        <v>334</v>
      </c>
      <c r="D61" s="8" t="s">
        <v>335</v>
      </c>
      <c r="E61" s="9">
        <v>25</v>
      </c>
      <c r="F61" s="266" t="s">
        <v>255</v>
      </c>
      <c r="G61" s="72" t="str">
        <f>IFERROR(IF(VLOOKUP(TableHandbook[[#This Row],[UDC]],TableAvailabilities[],2,FALSE)&gt;0,"Y",""),"")</f>
        <v>Y</v>
      </c>
      <c r="H61" s="72" t="str">
        <f>IFERROR(IF(VLOOKUP(TableHandbook[[#This Row],[UDC]],TableAvailabilities[],3,FALSE)&gt;0,"Y",""),"")</f>
        <v/>
      </c>
      <c r="I61" s="72" t="str">
        <f>IFERROR(IF(VLOOKUP(TableHandbook[[#This Row],[UDC]],TableAvailabilities[],4,FALSE)&gt;0,"Y",""),"")</f>
        <v>Y</v>
      </c>
      <c r="J61" s="72" t="str">
        <f>IFERROR(IF(VLOOKUP(TableHandbook[[#This Row],[UDC]],TableAvailabilities[],5,FALSE)&gt;0,"Y",""),"")</f>
        <v/>
      </c>
      <c r="K61" s="155"/>
      <c r="L61" s="152" t="str" cm="1">
        <f t="array" aca="1" ref="L61" ca="1">IFERROR(_xlfn.XLOOKUP(TableHandbook[[#This Row],[UDC]],INDIRECT("Table"&amp;SUBSTITUTE(L$2,"-","")&amp;"[UDC]",TRUE),INDIRECT("Table"&amp;SUBSTITUTE(L$2,"-","")&amp;"[Component Type]",TRUE)),"")</f>
        <v/>
      </c>
      <c r="M61" s="152" t="str" cm="1">
        <f t="array" aca="1" ref="M61" ca="1">IFERROR(_xlfn.XLOOKUP(TableHandbook[[#This Row],[UDC]],INDIRECT("Table"&amp;SUBSTITUTE(M$2,"-","")&amp;"[UDC]",TRUE),INDIRECT("Table"&amp;SUBSTITUTE(M$2,"-","")&amp;"[Component Type]",TRUE)),"")</f>
        <v/>
      </c>
      <c r="N61" s="154" t="str" cm="1">
        <f t="array" aca="1" ref="N61" ca="1">IFERROR(_xlfn.XLOOKUP(TableHandbook[[#This Row],[UDC]],INDIRECT("Table"&amp;SUBSTITUTE(N$2,"-","")&amp;"[UDC]",TRUE),INDIRECT("Table"&amp;SUBSTITUTE(N$2,"-","")&amp;"[Component Type]",TRUE)),"")</f>
        <v/>
      </c>
      <c r="O61" s="152" t="str" cm="1">
        <f t="array" aca="1" ref="O61" ca="1">IFERROR(_xlfn.XLOOKUP(TableHandbook[[#This Row],[UDC]],INDIRECT("Table"&amp;SUBSTITUTE(O$2,"-","")&amp;"[UDC]",TRUE),INDIRECT("Table"&amp;SUBSTITUTE(O$2,"-","")&amp;"[Component Type]",TRUE)),"")</f>
        <v/>
      </c>
      <c r="P61" s="152" t="str" cm="1">
        <f t="array" aca="1" ref="P61" ca="1">IFERROR(_xlfn.XLOOKUP(TableHandbook[[#This Row],[UDC]],INDIRECT("Table"&amp;SUBSTITUTE(P$2,"-","")&amp;"[UDC]",TRUE),INDIRECT("Table"&amp;SUBSTITUTE(P$2,"-","")&amp;"[Component Type]",TRUE)),"")</f>
        <v/>
      </c>
      <c r="Q61" s="152" t="str" cm="1">
        <f t="array" aca="1" ref="Q61" ca="1">IFERROR(_xlfn.XLOOKUP(TableHandbook[[#This Row],[UDC]],INDIRECT("Table"&amp;SUBSTITUTE(Q$2,"-","")&amp;"[UDC]",TRUE),INDIRECT("Table"&amp;SUBSTITUTE(Q$2,"-","")&amp;"[Component Type]",TRUE)),"")</f>
        <v/>
      </c>
      <c r="R61" s="152" t="str" cm="1">
        <f t="array" aca="1" ref="R61" ca="1">IFERROR(_xlfn.XLOOKUP(TableHandbook[[#This Row],[UDC]],INDIRECT("Table"&amp;SUBSTITUTE(R$2,"-","")&amp;"[UDC]",TRUE),INDIRECT("Table"&amp;SUBSTITUTE(R$2,"-","")&amp;"[Component Type]",TRUE)),"")</f>
        <v/>
      </c>
      <c r="S61" s="152" t="str" cm="1">
        <f t="array" aca="1" ref="S61" ca="1">IFERROR(_xlfn.XLOOKUP(TableHandbook[[#This Row],[UDC]],INDIRECT("Table"&amp;SUBSTITUTE(S$2,"-","")&amp;"[UDC]",TRUE),INDIRECT("Table"&amp;SUBSTITUTE(S$2,"-","")&amp;"[Component Type]",TRUE)),"")</f>
        <v/>
      </c>
      <c r="T61" s="152" t="str" cm="1">
        <f t="array" aca="1" ref="T61" ca="1">IFERROR(_xlfn.XLOOKUP(TableHandbook[[#This Row],[UDC]],INDIRECT("Table"&amp;SUBSTITUTE(T$2,"-","")&amp;"[UDC]",TRUE),INDIRECT("Table"&amp;SUBSTITUTE(T$2,"-","")&amp;"[Component Type]",TRUE)),"")</f>
        <v/>
      </c>
      <c r="U61" s="152" t="str" cm="1">
        <f t="array" aca="1" ref="U61" ca="1">IFERROR(_xlfn.XLOOKUP(TableHandbook[[#This Row],[UDC]],INDIRECT("Table"&amp;SUBSTITUTE(U$2,"-","")&amp;"[UDC]",TRUE),INDIRECT("Table"&amp;SUBSTITUTE(U$2,"-","")&amp;"[Component Type]",TRUE)),"")</f>
        <v/>
      </c>
      <c r="V61" s="154" t="str" cm="1">
        <f t="array" aca="1" ref="V61" ca="1">IFERROR(_xlfn.XLOOKUP(TableHandbook[[#This Row],[UDC]],INDIRECT("Table"&amp;SUBSTITUTE(V$2,"-","")&amp;"[UDC]",TRUE),INDIRECT("Table"&amp;SUBSTITUTE(V$2,"-","")&amp;"[Component Type]",TRUE)),"")</f>
        <v>Core</v>
      </c>
      <c r="W61" s="152" t="str" cm="1">
        <f t="array" aca="1" ref="W61" ca="1">IFERROR(_xlfn.XLOOKUP(TableHandbook[[#This Row],[UDC]],INDIRECT("Table"&amp;SUBSTITUTE(W$2,"-","")&amp;"[UDC]",TRUE),INDIRECT("Table"&amp;SUBSTITUTE(W$2,"-","")&amp;"[Component Type]",TRUE)),"")</f>
        <v>Core</v>
      </c>
      <c r="X61" s="152" t="str" cm="1">
        <f t="array" aca="1" ref="X61" ca="1">IFERROR(_xlfn.XLOOKUP(TableHandbook[[#This Row],[UDC]],INDIRECT("Table"&amp;SUBSTITUTE(X$2,"-","")&amp;"[UDC]",TRUE),INDIRECT("Table"&amp;SUBSTITUTE(X$2,"-","")&amp;"[Component Type]",TRUE)),"")</f>
        <v/>
      </c>
      <c r="Y61" s="152" t="str" cm="1">
        <f t="array" aca="1" ref="Y61" ca="1">IFERROR(_xlfn.XLOOKUP(TableHandbook[[#This Row],[UDC]],INDIRECT("Table"&amp;SUBSTITUTE(Y$2,"-","")&amp;"[UDC]",TRUE),INDIRECT("Table"&amp;SUBSTITUTE(Y$2,"-","")&amp;"[Component Type]",TRUE)),"")</f>
        <v/>
      </c>
      <c r="Z61" s="152" t="str" cm="1">
        <f t="array" aca="1" ref="Z61" ca="1">IFERROR(_xlfn.XLOOKUP(TableHandbook[[#This Row],[UDC]],INDIRECT("Table"&amp;SUBSTITUTE(Z$2,"-","")&amp;"[UDC]",TRUE),INDIRECT("Table"&amp;SUBSTITUTE(Z$2,"-","")&amp;"[Component Type]",TRUE)),"")</f>
        <v/>
      </c>
    </row>
    <row r="62" spans="1:26" x14ac:dyDescent="0.25">
      <c r="A62" s="8" t="s">
        <v>208</v>
      </c>
      <c r="B62" s="9">
        <v>1</v>
      </c>
      <c r="C62" s="9" t="s">
        <v>336</v>
      </c>
      <c r="D62" s="8" t="s">
        <v>686</v>
      </c>
      <c r="E62" s="9">
        <v>25</v>
      </c>
      <c r="F62" s="266" t="s">
        <v>337</v>
      </c>
      <c r="G62" s="72" t="str">
        <f>IFERROR(IF(VLOOKUP(TableHandbook[[#This Row],[UDC]],TableAvailabilities[],2,FALSE)&gt;0,"Y",""),"")</f>
        <v/>
      </c>
      <c r="H62" s="72" t="str">
        <f>IFERROR(IF(VLOOKUP(TableHandbook[[#This Row],[UDC]],TableAvailabilities[],3,FALSE)&gt;0,"Y",""),"")</f>
        <v>Y</v>
      </c>
      <c r="I62" s="72" t="str">
        <f>IFERROR(IF(VLOOKUP(TableHandbook[[#This Row],[UDC]],TableAvailabilities[],4,FALSE)&gt;0,"Y",""),"")</f>
        <v/>
      </c>
      <c r="J62" s="72" t="str">
        <f>IFERROR(IF(VLOOKUP(TableHandbook[[#This Row],[UDC]],TableAvailabilities[],5,FALSE)&gt;0,"Y",""),"")</f>
        <v>Y</v>
      </c>
      <c r="K62" s="155"/>
      <c r="L62" s="152" t="str" cm="1">
        <f t="array" aca="1" ref="L62" ca="1">IFERROR(_xlfn.XLOOKUP(TableHandbook[[#This Row],[UDC]],INDIRECT("Table"&amp;SUBSTITUTE(L$2,"-","")&amp;"[UDC]",TRUE),INDIRECT("Table"&amp;SUBSTITUTE(L$2,"-","")&amp;"[Component Type]",TRUE)),"")</f>
        <v/>
      </c>
      <c r="M62" s="152" t="str" cm="1">
        <f t="array" aca="1" ref="M62" ca="1">IFERROR(_xlfn.XLOOKUP(TableHandbook[[#This Row],[UDC]],INDIRECT("Table"&amp;SUBSTITUTE(M$2,"-","")&amp;"[UDC]",TRUE),INDIRECT("Table"&amp;SUBSTITUTE(M$2,"-","")&amp;"[Component Type]",TRUE)),"")</f>
        <v/>
      </c>
      <c r="N62" s="154" t="str" cm="1">
        <f t="array" aca="1" ref="N62" ca="1">IFERROR(_xlfn.XLOOKUP(TableHandbook[[#This Row],[UDC]],INDIRECT("Table"&amp;SUBSTITUTE(N$2,"-","")&amp;"[UDC]",TRUE),INDIRECT("Table"&amp;SUBSTITUTE(N$2,"-","")&amp;"[Component Type]",TRUE)),"")</f>
        <v/>
      </c>
      <c r="O62" s="152" t="str" cm="1">
        <f t="array" aca="1" ref="O62" ca="1">IFERROR(_xlfn.XLOOKUP(TableHandbook[[#This Row],[UDC]],INDIRECT("Table"&amp;SUBSTITUTE(O$2,"-","")&amp;"[UDC]",TRUE),INDIRECT("Table"&amp;SUBSTITUTE(O$2,"-","")&amp;"[Component Type]",TRUE)),"")</f>
        <v/>
      </c>
      <c r="P62" s="152" t="str" cm="1">
        <f t="array" aca="1" ref="P62" ca="1">IFERROR(_xlfn.XLOOKUP(TableHandbook[[#This Row],[UDC]],INDIRECT("Table"&amp;SUBSTITUTE(P$2,"-","")&amp;"[UDC]",TRUE),INDIRECT("Table"&amp;SUBSTITUTE(P$2,"-","")&amp;"[Component Type]",TRUE)),"")</f>
        <v/>
      </c>
      <c r="Q62" s="152" t="str" cm="1">
        <f t="array" aca="1" ref="Q62" ca="1">IFERROR(_xlfn.XLOOKUP(TableHandbook[[#This Row],[UDC]],INDIRECT("Table"&amp;SUBSTITUTE(Q$2,"-","")&amp;"[UDC]",TRUE),INDIRECT("Table"&amp;SUBSTITUTE(Q$2,"-","")&amp;"[Component Type]",TRUE)),"")</f>
        <v/>
      </c>
      <c r="R62" s="152" t="str" cm="1">
        <f t="array" aca="1" ref="R62" ca="1">IFERROR(_xlfn.XLOOKUP(TableHandbook[[#This Row],[UDC]],INDIRECT("Table"&amp;SUBSTITUTE(R$2,"-","")&amp;"[UDC]",TRUE),INDIRECT("Table"&amp;SUBSTITUTE(R$2,"-","")&amp;"[Component Type]",TRUE)),"")</f>
        <v/>
      </c>
      <c r="S62" s="152" t="str" cm="1">
        <f t="array" aca="1" ref="S62" ca="1">IFERROR(_xlfn.XLOOKUP(TableHandbook[[#This Row],[UDC]],INDIRECT("Table"&amp;SUBSTITUTE(S$2,"-","")&amp;"[UDC]",TRUE),INDIRECT("Table"&amp;SUBSTITUTE(S$2,"-","")&amp;"[Component Type]",TRUE)),"")</f>
        <v/>
      </c>
      <c r="T62" s="152" t="str" cm="1">
        <f t="array" aca="1" ref="T62" ca="1">IFERROR(_xlfn.XLOOKUP(TableHandbook[[#This Row],[UDC]],INDIRECT("Table"&amp;SUBSTITUTE(T$2,"-","")&amp;"[UDC]",TRUE),INDIRECT("Table"&amp;SUBSTITUTE(T$2,"-","")&amp;"[Component Type]",TRUE)),"")</f>
        <v/>
      </c>
      <c r="U62" s="152" t="str" cm="1">
        <f t="array" aca="1" ref="U62" ca="1">IFERROR(_xlfn.XLOOKUP(TableHandbook[[#This Row],[UDC]],INDIRECT("Table"&amp;SUBSTITUTE(U$2,"-","")&amp;"[UDC]",TRUE),INDIRECT("Table"&amp;SUBSTITUTE(U$2,"-","")&amp;"[Component Type]",TRUE)),"")</f>
        <v/>
      </c>
      <c r="V62" s="154" t="str" cm="1">
        <f t="array" aca="1" ref="V62" ca="1">IFERROR(_xlfn.XLOOKUP(TableHandbook[[#This Row],[UDC]],INDIRECT("Table"&amp;SUBSTITUTE(V$2,"-","")&amp;"[UDC]",TRUE),INDIRECT("Table"&amp;SUBSTITUTE(V$2,"-","")&amp;"[Component Type]",TRUE)),"")</f>
        <v>Core</v>
      </c>
      <c r="W62" s="152" t="str" cm="1">
        <f t="array" aca="1" ref="W62" ca="1">IFERROR(_xlfn.XLOOKUP(TableHandbook[[#This Row],[UDC]],INDIRECT("Table"&amp;SUBSTITUTE(W$2,"-","")&amp;"[UDC]",TRUE),INDIRECT("Table"&amp;SUBSTITUTE(W$2,"-","")&amp;"[Component Type]",TRUE)),"")</f>
        <v>Core</v>
      </c>
      <c r="X62" s="152" t="str" cm="1">
        <f t="array" aca="1" ref="X62" ca="1">IFERROR(_xlfn.XLOOKUP(TableHandbook[[#This Row],[UDC]],INDIRECT("Table"&amp;SUBSTITUTE(X$2,"-","")&amp;"[UDC]",TRUE),INDIRECT("Table"&amp;SUBSTITUTE(X$2,"-","")&amp;"[Component Type]",TRUE)),"")</f>
        <v/>
      </c>
      <c r="Y62" s="152" t="str" cm="1">
        <f t="array" aca="1" ref="Y62" ca="1">IFERROR(_xlfn.XLOOKUP(TableHandbook[[#This Row],[UDC]],INDIRECT("Table"&amp;SUBSTITUTE(Y$2,"-","")&amp;"[UDC]",TRUE),INDIRECT("Table"&amp;SUBSTITUTE(Y$2,"-","")&amp;"[Component Type]",TRUE)),"")</f>
        <v/>
      </c>
      <c r="Z62" s="152" t="str" cm="1">
        <f t="array" aca="1" ref="Z62" ca="1">IFERROR(_xlfn.XLOOKUP(TableHandbook[[#This Row],[UDC]],INDIRECT("Table"&amp;SUBSTITUTE(Z$2,"-","")&amp;"[UDC]",TRUE),INDIRECT("Table"&amp;SUBSTITUTE(Z$2,"-","")&amp;"[Component Type]",TRUE)),"")</f>
        <v/>
      </c>
    </row>
    <row r="63" spans="1:26" x14ac:dyDescent="0.25">
      <c r="A63" s="8" t="s">
        <v>210</v>
      </c>
      <c r="B63" s="9">
        <v>1</v>
      </c>
      <c r="C63" s="9" t="s">
        <v>338</v>
      </c>
      <c r="D63" s="8" t="s">
        <v>723</v>
      </c>
      <c r="E63" s="9">
        <v>25</v>
      </c>
      <c r="F63" s="266" t="s">
        <v>336</v>
      </c>
      <c r="G63" s="72" t="str">
        <f>IFERROR(IF(VLOOKUP(TableHandbook[[#This Row],[UDC]],TableAvailabilities[],2,FALSE)&gt;0,"Y",""),"")</f>
        <v/>
      </c>
      <c r="H63" s="72" t="str">
        <f>IFERROR(IF(VLOOKUP(TableHandbook[[#This Row],[UDC]],TableAvailabilities[],3,FALSE)&gt;0,"Y",""),"")</f>
        <v/>
      </c>
      <c r="I63" s="72" t="str">
        <f>IFERROR(IF(VLOOKUP(TableHandbook[[#This Row],[UDC]],TableAvailabilities[],4,FALSE)&gt;0,"Y",""),"")</f>
        <v>Y</v>
      </c>
      <c r="J63" s="72" t="str">
        <f>IFERROR(IF(VLOOKUP(TableHandbook[[#This Row],[UDC]],TableAvailabilities[],5,FALSE)&gt;0,"Y",""),"")</f>
        <v/>
      </c>
      <c r="K63" s="209" t="s">
        <v>693</v>
      </c>
      <c r="L63" s="152" t="str" cm="1">
        <f t="array" aca="1" ref="L63" ca="1">IFERROR(_xlfn.XLOOKUP(TableHandbook[[#This Row],[UDC]],INDIRECT("Table"&amp;SUBSTITUTE(L$2,"-","")&amp;"[UDC]",TRUE),INDIRECT("Table"&amp;SUBSTITUTE(L$2,"-","")&amp;"[Component Type]",TRUE)),"")</f>
        <v/>
      </c>
      <c r="M63" s="152" t="str" cm="1">
        <f t="array" aca="1" ref="M63" ca="1">IFERROR(_xlfn.XLOOKUP(TableHandbook[[#This Row],[UDC]],INDIRECT("Table"&amp;SUBSTITUTE(M$2,"-","")&amp;"[UDC]",TRUE),INDIRECT("Table"&amp;SUBSTITUTE(M$2,"-","")&amp;"[Component Type]",TRUE)),"")</f>
        <v/>
      </c>
      <c r="N63" s="154" t="str" cm="1">
        <f t="array" aca="1" ref="N63" ca="1">IFERROR(_xlfn.XLOOKUP(TableHandbook[[#This Row],[UDC]],INDIRECT("Table"&amp;SUBSTITUTE(N$2,"-","")&amp;"[UDC]",TRUE),INDIRECT("Table"&amp;SUBSTITUTE(N$2,"-","")&amp;"[Component Type]",TRUE)),"")</f>
        <v/>
      </c>
      <c r="O63" s="152" t="str" cm="1">
        <f t="array" aca="1" ref="O63" ca="1">IFERROR(_xlfn.XLOOKUP(TableHandbook[[#This Row],[UDC]],INDIRECT("Table"&amp;SUBSTITUTE(O$2,"-","")&amp;"[UDC]",TRUE),INDIRECT("Table"&amp;SUBSTITUTE(O$2,"-","")&amp;"[Component Type]",TRUE)),"")</f>
        <v/>
      </c>
      <c r="P63" s="152" t="str" cm="1">
        <f t="array" aca="1" ref="P63" ca="1">IFERROR(_xlfn.XLOOKUP(TableHandbook[[#This Row],[UDC]],INDIRECT("Table"&amp;SUBSTITUTE(P$2,"-","")&amp;"[UDC]",TRUE),INDIRECT("Table"&amp;SUBSTITUTE(P$2,"-","")&amp;"[Component Type]",TRUE)),"")</f>
        <v/>
      </c>
      <c r="Q63" s="152" t="str" cm="1">
        <f t="array" aca="1" ref="Q63" ca="1">IFERROR(_xlfn.XLOOKUP(TableHandbook[[#This Row],[UDC]],INDIRECT("Table"&amp;SUBSTITUTE(Q$2,"-","")&amp;"[UDC]",TRUE),INDIRECT("Table"&amp;SUBSTITUTE(Q$2,"-","")&amp;"[Component Type]",TRUE)),"")</f>
        <v/>
      </c>
      <c r="R63" s="152" t="str" cm="1">
        <f t="array" aca="1" ref="R63" ca="1">IFERROR(_xlfn.XLOOKUP(TableHandbook[[#This Row],[UDC]],INDIRECT("Table"&amp;SUBSTITUTE(R$2,"-","")&amp;"[UDC]",TRUE),INDIRECT("Table"&amp;SUBSTITUTE(R$2,"-","")&amp;"[Component Type]",TRUE)),"")</f>
        <v/>
      </c>
      <c r="S63" s="152" t="str" cm="1">
        <f t="array" aca="1" ref="S63" ca="1">IFERROR(_xlfn.XLOOKUP(TableHandbook[[#This Row],[UDC]],INDIRECT("Table"&amp;SUBSTITUTE(S$2,"-","")&amp;"[UDC]",TRUE),INDIRECT("Table"&amp;SUBSTITUTE(S$2,"-","")&amp;"[Component Type]",TRUE)),"")</f>
        <v/>
      </c>
      <c r="T63" s="152" t="str" cm="1">
        <f t="array" aca="1" ref="T63" ca="1">IFERROR(_xlfn.XLOOKUP(TableHandbook[[#This Row],[UDC]],INDIRECT("Table"&amp;SUBSTITUTE(T$2,"-","")&amp;"[UDC]",TRUE),INDIRECT("Table"&amp;SUBSTITUTE(T$2,"-","")&amp;"[Component Type]",TRUE)),"")</f>
        <v/>
      </c>
      <c r="U63" s="152" t="str" cm="1">
        <f t="array" aca="1" ref="U63" ca="1">IFERROR(_xlfn.XLOOKUP(TableHandbook[[#This Row],[UDC]],INDIRECT("Table"&amp;SUBSTITUTE(U$2,"-","")&amp;"[UDC]",TRUE),INDIRECT("Table"&amp;SUBSTITUTE(U$2,"-","")&amp;"[Component Type]",TRUE)),"")</f>
        <v/>
      </c>
      <c r="V63" s="154" t="str" cm="1">
        <f t="array" aca="1" ref="V63" ca="1">IFERROR(_xlfn.XLOOKUP(TableHandbook[[#This Row],[UDC]],INDIRECT("Table"&amp;SUBSTITUTE(V$2,"-","")&amp;"[UDC]",TRUE),INDIRECT("Table"&amp;SUBSTITUTE(V$2,"-","")&amp;"[Component Type]",TRUE)),"")</f>
        <v>Core</v>
      </c>
      <c r="W63" s="152" t="str" cm="1">
        <f t="array" aca="1" ref="W63" ca="1">IFERROR(_xlfn.XLOOKUP(TableHandbook[[#This Row],[UDC]],INDIRECT("Table"&amp;SUBSTITUTE(W$2,"-","")&amp;"[UDC]",TRUE),INDIRECT("Table"&amp;SUBSTITUTE(W$2,"-","")&amp;"[Component Type]",TRUE)),"")</f>
        <v>Core</v>
      </c>
      <c r="X63" s="152" t="str" cm="1">
        <f t="array" aca="1" ref="X63" ca="1">IFERROR(_xlfn.XLOOKUP(TableHandbook[[#This Row],[UDC]],INDIRECT("Table"&amp;SUBSTITUTE(X$2,"-","")&amp;"[UDC]",TRUE),INDIRECT("Table"&amp;SUBSTITUTE(X$2,"-","")&amp;"[Component Type]",TRUE)),"")</f>
        <v/>
      </c>
      <c r="Y63" s="152" t="str" cm="1">
        <f t="array" aca="1" ref="Y63" ca="1">IFERROR(_xlfn.XLOOKUP(TableHandbook[[#This Row],[UDC]],INDIRECT("Table"&amp;SUBSTITUTE(Y$2,"-","")&amp;"[UDC]",TRUE),INDIRECT("Table"&amp;SUBSTITUTE(Y$2,"-","")&amp;"[Component Type]",TRUE)),"")</f>
        <v/>
      </c>
      <c r="Z63" s="152" t="str" cm="1">
        <f t="array" aca="1" ref="Z63" ca="1">IFERROR(_xlfn.XLOOKUP(TableHandbook[[#This Row],[UDC]],INDIRECT("Table"&amp;SUBSTITUTE(Z$2,"-","")&amp;"[UDC]",TRUE),INDIRECT("Table"&amp;SUBSTITUTE(Z$2,"-","")&amp;"[Component Type]",TRUE)),"")</f>
        <v/>
      </c>
    </row>
    <row r="64" spans="1:26" x14ac:dyDescent="0.25">
      <c r="A64" s="8" t="s">
        <v>205</v>
      </c>
      <c r="B64" s="9">
        <v>2</v>
      </c>
      <c r="C64" s="9" t="s">
        <v>339</v>
      </c>
      <c r="D64" s="8" t="s">
        <v>340</v>
      </c>
      <c r="E64" s="9">
        <v>25</v>
      </c>
      <c r="F64" s="266" t="s">
        <v>341</v>
      </c>
      <c r="G64" s="72" t="str">
        <f>IFERROR(IF(VLOOKUP(TableHandbook[[#This Row],[UDC]],TableAvailabilities[],2,FALSE)&gt;0,"Y",""),"")</f>
        <v/>
      </c>
      <c r="H64" s="72" t="str">
        <f>IFERROR(IF(VLOOKUP(TableHandbook[[#This Row],[UDC]],TableAvailabilities[],3,FALSE)&gt;0,"Y",""),"")</f>
        <v>Y</v>
      </c>
      <c r="I64" s="72" t="str">
        <f>IFERROR(IF(VLOOKUP(TableHandbook[[#This Row],[UDC]],TableAvailabilities[],4,FALSE)&gt;0,"Y",""),"")</f>
        <v/>
      </c>
      <c r="J64" s="72" t="str">
        <f>IFERROR(IF(VLOOKUP(TableHandbook[[#This Row],[UDC]],TableAvailabilities[],5,FALSE)&gt;0,"Y",""),"")</f>
        <v>Y</v>
      </c>
      <c r="K64" s="155"/>
      <c r="L64" s="152" t="str" cm="1">
        <f t="array" aca="1" ref="L64" ca="1">IFERROR(_xlfn.XLOOKUP(TableHandbook[[#This Row],[UDC]],INDIRECT("Table"&amp;SUBSTITUTE(L$2,"-","")&amp;"[UDC]",TRUE),INDIRECT("Table"&amp;SUBSTITUTE(L$2,"-","")&amp;"[Component Type]",TRUE)),"")</f>
        <v/>
      </c>
      <c r="M64" s="152" t="str" cm="1">
        <f t="array" aca="1" ref="M64" ca="1">IFERROR(_xlfn.XLOOKUP(TableHandbook[[#This Row],[UDC]],INDIRECT("Table"&amp;SUBSTITUTE(M$2,"-","")&amp;"[UDC]",TRUE),INDIRECT("Table"&amp;SUBSTITUTE(M$2,"-","")&amp;"[Component Type]",TRUE)),"")</f>
        <v/>
      </c>
      <c r="N64" s="154" t="str" cm="1">
        <f t="array" aca="1" ref="N64" ca="1">IFERROR(_xlfn.XLOOKUP(TableHandbook[[#This Row],[UDC]],INDIRECT("Table"&amp;SUBSTITUTE(N$2,"-","")&amp;"[UDC]",TRUE),INDIRECT("Table"&amp;SUBSTITUTE(N$2,"-","")&amp;"[Component Type]",TRUE)),"")</f>
        <v/>
      </c>
      <c r="O64" s="152" t="str" cm="1">
        <f t="array" aca="1" ref="O64" ca="1">IFERROR(_xlfn.XLOOKUP(TableHandbook[[#This Row],[UDC]],INDIRECT("Table"&amp;SUBSTITUTE(O$2,"-","")&amp;"[UDC]",TRUE),INDIRECT("Table"&amp;SUBSTITUTE(O$2,"-","")&amp;"[Component Type]",TRUE)),"")</f>
        <v/>
      </c>
      <c r="P64" s="152" t="str" cm="1">
        <f t="array" aca="1" ref="P64" ca="1">IFERROR(_xlfn.XLOOKUP(TableHandbook[[#This Row],[UDC]],INDIRECT("Table"&amp;SUBSTITUTE(P$2,"-","")&amp;"[UDC]",TRUE),INDIRECT("Table"&amp;SUBSTITUTE(P$2,"-","")&amp;"[Component Type]",TRUE)),"")</f>
        <v/>
      </c>
      <c r="Q64" s="152" t="str" cm="1">
        <f t="array" aca="1" ref="Q64" ca="1">IFERROR(_xlfn.XLOOKUP(TableHandbook[[#This Row],[UDC]],INDIRECT("Table"&amp;SUBSTITUTE(Q$2,"-","")&amp;"[UDC]",TRUE),INDIRECT("Table"&amp;SUBSTITUTE(Q$2,"-","")&amp;"[Component Type]",TRUE)),"")</f>
        <v/>
      </c>
      <c r="R64" s="152" t="str" cm="1">
        <f t="array" aca="1" ref="R64" ca="1">IFERROR(_xlfn.XLOOKUP(TableHandbook[[#This Row],[UDC]],INDIRECT("Table"&amp;SUBSTITUTE(R$2,"-","")&amp;"[UDC]",TRUE),INDIRECT("Table"&amp;SUBSTITUTE(R$2,"-","")&amp;"[Component Type]",TRUE)),"")</f>
        <v/>
      </c>
      <c r="S64" s="152" t="str" cm="1">
        <f t="array" aca="1" ref="S64" ca="1">IFERROR(_xlfn.XLOOKUP(TableHandbook[[#This Row],[UDC]],INDIRECT("Table"&amp;SUBSTITUTE(S$2,"-","")&amp;"[UDC]",TRUE),INDIRECT("Table"&amp;SUBSTITUTE(S$2,"-","")&amp;"[Component Type]",TRUE)),"")</f>
        <v/>
      </c>
      <c r="T64" s="152" t="str" cm="1">
        <f t="array" aca="1" ref="T64" ca="1">IFERROR(_xlfn.XLOOKUP(TableHandbook[[#This Row],[UDC]],INDIRECT("Table"&amp;SUBSTITUTE(T$2,"-","")&amp;"[UDC]",TRUE),INDIRECT("Table"&amp;SUBSTITUTE(T$2,"-","")&amp;"[Component Type]",TRUE)),"")</f>
        <v/>
      </c>
      <c r="U64" s="152" t="str" cm="1">
        <f t="array" aca="1" ref="U64" ca="1">IFERROR(_xlfn.XLOOKUP(TableHandbook[[#This Row],[UDC]],INDIRECT("Table"&amp;SUBSTITUTE(U$2,"-","")&amp;"[UDC]",TRUE),INDIRECT("Table"&amp;SUBSTITUTE(U$2,"-","")&amp;"[Component Type]",TRUE)),"")</f>
        <v/>
      </c>
      <c r="V64" s="154" t="str" cm="1">
        <f t="array" aca="1" ref="V64" ca="1">IFERROR(_xlfn.XLOOKUP(TableHandbook[[#This Row],[UDC]],INDIRECT("Table"&amp;SUBSTITUTE(V$2,"-","")&amp;"[UDC]",TRUE),INDIRECT("Table"&amp;SUBSTITUTE(V$2,"-","")&amp;"[Component Type]",TRUE)),"")</f>
        <v/>
      </c>
      <c r="W64" s="152" t="str" cm="1">
        <f t="array" aca="1" ref="W64" ca="1">IFERROR(_xlfn.XLOOKUP(TableHandbook[[#This Row],[UDC]],INDIRECT("Table"&amp;SUBSTITUTE(W$2,"-","")&amp;"[UDC]",TRUE),INDIRECT("Table"&amp;SUBSTITUTE(W$2,"-","")&amp;"[Component Type]",TRUE)),"")</f>
        <v/>
      </c>
      <c r="X64" s="152" t="str" cm="1">
        <f t="array" aca="1" ref="X64" ca="1">IFERROR(_xlfn.XLOOKUP(TableHandbook[[#This Row],[UDC]],INDIRECT("Table"&amp;SUBSTITUTE(X$2,"-","")&amp;"[UDC]",TRUE),INDIRECT("Table"&amp;SUBSTITUTE(X$2,"-","")&amp;"[Component Type]",TRUE)),"")</f>
        <v/>
      </c>
      <c r="Y64" s="152" t="str" cm="1">
        <f t="array" aca="1" ref="Y64" ca="1">IFERROR(_xlfn.XLOOKUP(TableHandbook[[#This Row],[UDC]],INDIRECT("Table"&amp;SUBSTITUTE(Y$2,"-","")&amp;"[UDC]",TRUE),INDIRECT("Table"&amp;SUBSTITUTE(Y$2,"-","")&amp;"[Component Type]",TRUE)),"")</f>
        <v>Core</v>
      </c>
      <c r="Z64" s="152" t="str" cm="1">
        <f t="array" aca="1" ref="Z64" ca="1">IFERROR(_xlfn.XLOOKUP(TableHandbook[[#This Row],[UDC]],INDIRECT("Table"&amp;SUBSTITUTE(Z$2,"-","")&amp;"[UDC]",TRUE),INDIRECT("Table"&amp;SUBSTITUTE(Z$2,"-","")&amp;"[Component Type]",TRUE)),"")</f>
        <v/>
      </c>
    </row>
    <row r="65" spans="1:26" x14ac:dyDescent="0.25">
      <c r="A65" s="8" t="s">
        <v>190</v>
      </c>
      <c r="B65" s="9">
        <v>1</v>
      </c>
      <c r="C65" s="9" t="s">
        <v>342</v>
      </c>
      <c r="D65" s="8" t="s">
        <v>343</v>
      </c>
      <c r="E65" s="9">
        <v>25</v>
      </c>
      <c r="F65" s="265" t="s">
        <v>255</v>
      </c>
      <c r="G65" s="72" t="str">
        <f>IFERROR(IF(VLOOKUP(TableHandbook[[#This Row],[UDC]],TableAvailabilities[],2,FALSE)&gt;0,"Y",""),"")</f>
        <v/>
      </c>
      <c r="H65" s="72" t="str">
        <f>IFERROR(IF(VLOOKUP(TableHandbook[[#This Row],[UDC]],TableAvailabilities[],3,FALSE)&gt;0,"Y",""),"")</f>
        <v>Y</v>
      </c>
      <c r="I65" s="72" t="str">
        <f>IFERROR(IF(VLOOKUP(TableHandbook[[#This Row],[UDC]],TableAvailabilities[],4,FALSE)&gt;0,"Y",""),"")</f>
        <v/>
      </c>
      <c r="J65" s="72" t="str">
        <f>IFERROR(IF(VLOOKUP(TableHandbook[[#This Row],[UDC]],TableAvailabilities[],5,FALSE)&gt;0,"Y",""),"")</f>
        <v>Y</v>
      </c>
      <c r="K65" s="155"/>
      <c r="L65" s="152" t="str" cm="1">
        <f t="array" aca="1" ref="L65" ca="1">IFERROR(_xlfn.XLOOKUP(TableHandbook[[#This Row],[UDC]],INDIRECT("Table"&amp;SUBSTITUTE(L$2,"-","")&amp;"[UDC]",TRUE),INDIRECT("Table"&amp;SUBSTITUTE(L$2,"-","")&amp;"[Component Type]",TRUE)),"")</f>
        <v/>
      </c>
      <c r="M65" s="152" t="str" cm="1">
        <f t="array" aca="1" ref="M65" ca="1">IFERROR(_xlfn.XLOOKUP(TableHandbook[[#This Row],[UDC]],INDIRECT("Table"&amp;SUBSTITUTE(M$2,"-","")&amp;"[UDC]",TRUE),INDIRECT("Table"&amp;SUBSTITUTE(M$2,"-","")&amp;"[Component Type]",TRUE)),"")</f>
        <v/>
      </c>
      <c r="N65" s="154" t="str" cm="1">
        <f t="array" aca="1" ref="N65" ca="1">IFERROR(_xlfn.XLOOKUP(TableHandbook[[#This Row],[UDC]],INDIRECT("Table"&amp;SUBSTITUTE(N$2,"-","")&amp;"[UDC]",TRUE),INDIRECT("Table"&amp;SUBSTITUTE(N$2,"-","")&amp;"[Component Type]",TRUE)),"")</f>
        <v/>
      </c>
      <c r="O65" s="152" t="str" cm="1">
        <f t="array" aca="1" ref="O65" ca="1">IFERROR(_xlfn.XLOOKUP(TableHandbook[[#This Row],[UDC]],INDIRECT("Table"&amp;SUBSTITUTE(O$2,"-","")&amp;"[UDC]",TRUE),INDIRECT("Table"&amp;SUBSTITUTE(O$2,"-","")&amp;"[Component Type]",TRUE)),"")</f>
        <v/>
      </c>
      <c r="P65" s="152" t="str" cm="1">
        <f t="array" aca="1" ref="P65" ca="1">IFERROR(_xlfn.XLOOKUP(TableHandbook[[#This Row],[UDC]],INDIRECT("Table"&amp;SUBSTITUTE(P$2,"-","")&amp;"[UDC]",TRUE),INDIRECT("Table"&amp;SUBSTITUTE(P$2,"-","")&amp;"[Component Type]",TRUE)),"")</f>
        <v/>
      </c>
      <c r="Q65" s="152" t="str" cm="1">
        <f t="array" aca="1" ref="Q65" ca="1">IFERROR(_xlfn.XLOOKUP(TableHandbook[[#This Row],[UDC]],INDIRECT("Table"&amp;SUBSTITUTE(Q$2,"-","")&amp;"[UDC]",TRUE),INDIRECT("Table"&amp;SUBSTITUTE(Q$2,"-","")&amp;"[Component Type]",TRUE)),"")</f>
        <v/>
      </c>
      <c r="R65" s="152" t="str" cm="1">
        <f t="array" aca="1" ref="R65" ca="1">IFERROR(_xlfn.XLOOKUP(TableHandbook[[#This Row],[UDC]],INDIRECT("Table"&amp;SUBSTITUTE(R$2,"-","")&amp;"[UDC]",TRUE),INDIRECT("Table"&amp;SUBSTITUTE(R$2,"-","")&amp;"[Component Type]",TRUE)),"")</f>
        <v/>
      </c>
      <c r="S65" s="152" t="str" cm="1">
        <f t="array" aca="1" ref="S65" ca="1">IFERROR(_xlfn.XLOOKUP(TableHandbook[[#This Row],[UDC]],INDIRECT("Table"&amp;SUBSTITUTE(S$2,"-","")&amp;"[UDC]",TRUE),INDIRECT("Table"&amp;SUBSTITUTE(S$2,"-","")&amp;"[Component Type]",TRUE)),"")</f>
        <v/>
      </c>
      <c r="T65" s="152" t="str" cm="1">
        <f t="array" aca="1" ref="T65" ca="1">IFERROR(_xlfn.XLOOKUP(TableHandbook[[#This Row],[UDC]],INDIRECT("Table"&amp;SUBSTITUTE(T$2,"-","")&amp;"[UDC]",TRUE),INDIRECT("Table"&amp;SUBSTITUTE(T$2,"-","")&amp;"[Component Type]",TRUE)),"")</f>
        <v/>
      </c>
      <c r="U65" s="152" t="str" cm="1">
        <f t="array" aca="1" ref="U65" ca="1">IFERROR(_xlfn.XLOOKUP(TableHandbook[[#This Row],[UDC]],INDIRECT("Table"&amp;SUBSTITUTE(U$2,"-","")&amp;"[UDC]",TRUE),INDIRECT("Table"&amp;SUBSTITUTE(U$2,"-","")&amp;"[Component Type]",TRUE)),"")</f>
        <v/>
      </c>
      <c r="V65" s="154" t="str" cm="1">
        <f t="array" aca="1" ref="V65" ca="1">IFERROR(_xlfn.XLOOKUP(TableHandbook[[#This Row],[UDC]],INDIRECT("Table"&amp;SUBSTITUTE(V$2,"-","")&amp;"[UDC]",TRUE),INDIRECT("Table"&amp;SUBSTITUTE(V$2,"-","")&amp;"[Component Type]",TRUE)),"")</f>
        <v/>
      </c>
      <c r="W65" s="152" t="str" cm="1">
        <f t="array" aca="1" ref="W65" ca="1">IFERROR(_xlfn.XLOOKUP(TableHandbook[[#This Row],[UDC]],INDIRECT("Table"&amp;SUBSTITUTE(W$2,"-","")&amp;"[UDC]",TRUE),INDIRECT("Table"&amp;SUBSTITUTE(W$2,"-","")&amp;"[Component Type]",TRUE)),"")</f>
        <v/>
      </c>
      <c r="X65" s="152" t="str" cm="1">
        <f t="array" aca="1" ref="X65" ca="1">IFERROR(_xlfn.XLOOKUP(TableHandbook[[#This Row],[UDC]],INDIRECT("Table"&amp;SUBSTITUTE(X$2,"-","")&amp;"[UDC]",TRUE),INDIRECT("Table"&amp;SUBSTITUTE(X$2,"-","")&amp;"[Component Type]",TRUE)),"")</f>
        <v/>
      </c>
      <c r="Y65" s="152" t="str" cm="1">
        <f t="array" aca="1" ref="Y65" ca="1">IFERROR(_xlfn.XLOOKUP(TableHandbook[[#This Row],[UDC]],INDIRECT("Table"&amp;SUBSTITUTE(Y$2,"-","")&amp;"[UDC]",TRUE),INDIRECT("Table"&amp;SUBSTITUTE(Y$2,"-","")&amp;"[Component Type]",TRUE)),"")</f>
        <v/>
      </c>
      <c r="Z65" s="152" t="str" cm="1">
        <f t="array" aca="1" ref="Z65" ca="1">IFERROR(_xlfn.XLOOKUP(TableHandbook[[#This Row],[UDC]],INDIRECT("Table"&amp;SUBSTITUTE(Z$2,"-","")&amp;"[UDC]",TRUE),INDIRECT("Table"&amp;SUBSTITUTE(Z$2,"-","")&amp;"[Component Type]",TRUE)),"")</f>
        <v>Core</v>
      </c>
    </row>
    <row r="66" spans="1:26" x14ac:dyDescent="0.25">
      <c r="A66" s="8" t="s">
        <v>203</v>
      </c>
      <c r="B66" s="9">
        <v>2</v>
      </c>
      <c r="C66" s="9" t="s">
        <v>344</v>
      </c>
      <c r="D66" s="8" t="s">
        <v>345</v>
      </c>
      <c r="E66" s="9">
        <v>25</v>
      </c>
      <c r="F66" s="266" t="s">
        <v>342</v>
      </c>
      <c r="G66" s="72" t="str">
        <f>IFERROR(IF(VLOOKUP(TableHandbook[[#This Row],[UDC]],TableAvailabilities[],2,FALSE)&gt;0,"Y",""),"")</f>
        <v/>
      </c>
      <c r="H66" s="72" t="str">
        <f>IFERROR(IF(VLOOKUP(TableHandbook[[#This Row],[UDC]],TableAvailabilities[],3,FALSE)&gt;0,"Y",""),"")</f>
        <v>Y</v>
      </c>
      <c r="I66" s="72" t="str">
        <f>IFERROR(IF(VLOOKUP(TableHandbook[[#This Row],[UDC]],TableAvailabilities[],4,FALSE)&gt;0,"Y",""),"")</f>
        <v/>
      </c>
      <c r="J66" s="72" t="str">
        <f>IFERROR(IF(VLOOKUP(TableHandbook[[#This Row],[UDC]],TableAvailabilities[],5,FALSE)&gt;0,"Y",""),"")</f>
        <v>Y</v>
      </c>
      <c r="K66" s="155"/>
      <c r="L66" s="152" t="str" cm="1">
        <f t="array" aca="1" ref="L66" ca="1">IFERROR(_xlfn.XLOOKUP(TableHandbook[[#This Row],[UDC]],INDIRECT("Table"&amp;SUBSTITUTE(L$2,"-","")&amp;"[UDC]",TRUE),INDIRECT("Table"&amp;SUBSTITUTE(L$2,"-","")&amp;"[Component Type]",TRUE)),"")</f>
        <v/>
      </c>
      <c r="M66" s="152" t="str" cm="1">
        <f t="array" aca="1" ref="M66" ca="1">IFERROR(_xlfn.XLOOKUP(TableHandbook[[#This Row],[UDC]],INDIRECT("Table"&amp;SUBSTITUTE(M$2,"-","")&amp;"[UDC]",TRUE),INDIRECT("Table"&amp;SUBSTITUTE(M$2,"-","")&amp;"[Component Type]",TRUE)),"")</f>
        <v/>
      </c>
      <c r="N66" s="154" t="str" cm="1">
        <f t="array" aca="1" ref="N66" ca="1">IFERROR(_xlfn.XLOOKUP(TableHandbook[[#This Row],[UDC]],INDIRECT("Table"&amp;SUBSTITUTE(N$2,"-","")&amp;"[UDC]",TRUE),INDIRECT("Table"&amp;SUBSTITUTE(N$2,"-","")&amp;"[Component Type]",TRUE)),"")</f>
        <v/>
      </c>
      <c r="O66" s="152" t="str" cm="1">
        <f t="array" aca="1" ref="O66" ca="1">IFERROR(_xlfn.XLOOKUP(TableHandbook[[#This Row],[UDC]],INDIRECT("Table"&amp;SUBSTITUTE(O$2,"-","")&amp;"[UDC]",TRUE),INDIRECT("Table"&amp;SUBSTITUTE(O$2,"-","")&amp;"[Component Type]",TRUE)),"")</f>
        <v/>
      </c>
      <c r="P66" s="152" t="str" cm="1">
        <f t="array" aca="1" ref="P66" ca="1">IFERROR(_xlfn.XLOOKUP(TableHandbook[[#This Row],[UDC]],INDIRECT("Table"&amp;SUBSTITUTE(P$2,"-","")&amp;"[UDC]",TRUE),INDIRECT("Table"&amp;SUBSTITUTE(P$2,"-","")&amp;"[Component Type]",TRUE)),"")</f>
        <v/>
      </c>
      <c r="Q66" s="152" t="str" cm="1">
        <f t="array" aca="1" ref="Q66" ca="1">IFERROR(_xlfn.XLOOKUP(TableHandbook[[#This Row],[UDC]],INDIRECT("Table"&amp;SUBSTITUTE(Q$2,"-","")&amp;"[UDC]",TRUE),INDIRECT("Table"&amp;SUBSTITUTE(Q$2,"-","")&amp;"[Component Type]",TRUE)),"")</f>
        <v/>
      </c>
      <c r="R66" s="152" t="str" cm="1">
        <f t="array" aca="1" ref="R66" ca="1">IFERROR(_xlfn.XLOOKUP(TableHandbook[[#This Row],[UDC]],INDIRECT("Table"&amp;SUBSTITUTE(R$2,"-","")&amp;"[UDC]",TRUE),INDIRECT("Table"&amp;SUBSTITUTE(R$2,"-","")&amp;"[Component Type]",TRUE)),"")</f>
        <v/>
      </c>
      <c r="S66" s="152" t="str" cm="1">
        <f t="array" aca="1" ref="S66" ca="1">IFERROR(_xlfn.XLOOKUP(TableHandbook[[#This Row],[UDC]],INDIRECT("Table"&amp;SUBSTITUTE(S$2,"-","")&amp;"[UDC]",TRUE),INDIRECT("Table"&amp;SUBSTITUTE(S$2,"-","")&amp;"[Component Type]",TRUE)),"")</f>
        <v/>
      </c>
      <c r="T66" s="152" t="str" cm="1">
        <f t="array" aca="1" ref="T66" ca="1">IFERROR(_xlfn.XLOOKUP(TableHandbook[[#This Row],[UDC]],INDIRECT("Table"&amp;SUBSTITUTE(T$2,"-","")&amp;"[UDC]",TRUE),INDIRECT("Table"&amp;SUBSTITUTE(T$2,"-","")&amp;"[Component Type]",TRUE)),"")</f>
        <v/>
      </c>
      <c r="U66" s="152" t="str" cm="1">
        <f t="array" aca="1" ref="U66" ca="1">IFERROR(_xlfn.XLOOKUP(TableHandbook[[#This Row],[UDC]],INDIRECT("Table"&amp;SUBSTITUTE(U$2,"-","")&amp;"[UDC]",TRUE),INDIRECT("Table"&amp;SUBSTITUTE(U$2,"-","")&amp;"[Component Type]",TRUE)),"")</f>
        <v/>
      </c>
      <c r="V66" s="154" t="str" cm="1">
        <f t="array" aca="1" ref="V66" ca="1">IFERROR(_xlfn.XLOOKUP(TableHandbook[[#This Row],[UDC]],INDIRECT("Table"&amp;SUBSTITUTE(V$2,"-","")&amp;"[UDC]",TRUE),INDIRECT("Table"&amp;SUBSTITUTE(V$2,"-","")&amp;"[Component Type]",TRUE)),"")</f>
        <v/>
      </c>
      <c r="W66" s="152" t="str" cm="1">
        <f t="array" aca="1" ref="W66" ca="1">IFERROR(_xlfn.XLOOKUP(TableHandbook[[#This Row],[UDC]],INDIRECT("Table"&amp;SUBSTITUTE(W$2,"-","")&amp;"[UDC]",TRUE),INDIRECT("Table"&amp;SUBSTITUTE(W$2,"-","")&amp;"[Component Type]",TRUE)),"")</f>
        <v/>
      </c>
      <c r="X66" s="152" t="str" cm="1">
        <f t="array" aca="1" ref="X66" ca="1">IFERROR(_xlfn.XLOOKUP(TableHandbook[[#This Row],[UDC]],INDIRECT("Table"&amp;SUBSTITUTE(X$2,"-","")&amp;"[UDC]",TRUE),INDIRECT("Table"&amp;SUBSTITUTE(X$2,"-","")&amp;"[Component Type]",TRUE)),"")</f>
        <v/>
      </c>
      <c r="Y66" s="152" t="str" cm="1">
        <f t="array" aca="1" ref="Y66" ca="1">IFERROR(_xlfn.XLOOKUP(TableHandbook[[#This Row],[UDC]],INDIRECT("Table"&amp;SUBSTITUTE(Y$2,"-","")&amp;"[UDC]",TRUE),INDIRECT("Table"&amp;SUBSTITUTE(Y$2,"-","")&amp;"[Component Type]",TRUE)),"")</f>
        <v/>
      </c>
      <c r="Z66" s="152" t="str" cm="1">
        <f t="array" aca="1" ref="Z66" ca="1">IFERROR(_xlfn.XLOOKUP(TableHandbook[[#This Row],[UDC]],INDIRECT("Table"&amp;SUBSTITUTE(Z$2,"-","")&amp;"[UDC]",TRUE),INDIRECT("Table"&amp;SUBSTITUTE(Z$2,"-","")&amp;"[Component Type]",TRUE)),"")</f>
        <v>Core</v>
      </c>
    </row>
    <row r="67" spans="1:26" x14ac:dyDescent="0.25">
      <c r="A67" s="8" t="s">
        <v>204</v>
      </c>
      <c r="B67" s="9">
        <v>2</v>
      </c>
      <c r="C67" s="9" t="s">
        <v>346</v>
      </c>
      <c r="D67" s="8" t="s">
        <v>347</v>
      </c>
      <c r="E67" s="9">
        <v>25</v>
      </c>
      <c r="F67" s="266" t="s">
        <v>348</v>
      </c>
      <c r="G67" s="72" t="str">
        <f>IFERROR(IF(VLOOKUP(TableHandbook[[#This Row],[UDC]],TableAvailabilities[],2,FALSE)&gt;0,"Y",""),"")</f>
        <v/>
      </c>
      <c r="H67" s="72" t="str">
        <f>IFERROR(IF(VLOOKUP(TableHandbook[[#This Row],[UDC]],TableAvailabilities[],3,FALSE)&gt;0,"Y",""),"")</f>
        <v>Y</v>
      </c>
      <c r="I67" s="72" t="str">
        <f>IFERROR(IF(VLOOKUP(TableHandbook[[#This Row],[UDC]],TableAvailabilities[],4,FALSE)&gt;0,"Y",""),"")</f>
        <v/>
      </c>
      <c r="J67" s="72" t="str">
        <f>IFERROR(IF(VLOOKUP(TableHandbook[[#This Row],[UDC]],TableAvailabilities[],5,FALSE)&gt;0,"Y",""),"")</f>
        <v>Y</v>
      </c>
      <c r="K67" s="155"/>
      <c r="L67" s="152" t="str" cm="1">
        <f t="array" aca="1" ref="L67" ca="1">IFERROR(_xlfn.XLOOKUP(TableHandbook[[#This Row],[UDC]],INDIRECT("Table"&amp;SUBSTITUTE(L$2,"-","")&amp;"[UDC]",TRUE),INDIRECT("Table"&amp;SUBSTITUTE(L$2,"-","")&amp;"[Component Type]",TRUE)),"")</f>
        <v/>
      </c>
      <c r="M67" s="152" t="str" cm="1">
        <f t="array" aca="1" ref="M67" ca="1">IFERROR(_xlfn.XLOOKUP(TableHandbook[[#This Row],[UDC]],INDIRECT("Table"&amp;SUBSTITUTE(M$2,"-","")&amp;"[UDC]",TRUE),INDIRECT("Table"&amp;SUBSTITUTE(M$2,"-","")&amp;"[Component Type]",TRUE)),"")</f>
        <v/>
      </c>
      <c r="N67" s="154" t="str" cm="1">
        <f t="array" aca="1" ref="N67" ca="1">IFERROR(_xlfn.XLOOKUP(TableHandbook[[#This Row],[UDC]],INDIRECT("Table"&amp;SUBSTITUTE(N$2,"-","")&amp;"[UDC]",TRUE),INDIRECT("Table"&amp;SUBSTITUTE(N$2,"-","")&amp;"[Component Type]",TRUE)),"")</f>
        <v/>
      </c>
      <c r="O67" s="152" t="str" cm="1">
        <f t="array" aca="1" ref="O67" ca="1">IFERROR(_xlfn.XLOOKUP(TableHandbook[[#This Row],[UDC]],INDIRECT("Table"&amp;SUBSTITUTE(O$2,"-","")&amp;"[UDC]",TRUE),INDIRECT("Table"&amp;SUBSTITUTE(O$2,"-","")&amp;"[Component Type]",TRUE)),"")</f>
        <v/>
      </c>
      <c r="P67" s="152" t="str" cm="1">
        <f t="array" aca="1" ref="P67" ca="1">IFERROR(_xlfn.XLOOKUP(TableHandbook[[#This Row],[UDC]],INDIRECT("Table"&amp;SUBSTITUTE(P$2,"-","")&amp;"[UDC]",TRUE),INDIRECT("Table"&amp;SUBSTITUTE(P$2,"-","")&amp;"[Component Type]",TRUE)),"")</f>
        <v/>
      </c>
      <c r="Q67" s="152" t="str" cm="1">
        <f t="array" aca="1" ref="Q67" ca="1">IFERROR(_xlfn.XLOOKUP(TableHandbook[[#This Row],[UDC]],INDIRECT("Table"&amp;SUBSTITUTE(Q$2,"-","")&amp;"[UDC]",TRUE),INDIRECT("Table"&amp;SUBSTITUTE(Q$2,"-","")&amp;"[Component Type]",TRUE)),"")</f>
        <v/>
      </c>
      <c r="R67" s="152" t="str" cm="1">
        <f t="array" aca="1" ref="R67" ca="1">IFERROR(_xlfn.XLOOKUP(TableHandbook[[#This Row],[UDC]],INDIRECT("Table"&amp;SUBSTITUTE(R$2,"-","")&amp;"[UDC]",TRUE),INDIRECT("Table"&amp;SUBSTITUTE(R$2,"-","")&amp;"[Component Type]",TRUE)),"")</f>
        <v/>
      </c>
      <c r="S67" s="152" t="str" cm="1">
        <f t="array" aca="1" ref="S67" ca="1">IFERROR(_xlfn.XLOOKUP(TableHandbook[[#This Row],[UDC]],INDIRECT("Table"&amp;SUBSTITUTE(S$2,"-","")&amp;"[UDC]",TRUE),INDIRECT("Table"&amp;SUBSTITUTE(S$2,"-","")&amp;"[Component Type]",TRUE)),"")</f>
        <v/>
      </c>
      <c r="T67" s="152" t="str" cm="1">
        <f t="array" aca="1" ref="T67" ca="1">IFERROR(_xlfn.XLOOKUP(TableHandbook[[#This Row],[UDC]],INDIRECT("Table"&amp;SUBSTITUTE(T$2,"-","")&amp;"[UDC]",TRUE),INDIRECT("Table"&amp;SUBSTITUTE(T$2,"-","")&amp;"[Component Type]",TRUE)),"")</f>
        <v/>
      </c>
      <c r="U67" s="152" t="str" cm="1">
        <f t="array" aca="1" ref="U67" ca="1">IFERROR(_xlfn.XLOOKUP(TableHandbook[[#This Row],[UDC]],INDIRECT("Table"&amp;SUBSTITUTE(U$2,"-","")&amp;"[UDC]",TRUE),INDIRECT("Table"&amp;SUBSTITUTE(U$2,"-","")&amp;"[Component Type]",TRUE)),"")</f>
        <v/>
      </c>
      <c r="V67" s="154" t="str" cm="1">
        <f t="array" aca="1" ref="V67" ca="1">IFERROR(_xlfn.XLOOKUP(TableHandbook[[#This Row],[UDC]],INDIRECT("Table"&amp;SUBSTITUTE(V$2,"-","")&amp;"[UDC]",TRUE),INDIRECT("Table"&amp;SUBSTITUTE(V$2,"-","")&amp;"[Component Type]",TRUE)),"")</f>
        <v/>
      </c>
      <c r="W67" s="152" t="str" cm="1">
        <f t="array" aca="1" ref="W67" ca="1">IFERROR(_xlfn.XLOOKUP(TableHandbook[[#This Row],[UDC]],INDIRECT("Table"&amp;SUBSTITUTE(W$2,"-","")&amp;"[UDC]",TRUE),INDIRECT("Table"&amp;SUBSTITUTE(W$2,"-","")&amp;"[Component Type]",TRUE)),"")</f>
        <v/>
      </c>
      <c r="X67" s="152" t="str" cm="1">
        <f t="array" aca="1" ref="X67" ca="1">IFERROR(_xlfn.XLOOKUP(TableHandbook[[#This Row],[UDC]],INDIRECT("Table"&amp;SUBSTITUTE(X$2,"-","")&amp;"[UDC]",TRUE),INDIRECT("Table"&amp;SUBSTITUTE(X$2,"-","")&amp;"[Component Type]",TRUE)),"")</f>
        <v>Core</v>
      </c>
      <c r="Y67" s="152" t="str" cm="1">
        <f t="array" aca="1" ref="Y67" ca="1">IFERROR(_xlfn.XLOOKUP(TableHandbook[[#This Row],[UDC]],INDIRECT("Table"&amp;SUBSTITUTE(Y$2,"-","")&amp;"[UDC]",TRUE),INDIRECT("Table"&amp;SUBSTITUTE(Y$2,"-","")&amp;"[Component Type]",TRUE)),"")</f>
        <v/>
      </c>
      <c r="Z67" s="152" t="str" cm="1">
        <f t="array" aca="1" ref="Z67" ca="1">IFERROR(_xlfn.XLOOKUP(TableHandbook[[#This Row],[UDC]],INDIRECT("Table"&amp;SUBSTITUTE(Z$2,"-","")&amp;"[UDC]",TRUE),INDIRECT("Table"&amp;SUBSTITUTE(Z$2,"-","")&amp;"[Component Type]",TRUE)),"")</f>
        <v/>
      </c>
    </row>
    <row r="68" spans="1:26" x14ac:dyDescent="0.25">
      <c r="A68" s="8" t="s">
        <v>679</v>
      </c>
      <c r="B68" s="9">
        <v>1</v>
      </c>
      <c r="C68" s="9" t="s">
        <v>341</v>
      </c>
      <c r="D68" s="8" t="s">
        <v>349</v>
      </c>
      <c r="E68" s="9">
        <v>25</v>
      </c>
      <c r="F68" s="266" t="s">
        <v>255</v>
      </c>
      <c r="G68" s="72" t="str">
        <f>IFERROR(IF(VLOOKUP(TableHandbook[[#This Row],[UDC]],TableAvailabilities[],2,FALSE)&gt;0,"Y",""),"")</f>
        <v/>
      </c>
      <c r="H68" s="72" t="str">
        <f>IFERROR(IF(VLOOKUP(TableHandbook[[#This Row],[UDC]],TableAvailabilities[],3,FALSE)&gt;0,"Y",""),"")</f>
        <v/>
      </c>
      <c r="I68" s="72" t="str">
        <f>IFERROR(IF(VLOOKUP(TableHandbook[[#This Row],[UDC]],TableAvailabilities[],4,FALSE)&gt;0,"Y",""),"")</f>
        <v/>
      </c>
      <c r="J68" s="72" t="str">
        <f>IFERROR(IF(VLOOKUP(TableHandbook[[#This Row],[UDC]],TableAvailabilities[],5,FALSE)&gt;0,"Y",""),"")</f>
        <v/>
      </c>
      <c r="K68" s="155" t="s">
        <v>680</v>
      </c>
      <c r="L68" s="152" t="str" cm="1">
        <f t="array" aca="1" ref="L68" ca="1">IFERROR(_xlfn.XLOOKUP(TableHandbook[[#This Row],[UDC]],INDIRECT("Table"&amp;SUBSTITUTE(L$2,"-","")&amp;"[UDC]",TRUE),INDIRECT("Table"&amp;SUBSTITUTE(L$2,"-","")&amp;"[Component Type]",TRUE)),"")</f>
        <v/>
      </c>
      <c r="M68" s="152" t="str" cm="1">
        <f t="array" aca="1" ref="M68" ca="1">IFERROR(_xlfn.XLOOKUP(TableHandbook[[#This Row],[UDC]],INDIRECT("Table"&amp;SUBSTITUTE(M$2,"-","")&amp;"[UDC]",TRUE),INDIRECT("Table"&amp;SUBSTITUTE(M$2,"-","")&amp;"[Component Type]",TRUE)),"")</f>
        <v/>
      </c>
      <c r="N68" s="154" t="str" cm="1">
        <f t="array" aca="1" ref="N68" ca="1">IFERROR(_xlfn.XLOOKUP(TableHandbook[[#This Row],[UDC]],INDIRECT("Table"&amp;SUBSTITUTE(N$2,"-","")&amp;"[UDC]",TRUE),INDIRECT("Table"&amp;SUBSTITUTE(N$2,"-","")&amp;"[Component Type]",TRUE)),"")</f>
        <v/>
      </c>
      <c r="O68" s="152" t="str" cm="1">
        <f t="array" aca="1" ref="O68" ca="1">IFERROR(_xlfn.XLOOKUP(TableHandbook[[#This Row],[UDC]],INDIRECT("Table"&amp;SUBSTITUTE(O$2,"-","")&amp;"[UDC]",TRUE),INDIRECT("Table"&amp;SUBSTITUTE(O$2,"-","")&amp;"[Component Type]",TRUE)),"")</f>
        <v/>
      </c>
      <c r="P68" s="152" t="str" cm="1">
        <f t="array" aca="1" ref="P68" ca="1">IFERROR(_xlfn.XLOOKUP(TableHandbook[[#This Row],[UDC]],INDIRECT("Table"&amp;SUBSTITUTE(P$2,"-","")&amp;"[UDC]",TRUE),INDIRECT("Table"&amp;SUBSTITUTE(P$2,"-","")&amp;"[Component Type]",TRUE)),"")</f>
        <v/>
      </c>
      <c r="Q68" s="152" t="str" cm="1">
        <f t="array" aca="1" ref="Q68" ca="1">IFERROR(_xlfn.XLOOKUP(TableHandbook[[#This Row],[UDC]],INDIRECT("Table"&amp;SUBSTITUTE(Q$2,"-","")&amp;"[UDC]",TRUE),INDIRECT("Table"&amp;SUBSTITUTE(Q$2,"-","")&amp;"[Component Type]",TRUE)),"")</f>
        <v/>
      </c>
      <c r="R68" s="152" t="str" cm="1">
        <f t="array" aca="1" ref="R68" ca="1">IFERROR(_xlfn.XLOOKUP(TableHandbook[[#This Row],[UDC]],INDIRECT("Table"&amp;SUBSTITUTE(R$2,"-","")&amp;"[UDC]",TRUE),INDIRECT("Table"&amp;SUBSTITUTE(R$2,"-","")&amp;"[Component Type]",TRUE)),"")</f>
        <v/>
      </c>
      <c r="S68" s="152" t="str" cm="1">
        <f t="array" aca="1" ref="S68" ca="1">IFERROR(_xlfn.XLOOKUP(TableHandbook[[#This Row],[UDC]],INDIRECT("Table"&amp;SUBSTITUTE(S$2,"-","")&amp;"[UDC]",TRUE),INDIRECT("Table"&amp;SUBSTITUTE(S$2,"-","")&amp;"[Component Type]",TRUE)),"")</f>
        <v/>
      </c>
      <c r="T68" s="152" t="str" cm="1">
        <f t="array" aca="1" ref="T68" ca="1">IFERROR(_xlfn.XLOOKUP(TableHandbook[[#This Row],[UDC]],INDIRECT("Table"&amp;SUBSTITUTE(T$2,"-","")&amp;"[UDC]",TRUE),INDIRECT("Table"&amp;SUBSTITUTE(T$2,"-","")&amp;"[Component Type]",TRUE)),"")</f>
        <v/>
      </c>
      <c r="U68" s="152" t="str" cm="1">
        <f t="array" aca="1" ref="U68" ca="1">IFERROR(_xlfn.XLOOKUP(TableHandbook[[#This Row],[UDC]],INDIRECT("Table"&amp;SUBSTITUTE(U$2,"-","")&amp;"[UDC]",TRUE),INDIRECT("Table"&amp;SUBSTITUTE(U$2,"-","")&amp;"[Component Type]",TRUE)),"")</f>
        <v/>
      </c>
      <c r="V68" s="154" t="str" cm="1">
        <f t="array" aca="1" ref="V68" ca="1">IFERROR(_xlfn.XLOOKUP(TableHandbook[[#This Row],[UDC]],INDIRECT("Table"&amp;SUBSTITUTE(V$2,"-","")&amp;"[UDC]",TRUE),INDIRECT("Table"&amp;SUBSTITUTE(V$2,"-","")&amp;"[Component Type]",TRUE)),"")</f>
        <v/>
      </c>
      <c r="W68" s="152" t="str" cm="1">
        <f t="array" aca="1" ref="W68" ca="1">IFERROR(_xlfn.XLOOKUP(TableHandbook[[#This Row],[UDC]],INDIRECT("Table"&amp;SUBSTITUTE(W$2,"-","")&amp;"[UDC]",TRUE),INDIRECT("Table"&amp;SUBSTITUTE(W$2,"-","")&amp;"[Component Type]",TRUE)),"")</f>
        <v/>
      </c>
      <c r="X68" s="152" t="str" cm="1">
        <f t="array" aca="1" ref="X68" ca="1">IFERROR(_xlfn.XLOOKUP(TableHandbook[[#This Row],[UDC]],INDIRECT("Table"&amp;SUBSTITUTE(X$2,"-","")&amp;"[UDC]",TRUE),INDIRECT("Table"&amp;SUBSTITUTE(X$2,"-","")&amp;"[Component Type]",TRUE)),"")</f>
        <v/>
      </c>
      <c r="Y68" s="152" t="str" cm="1">
        <f t="array" aca="1" ref="Y68" ca="1">IFERROR(_xlfn.XLOOKUP(TableHandbook[[#This Row],[UDC]],INDIRECT("Table"&amp;SUBSTITUTE(Y$2,"-","")&amp;"[UDC]",TRUE),INDIRECT("Table"&amp;SUBSTITUTE(Y$2,"-","")&amp;"[Component Type]",TRUE)),"")</f>
        <v/>
      </c>
      <c r="Z68" s="152" t="str" cm="1">
        <f t="array" aca="1" ref="Z68" ca="1">IFERROR(_xlfn.XLOOKUP(TableHandbook[[#This Row],[UDC]],INDIRECT("Table"&amp;SUBSTITUTE(Z$2,"-","")&amp;"[UDC]",TRUE),INDIRECT("Table"&amp;SUBSTITUTE(Z$2,"-","")&amp;"[Component Type]",TRUE)),"")</f>
        <v/>
      </c>
    </row>
    <row r="69" spans="1:26" x14ac:dyDescent="0.25">
      <c r="A69" s="8" t="s">
        <v>188</v>
      </c>
      <c r="B69" s="9">
        <v>1</v>
      </c>
      <c r="C69" s="9" t="s">
        <v>348</v>
      </c>
      <c r="D69" s="8" t="s">
        <v>350</v>
      </c>
      <c r="E69" s="9">
        <v>25</v>
      </c>
      <c r="F69" s="266" t="s">
        <v>255</v>
      </c>
      <c r="G69" s="72" t="str">
        <f>IFERROR(IF(VLOOKUP(TableHandbook[[#This Row],[UDC]],TableAvailabilities[],2,FALSE)&gt;0,"Y",""),"")</f>
        <v/>
      </c>
      <c r="H69" s="72" t="str">
        <f>IFERROR(IF(VLOOKUP(TableHandbook[[#This Row],[UDC]],TableAvailabilities[],3,FALSE)&gt;0,"Y",""),"")</f>
        <v>Y</v>
      </c>
      <c r="I69" s="72" t="str">
        <f>IFERROR(IF(VLOOKUP(TableHandbook[[#This Row],[UDC]],TableAvailabilities[],4,FALSE)&gt;0,"Y",""),"")</f>
        <v/>
      </c>
      <c r="J69" s="72" t="str">
        <f>IFERROR(IF(VLOOKUP(TableHandbook[[#This Row],[UDC]],TableAvailabilities[],5,FALSE)&gt;0,"Y",""),"")</f>
        <v>Y</v>
      </c>
      <c r="K69" s="155"/>
      <c r="L69" s="152" t="str" cm="1">
        <f t="array" aca="1" ref="L69" ca="1">IFERROR(_xlfn.XLOOKUP(TableHandbook[[#This Row],[UDC]],INDIRECT("Table"&amp;SUBSTITUTE(L$2,"-","")&amp;"[UDC]",TRUE),INDIRECT("Table"&amp;SUBSTITUTE(L$2,"-","")&amp;"[Component Type]",TRUE)),"")</f>
        <v/>
      </c>
      <c r="M69" s="152" t="str" cm="1">
        <f t="array" aca="1" ref="M69" ca="1">IFERROR(_xlfn.XLOOKUP(TableHandbook[[#This Row],[UDC]],INDIRECT("Table"&amp;SUBSTITUTE(M$2,"-","")&amp;"[UDC]",TRUE),INDIRECT("Table"&amp;SUBSTITUTE(M$2,"-","")&amp;"[Component Type]",TRUE)),"")</f>
        <v/>
      </c>
      <c r="N69" s="154" t="str" cm="1">
        <f t="array" aca="1" ref="N69" ca="1">IFERROR(_xlfn.XLOOKUP(TableHandbook[[#This Row],[UDC]],INDIRECT("Table"&amp;SUBSTITUTE(N$2,"-","")&amp;"[UDC]",TRUE),INDIRECT("Table"&amp;SUBSTITUTE(N$2,"-","")&amp;"[Component Type]",TRUE)),"")</f>
        <v/>
      </c>
      <c r="O69" s="152" t="str" cm="1">
        <f t="array" aca="1" ref="O69" ca="1">IFERROR(_xlfn.XLOOKUP(TableHandbook[[#This Row],[UDC]],INDIRECT("Table"&amp;SUBSTITUTE(O$2,"-","")&amp;"[UDC]",TRUE),INDIRECT("Table"&amp;SUBSTITUTE(O$2,"-","")&amp;"[Component Type]",TRUE)),"")</f>
        <v/>
      </c>
      <c r="P69" s="152" t="str" cm="1">
        <f t="array" aca="1" ref="P69" ca="1">IFERROR(_xlfn.XLOOKUP(TableHandbook[[#This Row],[UDC]],INDIRECT("Table"&amp;SUBSTITUTE(P$2,"-","")&amp;"[UDC]",TRUE),INDIRECT("Table"&amp;SUBSTITUTE(P$2,"-","")&amp;"[Component Type]",TRUE)),"")</f>
        <v/>
      </c>
      <c r="Q69" s="152" t="str" cm="1">
        <f t="array" aca="1" ref="Q69" ca="1">IFERROR(_xlfn.XLOOKUP(TableHandbook[[#This Row],[UDC]],INDIRECT("Table"&amp;SUBSTITUTE(Q$2,"-","")&amp;"[UDC]",TRUE),INDIRECT("Table"&amp;SUBSTITUTE(Q$2,"-","")&amp;"[Component Type]",TRUE)),"")</f>
        <v/>
      </c>
      <c r="R69" s="152" t="str" cm="1">
        <f t="array" aca="1" ref="R69" ca="1">IFERROR(_xlfn.XLOOKUP(TableHandbook[[#This Row],[UDC]],INDIRECT("Table"&amp;SUBSTITUTE(R$2,"-","")&amp;"[UDC]",TRUE),INDIRECT("Table"&amp;SUBSTITUTE(R$2,"-","")&amp;"[Component Type]",TRUE)),"")</f>
        <v/>
      </c>
      <c r="S69" s="152" t="str" cm="1">
        <f t="array" aca="1" ref="S69" ca="1">IFERROR(_xlfn.XLOOKUP(TableHandbook[[#This Row],[UDC]],INDIRECT("Table"&amp;SUBSTITUTE(S$2,"-","")&amp;"[UDC]",TRUE),INDIRECT("Table"&amp;SUBSTITUTE(S$2,"-","")&amp;"[Component Type]",TRUE)),"")</f>
        <v/>
      </c>
      <c r="T69" s="152" t="str" cm="1">
        <f t="array" aca="1" ref="T69" ca="1">IFERROR(_xlfn.XLOOKUP(TableHandbook[[#This Row],[UDC]],INDIRECT("Table"&amp;SUBSTITUTE(T$2,"-","")&amp;"[UDC]",TRUE),INDIRECT("Table"&amp;SUBSTITUTE(T$2,"-","")&amp;"[Component Type]",TRUE)),"")</f>
        <v/>
      </c>
      <c r="U69" s="152" t="str" cm="1">
        <f t="array" aca="1" ref="U69" ca="1">IFERROR(_xlfn.XLOOKUP(TableHandbook[[#This Row],[UDC]],INDIRECT("Table"&amp;SUBSTITUTE(U$2,"-","")&amp;"[UDC]",TRUE),INDIRECT("Table"&amp;SUBSTITUTE(U$2,"-","")&amp;"[Component Type]",TRUE)),"")</f>
        <v/>
      </c>
      <c r="V69" s="154" t="str" cm="1">
        <f t="array" aca="1" ref="V69" ca="1">IFERROR(_xlfn.XLOOKUP(TableHandbook[[#This Row],[UDC]],INDIRECT("Table"&amp;SUBSTITUTE(V$2,"-","")&amp;"[UDC]",TRUE),INDIRECT("Table"&amp;SUBSTITUTE(V$2,"-","")&amp;"[Component Type]",TRUE)),"")</f>
        <v/>
      </c>
      <c r="W69" s="152" t="str" cm="1">
        <f t="array" aca="1" ref="W69" ca="1">IFERROR(_xlfn.XLOOKUP(TableHandbook[[#This Row],[UDC]],INDIRECT("Table"&amp;SUBSTITUTE(W$2,"-","")&amp;"[UDC]",TRUE),INDIRECT("Table"&amp;SUBSTITUTE(W$2,"-","")&amp;"[Component Type]",TRUE)),"")</f>
        <v/>
      </c>
      <c r="X69" s="152" t="str" cm="1">
        <f t="array" aca="1" ref="X69" ca="1">IFERROR(_xlfn.XLOOKUP(TableHandbook[[#This Row],[UDC]],INDIRECT("Table"&amp;SUBSTITUTE(X$2,"-","")&amp;"[UDC]",TRUE),INDIRECT("Table"&amp;SUBSTITUTE(X$2,"-","")&amp;"[Component Type]",TRUE)),"")</f>
        <v>Core</v>
      </c>
      <c r="Y69" s="152" t="str" cm="1">
        <f t="array" aca="1" ref="Y69" ca="1">IFERROR(_xlfn.XLOOKUP(TableHandbook[[#This Row],[UDC]],INDIRECT("Table"&amp;SUBSTITUTE(Y$2,"-","")&amp;"[UDC]",TRUE),INDIRECT("Table"&amp;SUBSTITUTE(Y$2,"-","")&amp;"[Component Type]",TRUE)),"")</f>
        <v/>
      </c>
      <c r="Z69" s="152" t="str" cm="1">
        <f t="array" aca="1" ref="Z69" ca="1">IFERROR(_xlfn.XLOOKUP(TableHandbook[[#This Row],[UDC]],INDIRECT("Table"&amp;SUBSTITUTE(Z$2,"-","")&amp;"[UDC]",TRUE),INDIRECT("Table"&amp;SUBSTITUTE(Z$2,"-","")&amp;"[Component Type]",TRUE)),"")</f>
        <v/>
      </c>
    </row>
    <row r="70" spans="1:26" x14ac:dyDescent="0.25">
      <c r="A70" s="246" t="s">
        <v>637</v>
      </c>
      <c r="B70" s="9">
        <v>1</v>
      </c>
      <c r="C70" s="9" t="s">
        <v>341</v>
      </c>
      <c r="D70" s="8" t="s">
        <v>349</v>
      </c>
      <c r="E70" s="9">
        <v>25</v>
      </c>
      <c r="F70" s="266" t="s">
        <v>255</v>
      </c>
      <c r="G70" s="72" t="str">
        <f>IFERROR(IF(VLOOKUP(TableHandbook[[#This Row],[UDC]],TableAvailabilities[],2,FALSE)&gt;0,"Y",""),"")</f>
        <v/>
      </c>
      <c r="H70" s="72" t="str">
        <f>IFERROR(IF(VLOOKUP(TableHandbook[[#This Row],[UDC]],TableAvailabilities[],3,FALSE)&gt;0,"Y",""),"")</f>
        <v>Y</v>
      </c>
      <c r="I70" s="72" t="str">
        <f>IFERROR(IF(VLOOKUP(TableHandbook[[#This Row],[UDC]],TableAvailabilities[],4,FALSE)&gt;0,"Y",""),"")</f>
        <v/>
      </c>
      <c r="J70" s="72" t="str">
        <f>IFERROR(IF(VLOOKUP(TableHandbook[[#This Row],[UDC]],TableAvailabilities[],5,FALSE)&gt;0,"Y",""),"")</f>
        <v>Y</v>
      </c>
      <c r="K70" s="155"/>
      <c r="L70" s="152" t="str" cm="1">
        <f t="array" aca="1" ref="L70" ca="1">IFERROR(_xlfn.XLOOKUP(TableHandbook[[#This Row],[UDC]],INDIRECT("Table"&amp;SUBSTITUTE(L$2,"-","")&amp;"[UDC]",TRUE),INDIRECT("Table"&amp;SUBSTITUTE(L$2,"-","")&amp;"[Component Type]",TRUE)),"")</f>
        <v/>
      </c>
      <c r="M70" s="152" t="str" cm="1">
        <f t="array" aca="1" ref="M70" ca="1">IFERROR(_xlfn.XLOOKUP(TableHandbook[[#This Row],[UDC]],INDIRECT("Table"&amp;SUBSTITUTE(M$2,"-","")&amp;"[UDC]",TRUE),INDIRECT("Table"&amp;SUBSTITUTE(M$2,"-","")&amp;"[Component Type]",TRUE)),"")</f>
        <v/>
      </c>
      <c r="N70" s="154" t="str" cm="1">
        <f t="array" aca="1" ref="N70" ca="1">IFERROR(_xlfn.XLOOKUP(TableHandbook[[#This Row],[UDC]],INDIRECT("Table"&amp;SUBSTITUTE(N$2,"-","")&amp;"[UDC]",TRUE),INDIRECT("Table"&amp;SUBSTITUTE(N$2,"-","")&amp;"[Component Type]",TRUE)),"")</f>
        <v/>
      </c>
      <c r="O70" s="152" t="str" cm="1">
        <f t="array" aca="1" ref="O70" ca="1">IFERROR(_xlfn.XLOOKUP(TableHandbook[[#This Row],[UDC]],INDIRECT("Table"&amp;SUBSTITUTE(O$2,"-","")&amp;"[UDC]",TRUE),INDIRECT("Table"&amp;SUBSTITUTE(O$2,"-","")&amp;"[Component Type]",TRUE)),"")</f>
        <v/>
      </c>
      <c r="P70" s="152" t="str" cm="1">
        <f t="array" aca="1" ref="P70" ca="1">IFERROR(_xlfn.XLOOKUP(TableHandbook[[#This Row],[UDC]],INDIRECT("Table"&amp;SUBSTITUTE(P$2,"-","")&amp;"[UDC]",TRUE),INDIRECT("Table"&amp;SUBSTITUTE(P$2,"-","")&amp;"[Component Type]",TRUE)),"")</f>
        <v/>
      </c>
      <c r="Q70" s="152" t="str" cm="1">
        <f t="array" aca="1" ref="Q70" ca="1">IFERROR(_xlfn.XLOOKUP(TableHandbook[[#This Row],[UDC]],INDIRECT("Table"&amp;SUBSTITUTE(Q$2,"-","")&amp;"[UDC]",TRUE),INDIRECT("Table"&amp;SUBSTITUTE(Q$2,"-","")&amp;"[Component Type]",TRUE)),"")</f>
        <v/>
      </c>
      <c r="R70" s="152" t="str" cm="1">
        <f t="array" aca="1" ref="R70" ca="1">IFERROR(_xlfn.XLOOKUP(TableHandbook[[#This Row],[UDC]],INDIRECT("Table"&amp;SUBSTITUTE(R$2,"-","")&amp;"[UDC]",TRUE),INDIRECT("Table"&amp;SUBSTITUTE(R$2,"-","")&amp;"[Component Type]",TRUE)),"")</f>
        <v/>
      </c>
      <c r="S70" s="152" t="str" cm="1">
        <f t="array" aca="1" ref="S70" ca="1">IFERROR(_xlfn.XLOOKUP(TableHandbook[[#This Row],[UDC]],INDIRECT("Table"&amp;SUBSTITUTE(S$2,"-","")&amp;"[UDC]",TRUE),INDIRECT("Table"&amp;SUBSTITUTE(S$2,"-","")&amp;"[Component Type]",TRUE)),"")</f>
        <v/>
      </c>
      <c r="T70" s="152" t="str" cm="1">
        <f t="array" aca="1" ref="T70" ca="1">IFERROR(_xlfn.XLOOKUP(TableHandbook[[#This Row],[UDC]],INDIRECT("Table"&amp;SUBSTITUTE(T$2,"-","")&amp;"[UDC]",TRUE),INDIRECT("Table"&amp;SUBSTITUTE(T$2,"-","")&amp;"[Component Type]",TRUE)),"")</f>
        <v/>
      </c>
      <c r="U70" s="152" t="str" cm="1">
        <f t="array" aca="1" ref="U70" ca="1">IFERROR(_xlfn.XLOOKUP(TableHandbook[[#This Row],[UDC]],INDIRECT("Table"&amp;SUBSTITUTE(U$2,"-","")&amp;"[UDC]",TRUE),INDIRECT("Table"&amp;SUBSTITUTE(U$2,"-","")&amp;"[Component Type]",TRUE)),"")</f>
        <v/>
      </c>
      <c r="V70" s="154" t="str" cm="1">
        <f t="array" aca="1" ref="V70" ca="1">IFERROR(_xlfn.XLOOKUP(TableHandbook[[#This Row],[UDC]],INDIRECT("Table"&amp;SUBSTITUTE(V$2,"-","")&amp;"[UDC]",TRUE),INDIRECT("Table"&amp;SUBSTITUTE(V$2,"-","")&amp;"[Component Type]",TRUE)),"")</f>
        <v/>
      </c>
      <c r="W70" s="152" t="str" cm="1">
        <f t="array" aca="1" ref="W70" ca="1">IFERROR(_xlfn.XLOOKUP(TableHandbook[[#This Row],[UDC]],INDIRECT("Table"&amp;SUBSTITUTE(W$2,"-","")&amp;"[UDC]",TRUE),INDIRECT("Table"&amp;SUBSTITUTE(W$2,"-","")&amp;"[Component Type]",TRUE)),"")</f>
        <v/>
      </c>
      <c r="X70" s="152" t="str" cm="1">
        <f t="array" aca="1" ref="X70" ca="1">IFERROR(_xlfn.XLOOKUP(TableHandbook[[#This Row],[UDC]],INDIRECT("Table"&amp;SUBSTITUTE(X$2,"-","")&amp;"[UDC]",TRUE),INDIRECT("Table"&amp;SUBSTITUTE(X$2,"-","")&amp;"[Component Type]",TRUE)),"")</f>
        <v/>
      </c>
      <c r="Y70" s="152" t="str" cm="1">
        <f t="array" aca="1" ref="Y70" ca="1">IFERROR(_xlfn.XLOOKUP(TableHandbook[[#This Row],[UDC]],INDIRECT("Table"&amp;SUBSTITUTE(Y$2,"-","")&amp;"[UDC]",TRUE),INDIRECT("Table"&amp;SUBSTITUTE(Y$2,"-","")&amp;"[Component Type]",TRUE)),"")</f>
        <v>Core</v>
      </c>
      <c r="Z70" s="152" t="str" cm="1">
        <f t="array" aca="1" ref="Z70" ca="1">IFERROR(_xlfn.XLOOKUP(TableHandbook[[#This Row],[UDC]],INDIRECT("Table"&amp;SUBSTITUTE(Z$2,"-","")&amp;"[UDC]",TRUE),INDIRECT("Table"&amp;SUBSTITUTE(Z$2,"-","")&amp;"[Component Type]",TRUE)),"")</f>
        <v/>
      </c>
    </row>
    <row r="71" spans="1:26" x14ac:dyDescent="0.25">
      <c r="A71" s="8" t="s">
        <v>46</v>
      </c>
      <c r="B71" s="9">
        <v>1</v>
      </c>
      <c r="C71" s="9" t="s">
        <v>351</v>
      </c>
      <c r="D71" s="8" t="s">
        <v>352</v>
      </c>
      <c r="E71" s="9">
        <v>25</v>
      </c>
      <c r="F71" s="266" t="s">
        <v>255</v>
      </c>
      <c r="G71" s="72" t="str">
        <f>IFERROR(IF(VLOOKUP(TableHandbook[[#This Row],[UDC]],TableAvailabilities[],2,FALSE)&gt;0,"Y",""),"")</f>
        <v>Y</v>
      </c>
      <c r="H71" s="72" t="str">
        <f>IFERROR(IF(VLOOKUP(TableHandbook[[#This Row],[UDC]],TableAvailabilities[],3,FALSE)&gt;0,"Y",""),"")</f>
        <v/>
      </c>
      <c r="I71" s="72" t="str">
        <f>IFERROR(IF(VLOOKUP(TableHandbook[[#This Row],[UDC]],TableAvailabilities[],4,FALSE)&gt;0,"Y",""),"")</f>
        <v>Y</v>
      </c>
      <c r="J71" s="72" t="str">
        <f>IFERROR(IF(VLOOKUP(TableHandbook[[#This Row],[UDC]],TableAvailabilities[],5,FALSE)&gt;0,"Y",""),"")</f>
        <v/>
      </c>
      <c r="K71" s="155"/>
      <c r="L71" s="152" t="str" cm="1">
        <f t="array" aca="1" ref="L71" ca="1">IFERROR(_xlfn.XLOOKUP(TableHandbook[[#This Row],[UDC]],INDIRECT("Table"&amp;SUBSTITUTE(L$2,"-","")&amp;"[UDC]",TRUE),INDIRECT("Table"&amp;SUBSTITUTE(L$2,"-","")&amp;"[Component Type]",TRUE)),"")</f>
        <v>Core</v>
      </c>
      <c r="M71" s="152" t="str" cm="1">
        <f t="array" aca="1" ref="M71" ca="1">IFERROR(_xlfn.XLOOKUP(TableHandbook[[#This Row],[UDC]],INDIRECT("Table"&amp;SUBSTITUTE(M$2,"-","")&amp;"[UDC]",TRUE),INDIRECT("Table"&amp;SUBSTITUTE(M$2,"-","")&amp;"[Component Type]",TRUE)),"")</f>
        <v>Core</v>
      </c>
      <c r="N71" s="154" t="str" cm="1">
        <f t="array" aca="1" ref="N71" ca="1">IFERROR(_xlfn.XLOOKUP(TableHandbook[[#This Row],[UDC]],INDIRECT("Table"&amp;SUBSTITUTE(N$2,"-","")&amp;"[UDC]",TRUE),INDIRECT("Table"&amp;SUBSTITUTE(N$2,"-","")&amp;"[Component Type]",TRUE)),"")</f>
        <v>Core</v>
      </c>
      <c r="O71" s="152" t="str" cm="1">
        <f t="array" aca="1" ref="O71" ca="1">IFERROR(_xlfn.XLOOKUP(TableHandbook[[#This Row],[UDC]],INDIRECT("Table"&amp;SUBSTITUTE(O$2,"-","")&amp;"[UDC]",TRUE),INDIRECT("Table"&amp;SUBSTITUTE(O$2,"-","")&amp;"[Component Type]",TRUE)),"")</f>
        <v>Core</v>
      </c>
      <c r="P71" s="152" t="str" cm="1">
        <f t="array" aca="1" ref="P71" ca="1">IFERROR(_xlfn.XLOOKUP(TableHandbook[[#This Row],[UDC]],INDIRECT("Table"&amp;SUBSTITUTE(P$2,"-","")&amp;"[UDC]",TRUE),INDIRECT("Table"&amp;SUBSTITUTE(P$2,"-","")&amp;"[Component Type]",TRUE)),"")</f>
        <v/>
      </c>
      <c r="Q71" s="152" t="str" cm="1">
        <f t="array" aca="1" ref="Q71" ca="1">IFERROR(_xlfn.XLOOKUP(TableHandbook[[#This Row],[UDC]],INDIRECT("Table"&amp;SUBSTITUTE(Q$2,"-","")&amp;"[UDC]",TRUE),INDIRECT("Table"&amp;SUBSTITUTE(Q$2,"-","")&amp;"[Component Type]",TRUE)),"")</f>
        <v/>
      </c>
      <c r="R71" s="152" t="str" cm="1">
        <f t="array" aca="1" ref="R71" ca="1">IFERROR(_xlfn.XLOOKUP(TableHandbook[[#This Row],[UDC]],INDIRECT("Table"&amp;SUBSTITUTE(R$2,"-","")&amp;"[UDC]",TRUE),INDIRECT("Table"&amp;SUBSTITUTE(R$2,"-","")&amp;"[Component Type]",TRUE)),"")</f>
        <v/>
      </c>
      <c r="S71" s="152" t="str" cm="1">
        <f t="array" aca="1" ref="S71" ca="1">IFERROR(_xlfn.XLOOKUP(TableHandbook[[#This Row],[UDC]],INDIRECT("Table"&amp;SUBSTITUTE(S$2,"-","")&amp;"[UDC]",TRUE),INDIRECT("Table"&amp;SUBSTITUTE(S$2,"-","")&amp;"[Component Type]",TRUE)),"")</f>
        <v/>
      </c>
      <c r="T71" s="152" t="str" cm="1">
        <f t="array" aca="1" ref="T71" ca="1">IFERROR(_xlfn.XLOOKUP(TableHandbook[[#This Row],[UDC]],INDIRECT("Table"&amp;SUBSTITUTE(T$2,"-","")&amp;"[UDC]",TRUE),INDIRECT("Table"&amp;SUBSTITUTE(T$2,"-","")&amp;"[Component Type]",TRUE)),"")</f>
        <v/>
      </c>
      <c r="U71" s="152" t="str" cm="1">
        <f t="array" aca="1" ref="U71" ca="1">IFERROR(_xlfn.XLOOKUP(TableHandbook[[#This Row],[UDC]],INDIRECT("Table"&amp;SUBSTITUTE(U$2,"-","")&amp;"[UDC]",TRUE),INDIRECT("Table"&amp;SUBSTITUTE(U$2,"-","")&amp;"[Component Type]",TRUE)),"")</f>
        <v/>
      </c>
      <c r="V71" s="154" t="str" cm="1">
        <f t="array" aca="1" ref="V71" ca="1">IFERROR(_xlfn.XLOOKUP(TableHandbook[[#This Row],[UDC]],INDIRECT("Table"&amp;SUBSTITUTE(V$2,"-","")&amp;"[UDC]",TRUE),INDIRECT("Table"&amp;SUBSTITUTE(V$2,"-","")&amp;"[Component Type]",TRUE)),"")</f>
        <v>Core</v>
      </c>
      <c r="W71" s="152" t="str" cm="1">
        <f t="array" aca="1" ref="W71" ca="1">IFERROR(_xlfn.XLOOKUP(TableHandbook[[#This Row],[UDC]],INDIRECT("Table"&amp;SUBSTITUTE(W$2,"-","")&amp;"[UDC]",TRUE),INDIRECT("Table"&amp;SUBSTITUTE(W$2,"-","")&amp;"[Component Type]",TRUE)),"")</f>
        <v>Core</v>
      </c>
      <c r="X71" s="152" t="str" cm="1">
        <f t="array" aca="1" ref="X71" ca="1">IFERROR(_xlfn.XLOOKUP(TableHandbook[[#This Row],[UDC]],INDIRECT("Table"&amp;SUBSTITUTE(X$2,"-","")&amp;"[UDC]",TRUE),INDIRECT("Table"&amp;SUBSTITUTE(X$2,"-","")&amp;"[Component Type]",TRUE)),"")</f>
        <v/>
      </c>
      <c r="Y71" s="152" t="str" cm="1">
        <f t="array" aca="1" ref="Y71" ca="1">IFERROR(_xlfn.XLOOKUP(TableHandbook[[#This Row],[UDC]],INDIRECT("Table"&amp;SUBSTITUTE(Y$2,"-","")&amp;"[UDC]",TRUE),INDIRECT("Table"&amp;SUBSTITUTE(Y$2,"-","")&amp;"[Component Type]",TRUE)),"")</f>
        <v/>
      </c>
      <c r="Z71" s="152" t="str" cm="1">
        <f t="array" aca="1" ref="Z71" ca="1">IFERROR(_xlfn.XLOOKUP(TableHandbook[[#This Row],[UDC]],INDIRECT("Table"&amp;SUBSTITUTE(Z$2,"-","")&amp;"[UDC]",TRUE),INDIRECT("Table"&amp;SUBSTITUTE(Z$2,"-","")&amp;"[Component Type]",TRUE)),"")</f>
        <v/>
      </c>
    </row>
    <row r="72" spans="1:26" x14ac:dyDescent="0.25">
      <c r="A72" s="8" t="s">
        <v>51</v>
      </c>
      <c r="B72" s="9">
        <v>1</v>
      </c>
      <c r="C72" s="9" t="s">
        <v>282</v>
      </c>
      <c r="D72" s="8" t="s">
        <v>353</v>
      </c>
      <c r="E72" s="9">
        <v>25</v>
      </c>
      <c r="F72" s="266" t="s">
        <v>255</v>
      </c>
      <c r="G72" s="72" t="str">
        <f>IFERROR(IF(VLOOKUP(TableHandbook[[#This Row],[UDC]],TableAvailabilities[],2,FALSE)&gt;0,"Y",""),"")</f>
        <v>Y</v>
      </c>
      <c r="H72" s="72" t="str">
        <f>IFERROR(IF(VLOOKUP(TableHandbook[[#This Row],[UDC]],TableAvailabilities[],3,FALSE)&gt;0,"Y",""),"")</f>
        <v/>
      </c>
      <c r="I72" s="72" t="str">
        <f>IFERROR(IF(VLOOKUP(TableHandbook[[#This Row],[UDC]],TableAvailabilities[],4,FALSE)&gt;0,"Y",""),"")</f>
        <v>Y</v>
      </c>
      <c r="J72" s="72" t="str">
        <f>IFERROR(IF(VLOOKUP(TableHandbook[[#This Row],[UDC]],TableAvailabilities[],5,FALSE)&gt;0,"Y",""),"")</f>
        <v/>
      </c>
      <c r="K72" s="155"/>
      <c r="L72" s="152" t="str" cm="1">
        <f t="array" aca="1" ref="L72" ca="1">IFERROR(_xlfn.XLOOKUP(TableHandbook[[#This Row],[UDC]],INDIRECT("Table"&amp;SUBSTITUTE(L$2,"-","")&amp;"[UDC]",TRUE),INDIRECT("Table"&amp;SUBSTITUTE(L$2,"-","")&amp;"[Component Type]",TRUE)),"")</f>
        <v>Core</v>
      </c>
      <c r="M72" s="152" t="str" cm="1">
        <f t="array" aca="1" ref="M72" ca="1">IFERROR(_xlfn.XLOOKUP(TableHandbook[[#This Row],[UDC]],INDIRECT("Table"&amp;SUBSTITUTE(M$2,"-","")&amp;"[UDC]",TRUE),INDIRECT("Table"&amp;SUBSTITUTE(M$2,"-","")&amp;"[Component Type]",TRUE)),"")</f>
        <v>Core</v>
      </c>
      <c r="N72" s="154" t="str" cm="1">
        <f t="array" aca="1" ref="N72" ca="1">IFERROR(_xlfn.XLOOKUP(TableHandbook[[#This Row],[UDC]],INDIRECT("Table"&amp;SUBSTITUTE(N$2,"-","")&amp;"[UDC]",TRUE),INDIRECT("Table"&amp;SUBSTITUTE(N$2,"-","")&amp;"[Component Type]",TRUE)),"")</f>
        <v>Core</v>
      </c>
      <c r="O72" s="152" t="str" cm="1">
        <f t="array" aca="1" ref="O72" ca="1">IFERROR(_xlfn.XLOOKUP(TableHandbook[[#This Row],[UDC]],INDIRECT("Table"&amp;SUBSTITUTE(O$2,"-","")&amp;"[UDC]",TRUE),INDIRECT("Table"&amp;SUBSTITUTE(O$2,"-","")&amp;"[Component Type]",TRUE)),"")</f>
        <v>Core</v>
      </c>
      <c r="P72" s="152" t="str" cm="1">
        <f t="array" aca="1" ref="P72" ca="1">IFERROR(_xlfn.XLOOKUP(TableHandbook[[#This Row],[UDC]],INDIRECT("Table"&amp;SUBSTITUTE(P$2,"-","")&amp;"[UDC]",TRUE),INDIRECT("Table"&amp;SUBSTITUTE(P$2,"-","")&amp;"[Component Type]",TRUE)),"")</f>
        <v/>
      </c>
      <c r="Q72" s="152" t="str" cm="1">
        <f t="array" aca="1" ref="Q72" ca="1">IFERROR(_xlfn.XLOOKUP(TableHandbook[[#This Row],[UDC]],INDIRECT("Table"&amp;SUBSTITUTE(Q$2,"-","")&amp;"[UDC]",TRUE),INDIRECT("Table"&amp;SUBSTITUTE(Q$2,"-","")&amp;"[Component Type]",TRUE)),"")</f>
        <v/>
      </c>
      <c r="R72" s="152" t="str" cm="1">
        <f t="array" aca="1" ref="R72" ca="1">IFERROR(_xlfn.XLOOKUP(TableHandbook[[#This Row],[UDC]],INDIRECT("Table"&amp;SUBSTITUTE(R$2,"-","")&amp;"[UDC]",TRUE),INDIRECT("Table"&amp;SUBSTITUTE(R$2,"-","")&amp;"[Component Type]",TRUE)),"")</f>
        <v/>
      </c>
      <c r="S72" s="152" t="str" cm="1">
        <f t="array" aca="1" ref="S72" ca="1">IFERROR(_xlfn.XLOOKUP(TableHandbook[[#This Row],[UDC]],INDIRECT("Table"&amp;SUBSTITUTE(S$2,"-","")&amp;"[UDC]",TRUE),INDIRECT("Table"&amp;SUBSTITUTE(S$2,"-","")&amp;"[Component Type]",TRUE)),"")</f>
        <v/>
      </c>
      <c r="T72" s="152" t="str" cm="1">
        <f t="array" aca="1" ref="T72" ca="1">IFERROR(_xlfn.XLOOKUP(TableHandbook[[#This Row],[UDC]],INDIRECT("Table"&amp;SUBSTITUTE(T$2,"-","")&amp;"[UDC]",TRUE),INDIRECT("Table"&amp;SUBSTITUTE(T$2,"-","")&amp;"[Component Type]",TRUE)),"")</f>
        <v/>
      </c>
      <c r="U72" s="152" t="str" cm="1">
        <f t="array" aca="1" ref="U72" ca="1">IFERROR(_xlfn.XLOOKUP(TableHandbook[[#This Row],[UDC]],INDIRECT("Table"&amp;SUBSTITUTE(U$2,"-","")&amp;"[UDC]",TRUE),INDIRECT("Table"&amp;SUBSTITUTE(U$2,"-","")&amp;"[Component Type]",TRUE)),"")</f>
        <v/>
      </c>
      <c r="V72" s="154" t="str" cm="1">
        <f t="array" aca="1" ref="V72" ca="1">IFERROR(_xlfn.XLOOKUP(TableHandbook[[#This Row],[UDC]],INDIRECT("Table"&amp;SUBSTITUTE(V$2,"-","")&amp;"[UDC]",TRUE),INDIRECT("Table"&amp;SUBSTITUTE(V$2,"-","")&amp;"[Component Type]",TRUE)),"")</f>
        <v>Core</v>
      </c>
      <c r="W72" s="152" t="str" cm="1">
        <f t="array" aca="1" ref="W72" ca="1">IFERROR(_xlfn.XLOOKUP(TableHandbook[[#This Row],[UDC]],INDIRECT("Table"&amp;SUBSTITUTE(W$2,"-","")&amp;"[UDC]",TRUE),INDIRECT("Table"&amp;SUBSTITUTE(W$2,"-","")&amp;"[Component Type]",TRUE)),"")</f>
        <v>Core</v>
      </c>
      <c r="X72" s="152" t="str" cm="1">
        <f t="array" aca="1" ref="X72" ca="1">IFERROR(_xlfn.XLOOKUP(TableHandbook[[#This Row],[UDC]],INDIRECT("Table"&amp;SUBSTITUTE(X$2,"-","")&amp;"[UDC]",TRUE),INDIRECT("Table"&amp;SUBSTITUTE(X$2,"-","")&amp;"[Component Type]",TRUE)),"")</f>
        <v/>
      </c>
      <c r="Y72" s="152" t="str" cm="1">
        <f t="array" aca="1" ref="Y72" ca="1">IFERROR(_xlfn.XLOOKUP(TableHandbook[[#This Row],[UDC]],INDIRECT("Table"&amp;SUBSTITUTE(Y$2,"-","")&amp;"[UDC]",TRUE),INDIRECT("Table"&amp;SUBSTITUTE(Y$2,"-","")&amp;"[Component Type]",TRUE)),"")</f>
        <v/>
      </c>
      <c r="Z72" s="152" t="str" cm="1">
        <f t="array" aca="1" ref="Z72" ca="1">IFERROR(_xlfn.XLOOKUP(TableHandbook[[#This Row],[UDC]],INDIRECT("Table"&amp;SUBSTITUTE(Z$2,"-","")&amp;"[UDC]",TRUE),INDIRECT("Table"&amp;SUBSTITUTE(Z$2,"-","")&amp;"[Component Type]",TRUE)),"")</f>
        <v/>
      </c>
    </row>
    <row r="73" spans="1:26" x14ac:dyDescent="0.25">
      <c r="A73" s="8" t="s">
        <v>681</v>
      </c>
      <c r="B73" s="9">
        <v>1</v>
      </c>
      <c r="C73" s="9" t="s">
        <v>354</v>
      </c>
      <c r="D73" s="8" t="s">
        <v>355</v>
      </c>
      <c r="E73" s="9">
        <v>25</v>
      </c>
      <c r="F73" s="266" t="s">
        <v>255</v>
      </c>
      <c r="G73" s="72" t="str">
        <f>IFERROR(IF(VLOOKUP(TableHandbook[[#This Row],[UDC]],TableAvailabilities[],2,FALSE)&gt;0,"Y",""),"")</f>
        <v/>
      </c>
      <c r="H73" s="72" t="str">
        <f>IFERROR(IF(VLOOKUP(TableHandbook[[#This Row],[UDC]],TableAvailabilities[],3,FALSE)&gt;0,"Y",""),"")</f>
        <v/>
      </c>
      <c r="I73" s="72" t="str">
        <f>IFERROR(IF(VLOOKUP(TableHandbook[[#This Row],[UDC]],TableAvailabilities[],4,FALSE)&gt;0,"Y",""),"")</f>
        <v/>
      </c>
      <c r="J73" s="72" t="str">
        <f>IFERROR(IF(VLOOKUP(TableHandbook[[#This Row],[UDC]],TableAvailabilities[],5,FALSE)&gt;0,"Y",""),"")</f>
        <v/>
      </c>
      <c r="K73" s="155" t="s">
        <v>674</v>
      </c>
      <c r="L73" s="152" t="str" cm="1">
        <f t="array" aca="1" ref="L73" ca="1">IFERROR(_xlfn.XLOOKUP(TableHandbook[[#This Row],[UDC]],INDIRECT("Table"&amp;SUBSTITUTE(L$2,"-","")&amp;"[UDC]",TRUE),INDIRECT("Table"&amp;SUBSTITUTE(L$2,"-","")&amp;"[Component Type]",TRUE)),"")</f>
        <v/>
      </c>
      <c r="M73" s="152" t="str" cm="1">
        <f t="array" aca="1" ref="M73" ca="1">IFERROR(_xlfn.XLOOKUP(TableHandbook[[#This Row],[UDC]],INDIRECT("Table"&amp;SUBSTITUTE(M$2,"-","")&amp;"[UDC]",TRUE),INDIRECT("Table"&amp;SUBSTITUTE(M$2,"-","")&amp;"[Component Type]",TRUE)),"")</f>
        <v/>
      </c>
      <c r="N73" s="154" t="str" cm="1">
        <f t="array" aca="1" ref="N73" ca="1">IFERROR(_xlfn.XLOOKUP(TableHandbook[[#This Row],[UDC]],INDIRECT("Table"&amp;SUBSTITUTE(N$2,"-","")&amp;"[UDC]",TRUE),INDIRECT("Table"&amp;SUBSTITUTE(N$2,"-","")&amp;"[Component Type]",TRUE)),"")</f>
        <v/>
      </c>
      <c r="O73" s="152" t="str" cm="1">
        <f t="array" aca="1" ref="O73" ca="1">IFERROR(_xlfn.XLOOKUP(TableHandbook[[#This Row],[UDC]],INDIRECT("Table"&amp;SUBSTITUTE(O$2,"-","")&amp;"[UDC]",TRUE),INDIRECT("Table"&amp;SUBSTITUTE(O$2,"-","")&amp;"[Component Type]",TRUE)),"")</f>
        <v/>
      </c>
      <c r="P73" s="152" t="str" cm="1">
        <f t="array" aca="1" ref="P73" ca="1">IFERROR(_xlfn.XLOOKUP(TableHandbook[[#This Row],[UDC]],INDIRECT("Table"&amp;SUBSTITUTE(P$2,"-","")&amp;"[UDC]",TRUE),INDIRECT("Table"&amp;SUBSTITUTE(P$2,"-","")&amp;"[Component Type]",TRUE)),"")</f>
        <v/>
      </c>
      <c r="Q73" s="152" t="str" cm="1">
        <f t="array" aca="1" ref="Q73" ca="1">IFERROR(_xlfn.XLOOKUP(TableHandbook[[#This Row],[UDC]],INDIRECT("Table"&amp;SUBSTITUTE(Q$2,"-","")&amp;"[UDC]",TRUE),INDIRECT("Table"&amp;SUBSTITUTE(Q$2,"-","")&amp;"[Component Type]",TRUE)),"")</f>
        <v/>
      </c>
      <c r="R73" s="152" t="str" cm="1">
        <f t="array" aca="1" ref="R73" ca="1">IFERROR(_xlfn.XLOOKUP(TableHandbook[[#This Row],[UDC]],INDIRECT("Table"&amp;SUBSTITUTE(R$2,"-","")&amp;"[UDC]",TRUE),INDIRECT("Table"&amp;SUBSTITUTE(R$2,"-","")&amp;"[Component Type]",TRUE)),"")</f>
        <v/>
      </c>
      <c r="S73" s="152" t="str" cm="1">
        <f t="array" aca="1" ref="S73" ca="1">IFERROR(_xlfn.XLOOKUP(TableHandbook[[#This Row],[UDC]],INDIRECT("Table"&amp;SUBSTITUTE(S$2,"-","")&amp;"[UDC]",TRUE),INDIRECT("Table"&amp;SUBSTITUTE(S$2,"-","")&amp;"[Component Type]",TRUE)),"")</f>
        <v/>
      </c>
      <c r="T73" s="152" t="str" cm="1">
        <f t="array" aca="1" ref="T73" ca="1">IFERROR(_xlfn.XLOOKUP(TableHandbook[[#This Row],[UDC]],INDIRECT("Table"&amp;SUBSTITUTE(T$2,"-","")&amp;"[UDC]",TRUE),INDIRECT("Table"&amp;SUBSTITUTE(T$2,"-","")&amp;"[Component Type]",TRUE)),"")</f>
        <v/>
      </c>
      <c r="U73" s="152" t="str" cm="1">
        <f t="array" aca="1" ref="U73" ca="1">IFERROR(_xlfn.XLOOKUP(TableHandbook[[#This Row],[UDC]],INDIRECT("Table"&amp;SUBSTITUTE(U$2,"-","")&amp;"[UDC]",TRUE),INDIRECT("Table"&amp;SUBSTITUTE(U$2,"-","")&amp;"[Component Type]",TRUE)),"")</f>
        <v/>
      </c>
      <c r="V73" s="154" t="str" cm="1">
        <f t="array" aca="1" ref="V73" ca="1">IFERROR(_xlfn.XLOOKUP(TableHandbook[[#This Row],[UDC]],INDIRECT("Table"&amp;SUBSTITUTE(V$2,"-","")&amp;"[UDC]",TRUE),INDIRECT("Table"&amp;SUBSTITUTE(V$2,"-","")&amp;"[Component Type]",TRUE)),"")</f>
        <v/>
      </c>
      <c r="W73" s="152" t="str" cm="1">
        <f t="array" aca="1" ref="W73" ca="1">IFERROR(_xlfn.XLOOKUP(TableHandbook[[#This Row],[UDC]],INDIRECT("Table"&amp;SUBSTITUTE(W$2,"-","")&amp;"[UDC]",TRUE),INDIRECT("Table"&amp;SUBSTITUTE(W$2,"-","")&amp;"[Component Type]",TRUE)),"")</f>
        <v/>
      </c>
      <c r="X73" s="152" t="str" cm="1">
        <f t="array" aca="1" ref="X73" ca="1">IFERROR(_xlfn.XLOOKUP(TableHandbook[[#This Row],[UDC]],INDIRECT("Table"&amp;SUBSTITUTE(X$2,"-","")&amp;"[UDC]",TRUE),INDIRECT("Table"&amp;SUBSTITUTE(X$2,"-","")&amp;"[Component Type]",TRUE)),"")</f>
        <v/>
      </c>
      <c r="Y73" s="152" t="str" cm="1">
        <f t="array" aca="1" ref="Y73" ca="1">IFERROR(_xlfn.XLOOKUP(TableHandbook[[#This Row],[UDC]],INDIRECT("Table"&amp;SUBSTITUTE(Y$2,"-","")&amp;"[UDC]",TRUE),INDIRECT("Table"&amp;SUBSTITUTE(Y$2,"-","")&amp;"[Component Type]",TRUE)),"")</f>
        <v/>
      </c>
      <c r="Z73" s="152" t="str" cm="1">
        <f t="array" aca="1" ref="Z73" ca="1">IFERROR(_xlfn.XLOOKUP(TableHandbook[[#This Row],[UDC]],INDIRECT("Table"&amp;SUBSTITUTE(Z$2,"-","")&amp;"[UDC]",TRUE),INDIRECT("Table"&amp;SUBSTITUTE(Z$2,"-","")&amp;"[Component Type]",TRUE)),"")</f>
        <v/>
      </c>
    </row>
    <row r="74" spans="1:26" x14ac:dyDescent="0.25">
      <c r="A74" s="8" t="s">
        <v>53</v>
      </c>
      <c r="B74" s="9">
        <v>1</v>
      </c>
      <c r="C74" s="9" t="s">
        <v>315</v>
      </c>
      <c r="D74" s="8" t="s">
        <v>356</v>
      </c>
      <c r="E74" s="9">
        <v>25</v>
      </c>
      <c r="F74" s="266" t="s">
        <v>255</v>
      </c>
      <c r="G74" s="72" t="str">
        <f>IFERROR(IF(VLOOKUP(TableHandbook[[#This Row],[UDC]],TableAvailabilities[],2,FALSE)&gt;0,"Y",""),"")</f>
        <v/>
      </c>
      <c r="H74" s="72" t="str">
        <f>IFERROR(IF(VLOOKUP(TableHandbook[[#This Row],[UDC]],TableAvailabilities[],3,FALSE)&gt;0,"Y",""),"")</f>
        <v>Y</v>
      </c>
      <c r="I74" s="72" t="str">
        <f>IFERROR(IF(VLOOKUP(TableHandbook[[#This Row],[UDC]],TableAvailabilities[],4,FALSE)&gt;0,"Y",""),"")</f>
        <v/>
      </c>
      <c r="J74" s="72" t="str">
        <f>IFERROR(IF(VLOOKUP(TableHandbook[[#This Row],[UDC]],TableAvailabilities[],5,FALSE)&gt;0,"Y",""),"")</f>
        <v>Y</v>
      </c>
      <c r="K74" s="155"/>
      <c r="L74" s="152" t="str" cm="1">
        <f t="array" aca="1" ref="L74" ca="1">IFERROR(_xlfn.XLOOKUP(TableHandbook[[#This Row],[UDC]],INDIRECT("Table"&amp;SUBSTITUTE(L$2,"-","")&amp;"[UDC]",TRUE),INDIRECT("Table"&amp;SUBSTITUTE(L$2,"-","")&amp;"[Component Type]",TRUE)),"")</f>
        <v>Core</v>
      </c>
      <c r="M74" s="152" t="str" cm="1">
        <f t="array" aca="1" ref="M74" ca="1">IFERROR(_xlfn.XLOOKUP(TableHandbook[[#This Row],[UDC]],INDIRECT("Table"&amp;SUBSTITUTE(M$2,"-","")&amp;"[UDC]",TRUE),INDIRECT("Table"&amp;SUBSTITUTE(M$2,"-","")&amp;"[Component Type]",TRUE)),"")</f>
        <v>Core</v>
      </c>
      <c r="N74" s="154" t="str" cm="1">
        <f t="array" aca="1" ref="N74" ca="1">IFERROR(_xlfn.XLOOKUP(TableHandbook[[#This Row],[UDC]],INDIRECT("Table"&amp;SUBSTITUTE(N$2,"-","")&amp;"[UDC]",TRUE),INDIRECT("Table"&amp;SUBSTITUTE(N$2,"-","")&amp;"[Component Type]",TRUE)),"")</f>
        <v/>
      </c>
      <c r="O74" s="152" t="str" cm="1">
        <f t="array" aca="1" ref="O74" ca="1">IFERROR(_xlfn.XLOOKUP(TableHandbook[[#This Row],[UDC]],INDIRECT("Table"&amp;SUBSTITUTE(O$2,"-","")&amp;"[UDC]",TRUE),INDIRECT("Table"&amp;SUBSTITUTE(O$2,"-","")&amp;"[Component Type]",TRUE)),"")</f>
        <v/>
      </c>
      <c r="P74" s="152" t="str" cm="1">
        <f t="array" aca="1" ref="P74" ca="1">IFERROR(_xlfn.XLOOKUP(TableHandbook[[#This Row],[UDC]],INDIRECT("Table"&amp;SUBSTITUTE(P$2,"-","")&amp;"[UDC]",TRUE),INDIRECT("Table"&amp;SUBSTITUTE(P$2,"-","")&amp;"[Component Type]",TRUE)),"")</f>
        <v/>
      </c>
      <c r="Q74" s="152" t="str" cm="1">
        <f t="array" aca="1" ref="Q74" ca="1">IFERROR(_xlfn.XLOOKUP(TableHandbook[[#This Row],[UDC]],INDIRECT("Table"&amp;SUBSTITUTE(Q$2,"-","")&amp;"[UDC]",TRUE),INDIRECT("Table"&amp;SUBSTITUTE(Q$2,"-","")&amp;"[Component Type]",TRUE)),"")</f>
        <v/>
      </c>
      <c r="R74" s="152" t="str" cm="1">
        <f t="array" aca="1" ref="R74" ca="1">IFERROR(_xlfn.XLOOKUP(TableHandbook[[#This Row],[UDC]],INDIRECT("Table"&amp;SUBSTITUTE(R$2,"-","")&amp;"[UDC]",TRUE),INDIRECT("Table"&amp;SUBSTITUTE(R$2,"-","")&amp;"[Component Type]",TRUE)),"")</f>
        <v/>
      </c>
      <c r="S74" s="152" t="str" cm="1">
        <f t="array" aca="1" ref="S74" ca="1">IFERROR(_xlfn.XLOOKUP(TableHandbook[[#This Row],[UDC]],INDIRECT("Table"&amp;SUBSTITUTE(S$2,"-","")&amp;"[UDC]",TRUE),INDIRECT("Table"&amp;SUBSTITUTE(S$2,"-","")&amp;"[Component Type]",TRUE)),"")</f>
        <v/>
      </c>
      <c r="T74" s="152" t="str" cm="1">
        <f t="array" aca="1" ref="T74" ca="1">IFERROR(_xlfn.XLOOKUP(TableHandbook[[#This Row],[UDC]],INDIRECT("Table"&amp;SUBSTITUTE(T$2,"-","")&amp;"[UDC]",TRUE),INDIRECT("Table"&amp;SUBSTITUTE(T$2,"-","")&amp;"[Component Type]",TRUE)),"")</f>
        <v/>
      </c>
      <c r="U74" s="152" t="str" cm="1">
        <f t="array" aca="1" ref="U74" ca="1">IFERROR(_xlfn.XLOOKUP(TableHandbook[[#This Row],[UDC]],INDIRECT("Table"&amp;SUBSTITUTE(U$2,"-","")&amp;"[UDC]",TRUE),INDIRECT("Table"&amp;SUBSTITUTE(U$2,"-","")&amp;"[Component Type]",TRUE)),"")</f>
        <v/>
      </c>
      <c r="V74" s="154" t="str" cm="1">
        <f t="array" aca="1" ref="V74" ca="1">IFERROR(_xlfn.XLOOKUP(TableHandbook[[#This Row],[UDC]],INDIRECT("Table"&amp;SUBSTITUTE(V$2,"-","")&amp;"[UDC]",TRUE),INDIRECT("Table"&amp;SUBSTITUTE(V$2,"-","")&amp;"[Component Type]",TRUE)),"")</f>
        <v/>
      </c>
      <c r="W74" s="152" t="str" cm="1">
        <f t="array" aca="1" ref="W74" ca="1">IFERROR(_xlfn.XLOOKUP(TableHandbook[[#This Row],[UDC]],INDIRECT("Table"&amp;SUBSTITUTE(W$2,"-","")&amp;"[UDC]",TRUE),INDIRECT("Table"&amp;SUBSTITUTE(W$2,"-","")&amp;"[Component Type]",TRUE)),"")</f>
        <v/>
      </c>
      <c r="X74" s="152" t="str" cm="1">
        <f t="array" aca="1" ref="X74" ca="1">IFERROR(_xlfn.XLOOKUP(TableHandbook[[#This Row],[UDC]],INDIRECT("Table"&amp;SUBSTITUTE(X$2,"-","")&amp;"[UDC]",TRUE),INDIRECT("Table"&amp;SUBSTITUTE(X$2,"-","")&amp;"[Component Type]",TRUE)),"")</f>
        <v/>
      </c>
      <c r="Y74" s="152" t="str" cm="1">
        <f t="array" aca="1" ref="Y74" ca="1">IFERROR(_xlfn.XLOOKUP(TableHandbook[[#This Row],[UDC]],INDIRECT("Table"&amp;SUBSTITUTE(Y$2,"-","")&amp;"[UDC]",TRUE),INDIRECT("Table"&amp;SUBSTITUTE(Y$2,"-","")&amp;"[Component Type]",TRUE)),"")</f>
        <v/>
      </c>
      <c r="Z74" s="152" t="str" cm="1">
        <f t="array" aca="1" ref="Z74" ca="1">IFERROR(_xlfn.XLOOKUP(TableHandbook[[#This Row],[UDC]],INDIRECT("Table"&amp;SUBSTITUTE(Z$2,"-","")&amp;"[UDC]",TRUE),INDIRECT("Table"&amp;SUBSTITUTE(Z$2,"-","")&amp;"[Component Type]",TRUE)),"")</f>
        <v/>
      </c>
    </row>
    <row r="75" spans="1:26" x14ac:dyDescent="0.25">
      <c r="A75" s="8" t="s">
        <v>67</v>
      </c>
      <c r="B75" s="9">
        <v>1</v>
      </c>
      <c r="C75" s="9" t="s">
        <v>269</v>
      </c>
      <c r="D75" s="8" t="s">
        <v>357</v>
      </c>
      <c r="E75" s="9">
        <v>25</v>
      </c>
      <c r="F75" s="266" t="s">
        <v>255</v>
      </c>
      <c r="G75" s="72" t="str">
        <f>IFERROR(IF(VLOOKUP(TableHandbook[[#This Row],[UDC]],TableAvailabilities[],2,FALSE)&gt;0,"Y",""),"")</f>
        <v>Y</v>
      </c>
      <c r="H75" s="72" t="str">
        <f>IFERROR(IF(VLOOKUP(TableHandbook[[#This Row],[UDC]],TableAvailabilities[],3,FALSE)&gt;0,"Y",""),"")</f>
        <v/>
      </c>
      <c r="I75" s="72" t="str">
        <f>IFERROR(IF(VLOOKUP(TableHandbook[[#This Row],[UDC]],TableAvailabilities[],4,FALSE)&gt;0,"Y",""),"")</f>
        <v>Y</v>
      </c>
      <c r="J75" s="72" t="str">
        <f>IFERROR(IF(VLOOKUP(TableHandbook[[#This Row],[UDC]],TableAvailabilities[],5,FALSE)&gt;0,"Y",""),"")</f>
        <v/>
      </c>
      <c r="K75" s="155"/>
      <c r="L75" s="152" t="str" cm="1">
        <f t="array" aca="1" ref="L75" ca="1">IFERROR(_xlfn.XLOOKUP(TableHandbook[[#This Row],[UDC]],INDIRECT("Table"&amp;SUBSTITUTE(L$2,"-","")&amp;"[UDC]",TRUE),INDIRECT("Table"&amp;SUBSTITUTE(L$2,"-","")&amp;"[Component Type]",TRUE)),"")</f>
        <v>Core</v>
      </c>
      <c r="M75" s="152" t="str" cm="1">
        <f t="array" aca="1" ref="M75" ca="1">IFERROR(_xlfn.XLOOKUP(TableHandbook[[#This Row],[UDC]],INDIRECT("Table"&amp;SUBSTITUTE(M$2,"-","")&amp;"[UDC]",TRUE),INDIRECT("Table"&amp;SUBSTITUTE(M$2,"-","")&amp;"[Component Type]",TRUE)),"")</f>
        <v>Core</v>
      </c>
      <c r="N75" s="154" t="str" cm="1">
        <f t="array" aca="1" ref="N75" ca="1">IFERROR(_xlfn.XLOOKUP(TableHandbook[[#This Row],[UDC]],INDIRECT("Table"&amp;SUBSTITUTE(N$2,"-","")&amp;"[UDC]",TRUE),INDIRECT("Table"&amp;SUBSTITUTE(N$2,"-","")&amp;"[Component Type]",TRUE)),"")</f>
        <v>Core</v>
      </c>
      <c r="O75" s="152" t="str" cm="1">
        <f t="array" aca="1" ref="O75" ca="1">IFERROR(_xlfn.XLOOKUP(TableHandbook[[#This Row],[UDC]],INDIRECT("Table"&amp;SUBSTITUTE(O$2,"-","")&amp;"[UDC]",TRUE),INDIRECT("Table"&amp;SUBSTITUTE(O$2,"-","")&amp;"[Component Type]",TRUE)),"")</f>
        <v>Core</v>
      </c>
      <c r="P75" s="152" t="str" cm="1">
        <f t="array" aca="1" ref="P75" ca="1">IFERROR(_xlfn.XLOOKUP(TableHandbook[[#This Row],[UDC]],INDIRECT("Table"&amp;SUBSTITUTE(P$2,"-","")&amp;"[UDC]",TRUE),INDIRECT("Table"&amp;SUBSTITUTE(P$2,"-","")&amp;"[Component Type]",TRUE)),"")</f>
        <v/>
      </c>
      <c r="Q75" s="152" t="str" cm="1">
        <f t="array" aca="1" ref="Q75" ca="1">IFERROR(_xlfn.XLOOKUP(TableHandbook[[#This Row],[UDC]],INDIRECT("Table"&amp;SUBSTITUTE(Q$2,"-","")&amp;"[UDC]",TRUE),INDIRECT("Table"&amp;SUBSTITUTE(Q$2,"-","")&amp;"[Component Type]",TRUE)),"")</f>
        <v/>
      </c>
      <c r="R75" s="152" t="str" cm="1">
        <f t="array" aca="1" ref="R75" ca="1">IFERROR(_xlfn.XLOOKUP(TableHandbook[[#This Row],[UDC]],INDIRECT("Table"&amp;SUBSTITUTE(R$2,"-","")&amp;"[UDC]",TRUE),INDIRECT("Table"&amp;SUBSTITUTE(R$2,"-","")&amp;"[Component Type]",TRUE)),"")</f>
        <v/>
      </c>
      <c r="S75" s="152" t="str" cm="1">
        <f t="array" aca="1" ref="S75" ca="1">IFERROR(_xlfn.XLOOKUP(TableHandbook[[#This Row],[UDC]],INDIRECT("Table"&amp;SUBSTITUTE(S$2,"-","")&amp;"[UDC]",TRUE),INDIRECT("Table"&amp;SUBSTITUTE(S$2,"-","")&amp;"[Component Type]",TRUE)),"")</f>
        <v/>
      </c>
      <c r="T75" s="152" t="str" cm="1">
        <f t="array" aca="1" ref="T75" ca="1">IFERROR(_xlfn.XLOOKUP(TableHandbook[[#This Row],[UDC]],INDIRECT("Table"&amp;SUBSTITUTE(T$2,"-","")&amp;"[UDC]",TRUE),INDIRECT("Table"&amp;SUBSTITUTE(T$2,"-","")&amp;"[Component Type]",TRUE)),"")</f>
        <v/>
      </c>
      <c r="U75" s="152" t="str" cm="1">
        <f t="array" aca="1" ref="U75" ca="1">IFERROR(_xlfn.XLOOKUP(TableHandbook[[#This Row],[UDC]],INDIRECT("Table"&amp;SUBSTITUTE(U$2,"-","")&amp;"[UDC]",TRUE),INDIRECT("Table"&amp;SUBSTITUTE(U$2,"-","")&amp;"[Component Type]",TRUE)),"")</f>
        <v/>
      </c>
      <c r="V75" s="154" t="str" cm="1">
        <f t="array" aca="1" ref="V75" ca="1">IFERROR(_xlfn.XLOOKUP(TableHandbook[[#This Row],[UDC]],INDIRECT("Table"&amp;SUBSTITUTE(V$2,"-","")&amp;"[UDC]",TRUE),INDIRECT("Table"&amp;SUBSTITUTE(V$2,"-","")&amp;"[Component Type]",TRUE)),"")</f>
        <v/>
      </c>
      <c r="W75" s="152" t="str" cm="1">
        <f t="array" aca="1" ref="W75" ca="1">IFERROR(_xlfn.XLOOKUP(TableHandbook[[#This Row],[UDC]],INDIRECT("Table"&amp;SUBSTITUTE(W$2,"-","")&amp;"[UDC]",TRUE),INDIRECT("Table"&amp;SUBSTITUTE(W$2,"-","")&amp;"[Component Type]",TRUE)),"")</f>
        <v/>
      </c>
      <c r="X75" s="152" t="str" cm="1">
        <f t="array" aca="1" ref="X75" ca="1">IFERROR(_xlfn.XLOOKUP(TableHandbook[[#This Row],[UDC]],INDIRECT("Table"&amp;SUBSTITUTE(X$2,"-","")&amp;"[UDC]",TRUE),INDIRECT("Table"&amp;SUBSTITUTE(X$2,"-","")&amp;"[Component Type]",TRUE)),"")</f>
        <v/>
      </c>
      <c r="Y75" s="152" t="str" cm="1">
        <f t="array" aca="1" ref="Y75" ca="1">IFERROR(_xlfn.XLOOKUP(TableHandbook[[#This Row],[UDC]],INDIRECT("Table"&amp;SUBSTITUTE(Y$2,"-","")&amp;"[UDC]",TRUE),INDIRECT("Table"&amp;SUBSTITUTE(Y$2,"-","")&amp;"[Component Type]",TRUE)),"")</f>
        <v/>
      </c>
      <c r="Z75" s="152" t="str" cm="1">
        <f t="array" aca="1" ref="Z75" ca="1">IFERROR(_xlfn.XLOOKUP(TableHandbook[[#This Row],[UDC]],INDIRECT("Table"&amp;SUBSTITUTE(Z$2,"-","")&amp;"[UDC]",TRUE),INDIRECT("Table"&amp;SUBSTITUTE(Z$2,"-","")&amp;"[Component Type]",TRUE)),"")</f>
        <v/>
      </c>
    </row>
    <row r="76" spans="1:26" x14ac:dyDescent="0.25">
      <c r="A76" s="8" t="s">
        <v>70</v>
      </c>
      <c r="B76" s="9">
        <v>1</v>
      </c>
      <c r="C76" s="9" t="s">
        <v>276</v>
      </c>
      <c r="D76" s="8" t="s">
        <v>358</v>
      </c>
      <c r="E76" s="9">
        <v>25</v>
      </c>
      <c r="F76" s="266" t="s">
        <v>255</v>
      </c>
      <c r="G76" s="72" t="str">
        <f>IFERROR(IF(VLOOKUP(TableHandbook[[#This Row],[UDC]],TableAvailabilities[],2,FALSE)&gt;0,"Y",""),"")</f>
        <v>Y</v>
      </c>
      <c r="H76" s="72" t="str">
        <f>IFERROR(IF(VLOOKUP(TableHandbook[[#This Row],[UDC]],TableAvailabilities[],3,FALSE)&gt;0,"Y",""),"")</f>
        <v/>
      </c>
      <c r="I76" s="72" t="str">
        <f>IFERROR(IF(VLOOKUP(TableHandbook[[#This Row],[UDC]],TableAvailabilities[],4,FALSE)&gt;0,"Y",""),"")</f>
        <v>Y</v>
      </c>
      <c r="J76" s="72" t="str">
        <f>IFERROR(IF(VLOOKUP(TableHandbook[[#This Row],[UDC]],TableAvailabilities[],5,FALSE)&gt;0,"Y",""),"")</f>
        <v/>
      </c>
      <c r="K76" s="155"/>
      <c r="L76" s="152" t="str" cm="1">
        <f t="array" aca="1" ref="L76" ca="1">IFERROR(_xlfn.XLOOKUP(TableHandbook[[#This Row],[UDC]],INDIRECT("Table"&amp;SUBSTITUTE(L$2,"-","")&amp;"[UDC]",TRUE),INDIRECT("Table"&amp;SUBSTITUTE(L$2,"-","")&amp;"[Component Type]",TRUE)),"")</f>
        <v>Core</v>
      </c>
      <c r="M76" s="152" t="str" cm="1">
        <f t="array" aca="1" ref="M76" ca="1">IFERROR(_xlfn.XLOOKUP(TableHandbook[[#This Row],[UDC]],INDIRECT("Table"&amp;SUBSTITUTE(M$2,"-","")&amp;"[UDC]",TRUE),INDIRECT("Table"&amp;SUBSTITUTE(M$2,"-","")&amp;"[Component Type]",TRUE)),"")</f>
        <v>Core</v>
      </c>
      <c r="N76" s="154" t="str" cm="1">
        <f t="array" aca="1" ref="N76" ca="1">IFERROR(_xlfn.XLOOKUP(TableHandbook[[#This Row],[UDC]],INDIRECT("Table"&amp;SUBSTITUTE(N$2,"-","")&amp;"[UDC]",TRUE),INDIRECT("Table"&amp;SUBSTITUTE(N$2,"-","")&amp;"[Component Type]",TRUE)),"")</f>
        <v>Core</v>
      </c>
      <c r="O76" s="152" t="str" cm="1">
        <f t="array" aca="1" ref="O76" ca="1">IFERROR(_xlfn.XLOOKUP(TableHandbook[[#This Row],[UDC]],INDIRECT("Table"&amp;SUBSTITUTE(O$2,"-","")&amp;"[UDC]",TRUE),INDIRECT("Table"&amp;SUBSTITUTE(O$2,"-","")&amp;"[Component Type]",TRUE)),"")</f>
        <v>Core</v>
      </c>
      <c r="P76" s="152" t="str" cm="1">
        <f t="array" aca="1" ref="P76" ca="1">IFERROR(_xlfn.XLOOKUP(TableHandbook[[#This Row],[UDC]],INDIRECT("Table"&amp;SUBSTITUTE(P$2,"-","")&amp;"[UDC]",TRUE),INDIRECT("Table"&amp;SUBSTITUTE(P$2,"-","")&amp;"[Component Type]",TRUE)),"")</f>
        <v/>
      </c>
      <c r="Q76" s="152" t="str" cm="1">
        <f t="array" aca="1" ref="Q76" ca="1">IFERROR(_xlfn.XLOOKUP(TableHandbook[[#This Row],[UDC]],INDIRECT("Table"&amp;SUBSTITUTE(Q$2,"-","")&amp;"[UDC]",TRUE),INDIRECT("Table"&amp;SUBSTITUTE(Q$2,"-","")&amp;"[Component Type]",TRUE)),"")</f>
        <v/>
      </c>
      <c r="R76" s="152" t="str" cm="1">
        <f t="array" aca="1" ref="R76" ca="1">IFERROR(_xlfn.XLOOKUP(TableHandbook[[#This Row],[UDC]],INDIRECT("Table"&amp;SUBSTITUTE(R$2,"-","")&amp;"[UDC]",TRUE),INDIRECT("Table"&amp;SUBSTITUTE(R$2,"-","")&amp;"[Component Type]",TRUE)),"")</f>
        <v/>
      </c>
      <c r="S76" s="152" t="str" cm="1">
        <f t="array" aca="1" ref="S76" ca="1">IFERROR(_xlfn.XLOOKUP(TableHandbook[[#This Row],[UDC]],INDIRECT("Table"&amp;SUBSTITUTE(S$2,"-","")&amp;"[UDC]",TRUE),INDIRECT("Table"&amp;SUBSTITUTE(S$2,"-","")&amp;"[Component Type]",TRUE)),"")</f>
        <v/>
      </c>
      <c r="T76" s="152" t="str" cm="1">
        <f t="array" aca="1" ref="T76" ca="1">IFERROR(_xlfn.XLOOKUP(TableHandbook[[#This Row],[UDC]],INDIRECT("Table"&amp;SUBSTITUTE(T$2,"-","")&amp;"[UDC]",TRUE),INDIRECT("Table"&amp;SUBSTITUTE(T$2,"-","")&amp;"[Component Type]",TRUE)),"")</f>
        <v/>
      </c>
      <c r="U76" s="152" t="str" cm="1">
        <f t="array" aca="1" ref="U76" ca="1">IFERROR(_xlfn.XLOOKUP(TableHandbook[[#This Row],[UDC]],INDIRECT("Table"&amp;SUBSTITUTE(U$2,"-","")&amp;"[UDC]",TRUE),INDIRECT("Table"&amp;SUBSTITUTE(U$2,"-","")&amp;"[Component Type]",TRUE)),"")</f>
        <v/>
      </c>
      <c r="V76" s="154" t="str" cm="1">
        <f t="array" aca="1" ref="V76" ca="1">IFERROR(_xlfn.XLOOKUP(TableHandbook[[#This Row],[UDC]],INDIRECT("Table"&amp;SUBSTITUTE(V$2,"-","")&amp;"[UDC]",TRUE),INDIRECT("Table"&amp;SUBSTITUTE(V$2,"-","")&amp;"[Component Type]",TRUE)),"")</f>
        <v/>
      </c>
      <c r="W76" s="152" t="str" cm="1">
        <f t="array" aca="1" ref="W76" ca="1">IFERROR(_xlfn.XLOOKUP(TableHandbook[[#This Row],[UDC]],INDIRECT("Table"&amp;SUBSTITUTE(W$2,"-","")&amp;"[UDC]",TRUE),INDIRECT("Table"&amp;SUBSTITUTE(W$2,"-","")&amp;"[Component Type]",TRUE)),"")</f>
        <v/>
      </c>
      <c r="X76" s="152" t="str" cm="1">
        <f t="array" aca="1" ref="X76" ca="1">IFERROR(_xlfn.XLOOKUP(TableHandbook[[#This Row],[UDC]],INDIRECT("Table"&amp;SUBSTITUTE(X$2,"-","")&amp;"[UDC]",TRUE),INDIRECT("Table"&amp;SUBSTITUTE(X$2,"-","")&amp;"[Component Type]",TRUE)),"")</f>
        <v/>
      </c>
      <c r="Y76" s="152" t="str" cm="1">
        <f t="array" aca="1" ref="Y76" ca="1">IFERROR(_xlfn.XLOOKUP(TableHandbook[[#This Row],[UDC]],INDIRECT("Table"&amp;SUBSTITUTE(Y$2,"-","")&amp;"[UDC]",TRUE),INDIRECT("Table"&amp;SUBSTITUTE(Y$2,"-","")&amp;"[Component Type]",TRUE)),"")</f>
        <v/>
      </c>
      <c r="Z76" s="152" t="str" cm="1">
        <f t="array" aca="1" ref="Z76" ca="1">IFERROR(_xlfn.XLOOKUP(TableHandbook[[#This Row],[UDC]],INDIRECT("Table"&amp;SUBSTITUTE(Z$2,"-","")&amp;"[UDC]",TRUE),INDIRECT("Table"&amp;SUBSTITUTE(Z$2,"-","")&amp;"[Component Type]",TRUE)),"")</f>
        <v/>
      </c>
    </row>
    <row r="77" spans="1:26" x14ac:dyDescent="0.25">
      <c r="A77" s="8" t="s">
        <v>65</v>
      </c>
      <c r="B77" s="9">
        <v>1</v>
      </c>
      <c r="C77" s="9" t="s">
        <v>279</v>
      </c>
      <c r="D77" s="8" t="s">
        <v>359</v>
      </c>
      <c r="E77" s="9">
        <v>25</v>
      </c>
      <c r="F77" s="266" t="s">
        <v>255</v>
      </c>
      <c r="G77" s="72" t="str">
        <f>IFERROR(IF(VLOOKUP(TableHandbook[[#This Row],[UDC]],TableAvailabilities[],2,FALSE)&gt;0,"Y",""),"")</f>
        <v/>
      </c>
      <c r="H77" s="72" t="str">
        <f>IFERROR(IF(VLOOKUP(TableHandbook[[#This Row],[UDC]],TableAvailabilities[],3,FALSE)&gt;0,"Y",""),"")</f>
        <v>Y</v>
      </c>
      <c r="I77" s="72" t="str">
        <f>IFERROR(IF(VLOOKUP(TableHandbook[[#This Row],[UDC]],TableAvailabilities[],4,FALSE)&gt;0,"Y",""),"")</f>
        <v/>
      </c>
      <c r="J77" s="72" t="str">
        <f>IFERROR(IF(VLOOKUP(TableHandbook[[#This Row],[UDC]],TableAvailabilities[],5,FALSE)&gt;0,"Y",""),"")</f>
        <v>Y</v>
      </c>
      <c r="K77" s="155"/>
      <c r="L77" s="152" t="str" cm="1">
        <f t="array" aca="1" ref="L77" ca="1">IFERROR(_xlfn.XLOOKUP(TableHandbook[[#This Row],[UDC]],INDIRECT("Table"&amp;SUBSTITUTE(L$2,"-","")&amp;"[UDC]",TRUE),INDIRECT("Table"&amp;SUBSTITUTE(L$2,"-","")&amp;"[Component Type]",TRUE)),"")</f>
        <v>Core</v>
      </c>
      <c r="M77" s="152" t="str" cm="1">
        <f t="array" aca="1" ref="M77" ca="1">IFERROR(_xlfn.XLOOKUP(TableHandbook[[#This Row],[UDC]],INDIRECT("Table"&amp;SUBSTITUTE(M$2,"-","")&amp;"[UDC]",TRUE),INDIRECT("Table"&amp;SUBSTITUTE(M$2,"-","")&amp;"[Component Type]",TRUE)),"")</f>
        <v>Core</v>
      </c>
      <c r="N77" s="154" t="str" cm="1">
        <f t="array" aca="1" ref="N77" ca="1">IFERROR(_xlfn.XLOOKUP(TableHandbook[[#This Row],[UDC]],INDIRECT("Table"&amp;SUBSTITUTE(N$2,"-","")&amp;"[UDC]",TRUE),INDIRECT("Table"&amp;SUBSTITUTE(N$2,"-","")&amp;"[Component Type]",TRUE)),"")</f>
        <v>Core</v>
      </c>
      <c r="O77" s="152" t="str" cm="1">
        <f t="array" aca="1" ref="O77" ca="1">IFERROR(_xlfn.XLOOKUP(TableHandbook[[#This Row],[UDC]],INDIRECT("Table"&amp;SUBSTITUTE(O$2,"-","")&amp;"[UDC]",TRUE),INDIRECT("Table"&amp;SUBSTITUTE(O$2,"-","")&amp;"[Component Type]",TRUE)),"")</f>
        <v>Core</v>
      </c>
      <c r="P77" s="152" t="str" cm="1">
        <f t="array" aca="1" ref="P77" ca="1">IFERROR(_xlfn.XLOOKUP(TableHandbook[[#This Row],[UDC]],INDIRECT("Table"&amp;SUBSTITUTE(P$2,"-","")&amp;"[UDC]",TRUE),INDIRECT("Table"&amp;SUBSTITUTE(P$2,"-","")&amp;"[Component Type]",TRUE)),"")</f>
        <v/>
      </c>
      <c r="Q77" s="152" t="str" cm="1">
        <f t="array" aca="1" ref="Q77" ca="1">IFERROR(_xlfn.XLOOKUP(TableHandbook[[#This Row],[UDC]],INDIRECT("Table"&amp;SUBSTITUTE(Q$2,"-","")&amp;"[UDC]",TRUE),INDIRECT("Table"&amp;SUBSTITUTE(Q$2,"-","")&amp;"[Component Type]",TRUE)),"")</f>
        <v/>
      </c>
      <c r="R77" s="152" t="str" cm="1">
        <f t="array" aca="1" ref="R77" ca="1">IFERROR(_xlfn.XLOOKUP(TableHandbook[[#This Row],[UDC]],INDIRECT("Table"&amp;SUBSTITUTE(R$2,"-","")&amp;"[UDC]",TRUE),INDIRECT("Table"&amp;SUBSTITUTE(R$2,"-","")&amp;"[Component Type]",TRUE)),"")</f>
        <v/>
      </c>
      <c r="S77" s="152" t="str" cm="1">
        <f t="array" aca="1" ref="S77" ca="1">IFERROR(_xlfn.XLOOKUP(TableHandbook[[#This Row],[UDC]],INDIRECT("Table"&amp;SUBSTITUTE(S$2,"-","")&amp;"[UDC]",TRUE),INDIRECT("Table"&amp;SUBSTITUTE(S$2,"-","")&amp;"[Component Type]",TRUE)),"")</f>
        <v/>
      </c>
      <c r="T77" s="152" t="str" cm="1">
        <f t="array" aca="1" ref="T77" ca="1">IFERROR(_xlfn.XLOOKUP(TableHandbook[[#This Row],[UDC]],INDIRECT("Table"&amp;SUBSTITUTE(T$2,"-","")&amp;"[UDC]",TRUE),INDIRECT("Table"&amp;SUBSTITUTE(T$2,"-","")&amp;"[Component Type]",TRUE)),"")</f>
        <v/>
      </c>
      <c r="U77" s="152" t="str" cm="1">
        <f t="array" aca="1" ref="U77" ca="1">IFERROR(_xlfn.XLOOKUP(TableHandbook[[#This Row],[UDC]],INDIRECT("Table"&amp;SUBSTITUTE(U$2,"-","")&amp;"[UDC]",TRUE),INDIRECT("Table"&amp;SUBSTITUTE(U$2,"-","")&amp;"[Component Type]",TRUE)),"")</f>
        <v/>
      </c>
      <c r="V77" s="154" t="str" cm="1">
        <f t="array" aca="1" ref="V77" ca="1">IFERROR(_xlfn.XLOOKUP(TableHandbook[[#This Row],[UDC]],INDIRECT("Table"&amp;SUBSTITUTE(V$2,"-","")&amp;"[UDC]",TRUE),INDIRECT("Table"&amp;SUBSTITUTE(V$2,"-","")&amp;"[Component Type]",TRUE)),"")</f>
        <v/>
      </c>
      <c r="W77" s="152" t="str" cm="1">
        <f t="array" aca="1" ref="W77" ca="1">IFERROR(_xlfn.XLOOKUP(TableHandbook[[#This Row],[UDC]],INDIRECT("Table"&amp;SUBSTITUTE(W$2,"-","")&amp;"[UDC]",TRUE),INDIRECT("Table"&amp;SUBSTITUTE(W$2,"-","")&amp;"[Component Type]",TRUE)),"")</f>
        <v/>
      </c>
      <c r="X77" s="152" t="str" cm="1">
        <f t="array" aca="1" ref="X77" ca="1">IFERROR(_xlfn.XLOOKUP(TableHandbook[[#This Row],[UDC]],INDIRECT("Table"&amp;SUBSTITUTE(X$2,"-","")&amp;"[UDC]",TRUE),INDIRECT("Table"&amp;SUBSTITUTE(X$2,"-","")&amp;"[Component Type]",TRUE)),"")</f>
        <v/>
      </c>
      <c r="Y77" s="152" t="str" cm="1">
        <f t="array" aca="1" ref="Y77" ca="1">IFERROR(_xlfn.XLOOKUP(TableHandbook[[#This Row],[UDC]],INDIRECT("Table"&amp;SUBSTITUTE(Y$2,"-","")&amp;"[UDC]",TRUE),INDIRECT("Table"&amp;SUBSTITUTE(Y$2,"-","")&amp;"[Component Type]",TRUE)),"")</f>
        <v/>
      </c>
      <c r="Z77" s="152" t="str" cm="1">
        <f t="array" aca="1" ref="Z77" ca="1">IFERROR(_xlfn.XLOOKUP(TableHandbook[[#This Row],[UDC]],INDIRECT("Table"&amp;SUBSTITUTE(Z$2,"-","")&amp;"[UDC]",TRUE),INDIRECT("Table"&amp;SUBSTITUTE(Z$2,"-","")&amp;"[Component Type]",TRUE)),"")</f>
        <v/>
      </c>
    </row>
    <row r="78" spans="1:26" ht="26.25" x14ac:dyDescent="0.25">
      <c r="A78" s="8" t="s">
        <v>180</v>
      </c>
      <c r="B78" s="9">
        <v>1</v>
      </c>
      <c r="C78" s="9" t="s">
        <v>331</v>
      </c>
      <c r="D78" s="8" t="s">
        <v>687</v>
      </c>
      <c r="E78" s="9">
        <v>25</v>
      </c>
      <c r="F78" s="266" t="s">
        <v>720</v>
      </c>
      <c r="G78" s="72" t="str">
        <f>IFERROR(IF(VLOOKUP(TableHandbook[[#This Row],[UDC]],TableAvailabilities[],2,FALSE)&gt;0,"Y",""),"")</f>
        <v>Y</v>
      </c>
      <c r="H78" s="72" t="str">
        <f>IFERROR(IF(VLOOKUP(TableHandbook[[#This Row],[UDC]],TableAvailabilities[],3,FALSE)&gt;0,"Y",""),"")</f>
        <v/>
      </c>
      <c r="I78" s="72" t="str">
        <f>IFERROR(IF(VLOOKUP(TableHandbook[[#This Row],[UDC]],TableAvailabilities[],4,FALSE)&gt;0,"Y",""),"")</f>
        <v>Y</v>
      </c>
      <c r="J78" s="72" t="str">
        <f>IFERROR(IF(VLOOKUP(TableHandbook[[#This Row],[UDC]],TableAvailabilities[],5,FALSE)&gt;0,"Y",""),"")</f>
        <v/>
      </c>
      <c r="K78" s="155"/>
      <c r="L78" s="152" t="str" cm="1">
        <f t="array" aca="1" ref="L78" ca="1">IFERROR(_xlfn.XLOOKUP(TableHandbook[[#This Row],[UDC]],INDIRECT("Table"&amp;SUBSTITUTE(L$2,"-","")&amp;"[UDC]",TRUE),INDIRECT("Table"&amp;SUBSTITUTE(L$2,"-","")&amp;"[Component Type]",TRUE)),"")</f>
        <v/>
      </c>
      <c r="M78" s="152" t="str" cm="1">
        <f t="array" aca="1" ref="M78" ca="1">IFERROR(_xlfn.XLOOKUP(TableHandbook[[#This Row],[UDC]],INDIRECT("Table"&amp;SUBSTITUTE(M$2,"-","")&amp;"[UDC]",TRUE),INDIRECT("Table"&amp;SUBSTITUTE(M$2,"-","")&amp;"[Component Type]",TRUE)),"")</f>
        <v/>
      </c>
      <c r="N78" s="154" t="str" cm="1">
        <f t="array" aca="1" ref="N78" ca="1">IFERROR(_xlfn.XLOOKUP(TableHandbook[[#This Row],[UDC]],INDIRECT("Table"&amp;SUBSTITUTE(N$2,"-","")&amp;"[UDC]",TRUE),INDIRECT("Table"&amp;SUBSTITUTE(N$2,"-","")&amp;"[Component Type]",TRUE)),"")</f>
        <v/>
      </c>
      <c r="O78" s="152" t="str" cm="1">
        <f t="array" aca="1" ref="O78" ca="1">IFERROR(_xlfn.XLOOKUP(TableHandbook[[#This Row],[UDC]],INDIRECT("Table"&amp;SUBSTITUTE(O$2,"-","")&amp;"[UDC]",TRUE),INDIRECT("Table"&amp;SUBSTITUTE(O$2,"-","")&amp;"[Component Type]",TRUE)),"")</f>
        <v/>
      </c>
      <c r="P78" s="152" t="str" cm="1">
        <f t="array" aca="1" ref="P78" ca="1">IFERROR(_xlfn.XLOOKUP(TableHandbook[[#This Row],[UDC]],INDIRECT("Table"&amp;SUBSTITUTE(P$2,"-","")&amp;"[UDC]",TRUE),INDIRECT("Table"&amp;SUBSTITUTE(P$2,"-","")&amp;"[Component Type]",TRUE)),"")</f>
        <v/>
      </c>
      <c r="Q78" s="152" t="str" cm="1">
        <f t="array" aca="1" ref="Q78" ca="1">IFERROR(_xlfn.XLOOKUP(TableHandbook[[#This Row],[UDC]],INDIRECT("Table"&amp;SUBSTITUTE(Q$2,"-","")&amp;"[UDC]",TRUE),INDIRECT("Table"&amp;SUBSTITUTE(Q$2,"-","")&amp;"[Component Type]",TRUE)),"")</f>
        <v/>
      </c>
      <c r="R78" s="152" t="str" cm="1">
        <f t="array" aca="1" ref="R78" ca="1">IFERROR(_xlfn.XLOOKUP(TableHandbook[[#This Row],[UDC]],INDIRECT("Table"&amp;SUBSTITUTE(R$2,"-","")&amp;"[UDC]",TRUE),INDIRECT("Table"&amp;SUBSTITUTE(R$2,"-","")&amp;"[Component Type]",TRUE)),"")</f>
        <v/>
      </c>
      <c r="S78" s="152" t="str" cm="1">
        <f t="array" aca="1" ref="S78" ca="1">IFERROR(_xlfn.XLOOKUP(TableHandbook[[#This Row],[UDC]],INDIRECT("Table"&amp;SUBSTITUTE(S$2,"-","")&amp;"[UDC]",TRUE),INDIRECT("Table"&amp;SUBSTITUTE(S$2,"-","")&amp;"[Component Type]",TRUE)),"")</f>
        <v/>
      </c>
      <c r="T78" s="152" t="str" cm="1">
        <f t="array" aca="1" ref="T78" ca="1">IFERROR(_xlfn.XLOOKUP(TableHandbook[[#This Row],[UDC]],INDIRECT("Table"&amp;SUBSTITUTE(T$2,"-","")&amp;"[UDC]",TRUE),INDIRECT("Table"&amp;SUBSTITUTE(T$2,"-","")&amp;"[Component Type]",TRUE)),"")</f>
        <v/>
      </c>
      <c r="U78" s="152" t="str" cm="1">
        <f t="array" aca="1" ref="U78" ca="1">IFERROR(_xlfn.XLOOKUP(TableHandbook[[#This Row],[UDC]],INDIRECT("Table"&amp;SUBSTITUTE(U$2,"-","")&amp;"[UDC]",TRUE),INDIRECT("Table"&amp;SUBSTITUTE(U$2,"-","")&amp;"[Component Type]",TRUE)),"")</f>
        <v/>
      </c>
      <c r="V78" s="154" t="str" cm="1">
        <f t="array" aca="1" ref="V78" ca="1">IFERROR(_xlfn.XLOOKUP(TableHandbook[[#This Row],[UDC]],INDIRECT("Table"&amp;SUBSTITUTE(V$2,"-","")&amp;"[UDC]",TRUE),INDIRECT("Table"&amp;SUBSTITUTE(V$2,"-","")&amp;"[Component Type]",TRUE)),"")</f>
        <v>Core</v>
      </c>
      <c r="W78" s="152" t="str" cm="1">
        <f t="array" aca="1" ref="W78" ca="1">IFERROR(_xlfn.XLOOKUP(TableHandbook[[#This Row],[UDC]],INDIRECT("Table"&amp;SUBSTITUTE(W$2,"-","")&amp;"[UDC]",TRUE),INDIRECT("Table"&amp;SUBSTITUTE(W$2,"-","")&amp;"[Component Type]",TRUE)),"")</f>
        <v>Core</v>
      </c>
      <c r="X78" s="152" t="str" cm="1">
        <f t="array" aca="1" ref="X78" ca="1">IFERROR(_xlfn.XLOOKUP(TableHandbook[[#This Row],[UDC]],INDIRECT("Table"&amp;SUBSTITUTE(X$2,"-","")&amp;"[UDC]",TRUE),INDIRECT("Table"&amp;SUBSTITUTE(X$2,"-","")&amp;"[Component Type]",TRUE)),"")</f>
        <v/>
      </c>
      <c r="Y78" s="152" t="str" cm="1">
        <f t="array" aca="1" ref="Y78" ca="1">IFERROR(_xlfn.XLOOKUP(TableHandbook[[#This Row],[UDC]],INDIRECT("Table"&amp;SUBSTITUTE(Y$2,"-","")&amp;"[UDC]",TRUE),INDIRECT("Table"&amp;SUBSTITUTE(Y$2,"-","")&amp;"[Component Type]",TRUE)),"")</f>
        <v/>
      </c>
      <c r="Z78" s="152" t="str" cm="1">
        <f t="array" aca="1" ref="Z78" ca="1">IFERROR(_xlfn.XLOOKUP(TableHandbook[[#This Row],[UDC]],INDIRECT("Table"&amp;SUBSTITUTE(Z$2,"-","")&amp;"[UDC]",TRUE),INDIRECT("Table"&amp;SUBSTITUTE(Z$2,"-","")&amp;"[Component Type]",TRUE)),"")</f>
        <v/>
      </c>
    </row>
    <row r="79" spans="1:26" x14ac:dyDescent="0.25">
      <c r="A79" s="8" t="s">
        <v>179</v>
      </c>
      <c r="B79" s="9">
        <v>1</v>
      </c>
      <c r="C79" s="9" t="s">
        <v>360</v>
      </c>
      <c r="D79" s="8" t="s">
        <v>361</v>
      </c>
      <c r="E79" s="9">
        <v>25</v>
      </c>
      <c r="F79" s="266" t="s">
        <v>255</v>
      </c>
      <c r="G79" s="72" t="str">
        <f>IFERROR(IF(VLOOKUP(TableHandbook[[#This Row],[UDC]],TableAvailabilities[],2,FALSE)&gt;0,"Y",""),"")</f>
        <v/>
      </c>
      <c r="H79" s="72" t="str">
        <f>IFERROR(IF(VLOOKUP(TableHandbook[[#This Row],[UDC]],TableAvailabilities[],3,FALSE)&gt;0,"Y",""),"")</f>
        <v>Y</v>
      </c>
      <c r="I79" s="72" t="str">
        <f>IFERROR(IF(VLOOKUP(TableHandbook[[#This Row],[UDC]],TableAvailabilities[],4,FALSE)&gt;0,"Y",""),"")</f>
        <v/>
      </c>
      <c r="J79" s="72" t="str">
        <f>IFERROR(IF(VLOOKUP(TableHandbook[[#This Row],[UDC]],TableAvailabilities[],5,FALSE)&gt;0,"Y",""),"")</f>
        <v>Y</v>
      </c>
      <c r="K79" s="155"/>
      <c r="L79" s="152" t="str" cm="1">
        <f t="array" aca="1" ref="L79" ca="1">IFERROR(_xlfn.XLOOKUP(TableHandbook[[#This Row],[UDC]],INDIRECT("Table"&amp;SUBSTITUTE(L$2,"-","")&amp;"[UDC]",TRUE),INDIRECT("Table"&amp;SUBSTITUTE(L$2,"-","")&amp;"[Component Type]",TRUE)),"")</f>
        <v/>
      </c>
      <c r="M79" s="152" t="str" cm="1">
        <f t="array" aca="1" ref="M79" ca="1">IFERROR(_xlfn.XLOOKUP(TableHandbook[[#This Row],[UDC]],INDIRECT("Table"&amp;SUBSTITUTE(M$2,"-","")&amp;"[UDC]",TRUE),INDIRECT("Table"&amp;SUBSTITUTE(M$2,"-","")&amp;"[Component Type]",TRUE)),"")</f>
        <v/>
      </c>
      <c r="N79" s="154" t="str" cm="1">
        <f t="array" aca="1" ref="N79" ca="1">IFERROR(_xlfn.XLOOKUP(TableHandbook[[#This Row],[UDC]],INDIRECT("Table"&amp;SUBSTITUTE(N$2,"-","")&amp;"[UDC]",TRUE),INDIRECT("Table"&amp;SUBSTITUTE(N$2,"-","")&amp;"[Component Type]",TRUE)),"")</f>
        <v>Core</v>
      </c>
      <c r="O79" s="152" t="str" cm="1">
        <f t="array" aca="1" ref="O79" ca="1">IFERROR(_xlfn.XLOOKUP(TableHandbook[[#This Row],[UDC]],INDIRECT("Table"&amp;SUBSTITUTE(O$2,"-","")&amp;"[UDC]",TRUE),INDIRECT("Table"&amp;SUBSTITUTE(O$2,"-","")&amp;"[Component Type]",TRUE)),"")</f>
        <v>Core</v>
      </c>
      <c r="P79" s="152" t="str" cm="1">
        <f t="array" aca="1" ref="P79" ca="1">IFERROR(_xlfn.XLOOKUP(TableHandbook[[#This Row],[UDC]],INDIRECT("Table"&amp;SUBSTITUTE(P$2,"-","")&amp;"[UDC]",TRUE),INDIRECT("Table"&amp;SUBSTITUTE(P$2,"-","")&amp;"[Component Type]",TRUE)),"")</f>
        <v/>
      </c>
      <c r="Q79" s="152" t="str" cm="1">
        <f t="array" aca="1" ref="Q79" ca="1">IFERROR(_xlfn.XLOOKUP(TableHandbook[[#This Row],[UDC]],INDIRECT("Table"&amp;SUBSTITUTE(Q$2,"-","")&amp;"[UDC]",TRUE),INDIRECT("Table"&amp;SUBSTITUTE(Q$2,"-","")&amp;"[Component Type]",TRUE)),"")</f>
        <v/>
      </c>
      <c r="R79" s="152" t="str" cm="1">
        <f t="array" aca="1" ref="R79" ca="1">IFERROR(_xlfn.XLOOKUP(TableHandbook[[#This Row],[UDC]],INDIRECT("Table"&amp;SUBSTITUTE(R$2,"-","")&amp;"[UDC]",TRUE),INDIRECT("Table"&amp;SUBSTITUTE(R$2,"-","")&amp;"[Component Type]",TRUE)),"")</f>
        <v/>
      </c>
      <c r="S79" s="152" t="str" cm="1">
        <f t="array" aca="1" ref="S79" ca="1">IFERROR(_xlfn.XLOOKUP(TableHandbook[[#This Row],[UDC]],INDIRECT("Table"&amp;SUBSTITUTE(S$2,"-","")&amp;"[UDC]",TRUE),INDIRECT("Table"&amp;SUBSTITUTE(S$2,"-","")&amp;"[Component Type]",TRUE)),"")</f>
        <v/>
      </c>
      <c r="T79" s="152" t="str" cm="1">
        <f t="array" aca="1" ref="T79" ca="1">IFERROR(_xlfn.XLOOKUP(TableHandbook[[#This Row],[UDC]],INDIRECT("Table"&amp;SUBSTITUTE(T$2,"-","")&amp;"[UDC]",TRUE),INDIRECT("Table"&amp;SUBSTITUTE(T$2,"-","")&amp;"[Component Type]",TRUE)),"")</f>
        <v/>
      </c>
      <c r="U79" s="152" t="str" cm="1">
        <f t="array" aca="1" ref="U79" ca="1">IFERROR(_xlfn.XLOOKUP(TableHandbook[[#This Row],[UDC]],INDIRECT("Table"&amp;SUBSTITUTE(U$2,"-","")&amp;"[UDC]",TRUE),INDIRECT("Table"&amp;SUBSTITUTE(U$2,"-","")&amp;"[Component Type]",TRUE)),"")</f>
        <v/>
      </c>
      <c r="V79" s="154" t="str" cm="1">
        <f t="array" aca="1" ref="V79" ca="1">IFERROR(_xlfn.XLOOKUP(TableHandbook[[#This Row],[UDC]],INDIRECT("Table"&amp;SUBSTITUTE(V$2,"-","")&amp;"[UDC]",TRUE),INDIRECT("Table"&amp;SUBSTITUTE(V$2,"-","")&amp;"[Component Type]",TRUE)),"")</f>
        <v>Core</v>
      </c>
      <c r="W79" s="152" t="str" cm="1">
        <f t="array" aca="1" ref="W79" ca="1">IFERROR(_xlfn.XLOOKUP(TableHandbook[[#This Row],[UDC]],INDIRECT("Table"&amp;SUBSTITUTE(W$2,"-","")&amp;"[UDC]",TRUE),INDIRECT("Table"&amp;SUBSTITUTE(W$2,"-","")&amp;"[Component Type]",TRUE)),"")</f>
        <v>Core</v>
      </c>
      <c r="X79" s="152" t="str" cm="1">
        <f t="array" aca="1" ref="X79" ca="1">IFERROR(_xlfn.XLOOKUP(TableHandbook[[#This Row],[UDC]],INDIRECT("Table"&amp;SUBSTITUTE(X$2,"-","")&amp;"[UDC]",TRUE),INDIRECT("Table"&amp;SUBSTITUTE(X$2,"-","")&amp;"[Component Type]",TRUE)),"")</f>
        <v/>
      </c>
      <c r="Y79" s="152" t="str" cm="1">
        <f t="array" aca="1" ref="Y79" ca="1">IFERROR(_xlfn.XLOOKUP(TableHandbook[[#This Row],[UDC]],INDIRECT("Table"&amp;SUBSTITUTE(Y$2,"-","")&amp;"[UDC]",TRUE),INDIRECT("Table"&amp;SUBSTITUTE(Y$2,"-","")&amp;"[Component Type]",TRUE)),"")</f>
        <v/>
      </c>
      <c r="Z79" s="152" t="str" cm="1">
        <f t="array" aca="1" ref="Z79" ca="1">IFERROR(_xlfn.XLOOKUP(TableHandbook[[#This Row],[UDC]],INDIRECT("Table"&amp;SUBSTITUTE(Z$2,"-","")&amp;"[UDC]",TRUE),INDIRECT("Table"&amp;SUBSTITUTE(Z$2,"-","")&amp;"[Component Type]",TRUE)),"")</f>
        <v/>
      </c>
    </row>
    <row r="80" spans="1:26" x14ac:dyDescent="0.25">
      <c r="A80" s="8" t="s">
        <v>71</v>
      </c>
      <c r="B80" s="9">
        <v>1</v>
      </c>
      <c r="C80" s="9" t="s">
        <v>362</v>
      </c>
      <c r="D80" s="8" t="s">
        <v>363</v>
      </c>
      <c r="E80" s="9">
        <v>25</v>
      </c>
      <c r="F80" s="266" t="s">
        <v>255</v>
      </c>
      <c r="G80" s="72" t="str">
        <f>IFERROR(IF(VLOOKUP(TableHandbook[[#This Row],[UDC]],TableAvailabilities[],2,FALSE)&gt;0,"Y",""),"")</f>
        <v/>
      </c>
      <c r="H80" s="72" t="str">
        <f>IFERROR(IF(VLOOKUP(TableHandbook[[#This Row],[UDC]],TableAvailabilities[],3,FALSE)&gt;0,"Y",""),"")</f>
        <v>Y</v>
      </c>
      <c r="I80" s="72" t="str">
        <f>IFERROR(IF(VLOOKUP(TableHandbook[[#This Row],[UDC]],TableAvailabilities[],4,FALSE)&gt;0,"Y",""),"")</f>
        <v/>
      </c>
      <c r="J80" s="72" t="str">
        <f>IFERROR(IF(VLOOKUP(TableHandbook[[#This Row],[UDC]],TableAvailabilities[],5,FALSE)&gt;0,"Y",""),"")</f>
        <v>Y</v>
      </c>
      <c r="K80" s="155"/>
      <c r="L80" s="152" t="str" cm="1">
        <f t="array" aca="1" ref="L80" ca="1">IFERROR(_xlfn.XLOOKUP(TableHandbook[[#This Row],[UDC]],INDIRECT("Table"&amp;SUBSTITUTE(L$2,"-","")&amp;"[UDC]",TRUE),INDIRECT("Table"&amp;SUBSTITUTE(L$2,"-","")&amp;"[Component Type]",TRUE)),"")</f>
        <v>Core</v>
      </c>
      <c r="M80" s="152" t="str" cm="1">
        <f t="array" aca="1" ref="M80" ca="1">IFERROR(_xlfn.XLOOKUP(TableHandbook[[#This Row],[UDC]],INDIRECT("Table"&amp;SUBSTITUTE(M$2,"-","")&amp;"[UDC]",TRUE),INDIRECT("Table"&amp;SUBSTITUTE(M$2,"-","")&amp;"[Component Type]",TRUE)),"")</f>
        <v>Core</v>
      </c>
      <c r="N80" s="154" t="str" cm="1">
        <f t="array" aca="1" ref="N80" ca="1">IFERROR(_xlfn.XLOOKUP(TableHandbook[[#This Row],[UDC]],INDIRECT("Table"&amp;SUBSTITUTE(N$2,"-","")&amp;"[UDC]",TRUE),INDIRECT("Table"&amp;SUBSTITUTE(N$2,"-","")&amp;"[Component Type]",TRUE)),"")</f>
        <v>Core</v>
      </c>
      <c r="O80" s="152" t="str" cm="1">
        <f t="array" aca="1" ref="O80" ca="1">IFERROR(_xlfn.XLOOKUP(TableHandbook[[#This Row],[UDC]],INDIRECT("Table"&amp;SUBSTITUTE(O$2,"-","")&amp;"[UDC]",TRUE),INDIRECT("Table"&amp;SUBSTITUTE(O$2,"-","")&amp;"[Component Type]",TRUE)),"")</f>
        <v>Core</v>
      </c>
      <c r="P80" s="152" t="str" cm="1">
        <f t="array" aca="1" ref="P80" ca="1">IFERROR(_xlfn.XLOOKUP(TableHandbook[[#This Row],[UDC]],INDIRECT("Table"&amp;SUBSTITUTE(P$2,"-","")&amp;"[UDC]",TRUE),INDIRECT("Table"&amp;SUBSTITUTE(P$2,"-","")&amp;"[Component Type]",TRUE)),"")</f>
        <v/>
      </c>
      <c r="Q80" s="152" t="str" cm="1">
        <f t="array" aca="1" ref="Q80" ca="1">IFERROR(_xlfn.XLOOKUP(TableHandbook[[#This Row],[UDC]],INDIRECT("Table"&amp;SUBSTITUTE(Q$2,"-","")&amp;"[UDC]",TRUE),INDIRECT("Table"&amp;SUBSTITUTE(Q$2,"-","")&amp;"[Component Type]",TRUE)),"")</f>
        <v/>
      </c>
      <c r="R80" s="152" t="str" cm="1">
        <f t="array" aca="1" ref="R80" ca="1">IFERROR(_xlfn.XLOOKUP(TableHandbook[[#This Row],[UDC]],INDIRECT("Table"&amp;SUBSTITUTE(R$2,"-","")&amp;"[UDC]",TRUE),INDIRECT("Table"&amp;SUBSTITUTE(R$2,"-","")&amp;"[Component Type]",TRUE)),"")</f>
        <v/>
      </c>
      <c r="S80" s="152" t="str" cm="1">
        <f t="array" aca="1" ref="S80" ca="1">IFERROR(_xlfn.XLOOKUP(TableHandbook[[#This Row],[UDC]],INDIRECT("Table"&amp;SUBSTITUTE(S$2,"-","")&amp;"[UDC]",TRUE),INDIRECT("Table"&amp;SUBSTITUTE(S$2,"-","")&amp;"[Component Type]",TRUE)),"")</f>
        <v/>
      </c>
      <c r="T80" s="152" t="str" cm="1">
        <f t="array" aca="1" ref="T80" ca="1">IFERROR(_xlfn.XLOOKUP(TableHandbook[[#This Row],[UDC]],INDIRECT("Table"&amp;SUBSTITUTE(T$2,"-","")&amp;"[UDC]",TRUE),INDIRECT("Table"&amp;SUBSTITUTE(T$2,"-","")&amp;"[Component Type]",TRUE)),"")</f>
        <v/>
      </c>
      <c r="U80" s="152" t="str" cm="1">
        <f t="array" aca="1" ref="U80" ca="1">IFERROR(_xlfn.XLOOKUP(TableHandbook[[#This Row],[UDC]],INDIRECT("Table"&amp;SUBSTITUTE(U$2,"-","")&amp;"[UDC]",TRUE),INDIRECT("Table"&amp;SUBSTITUTE(U$2,"-","")&amp;"[Component Type]",TRUE)),"")</f>
        <v/>
      </c>
      <c r="V80" s="154" t="str" cm="1">
        <f t="array" aca="1" ref="V80" ca="1">IFERROR(_xlfn.XLOOKUP(TableHandbook[[#This Row],[UDC]],INDIRECT("Table"&amp;SUBSTITUTE(V$2,"-","")&amp;"[UDC]",TRUE),INDIRECT("Table"&amp;SUBSTITUTE(V$2,"-","")&amp;"[Component Type]",TRUE)),"")</f>
        <v>Core</v>
      </c>
      <c r="W80" s="152" t="str" cm="1">
        <f t="array" aca="1" ref="W80" ca="1">IFERROR(_xlfn.XLOOKUP(TableHandbook[[#This Row],[UDC]],INDIRECT("Table"&amp;SUBSTITUTE(W$2,"-","")&amp;"[UDC]",TRUE),INDIRECT("Table"&amp;SUBSTITUTE(W$2,"-","")&amp;"[Component Type]",TRUE)),"")</f>
        <v>Core</v>
      </c>
      <c r="X80" s="152" t="str" cm="1">
        <f t="array" aca="1" ref="X80" ca="1">IFERROR(_xlfn.XLOOKUP(TableHandbook[[#This Row],[UDC]],INDIRECT("Table"&amp;SUBSTITUTE(X$2,"-","")&amp;"[UDC]",TRUE),INDIRECT("Table"&amp;SUBSTITUTE(X$2,"-","")&amp;"[Component Type]",TRUE)),"")</f>
        <v/>
      </c>
      <c r="Y80" s="152" t="str" cm="1">
        <f t="array" aca="1" ref="Y80" ca="1">IFERROR(_xlfn.XLOOKUP(TableHandbook[[#This Row],[UDC]],INDIRECT("Table"&amp;SUBSTITUTE(Y$2,"-","")&amp;"[UDC]",TRUE),INDIRECT("Table"&amp;SUBSTITUTE(Y$2,"-","")&amp;"[Component Type]",TRUE)),"")</f>
        <v/>
      </c>
      <c r="Z80" s="152" t="str" cm="1">
        <f t="array" aca="1" ref="Z80" ca="1">IFERROR(_xlfn.XLOOKUP(TableHandbook[[#This Row],[UDC]],INDIRECT("Table"&amp;SUBSTITUTE(Z$2,"-","")&amp;"[UDC]",TRUE),INDIRECT("Table"&amp;SUBSTITUTE(Z$2,"-","")&amp;"[Component Type]",TRUE)),"")</f>
        <v/>
      </c>
    </row>
    <row r="81" spans="1:26" x14ac:dyDescent="0.25">
      <c r="A81" s="246" t="s">
        <v>589</v>
      </c>
      <c r="B81" s="9">
        <v>1</v>
      </c>
      <c r="C81" s="9" t="s">
        <v>589</v>
      </c>
      <c r="D81" s="8" t="s">
        <v>640</v>
      </c>
      <c r="E81" s="9">
        <v>25</v>
      </c>
      <c r="F81" s="266" t="s">
        <v>255</v>
      </c>
      <c r="G81" s="72" t="str">
        <f>IFERROR(IF(VLOOKUP(TableHandbook[[#This Row],[UDC]],TableAvailabilities[],2,FALSE)&gt;0,"Y",""),"")</f>
        <v/>
      </c>
      <c r="H81" s="72" t="str">
        <f>IFERROR(IF(VLOOKUP(TableHandbook[[#This Row],[UDC]],TableAvailabilities[],3,FALSE)&gt;0,"Y",""),"")</f>
        <v>Y</v>
      </c>
      <c r="I81" s="72" t="str">
        <f>IFERROR(IF(VLOOKUP(TableHandbook[[#This Row],[UDC]],TableAvailabilities[],4,FALSE)&gt;0,"Y",""),"")</f>
        <v/>
      </c>
      <c r="J81" s="72" t="str">
        <f>IFERROR(IF(VLOOKUP(TableHandbook[[#This Row],[UDC]],TableAvailabilities[],5,FALSE)&gt;0,"Y",""),"")</f>
        <v>Y</v>
      </c>
      <c r="K81" s="155"/>
      <c r="L81" s="152" t="str" cm="1">
        <f t="array" aca="1" ref="L81" ca="1">IFERROR(_xlfn.XLOOKUP(TableHandbook[[#This Row],[UDC]],INDIRECT("Table"&amp;SUBSTITUTE(L$2,"-","")&amp;"[UDC]",TRUE),INDIRECT("Table"&amp;SUBSTITUTE(L$2,"-","")&amp;"[Component Type]",TRUE)),"")</f>
        <v>Core</v>
      </c>
      <c r="M81" s="152" t="str" cm="1">
        <f t="array" aca="1" ref="M81" ca="1">IFERROR(_xlfn.XLOOKUP(TableHandbook[[#This Row],[UDC]],INDIRECT("Table"&amp;SUBSTITUTE(M$2,"-","")&amp;"[UDC]",TRUE),INDIRECT("Table"&amp;SUBSTITUTE(M$2,"-","")&amp;"[Component Type]",TRUE)),"")</f>
        <v>Core</v>
      </c>
      <c r="N81" s="154" t="str" cm="1">
        <f t="array" aca="1" ref="N81" ca="1">IFERROR(_xlfn.XLOOKUP(TableHandbook[[#This Row],[UDC]],INDIRECT("Table"&amp;SUBSTITUTE(N$2,"-","")&amp;"[UDC]",TRUE),INDIRECT("Table"&amp;SUBSTITUTE(N$2,"-","")&amp;"[Component Type]",TRUE)),"")</f>
        <v>Core</v>
      </c>
      <c r="O81" s="152" t="str" cm="1">
        <f t="array" aca="1" ref="O81" ca="1">IFERROR(_xlfn.XLOOKUP(TableHandbook[[#This Row],[UDC]],INDIRECT("Table"&amp;SUBSTITUTE(O$2,"-","")&amp;"[UDC]",TRUE),INDIRECT("Table"&amp;SUBSTITUTE(O$2,"-","")&amp;"[Component Type]",TRUE)),"")</f>
        <v>Core</v>
      </c>
      <c r="P81" s="152" t="str" cm="1">
        <f t="array" aca="1" ref="P81" ca="1">IFERROR(_xlfn.XLOOKUP(TableHandbook[[#This Row],[UDC]],INDIRECT("Table"&amp;SUBSTITUTE(P$2,"-","")&amp;"[UDC]",TRUE),INDIRECT("Table"&amp;SUBSTITUTE(P$2,"-","")&amp;"[Component Type]",TRUE)),"")</f>
        <v/>
      </c>
      <c r="Q81" s="152" t="str" cm="1">
        <f t="array" aca="1" ref="Q81" ca="1">IFERROR(_xlfn.XLOOKUP(TableHandbook[[#This Row],[UDC]],INDIRECT("Table"&amp;SUBSTITUTE(Q$2,"-","")&amp;"[UDC]",TRUE),INDIRECT("Table"&amp;SUBSTITUTE(Q$2,"-","")&amp;"[Component Type]",TRUE)),"")</f>
        <v/>
      </c>
      <c r="R81" s="152" t="str" cm="1">
        <f t="array" aca="1" ref="R81" ca="1">IFERROR(_xlfn.XLOOKUP(TableHandbook[[#This Row],[UDC]],INDIRECT("Table"&amp;SUBSTITUTE(R$2,"-","")&amp;"[UDC]",TRUE),INDIRECT("Table"&amp;SUBSTITUTE(R$2,"-","")&amp;"[Component Type]",TRUE)),"")</f>
        <v/>
      </c>
      <c r="S81" s="152" t="str" cm="1">
        <f t="array" aca="1" ref="S81" ca="1">IFERROR(_xlfn.XLOOKUP(TableHandbook[[#This Row],[UDC]],INDIRECT("Table"&amp;SUBSTITUTE(S$2,"-","")&amp;"[UDC]",TRUE),INDIRECT("Table"&amp;SUBSTITUTE(S$2,"-","")&amp;"[Component Type]",TRUE)),"")</f>
        <v/>
      </c>
      <c r="T81" s="152" t="str" cm="1">
        <f t="array" aca="1" ref="T81" ca="1">IFERROR(_xlfn.XLOOKUP(TableHandbook[[#This Row],[UDC]],INDIRECT("Table"&amp;SUBSTITUTE(T$2,"-","")&amp;"[UDC]",TRUE),INDIRECT("Table"&amp;SUBSTITUTE(T$2,"-","")&amp;"[Component Type]",TRUE)),"")</f>
        <v/>
      </c>
      <c r="U81" s="152" t="str" cm="1">
        <f t="array" aca="1" ref="U81" ca="1">IFERROR(_xlfn.XLOOKUP(TableHandbook[[#This Row],[UDC]],INDIRECT("Table"&amp;SUBSTITUTE(U$2,"-","")&amp;"[UDC]",TRUE),INDIRECT("Table"&amp;SUBSTITUTE(U$2,"-","")&amp;"[Component Type]",TRUE)),"")</f>
        <v/>
      </c>
      <c r="V81" s="154" t="str" cm="1">
        <f t="array" aca="1" ref="V81" ca="1">IFERROR(_xlfn.XLOOKUP(TableHandbook[[#This Row],[UDC]],INDIRECT("Table"&amp;SUBSTITUTE(V$2,"-","")&amp;"[UDC]",TRUE),INDIRECT("Table"&amp;SUBSTITUTE(V$2,"-","")&amp;"[Component Type]",TRUE)),"")</f>
        <v/>
      </c>
      <c r="W81" s="152" t="str" cm="1">
        <f t="array" aca="1" ref="W81" ca="1">IFERROR(_xlfn.XLOOKUP(TableHandbook[[#This Row],[UDC]],INDIRECT("Table"&amp;SUBSTITUTE(W$2,"-","")&amp;"[UDC]",TRUE),INDIRECT("Table"&amp;SUBSTITUTE(W$2,"-","")&amp;"[Component Type]",TRUE)),"")</f>
        <v/>
      </c>
      <c r="X81" s="152" t="str" cm="1">
        <f t="array" aca="1" ref="X81" ca="1">IFERROR(_xlfn.XLOOKUP(TableHandbook[[#This Row],[UDC]],INDIRECT("Table"&amp;SUBSTITUTE(X$2,"-","")&amp;"[UDC]",TRUE),INDIRECT("Table"&amp;SUBSTITUTE(X$2,"-","")&amp;"[Component Type]",TRUE)),"")</f>
        <v/>
      </c>
      <c r="Y81" s="152" t="str" cm="1">
        <f t="array" aca="1" ref="Y81" ca="1">IFERROR(_xlfn.XLOOKUP(TableHandbook[[#This Row],[UDC]],INDIRECT("Table"&amp;SUBSTITUTE(Y$2,"-","")&amp;"[UDC]",TRUE),INDIRECT("Table"&amp;SUBSTITUTE(Y$2,"-","")&amp;"[Component Type]",TRUE)),"")</f>
        <v/>
      </c>
      <c r="Z81" s="152" t="str" cm="1">
        <f t="array" aca="1" ref="Z81" ca="1">IFERROR(_xlfn.XLOOKUP(TableHandbook[[#This Row],[UDC]],INDIRECT("Table"&amp;SUBSTITUTE(Z$2,"-","")&amp;"[UDC]",TRUE),INDIRECT("Table"&amp;SUBSTITUTE(Z$2,"-","")&amp;"[Component Type]",TRUE)),"")</f>
        <v/>
      </c>
    </row>
    <row r="82" spans="1:26" x14ac:dyDescent="0.25">
      <c r="A82" s="246" t="s">
        <v>604</v>
      </c>
      <c r="B82" s="9">
        <v>1</v>
      </c>
      <c r="C82" s="9" t="s">
        <v>604</v>
      </c>
      <c r="D82" s="8" t="s">
        <v>646</v>
      </c>
      <c r="E82" s="9">
        <v>25</v>
      </c>
      <c r="F82" s="266" t="s">
        <v>721</v>
      </c>
      <c r="G82" s="72" t="str">
        <f>IFERROR(IF(VLOOKUP(TableHandbook[[#This Row],[UDC]],TableAvailabilities[],2,FALSE)&gt;0,"Y",""),"")</f>
        <v/>
      </c>
      <c r="H82" s="72" t="str">
        <f>IFERROR(IF(VLOOKUP(TableHandbook[[#This Row],[UDC]],TableAvailabilities[],3,FALSE)&gt;0,"Y",""),"")</f>
        <v>Y</v>
      </c>
      <c r="I82" s="72" t="str">
        <f>IFERROR(IF(VLOOKUP(TableHandbook[[#This Row],[UDC]],TableAvailabilities[],4,FALSE)&gt;0,"Y",""),"")</f>
        <v/>
      </c>
      <c r="J82" s="72" t="str">
        <f>IFERROR(IF(VLOOKUP(TableHandbook[[#This Row],[UDC]],TableAvailabilities[],5,FALSE)&gt;0,"Y",""),"")</f>
        <v>Y</v>
      </c>
      <c r="K82" s="155"/>
      <c r="L82" s="152" t="str" cm="1">
        <f t="array" aca="1" ref="L82" ca="1">IFERROR(_xlfn.XLOOKUP(TableHandbook[[#This Row],[UDC]],INDIRECT("Table"&amp;SUBSTITUTE(L$2,"-","")&amp;"[UDC]",TRUE),INDIRECT("Table"&amp;SUBSTITUTE(L$2,"-","")&amp;"[Component Type]",TRUE)),"")</f>
        <v>Core</v>
      </c>
      <c r="M82" s="152" t="str" cm="1">
        <f t="array" aca="1" ref="M82" ca="1">IFERROR(_xlfn.XLOOKUP(TableHandbook[[#This Row],[UDC]],INDIRECT("Table"&amp;SUBSTITUTE(M$2,"-","")&amp;"[UDC]",TRUE),INDIRECT("Table"&amp;SUBSTITUTE(M$2,"-","")&amp;"[Component Type]",TRUE)),"")</f>
        <v>Core</v>
      </c>
      <c r="N82" s="154" t="str" cm="1">
        <f t="array" aca="1" ref="N82" ca="1">IFERROR(_xlfn.XLOOKUP(TableHandbook[[#This Row],[UDC]],INDIRECT("Table"&amp;SUBSTITUTE(N$2,"-","")&amp;"[UDC]",TRUE),INDIRECT("Table"&amp;SUBSTITUTE(N$2,"-","")&amp;"[Component Type]",TRUE)),"")</f>
        <v>Core</v>
      </c>
      <c r="O82" s="152" t="str" cm="1">
        <f t="array" aca="1" ref="O82" ca="1">IFERROR(_xlfn.XLOOKUP(TableHandbook[[#This Row],[UDC]],INDIRECT("Table"&amp;SUBSTITUTE(O$2,"-","")&amp;"[UDC]",TRUE),INDIRECT("Table"&amp;SUBSTITUTE(O$2,"-","")&amp;"[Component Type]",TRUE)),"")</f>
        <v>Core</v>
      </c>
      <c r="P82" s="152" t="str" cm="1">
        <f t="array" aca="1" ref="P82" ca="1">IFERROR(_xlfn.XLOOKUP(TableHandbook[[#This Row],[UDC]],INDIRECT("Table"&amp;SUBSTITUTE(P$2,"-","")&amp;"[UDC]",TRUE),INDIRECT("Table"&amp;SUBSTITUTE(P$2,"-","")&amp;"[Component Type]",TRUE)),"")</f>
        <v/>
      </c>
      <c r="Q82" s="152" t="str" cm="1">
        <f t="array" aca="1" ref="Q82" ca="1">IFERROR(_xlfn.XLOOKUP(TableHandbook[[#This Row],[UDC]],INDIRECT("Table"&amp;SUBSTITUTE(Q$2,"-","")&amp;"[UDC]",TRUE),INDIRECT("Table"&amp;SUBSTITUTE(Q$2,"-","")&amp;"[Component Type]",TRUE)),"")</f>
        <v/>
      </c>
      <c r="R82" s="152" t="str" cm="1">
        <f t="array" aca="1" ref="R82" ca="1">IFERROR(_xlfn.XLOOKUP(TableHandbook[[#This Row],[UDC]],INDIRECT("Table"&amp;SUBSTITUTE(R$2,"-","")&amp;"[UDC]",TRUE),INDIRECT("Table"&amp;SUBSTITUTE(R$2,"-","")&amp;"[Component Type]",TRUE)),"")</f>
        <v/>
      </c>
      <c r="S82" s="152" t="str" cm="1">
        <f t="array" aca="1" ref="S82" ca="1">IFERROR(_xlfn.XLOOKUP(TableHandbook[[#This Row],[UDC]],INDIRECT("Table"&amp;SUBSTITUTE(S$2,"-","")&amp;"[UDC]",TRUE),INDIRECT("Table"&amp;SUBSTITUTE(S$2,"-","")&amp;"[Component Type]",TRUE)),"")</f>
        <v/>
      </c>
      <c r="T82" s="152" t="str" cm="1">
        <f t="array" aca="1" ref="T82" ca="1">IFERROR(_xlfn.XLOOKUP(TableHandbook[[#This Row],[UDC]],INDIRECT("Table"&amp;SUBSTITUTE(T$2,"-","")&amp;"[UDC]",TRUE),INDIRECT("Table"&amp;SUBSTITUTE(T$2,"-","")&amp;"[Component Type]",TRUE)),"")</f>
        <v/>
      </c>
      <c r="U82" s="152" t="str" cm="1">
        <f t="array" aca="1" ref="U82" ca="1">IFERROR(_xlfn.XLOOKUP(TableHandbook[[#This Row],[UDC]],INDIRECT("Table"&amp;SUBSTITUTE(U$2,"-","")&amp;"[UDC]",TRUE),INDIRECT("Table"&amp;SUBSTITUTE(U$2,"-","")&amp;"[Component Type]",TRUE)),"")</f>
        <v/>
      </c>
      <c r="V82" s="154" t="str" cm="1">
        <f t="array" aca="1" ref="V82" ca="1">IFERROR(_xlfn.XLOOKUP(TableHandbook[[#This Row],[UDC]],INDIRECT("Table"&amp;SUBSTITUTE(V$2,"-","")&amp;"[UDC]",TRUE),INDIRECT("Table"&amp;SUBSTITUTE(V$2,"-","")&amp;"[Component Type]",TRUE)),"")</f>
        <v/>
      </c>
      <c r="W82" s="152" t="str" cm="1">
        <f t="array" aca="1" ref="W82" ca="1">IFERROR(_xlfn.XLOOKUP(TableHandbook[[#This Row],[UDC]],INDIRECT("Table"&amp;SUBSTITUTE(W$2,"-","")&amp;"[UDC]",TRUE),INDIRECT("Table"&amp;SUBSTITUTE(W$2,"-","")&amp;"[Component Type]",TRUE)),"")</f>
        <v/>
      </c>
      <c r="X82" s="152" t="str" cm="1">
        <f t="array" aca="1" ref="X82" ca="1">IFERROR(_xlfn.XLOOKUP(TableHandbook[[#This Row],[UDC]],INDIRECT("Table"&amp;SUBSTITUTE(X$2,"-","")&amp;"[UDC]",TRUE),INDIRECT("Table"&amp;SUBSTITUTE(X$2,"-","")&amp;"[Component Type]",TRUE)),"")</f>
        <v/>
      </c>
      <c r="Y82" s="152" t="str" cm="1">
        <f t="array" aca="1" ref="Y82" ca="1">IFERROR(_xlfn.XLOOKUP(TableHandbook[[#This Row],[UDC]],INDIRECT("Table"&amp;SUBSTITUTE(Y$2,"-","")&amp;"[UDC]",TRUE),INDIRECT("Table"&amp;SUBSTITUTE(Y$2,"-","")&amp;"[Component Type]",TRUE)),"")</f>
        <v/>
      </c>
      <c r="Z82" s="152" t="str" cm="1">
        <f t="array" aca="1" ref="Z82" ca="1">IFERROR(_xlfn.XLOOKUP(TableHandbook[[#This Row],[UDC]],INDIRECT("Table"&amp;SUBSTITUTE(Z$2,"-","")&amp;"[UDC]",TRUE),INDIRECT("Table"&amp;SUBSTITUTE(Z$2,"-","")&amp;"[Component Type]",TRUE)),"")</f>
        <v/>
      </c>
    </row>
    <row r="83" spans="1:26" x14ac:dyDescent="0.25">
      <c r="A83" s="8" t="s">
        <v>682</v>
      </c>
      <c r="B83" s="9">
        <v>1</v>
      </c>
      <c r="C83" s="9" t="s">
        <v>364</v>
      </c>
      <c r="D83" s="8" t="s">
        <v>365</v>
      </c>
      <c r="E83" s="9">
        <v>25</v>
      </c>
      <c r="F83" s="265" t="s">
        <v>282</v>
      </c>
      <c r="G83" s="72" t="str">
        <f>IFERROR(IF(VLOOKUP(TableHandbook[[#This Row],[UDC]],TableAvailabilities[],2,FALSE)&gt;0,"Y",""),"")</f>
        <v/>
      </c>
      <c r="H83" s="72" t="str">
        <f>IFERROR(IF(VLOOKUP(TableHandbook[[#This Row],[UDC]],TableAvailabilities[],3,FALSE)&gt;0,"Y",""),"")</f>
        <v/>
      </c>
      <c r="I83" s="72" t="str">
        <f>IFERROR(IF(VLOOKUP(TableHandbook[[#This Row],[UDC]],TableAvailabilities[],4,FALSE)&gt;0,"Y",""),"")</f>
        <v/>
      </c>
      <c r="J83" s="72" t="str">
        <f>IFERROR(IF(VLOOKUP(TableHandbook[[#This Row],[UDC]],TableAvailabilities[],5,FALSE)&gt;0,"Y",""),"")</f>
        <v/>
      </c>
      <c r="K83" s="155" t="s">
        <v>654</v>
      </c>
      <c r="L83" s="152" t="str" cm="1">
        <f t="array" aca="1" ref="L83" ca="1">IFERROR(_xlfn.XLOOKUP(TableHandbook[[#This Row],[UDC]],INDIRECT("Table"&amp;SUBSTITUTE(L$2,"-","")&amp;"[UDC]",TRUE),INDIRECT("Table"&amp;SUBSTITUTE(L$2,"-","")&amp;"[Component Type]",TRUE)),"")</f>
        <v/>
      </c>
      <c r="M83" s="152" t="str" cm="1">
        <f t="array" aca="1" ref="M83" ca="1">IFERROR(_xlfn.XLOOKUP(TableHandbook[[#This Row],[UDC]],INDIRECT("Table"&amp;SUBSTITUTE(M$2,"-","")&amp;"[UDC]",TRUE),INDIRECT("Table"&amp;SUBSTITUTE(M$2,"-","")&amp;"[Component Type]",TRUE)),"")</f>
        <v/>
      </c>
      <c r="N83" s="154" t="str" cm="1">
        <f t="array" aca="1" ref="N83" ca="1">IFERROR(_xlfn.XLOOKUP(TableHandbook[[#This Row],[UDC]],INDIRECT("Table"&amp;SUBSTITUTE(N$2,"-","")&amp;"[UDC]",TRUE),INDIRECT("Table"&amp;SUBSTITUTE(N$2,"-","")&amp;"[Component Type]",TRUE)),"")</f>
        <v/>
      </c>
      <c r="O83" s="152" t="str" cm="1">
        <f t="array" aca="1" ref="O83" ca="1">IFERROR(_xlfn.XLOOKUP(TableHandbook[[#This Row],[UDC]],INDIRECT("Table"&amp;SUBSTITUTE(O$2,"-","")&amp;"[UDC]",TRUE),INDIRECT("Table"&amp;SUBSTITUTE(O$2,"-","")&amp;"[Component Type]",TRUE)),"")</f>
        <v/>
      </c>
      <c r="P83" s="152" t="str" cm="1">
        <f t="array" aca="1" ref="P83" ca="1">IFERROR(_xlfn.XLOOKUP(TableHandbook[[#This Row],[UDC]],INDIRECT("Table"&amp;SUBSTITUTE(P$2,"-","")&amp;"[UDC]",TRUE),INDIRECT("Table"&amp;SUBSTITUTE(P$2,"-","")&amp;"[Component Type]",TRUE)),"")</f>
        <v/>
      </c>
      <c r="Q83" s="152" t="str" cm="1">
        <f t="array" aca="1" ref="Q83" ca="1">IFERROR(_xlfn.XLOOKUP(TableHandbook[[#This Row],[UDC]],INDIRECT("Table"&amp;SUBSTITUTE(Q$2,"-","")&amp;"[UDC]",TRUE),INDIRECT("Table"&amp;SUBSTITUTE(Q$2,"-","")&amp;"[Component Type]",TRUE)),"")</f>
        <v/>
      </c>
      <c r="R83" s="152" t="str" cm="1">
        <f t="array" aca="1" ref="R83" ca="1">IFERROR(_xlfn.XLOOKUP(TableHandbook[[#This Row],[UDC]],INDIRECT("Table"&amp;SUBSTITUTE(R$2,"-","")&amp;"[UDC]",TRUE),INDIRECT("Table"&amp;SUBSTITUTE(R$2,"-","")&amp;"[Component Type]",TRUE)),"")</f>
        <v/>
      </c>
      <c r="S83" s="152" t="str" cm="1">
        <f t="array" aca="1" ref="S83" ca="1">IFERROR(_xlfn.XLOOKUP(TableHandbook[[#This Row],[UDC]],INDIRECT("Table"&amp;SUBSTITUTE(S$2,"-","")&amp;"[UDC]",TRUE),INDIRECT("Table"&amp;SUBSTITUTE(S$2,"-","")&amp;"[Component Type]",TRUE)),"")</f>
        <v/>
      </c>
      <c r="T83" s="152" t="str" cm="1">
        <f t="array" aca="1" ref="T83" ca="1">IFERROR(_xlfn.XLOOKUP(TableHandbook[[#This Row],[UDC]],INDIRECT("Table"&amp;SUBSTITUTE(T$2,"-","")&amp;"[UDC]",TRUE),INDIRECT("Table"&amp;SUBSTITUTE(T$2,"-","")&amp;"[Component Type]",TRUE)),"")</f>
        <v/>
      </c>
      <c r="U83" s="152" t="str" cm="1">
        <f t="array" aca="1" ref="U83" ca="1">IFERROR(_xlfn.XLOOKUP(TableHandbook[[#This Row],[UDC]],INDIRECT("Table"&amp;SUBSTITUTE(U$2,"-","")&amp;"[UDC]",TRUE),INDIRECT("Table"&amp;SUBSTITUTE(U$2,"-","")&amp;"[Component Type]",TRUE)),"")</f>
        <v/>
      </c>
      <c r="V83" s="154" t="str" cm="1">
        <f t="array" aca="1" ref="V83" ca="1">IFERROR(_xlfn.XLOOKUP(TableHandbook[[#This Row],[UDC]],INDIRECT("Table"&amp;SUBSTITUTE(V$2,"-","")&amp;"[UDC]",TRUE),INDIRECT("Table"&amp;SUBSTITUTE(V$2,"-","")&amp;"[Component Type]",TRUE)),"")</f>
        <v/>
      </c>
      <c r="W83" s="152" t="str" cm="1">
        <f t="array" aca="1" ref="W83" ca="1">IFERROR(_xlfn.XLOOKUP(TableHandbook[[#This Row],[UDC]],INDIRECT("Table"&amp;SUBSTITUTE(W$2,"-","")&amp;"[UDC]",TRUE),INDIRECT("Table"&amp;SUBSTITUTE(W$2,"-","")&amp;"[Component Type]",TRUE)),"")</f>
        <v/>
      </c>
      <c r="X83" s="152" t="str" cm="1">
        <f t="array" aca="1" ref="X83" ca="1">IFERROR(_xlfn.XLOOKUP(TableHandbook[[#This Row],[UDC]],INDIRECT("Table"&amp;SUBSTITUTE(X$2,"-","")&amp;"[UDC]",TRUE),INDIRECT("Table"&amp;SUBSTITUTE(X$2,"-","")&amp;"[Component Type]",TRUE)),"")</f>
        <v/>
      </c>
      <c r="Y83" s="152" t="str" cm="1">
        <f t="array" aca="1" ref="Y83" ca="1">IFERROR(_xlfn.XLOOKUP(TableHandbook[[#This Row],[UDC]],INDIRECT("Table"&amp;SUBSTITUTE(Y$2,"-","")&amp;"[UDC]",TRUE),INDIRECT("Table"&amp;SUBSTITUTE(Y$2,"-","")&amp;"[Component Type]",TRUE)),"")</f>
        <v/>
      </c>
      <c r="Z83" s="152" t="str" cm="1">
        <f t="array" aca="1" ref="Z83" ca="1">IFERROR(_xlfn.XLOOKUP(TableHandbook[[#This Row],[UDC]],INDIRECT("Table"&amp;SUBSTITUTE(Z$2,"-","")&amp;"[UDC]",TRUE),INDIRECT("Table"&amp;SUBSTITUTE(Z$2,"-","")&amp;"[Component Type]",TRUE)),"")</f>
        <v/>
      </c>
    </row>
    <row r="84" spans="1:26" x14ac:dyDescent="0.25">
      <c r="A84" s="8" t="s">
        <v>683</v>
      </c>
      <c r="B84" s="9">
        <v>1</v>
      </c>
      <c r="C84" s="9" t="s">
        <v>295</v>
      </c>
      <c r="D84" s="8" t="s">
        <v>366</v>
      </c>
      <c r="E84" s="9">
        <v>25</v>
      </c>
      <c r="F84" s="265" t="s">
        <v>367</v>
      </c>
      <c r="G84" s="72" t="str">
        <f>IFERROR(IF(VLOOKUP(TableHandbook[[#This Row],[UDC]],TableAvailabilities[],2,FALSE)&gt;0,"Y",""),"")</f>
        <v/>
      </c>
      <c r="H84" s="72" t="str">
        <f>IFERROR(IF(VLOOKUP(TableHandbook[[#This Row],[UDC]],TableAvailabilities[],3,FALSE)&gt;0,"Y",""),"")</f>
        <v/>
      </c>
      <c r="I84" s="72" t="str">
        <f>IFERROR(IF(VLOOKUP(TableHandbook[[#This Row],[UDC]],TableAvailabilities[],4,FALSE)&gt;0,"Y",""),"")</f>
        <v/>
      </c>
      <c r="J84" s="72" t="str">
        <f>IFERROR(IF(VLOOKUP(TableHandbook[[#This Row],[UDC]],TableAvailabilities[],5,FALSE)&gt;0,"Y",""),"")</f>
        <v/>
      </c>
      <c r="K84" s="209" t="s">
        <v>654</v>
      </c>
      <c r="L84" s="152" t="str" cm="1">
        <f t="array" aca="1" ref="L84" ca="1">IFERROR(_xlfn.XLOOKUP(TableHandbook[[#This Row],[UDC]],INDIRECT("Table"&amp;SUBSTITUTE(L$2,"-","")&amp;"[UDC]",TRUE),INDIRECT("Table"&amp;SUBSTITUTE(L$2,"-","")&amp;"[Component Type]",TRUE)),"")</f>
        <v/>
      </c>
      <c r="M84" s="152" t="str" cm="1">
        <f t="array" aca="1" ref="M84" ca="1">IFERROR(_xlfn.XLOOKUP(TableHandbook[[#This Row],[UDC]],INDIRECT("Table"&amp;SUBSTITUTE(M$2,"-","")&amp;"[UDC]",TRUE),INDIRECT("Table"&amp;SUBSTITUTE(M$2,"-","")&amp;"[Component Type]",TRUE)),"")</f>
        <v/>
      </c>
      <c r="N84" s="154" t="str" cm="1">
        <f t="array" aca="1" ref="N84" ca="1">IFERROR(_xlfn.XLOOKUP(TableHandbook[[#This Row],[UDC]],INDIRECT("Table"&amp;SUBSTITUTE(N$2,"-","")&amp;"[UDC]",TRUE),INDIRECT("Table"&amp;SUBSTITUTE(N$2,"-","")&amp;"[Component Type]",TRUE)),"")</f>
        <v/>
      </c>
      <c r="O84" s="152" t="str" cm="1">
        <f t="array" aca="1" ref="O84" ca="1">IFERROR(_xlfn.XLOOKUP(TableHandbook[[#This Row],[UDC]],INDIRECT("Table"&amp;SUBSTITUTE(O$2,"-","")&amp;"[UDC]",TRUE),INDIRECT("Table"&amp;SUBSTITUTE(O$2,"-","")&amp;"[Component Type]",TRUE)),"")</f>
        <v/>
      </c>
      <c r="P84" s="152" t="str" cm="1">
        <f t="array" aca="1" ref="P84" ca="1">IFERROR(_xlfn.XLOOKUP(TableHandbook[[#This Row],[UDC]],INDIRECT("Table"&amp;SUBSTITUTE(P$2,"-","")&amp;"[UDC]",TRUE),INDIRECT("Table"&amp;SUBSTITUTE(P$2,"-","")&amp;"[Component Type]",TRUE)),"")</f>
        <v/>
      </c>
      <c r="Q84" s="152" t="str" cm="1">
        <f t="array" aca="1" ref="Q84" ca="1">IFERROR(_xlfn.XLOOKUP(TableHandbook[[#This Row],[UDC]],INDIRECT("Table"&amp;SUBSTITUTE(Q$2,"-","")&amp;"[UDC]",TRUE),INDIRECT("Table"&amp;SUBSTITUTE(Q$2,"-","")&amp;"[Component Type]",TRUE)),"")</f>
        <v/>
      </c>
      <c r="R84" s="152" t="str" cm="1">
        <f t="array" aca="1" ref="R84" ca="1">IFERROR(_xlfn.XLOOKUP(TableHandbook[[#This Row],[UDC]],INDIRECT("Table"&amp;SUBSTITUTE(R$2,"-","")&amp;"[UDC]",TRUE),INDIRECT("Table"&amp;SUBSTITUTE(R$2,"-","")&amp;"[Component Type]",TRUE)),"")</f>
        <v/>
      </c>
      <c r="S84" s="152" t="str" cm="1">
        <f t="array" aca="1" ref="S84" ca="1">IFERROR(_xlfn.XLOOKUP(TableHandbook[[#This Row],[UDC]],INDIRECT("Table"&amp;SUBSTITUTE(S$2,"-","")&amp;"[UDC]",TRUE),INDIRECT("Table"&amp;SUBSTITUTE(S$2,"-","")&amp;"[Component Type]",TRUE)),"")</f>
        <v/>
      </c>
      <c r="T84" s="152" t="str" cm="1">
        <f t="array" aca="1" ref="T84" ca="1">IFERROR(_xlfn.XLOOKUP(TableHandbook[[#This Row],[UDC]],INDIRECT("Table"&amp;SUBSTITUTE(T$2,"-","")&amp;"[UDC]",TRUE),INDIRECT("Table"&amp;SUBSTITUTE(T$2,"-","")&amp;"[Component Type]",TRUE)),"")</f>
        <v/>
      </c>
      <c r="U84" s="152" t="str" cm="1">
        <f t="array" aca="1" ref="U84" ca="1">IFERROR(_xlfn.XLOOKUP(TableHandbook[[#This Row],[UDC]],INDIRECT("Table"&amp;SUBSTITUTE(U$2,"-","")&amp;"[UDC]",TRUE),INDIRECT("Table"&amp;SUBSTITUTE(U$2,"-","")&amp;"[Component Type]",TRUE)),"")</f>
        <v/>
      </c>
      <c r="V84" s="154" t="str" cm="1">
        <f t="array" aca="1" ref="V84" ca="1">IFERROR(_xlfn.XLOOKUP(TableHandbook[[#This Row],[UDC]],INDIRECT("Table"&amp;SUBSTITUTE(V$2,"-","")&amp;"[UDC]",TRUE),INDIRECT("Table"&amp;SUBSTITUTE(V$2,"-","")&amp;"[Component Type]",TRUE)),"")</f>
        <v/>
      </c>
      <c r="W84" s="152" t="str" cm="1">
        <f t="array" aca="1" ref="W84" ca="1">IFERROR(_xlfn.XLOOKUP(TableHandbook[[#This Row],[UDC]],INDIRECT("Table"&amp;SUBSTITUTE(W$2,"-","")&amp;"[UDC]",TRUE),INDIRECT("Table"&amp;SUBSTITUTE(W$2,"-","")&amp;"[Component Type]",TRUE)),"")</f>
        <v/>
      </c>
      <c r="X84" s="152" t="str" cm="1">
        <f t="array" aca="1" ref="X84" ca="1">IFERROR(_xlfn.XLOOKUP(TableHandbook[[#This Row],[UDC]],INDIRECT("Table"&amp;SUBSTITUTE(X$2,"-","")&amp;"[UDC]",TRUE),INDIRECT("Table"&amp;SUBSTITUTE(X$2,"-","")&amp;"[Component Type]",TRUE)),"")</f>
        <v/>
      </c>
      <c r="Y84" s="152" t="str" cm="1">
        <f t="array" aca="1" ref="Y84" ca="1">IFERROR(_xlfn.XLOOKUP(TableHandbook[[#This Row],[UDC]],INDIRECT("Table"&amp;SUBSTITUTE(Y$2,"-","")&amp;"[UDC]",TRUE),INDIRECT("Table"&amp;SUBSTITUTE(Y$2,"-","")&amp;"[Component Type]",TRUE)),"")</f>
        <v/>
      </c>
      <c r="Z84" s="152" t="str" cm="1">
        <f t="array" aca="1" ref="Z84" ca="1">IFERROR(_xlfn.XLOOKUP(TableHandbook[[#This Row],[UDC]],INDIRECT("Table"&amp;SUBSTITUTE(Z$2,"-","")&amp;"[UDC]",TRUE),INDIRECT("Table"&amp;SUBSTITUTE(Z$2,"-","")&amp;"[Component Type]",TRUE)),"")</f>
        <v/>
      </c>
    </row>
    <row r="85" spans="1:26" x14ac:dyDescent="0.25">
      <c r="A85" s="8" t="s">
        <v>156</v>
      </c>
      <c r="B85" s="9">
        <v>1</v>
      </c>
      <c r="C85" s="9" t="s">
        <v>368</v>
      </c>
      <c r="D85" s="8" t="s">
        <v>688</v>
      </c>
      <c r="E85" s="9">
        <v>25</v>
      </c>
      <c r="F85" s="266" t="s">
        <v>369</v>
      </c>
      <c r="G85" s="72" t="str">
        <f>IFERROR(IF(VLOOKUP(TableHandbook[[#This Row],[UDC]],TableAvailabilities[],2,FALSE)&gt;0,"Y",""),"")</f>
        <v/>
      </c>
      <c r="H85" s="72" t="str">
        <f>IFERROR(IF(VLOOKUP(TableHandbook[[#This Row],[UDC]],TableAvailabilities[],3,FALSE)&gt;0,"Y",""),"")</f>
        <v>Y</v>
      </c>
      <c r="I85" s="72" t="str">
        <f>IFERROR(IF(VLOOKUP(TableHandbook[[#This Row],[UDC]],TableAvailabilities[],4,FALSE)&gt;0,"Y",""),"")</f>
        <v/>
      </c>
      <c r="J85" s="72" t="str">
        <f>IFERROR(IF(VLOOKUP(TableHandbook[[#This Row],[UDC]],TableAvailabilities[],5,FALSE)&gt;0,"Y",""),"")</f>
        <v/>
      </c>
      <c r="K85" s="155"/>
      <c r="L85" s="152" t="str" cm="1">
        <f t="array" aca="1" ref="L85" ca="1">IFERROR(_xlfn.XLOOKUP(TableHandbook[[#This Row],[UDC]],INDIRECT("Table"&amp;SUBSTITUTE(L$2,"-","")&amp;"[UDC]",TRUE),INDIRECT("Table"&amp;SUBSTITUTE(L$2,"-","")&amp;"[Component Type]",TRUE)),"")</f>
        <v/>
      </c>
      <c r="M85" s="152" t="str" cm="1">
        <f t="array" aca="1" ref="M85" ca="1">IFERROR(_xlfn.XLOOKUP(TableHandbook[[#This Row],[UDC]],INDIRECT("Table"&amp;SUBSTITUTE(M$2,"-","")&amp;"[UDC]",TRUE),INDIRECT("Table"&amp;SUBSTITUTE(M$2,"-","")&amp;"[Component Type]",TRUE)),"")</f>
        <v/>
      </c>
      <c r="N85" s="154" t="str" cm="1">
        <f t="array" aca="1" ref="N85" ca="1">IFERROR(_xlfn.XLOOKUP(TableHandbook[[#This Row],[UDC]],INDIRECT("Table"&amp;SUBSTITUTE(N$2,"-","")&amp;"[UDC]",TRUE),INDIRECT("Table"&amp;SUBSTITUTE(N$2,"-","")&amp;"[Component Type]",TRUE)),"")</f>
        <v/>
      </c>
      <c r="O85" s="152" t="str" cm="1">
        <f t="array" aca="1" ref="O85" ca="1">IFERROR(_xlfn.XLOOKUP(TableHandbook[[#This Row],[UDC]],INDIRECT("Table"&amp;SUBSTITUTE(O$2,"-","")&amp;"[UDC]",TRUE),INDIRECT("Table"&amp;SUBSTITUTE(O$2,"-","")&amp;"[Component Type]",TRUE)),"")</f>
        <v/>
      </c>
      <c r="P85" s="152" t="str" cm="1">
        <f t="array" aca="1" ref="P85" ca="1">IFERROR(_xlfn.XLOOKUP(TableHandbook[[#This Row],[UDC]],INDIRECT("Table"&amp;SUBSTITUTE(P$2,"-","")&amp;"[UDC]",TRUE),INDIRECT("Table"&amp;SUBSTITUTE(P$2,"-","")&amp;"[Component Type]",TRUE)),"")</f>
        <v/>
      </c>
      <c r="Q85" s="152" t="str" cm="1">
        <f t="array" aca="1" ref="Q85" ca="1">IFERROR(_xlfn.XLOOKUP(TableHandbook[[#This Row],[UDC]],INDIRECT("Table"&amp;SUBSTITUTE(Q$2,"-","")&amp;"[UDC]",TRUE),INDIRECT("Table"&amp;SUBSTITUTE(Q$2,"-","")&amp;"[Component Type]",TRUE)),"")</f>
        <v/>
      </c>
      <c r="R85" s="152" t="str" cm="1">
        <f t="array" aca="1" ref="R85" ca="1">IFERROR(_xlfn.XLOOKUP(TableHandbook[[#This Row],[UDC]],INDIRECT("Table"&amp;SUBSTITUTE(R$2,"-","")&amp;"[UDC]",TRUE),INDIRECT("Table"&amp;SUBSTITUTE(R$2,"-","")&amp;"[Component Type]",TRUE)),"")</f>
        <v>Core</v>
      </c>
      <c r="S85" s="152" t="str" cm="1">
        <f t="array" aca="1" ref="S85" ca="1">IFERROR(_xlfn.XLOOKUP(TableHandbook[[#This Row],[UDC]],INDIRECT("Table"&amp;SUBSTITUTE(S$2,"-","")&amp;"[UDC]",TRUE),INDIRECT("Table"&amp;SUBSTITUTE(S$2,"-","")&amp;"[Component Type]",TRUE)),"")</f>
        <v/>
      </c>
      <c r="T85" s="152" t="str" cm="1">
        <f t="array" aca="1" ref="T85" ca="1">IFERROR(_xlfn.XLOOKUP(TableHandbook[[#This Row],[UDC]],INDIRECT("Table"&amp;SUBSTITUTE(T$2,"-","")&amp;"[UDC]",TRUE),INDIRECT("Table"&amp;SUBSTITUTE(T$2,"-","")&amp;"[Component Type]",TRUE)),"")</f>
        <v/>
      </c>
      <c r="U85" s="152" t="str" cm="1">
        <f t="array" aca="1" ref="U85" ca="1">IFERROR(_xlfn.XLOOKUP(TableHandbook[[#This Row],[UDC]],INDIRECT("Table"&amp;SUBSTITUTE(U$2,"-","")&amp;"[UDC]",TRUE),INDIRECT("Table"&amp;SUBSTITUTE(U$2,"-","")&amp;"[Component Type]",TRUE)),"")</f>
        <v/>
      </c>
      <c r="V85" s="154" t="str" cm="1">
        <f t="array" aca="1" ref="V85" ca="1">IFERROR(_xlfn.XLOOKUP(TableHandbook[[#This Row],[UDC]],INDIRECT("Table"&amp;SUBSTITUTE(V$2,"-","")&amp;"[UDC]",TRUE),INDIRECT("Table"&amp;SUBSTITUTE(V$2,"-","")&amp;"[Component Type]",TRUE)),"")</f>
        <v/>
      </c>
      <c r="W85" s="152" t="str" cm="1">
        <f t="array" aca="1" ref="W85" ca="1">IFERROR(_xlfn.XLOOKUP(TableHandbook[[#This Row],[UDC]],INDIRECT("Table"&amp;SUBSTITUTE(W$2,"-","")&amp;"[UDC]",TRUE),INDIRECT("Table"&amp;SUBSTITUTE(W$2,"-","")&amp;"[Component Type]",TRUE)),"")</f>
        <v/>
      </c>
      <c r="X85" s="152" t="str" cm="1">
        <f t="array" aca="1" ref="X85" ca="1">IFERROR(_xlfn.XLOOKUP(TableHandbook[[#This Row],[UDC]],INDIRECT("Table"&amp;SUBSTITUTE(X$2,"-","")&amp;"[UDC]",TRUE),INDIRECT("Table"&amp;SUBSTITUTE(X$2,"-","")&amp;"[Component Type]",TRUE)),"")</f>
        <v/>
      </c>
      <c r="Y85" s="152" t="str" cm="1">
        <f t="array" aca="1" ref="Y85" ca="1">IFERROR(_xlfn.XLOOKUP(TableHandbook[[#This Row],[UDC]],INDIRECT("Table"&amp;SUBSTITUTE(Y$2,"-","")&amp;"[UDC]",TRUE),INDIRECT("Table"&amp;SUBSTITUTE(Y$2,"-","")&amp;"[Component Type]",TRUE)),"")</f>
        <v/>
      </c>
      <c r="Z85" s="152" t="str" cm="1">
        <f t="array" aca="1" ref="Z85" ca="1">IFERROR(_xlfn.XLOOKUP(TableHandbook[[#This Row],[UDC]],INDIRECT("Table"&amp;SUBSTITUTE(Z$2,"-","")&amp;"[UDC]",TRUE),INDIRECT("Table"&amp;SUBSTITUTE(Z$2,"-","")&amp;"[Component Type]",TRUE)),"")</f>
        <v/>
      </c>
    </row>
    <row r="86" spans="1:26" x14ac:dyDescent="0.25">
      <c r="A86" s="8" t="s">
        <v>157</v>
      </c>
      <c r="B86" s="9">
        <v>1</v>
      </c>
      <c r="C86" s="9" t="s">
        <v>370</v>
      </c>
      <c r="D86" s="8" t="s">
        <v>689</v>
      </c>
      <c r="E86" s="9">
        <v>25</v>
      </c>
      <c r="F86" s="266" t="s">
        <v>369</v>
      </c>
      <c r="G86" s="72" t="str">
        <f>IFERROR(IF(VLOOKUP(TableHandbook[[#This Row],[UDC]],TableAvailabilities[],2,FALSE)&gt;0,"Y",""),"")</f>
        <v>Y</v>
      </c>
      <c r="H86" s="72" t="str">
        <f>IFERROR(IF(VLOOKUP(TableHandbook[[#This Row],[UDC]],TableAvailabilities[],3,FALSE)&gt;0,"Y",""),"")</f>
        <v/>
      </c>
      <c r="I86" s="72" t="str">
        <f>IFERROR(IF(VLOOKUP(TableHandbook[[#This Row],[UDC]],TableAvailabilities[],4,FALSE)&gt;0,"Y",""),"")</f>
        <v/>
      </c>
      <c r="J86" s="72" t="str">
        <f>IFERROR(IF(VLOOKUP(TableHandbook[[#This Row],[UDC]],TableAvailabilities[],5,FALSE)&gt;0,"Y",""),"")</f>
        <v/>
      </c>
      <c r="K86" s="155"/>
      <c r="L86" s="152" t="str" cm="1">
        <f t="array" aca="1" ref="L86" ca="1">IFERROR(_xlfn.XLOOKUP(TableHandbook[[#This Row],[UDC]],INDIRECT("Table"&amp;SUBSTITUTE(L$2,"-","")&amp;"[UDC]",TRUE),INDIRECT("Table"&amp;SUBSTITUTE(L$2,"-","")&amp;"[Component Type]",TRUE)),"")</f>
        <v/>
      </c>
      <c r="M86" s="152" t="str" cm="1">
        <f t="array" aca="1" ref="M86" ca="1">IFERROR(_xlfn.XLOOKUP(TableHandbook[[#This Row],[UDC]],INDIRECT("Table"&amp;SUBSTITUTE(M$2,"-","")&amp;"[UDC]",TRUE),INDIRECT("Table"&amp;SUBSTITUTE(M$2,"-","")&amp;"[Component Type]",TRUE)),"")</f>
        <v/>
      </c>
      <c r="N86" s="154" t="str" cm="1">
        <f t="array" aca="1" ref="N86" ca="1">IFERROR(_xlfn.XLOOKUP(TableHandbook[[#This Row],[UDC]],INDIRECT("Table"&amp;SUBSTITUTE(N$2,"-","")&amp;"[UDC]",TRUE),INDIRECT("Table"&amp;SUBSTITUTE(N$2,"-","")&amp;"[Component Type]",TRUE)),"")</f>
        <v/>
      </c>
      <c r="O86" s="152" t="str" cm="1">
        <f t="array" aca="1" ref="O86" ca="1">IFERROR(_xlfn.XLOOKUP(TableHandbook[[#This Row],[UDC]],INDIRECT("Table"&amp;SUBSTITUTE(O$2,"-","")&amp;"[UDC]",TRUE),INDIRECT("Table"&amp;SUBSTITUTE(O$2,"-","")&amp;"[Component Type]",TRUE)),"")</f>
        <v/>
      </c>
      <c r="P86" s="152" t="str" cm="1">
        <f t="array" aca="1" ref="P86" ca="1">IFERROR(_xlfn.XLOOKUP(TableHandbook[[#This Row],[UDC]],INDIRECT("Table"&amp;SUBSTITUTE(P$2,"-","")&amp;"[UDC]",TRUE),INDIRECT("Table"&amp;SUBSTITUTE(P$2,"-","")&amp;"[Component Type]",TRUE)),"")</f>
        <v/>
      </c>
      <c r="Q86" s="152" t="str" cm="1">
        <f t="array" aca="1" ref="Q86" ca="1">IFERROR(_xlfn.XLOOKUP(TableHandbook[[#This Row],[UDC]],INDIRECT("Table"&amp;SUBSTITUTE(Q$2,"-","")&amp;"[UDC]",TRUE),INDIRECT("Table"&amp;SUBSTITUTE(Q$2,"-","")&amp;"[Component Type]",TRUE)),"")</f>
        <v/>
      </c>
      <c r="R86" s="152" t="str" cm="1">
        <f t="array" aca="1" ref="R86" ca="1">IFERROR(_xlfn.XLOOKUP(TableHandbook[[#This Row],[UDC]],INDIRECT("Table"&amp;SUBSTITUTE(R$2,"-","")&amp;"[UDC]",TRUE),INDIRECT("Table"&amp;SUBSTITUTE(R$2,"-","")&amp;"[Component Type]",TRUE)),"")</f>
        <v>Core</v>
      </c>
      <c r="S86" s="152" t="str" cm="1">
        <f t="array" aca="1" ref="S86" ca="1">IFERROR(_xlfn.XLOOKUP(TableHandbook[[#This Row],[UDC]],INDIRECT("Table"&amp;SUBSTITUTE(S$2,"-","")&amp;"[UDC]",TRUE),INDIRECT("Table"&amp;SUBSTITUTE(S$2,"-","")&amp;"[Component Type]",TRUE)),"")</f>
        <v/>
      </c>
      <c r="T86" s="152" t="str" cm="1">
        <f t="array" aca="1" ref="T86" ca="1">IFERROR(_xlfn.XLOOKUP(TableHandbook[[#This Row],[UDC]],INDIRECT("Table"&amp;SUBSTITUTE(T$2,"-","")&amp;"[UDC]",TRUE),INDIRECT("Table"&amp;SUBSTITUTE(T$2,"-","")&amp;"[Component Type]",TRUE)),"")</f>
        <v/>
      </c>
      <c r="U86" s="152" t="str" cm="1">
        <f t="array" aca="1" ref="U86" ca="1">IFERROR(_xlfn.XLOOKUP(TableHandbook[[#This Row],[UDC]],INDIRECT("Table"&amp;SUBSTITUTE(U$2,"-","")&amp;"[UDC]",TRUE),INDIRECT("Table"&amp;SUBSTITUTE(U$2,"-","")&amp;"[Component Type]",TRUE)),"")</f>
        <v/>
      </c>
      <c r="V86" s="154" t="str" cm="1">
        <f t="array" aca="1" ref="V86" ca="1">IFERROR(_xlfn.XLOOKUP(TableHandbook[[#This Row],[UDC]],INDIRECT("Table"&amp;SUBSTITUTE(V$2,"-","")&amp;"[UDC]",TRUE),INDIRECT("Table"&amp;SUBSTITUTE(V$2,"-","")&amp;"[Component Type]",TRUE)),"")</f>
        <v/>
      </c>
      <c r="W86" s="152" t="str" cm="1">
        <f t="array" aca="1" ref="W86" ca="1">IFERROR(_xlfn.XLOOKUP(TableHandbook[[#This Row],[UDC]],INDIRECT("Table"&amp;SUBSTITUTE(W$2,"-","")&amp;"[UDC]",TRUE),INDIRECT("Table"&amp;SUBSTITUTE(W$2,"-","")&amp;"[Component Type]",TRUE)),"")</f>
        <v/>
      </c>
      <c r="X86" s="152" t="str" cm="1">
        <f t="array" aca="1" ref="X86" ca="1">IFERROR(_xlfn.XLOOKUP(TableHandbook[[#This Row],[UDC]],INDIRECT("Table"&amp;SUBSTITUTE(X$2,"-","")&amp;"[UDC]",TRUE),INDIRECT("Table"&amp;SUBSTITUTE(X$2,"-","")&amp;"[Component Type]",TRUE)),"")</f>
        <v/>
      </c>
      <c r="Y86" s="152" t="str" cm="1">
        <f t="array" aca="1" ref="Y86" ca="1">IFERROR(_xlfn.XLOOKUP(TableHandbook[[#This Row],[UDC]],INDIRECT("Table"&amp;SUBSTITUTE(Y$2,"-","")&amp;"[UDC]",TRUE),INDIRECT("Table"&amp;SUBSTITUTE(Y$2,"-","")&amp;"[Component Type]",TRUE)),"")</f>
        <v/>
      </c>
      <c r="Z86" s="152" t="str" cm="1">
        <f t="array" aca="1" ref="Z86" ca="1">IFERROR(_xlfn.XLOOKUP(TableHandbook[[#This Row],[UDC]],INDIRECT("Table"&amp;SUBSTITUTE(Z$2,"-","")&amp;"[UDC]",TRUE),INDIRECT("Table"&amp;SUBSTITUTE(Z$2,"-","")&amp;"[Component Type]",TRUE)),"")</f>
        <v/>
      </c>
    </row>
    <row r="87" spans="1:26" x14ac:dyDescent="0.25">
      <c r="A87" s="8" t="s">
        <v>140</v>
      </c>
      <c r="B87" s="9">
        <v>1</v>
      </c>
      <c r="C87" s="9" t="s">
        <v>371</v>
      </c>
      <c r="D87" s="8" t="s">
        <v>372</v>
      </c>
      <c r="E87" s="9">
        <v>25</v>
      </c>
      <c r="F87" s="266" t="s">
        <v>255</v>
      </c>
      <c r="G87" s="72" t="str">
        <f>IFERROR(IF(VLOOKUP(TableHandbook[[#This Row],[UDC]],TableAvailabilities[],2,FALSE)&gt;0,"Y",""),"")</f>
        <v/>
      </c>
      <c r="H87" s="72" t="str">
        <f>IFERROR(IF(VLOOKUP(TableHandbook[[#This Row],[UDC]],TableAvailabilities[],3,FALSE)&gt;0,"Y",""),"")</f>
        <v>Y</v>
      </c>
      <c r="I87" s="72" t="str">
        <f>IFERROR(IF(VLOOKUP(TableHandbook[[#This Row],[UDC]],TableAvailabilities[],4,FALSE)&gt;0,"Y",""),"")</f>
        <v/>
      </c>
      <c r="J87" s="72" t="str">
        <f>IFERROR(IF(VLOOKUP(TableHandbook[[#This Row],[UDC]],TableAvailabilities[],5,FALSE)&gt;0,"Y",""),"")</f>
        <v/>
      </c>
      <c r="K87" s="155"/>
      <c r="L87" s="152" t="str" cm="1">
        <f t="array" aca="1" ref="L87" ca="1">IFERROR(_xlfn.XLOOKUP(TableHandbook[[#This Row],[UDC]],INDIRECT("Table"&amp;SUBSTITUTE(L$2,"-","")&amp;"[UDC]",TRUE),INDIRECT("Table"&amp;SUBSTITUTE(L$2,"-","")&amp;"[Component Type]",TRUE)),"")</f>
        <v>Option</v>
      </c>
      <c r="M87" s="152" t="str" cm="1">
        <f t="array" aca="1" ref="M87" ca="1">IFERROR(_xlfn.XLOOKUP(TableHandbook[[#This Row],[UDC]],INDIRECT("Table"&amp;SUBSTITUTE(M$2,"-","")&amp;"[UDC]",TRUE),INDIRECT("Table"&amp;SUBSTITUTE(M$2,"-","")&amp;"[Component Type]",TRUE)),"")</f>
        <v>Option</v>
      </c>
      <c r="N87" s="154" t="str" cm="1">
        <f t="array" aca="1" ref="N87" ca="1">IFERROR(_xlfn.XLOOKUP(TableHandbook[[#This Row],[UDC]],INDIRECT("Table"&amp;SUBSTITUTE(N$2,"-","")&amp;"[UDC]",TRUE),INDIRECT("Table"&amp;SUBSTITUTE(N$2,"-","")&amp;"[Component Type]",TRUE)),"")</f>
        <v/>
      </c>
      <c r="O87" s="152" t="str" cm="1">
        <f t="array" aca="1" ref="O87" ca="1">IFERROR(_xlfn.XLOOKUP(TableHandbook[[#This Row],[UDC]],INDIRECT("Table"&amp;SUBSTITUTE(O$2,"-","")&amp;"[UDC]",TRUE),INDIRECT("Table"&amp;SUBSTITUTE(O$2,"-","")&amp;"[Component Type]",TRUE)),"")</f>
        <v/>
      </c>
      <c r="P87" s="152" t="str" cm="1">
        <f t="array" aca="1" ref="P87" ca="1">IFERROR(_xlfn.XLOOKUP(TableHandbook[[#This Row],[UDC]],INDIRECT("Table"&amp;SUBSTITUTE(P$2,"-","")&amp;"[UDC]",TRUE),INDIRECT("Table"&amp;SUBSTITUTE(P$2,"-","")&amp;"[Component Type]",TRUE)),"")</f>
        <v/>
      </c>
      <c r="Q87" s="152" t="str" cm="1">
        <f t="array" aca="1" ref="Q87" ca="1">IFERROR(_xlfn.XLOOKUP(TableHandbook[[#This Row],[UDC]],INDIRECT("Table"&amp;SUBSTITUTE(Q$2,"-","")&amp;"[UDC]",TRUE),INDIRECT("Table"&amp;SUBSTITUTE(Q$2,"-","")&amp;"[Component Type]",TRUE)),"")</f>
        <v>Core</v>
      </c>
      <c r="R87" s="152" t="str" cm="1">
        <f t="array" aca="1" ref="R87" ca="1">IFERROR(_xlfn.XLOOKUP(TableHandbook[[#This Row],[UDC]],INDIRECT("Table"&amp;SUBSTITUTE(R$2,"-","")&amp;"[UDC]",TRUE),INDIRECT("Table"&amp;SUBSTITUTE(R$2,"-","")&amp;"[Component Type]",TRUE)),"")</f>
        <v/>
      </c>
      <c r="S87" s="152" t="str" cm="1">
        <f t="array" aca="1" ref="S87" ca="1">IFERROR(_xlfn.XLOOKUP(TableHandbook[[#This Row],[UDC]],INDIRECT("Table"&amp;SUBSTITUTE(S$2,"-","")&amp;"[UDC]",TRUE),INDIRECT("Table"&amp;SUBSTITUTE(S$2,"-","")&amp;"[Component Type]",TRUE)),"")</f>
        <v/>
      </c>
      <c r="T87" s="152" t="str" cm="1">
        <f t="array" aca="1" ref="T87" ca="1">IFERROR(_xlfn.XLOOKUP(TableHandbook[[#This Row],[UDC]],INDIRECT("Table"&amp;SUBSTITUTE(T$2,"-","")&amp;"[UDC]",TRUE),INDIRECT("Table"&amp;SUBSTITUTE(T$2,"-","")&amp;"[Component Type]",TRUE)),"")</f>
        <v/>
      </c>
      <c r="U87" s="152" t="str" cm="1">
        <f t="array" aca="1" ref="U87" ca="1">IFERROR(_xlfn.XLOOKUP(TableHandbook[[#This Row],[UDC]],INDIRECT("Table"&amp;SUBSTITUTE(U$2,"-","")&amp;"[UDC]",TRUE),INDIRECT("Table"&amp;SUBSTITUTE(U$2,"-","")&amp;"[Component Type]",TRUE)),"")</f>
        <v/>
      </c>
      <c r="V87" s="154" t="str" cm="1">
        <f t="array" aca="1" ref="V87" ca="1">IFERROR(_xlfn.XLOOKUP(TableHandbook[[#This Row],[UDC]],INDIRECT("Table"&amp;SUBSTITUTE(V$2,"-","")&amp;"[UDC]",TRUE),INDIRECT("Table"&amp;SUBSTITUTE(V$2,"-","")&amp;"[Component Type]",TRUE)),"")</f>
        <v/>
      </c>
      <c r="W87" s="152" t="str" cm="1">
        <f t="array" aca="1" ref="W87" ca="1">IFERROR(_xlfn.XLOOKUP(TableHandbook[[#This Row],[UDC]],INDIRECT("Table"&amp;SUBSTITUTE(W$2,"-","")&amp;"[UDC]",TRUE),INDIRECT("Table"&amp;SUBSTITUTE(W$2,"-","")&amp;"[Component Type]",TRUE)),"")</f>
        <v/>
      </c>
      <c r="X87" s="152" t="str" cm="1">
        <f t="array" aca="1" ref="X87" ca="1">IFERROR(_xlfn.XLOOKUP(TableHandbook[[#This Row],[UDC]],INDIRECT("Table"&amp;SUBSTITUTE(X$2,"-","")&amp;"[UDC]",TRUE),INDIRECT("Table"&amp;SUBSTITUTE(X$2,"-","")&amp;"[Component Type]",TRUE)),"")</f>
        <v>Option</v>
      </c>
      <c r="Y87" s="152" t="str" cm="1">
        <f t="array" aca="1" ref="Y87" ca="1">IFERROR(_xlfn.XLOOKUP(TableHandbook[[#This Row],[UDC]],INDIRECT("Table"&amp;SUBSTITUTE(Y$2,"-","")&amp;"[UDC]",TRUE),INDIRECT("Table"&amp;SUBSTITUTE(Y$2,"-","")&amp;"[Component Type]",TRUE)),"")</f>
        <v>Core</v>
      </c>
      <c r="Z87" s="152" t="str" cm="1">
        <f t="array" aca="1" ref="Z87" ca="1">IFERROR(_xlfn.XLOOKUP(TableHandbook[[#This Row],[UDC]],INDIRECT("Table"&amp;SUBSTITUTE(Z$2,"-","")&amp;"[UDC]",TRUE),INDIRECT("Table"&amp;SUBSTITUTE(Z$2,"-","")&amp;"[Component Type]",TRUE)),"")</f>
        <v>Option</v>
      </c>
    </row>
    <row r="88" spans="1:26" x14ac:dyDescent="0.25">
      <c r="A88" s="8" t="s">
        <v>141</v>
      </c>
      <c r="B88" s="9">
        <v>1</v>
      </c>
      <c r="C88" s="9" t="s">
        <v>373</v>
      </c>
      <c r="D88" s="8" t="s">
        <v>374</v>
      </c>
      <c r="E88" s="9">
        <v>25</v>
      </c>
      <c r="F88" s="266" t="s">
        <v>255</v>
      </c>
      <c r="G88" s="72" t="str">
        <f>IFERROR(IF(VLOOKUP(TableHandbook[[#This Row],[UDC]],TableAvailabilities[],2,FALSE)&gt;0,"Y",""),"")</f>
        <v/>
      </c>
      <c r="H88" s="72" t="str">
        <f>IFERROR(IF(VLOOKUP(TableHandbook[[#This Row],[UDC]],TableAvailabilities[],3,FALSE)&gt;0,"Y",""),"")</f>
        <v/>
      </c>
      <c r="I88" s="72" t="str">
        <f>IFERROR(IF(VLOOKUP(TableHandbook[[#This Row],[UDC]],TableAvailabilities[],4,FALSE)&gt;0,"Y",""),"")</f>
        <v>Y</v>
      </c>
      <c r="J88" s="72" t="str">
        <f>IFERROR(IF(VLOOKUP(TableHandbook[[#This Row],[UDC]],TableAvailabilities[],5,FALSE)&gt;0,"Y",""),"")</f>
        <v/>
      </c>
      <c r="K88" s="155"/>
      <c r="L88" s="152" t="str" cm="1">
        <f t="array" aca="1" ref="L88" ca="1">IFERROR(_xlfn.XLOOKUP(TableHandbook[[#This Row],[UDC]],INDIRECT("Table"&amp;SUBSTITUTE(L$2,"-","")&amp;"[UDC]",TRUE),INDIRECT("Table"&amp;SUBSTITUTE(L$2,"-","")&amp;"[Component Type]",TRUE)),"")</f>
        <v>Option</v>
      </c>
      <c r="M88" s="152" t="str" cm="1">
        <f t="array" aca="1" ref="M88" ca="1">IFERROR(_xlfn.XLOOKUP(TableHandbook[[#This Row],[UDC]],INDIRECT("Table"&amp;SUBSTITUTE(M$2,"-","")&amp;"[UDC]",TRUE),INDIRECT("Table"&amp;SUBSTITUTE(M$2,"-","")&amp;"[Component Type]",TRUE)),"")</f>
        <v>Option</v>
      </c>
      <c r="N88" s="154" t="str" cm="1">
        <f t="array" aca="1" ref="N88" ca="1">IFERROR(_xlfn.XLOOKUP(TableHandbook[[#This Row],[UDC]],INDIRECT("Table"&amp;SUBSTITUTE(N$2,"-","")&amp;"[UDC]",TRUE),INDIRECT("Table"&amp;SUBSTITUTE(N$2,"-","")&amp;"[Component Type]",TRUE)),"")</f>
        <v/>
      </c>
      <c r="O88" s="152" t="str" cm="1">
        <f t="array" aca="1" ref="O88" ca="1">IFERROR(_xlfn.XLOOKUP(TableHandbook[[#This Row],[UDC]],INDIRECT("Table"&amp;SUBSTITUTE(O$2,"-","")&amp;"[UDC]",TRUE),INDIRECT("Table"&amp;SUBSTITUTE(O$2,"-","")&amp;"[Component Type]",TRUE)),"")</f>
        <v/>
      </c>
      <c r="P88" s="152" t="str" cm="1">
        <f t="array" aca="1" ref="P88" ca="1">IFERROR(_xlfn.XLOOKUP(TableHandbook[[#This Row],[UDC]],INDIRECT("Table"&amp;SUBSTITUTE(P$2,"-","")&amp;"[UDC]",TRUE),INDIRECT("Table"&amp;SUBSTITUTE(P$2,"-","")&amp;"[Component Type]",TRUE)),"")</f>
        <v/>
      </c>
      <c r="Q88" s="152" t="str" cm="1">
        <f t="array" aca="1" ref="Q88" ca="1">IFERROR(_xlfn.XLOOKUP(TableHandbook[[#This Row],[UDC]],INDIRECT("Table"&amp;SUBSTITUTE(Q$2,"-","")&amp;"[UDC]",TRUE),INDIRECT("Table"&amp;SUBSTITUTE(Q$2,"-","")&amp;"[Component Type]",TRUE)),"")</f>
        <v>Core</v>
      </c>
      <c r="R88" s="152" t="str" cm="1">
        <f t="array" aca="1" ref="R88" ca="1">IFERROR(_xlfn.XLOOKUP(TableHandbook[[#This Row],[UDC]],INDIRECT("Table"&amp;SUBSTITUTE(R$2,"-","")&amp;"[UDC]",TRUE),INDIRECT("Table"&amp;SUBSTITUTE(R$2,"-","")&amp;"[Component Type]",TRUE)),"")</f>
        <v/>
      </c>
      <c r="S88" s="152" t="str" cm="1">
        <f t="array" aca="1" ref="S88" ca="1">IFERROR(_xlfn.XLOOKUP(TableHandbook[[#This Row],[UDC]],INDIRECT("Table"&amp;SUBSTITUTE(S$2,"-","")&amp;"[UDC]",TRUE),INDIRECT("Table"&amp;SUBSTITUTE(S$2,"-","")&amp;"[Component Type]",TRUE)),"")</f>
        <v/>
      </c>
      <c r="T88" s="152" t="str" cm="1">
        <f t="array" aca="1" ref="T88" ca="1">IFERROR(_xlfn.XLOOKUP(TableHandbook[[#This Row],[UDC]],INDIRECT("Table"&amp;SUBSTITUTE(T$2,"-","")&amp;"[UDC]",TRUE),INDIRECT("Table"&amp;SUBSTITUTE(T$2,"-","")&amp;"[Component Type]",TRUE)),"")</f>
        <v/>
      </c>
      <c r="U88" s="152" t="str" cm="1">
        <f t="array" aca="1" ref="U88" ca="1">IFERROR(_xlfn.XLOOKUP(TableHandbook[[#This Row],[UDC]],INDIRECT("Table"&amp;SUBSTITUTE(U$2,"-","")&amp;"[UDC]",TRUE),INDIRECT("Table"&amp;SUBSTITUTE(U$2,"-","")&amp;"[Component Type]",TRUE)),"")</f>
        <v/>
      </c>
      <c r="V88" s="154" t="str" cm="1">
        <f t="array" aca="1" ref="V88" ca="1">IFERROR(_xlfn.XLOOKUP(TableHandbook[[#This Row],[UDC]],INDIRECT("Table"&amp;SUBSTITUTE(V$2,"-","")&amp;"[UDC]",TRUE),INDIRECT("Table"&amp;SUBSTITUTE(V$2,"-","")&amp;"[Component Type]",TRUE)),"")</f>
        <v/>
      </c>
      <c r="W88" s="152" t="str" cm="1">
        <f t="array" aca="1" ref="W88" ca="1">IFERROR(_xlfn.XLOOKUP(TableHandbook[[#This Row],[UDC]],INDIRECT("Table"&amp;SUBSTITUTE(W$2,"-","")&amp;"[UDC]",TRUE),INDIRECT("Table"&amp;SUBSTITUTE(W$2,"-","")&amp;"[Component Type]",TRUE)),"")</f>
        <v/>
      </c>
      <c r="X88" s="152" t="str" cm="1">
        <f t="array" aca="1" ref="X88" ca="1">IFERROR(_xlfn.XLOOKUP(TableHandbook[[#This Row],[UDC]],INDIRECT("Table"&amp;SUBSTITUTE(X$2,"-","")&amp;"[UDC]",TRUE),INDIRECT("Table"&amp;SUBSTITUTE(X$2,"-","")&amp;"[Component Type]",TRUE)),"")</f>
        <v>Option</v>
      </c>
      <c r="Y88" s="152" t="str" cm="1">
        <f t="array" aca="1" ref="Y88" ca="1">IFERROR(_xlfn.XLOOKUP(TableHandbook[[#This Row],[UDC]],INDIRECT("Table"&amp;SUBSTITUTE(Y$2,"-","")&amp;"[UDC]",TRUE),INDIRECT("Table"&amp;SUBSTITUTE(Y$2,"-","")&amp;"[Component Type]",TRUE)),"")</f>
        <v>Core</v>
      </c>
      <c r="Z88" s="152" t="str" cm="1">
        <f t="array" aca="1" ref="Z88" ca="1">IFERROR(_xlfn.XLOOKUP(TableHandbook[[#This Row],[UDC]],INDIRECT("Table"&amp;SUBSTITUTE(Z$2,"-","")&amp;"[UDC]",TRUE),INDIRECT("Table"&amp;SUBSTITUTE(Z$2,"-","")&amp;"[Component Type]",TRUE)),"")</f>
        <v>Option</v>
      </c>
    </row>
    <row r="89" spans="1:26" x14ac:dyDescent="0.25">
      <c r="A89" s="8" t="s">
        <v>136</v>
      </c>
      <c r="B89" s="9">
        <v>1</v>
      </c>
      <c r="C89" s="9" t="s">
        <v>375</v>
      </c>
      <c r="D89" s="8" t="s">
        <v>376</v>
      </c>
      <c r="E89" s="9">
        <v>25</v>
      </c>
      <c r="F89" s="266" t="s">
        <v>255</v>
      </c>
      <c r="G89" s="72" t="str">
        <f>IFERROR(IF(VLOOKUP(TableHandbook[[#This Row],[UDC]],TableAvailabilities[],2,FALSE)&gt;0,"Y",""),"")</f>
        <v/>
      </c>
      <c r="H89" s="72" t="str">
        <f>IFERROR(IF(VLOOKUP(TableHandbook[[#This Row],[UDC]],TableAvailabilities[],3,FALSE)&gt;0,"Y",""),"")</f>
        <v/>
      </c>
      <c r="I89" s="72" t="str">
        <f>IFERROR(IF(VLOOKUP(TableHandbook[[#This Row],[UDC]],TableAvailabilities[],4,FALSE)&gt;0,"Y",""),"")</f>
        <v>Y</v>
      </c>
      <c r="J89" s="72" t="str">
        <f>IFERROR(IF(VLOOKUP(TableHandbook[[#This Row],[UDC]],TableAvailabilities[],5,FALSE)&gt;0,"Y",""),"")</f>
        <v/>
      </c>
      <c r="K89" s="155"/>
      <c r="L89" s="152" t="str" cm="1">
        <f t="array" aca="1" ref="L89" ca="1">IFERROR(_xlfn.XLOOKUP(TableHandbook[[#This Row],[UDC]],INDIRECT("Table"&amp;SUBSTITUTE(L$2,"-","")&amp;"[UDC]",TRUE),INDIRECT("Table"&amp;SUBSTITUTE(L$2,"-","")&amp;"[Component Type]",TRUE)),"")</f>
        <v>Option</v>
      </c>
      <c r="M89" s="152" t="str" cm="1">
        <f t="array" aca="1" ref="M89" ca="1">IFERROR(_xlfn.XLOOKUP(TableHandbook[[#This Row],[UDC]],INDIRECT("Table"&amp;SUBSTITUTE(M$2,"-","")&amp;"[UDC]",TRUE),INDIRECT("Table"&amp;SUBSTITUTE(M$2,"-","")&amp;"[Component Type]",TRUE)),"")</f>
        <v>Option</v>
      </c>
      <c r="N89" s="154" t="str" cm="1">
        <f t="array" aca="1" ref="N89" ca="1">IFERROR(_xlfn.XLOOKUP(TableHandbook[[#This Row],[UDC]],INDIRECT("Table"&amp;SUBSTITUTE(N$2,"-","")&amp;"[UDC]",TRUE),INDIRECT("Table"&amp;SUBSTITUTE(N$2,"-","")&amp;"[Component Type]",TRUE)),"")</f>
        <v/>
      </c>
      <c r="O89" s="152" t="str" cm="1">
        <f t="array" aca="1" ref="O89" ca="1">IFERROR(_xlfn.XLOOKUP(TableHandbook[[#This Row],[UDC]],INDIRECT("Table"&amp;SUBSTITUTE(O$2,"-","")&amp;"[UDC]",TRUE),INDIRECT("Table"&amp;SUBSTITUTE(O$2,"-","")&amp;"[Component Type]",TRUE)),"")</f>
        <v/>
      </c>
      <c r="P89" s="152" t="str" cm="1">
        <f t="array" aca="1" ref="P89" ca="1">IFERROR(_xlfn.XLOOKUP(TableHandbook[[#This Row],[UDC]],INDIRECT("Table"&amp;SUBSTITUTE(P$2,"-","")&amp;"[UDC]",TRUE),INDIRECT("Table"&amp;SUBSTITUTE(P$2,"-","")&amp;"[Component Type]",TRUE)),"")</f>
        <v/>
      </c>
      <c r="Q89" s="152" t="str" cm="1">
        <f t="array" aca="1" ref="Q89" ca="1">IFERROR(_xlfn.XLOOKUP(TableHandbook[[#This Row],[UDC]],INDIRECT("Table"&amp;SUBSTITUTE(Q$2,"-","")&amp;"[UDC]",TRUE),INDIRECT("Table"&amp;SUBSTITUTE(Q$2,"-","")&amp;"[Component Type]",TRUE)),"")</f>
        <v/>
      </c>
      <c r="R89" s="152" t="str" cm="1">
        <f t="array" aca="1" ref="R89" ca="1">IFERROR(_xlfn.XLOOKUP(TableHandbook[[#This Row],[UDC]],INDIRECT("Table"&amp;SUBSTITUTE(R$2,"-","")&amp;"[UDC]",TRUE),INDIRECT("Table"&amp;SUBSTITUTE(R$2,"-","")&amp;"[Component Type]",TRUE)),"")</f>
        <v/>
      </c>
      <c r="S89" s="152" t="str" cm="1">
        <f t="array" aca="1" ref="S89" ca="1">IFERROR(_xlfn.XLOOKUP(TableHandbook[[#This Row],[UDC]],INDIRECT("Table"&amp;SUBSTITUTE(S$2,"-","")&amp;"[UDC]",TRUE),INDIRECT("Table"&amp;SUBSTITUTE(S$2,"-","")&amp;"[Component Type]",TRUE)),"")</f>
        <v>Core</v>
      </c>
      <c r="T89" s="152" t="str" cm="1">
        <f t="array" aca="1" ref="T89" ca="1">IFERROR(_xlfn.XLOOKUP(TableHandbook[[#This Row],[UDC]],INDIRECT("Table"&amp;SUBSTITUTE(T$2,"-","")&amp;"[UDC]",TRUE),INDIRECT("Table"&amp;SUBSTITUTE(T$2,"-","")&amp;"[Component Type]",TRUE)),"")</f>
        <v/>
      </c>
      <c r="U89" s="152" t="str" cm="1">
        <f t="array" aca="1" ref="U89" ca="1">IFERROR(_xlfn.XLOOKUP(TableHandbook[[#This Row],[UDC]],INDIRECT("Table"&amp;SUBSTITUTE(U$2,"-","")&amp;"[UDC]",TRUE),INDIRECT("Table"&amp;SUBSTITUTE(U$2,"-","")&amp;"[Component Type]",TRUE)),"")</f>
        <v/>
      </c>
      <c r="V89" s="154" t="str" cm="1">
        <f t="array" aca="1" ref="V89" ca="1">IFERROR(_xlfn.XLOOKUP(TableHandbook[[#This Row],[UDC]],INDIRECT("Table"&amp;SUBSTITUTE(V$2,"-","")&amp;"[UDC]",TRUE),INDIRECT("Table"&amp;SUBSTITUTE(V$2,"-","")&amp;"[Component Type]",TRUE)),"")</f>
        <v/>
      </c>
      <c r="W89" s="152" t="str" cm="1">
        <f t="array" aca="1" ref="W89" ca="1">IFERROR(_xlfn.XLOOKUP(TableHandbook[[#This Row],[UDC]],INDIRECT("Table"&amp;SUBSTITUTE(W$2,"-","")&amp;"[UDC]",TRUE),INDIRECT("Table"&amp;SUBSTITUTE(W$2,"-","")&amp;"[Component Type]",TRUE)),"")</f>
        <v/>
      </c>
      <c r="X89" s="152" t="str" cm="1">
        <f t="array" aca="1" ref="X89" ca="1">IFERROR(_xlfn.XLOOKUP(TableHandbook[[#This Row],[UDC]],INDIRECT("Table"&amp;SUBSTITUTE(X$2,"-","")&amp;"[UDC]",TRUE),INDIRECT("Table"&amp;SUBSTITUTE(X$2,"-","")&amp;"[Component Type]",TRUE)),"")</f>
        <v>Option</v>
      </c>
      <c r="Y89" s="152" t="str" cm="1">
        <f t="array" aca="1" ref="Y89" ca="1">IFERROR(_xlfn.XLOOKUP(TableHandbook[[#This Row],[UDC]],INDIRECT("Table"&amp;SUBSTITUTE(Y$2,"-","")&amp;"[UDC]",TRUE),INDIRECT("Table"&amp;SUBSTITUTE(Y$2,"-","")&amp;"[Component Type]",TRUE)),"")</f>
        <v>Option</v>
      </c>
      <c r="Z89" s="152" t="str" cm="1">
        <f t="array" aca="1" ref="Z89" ca="1">IFERROR(_xlfn.XLOOKUP(TableHandbook[[#This Row],[UDC]],INDIRECT("Table"&amp;SUBSTITUTE(Z$2,"-","")&amp;"[UDC]",TRUE),INDIRECT("Table"&amp;SUBSTITUTE(Z$2,"-","")&amp;"[Component Type]",TRUE)),"")</f>
        <v>Option</v>
      </c>
    </row>
    <row r="90" spans="1:26" x14ac:dyDescent="0.25">
      <c r="A90" s="8" t="s">
        <v>144</v>
      </c>
      <c r="B90" s="9">
        <v>1</v>
      </c>
      <c r="C90" s="9" t="s">
        <v>377</v>
      </c>
      <c r="D90" s="8" t="s">
        <v>378</v>
      </c>
      <c r="E90" s="9">
        <v>25</v>
      </c>
      <c r="F90" s="266" t="s">
        <v>255</v>
      </c>
      <c r="G90" s="72" t="str">
        <f>IFERROR(IF(VLOOKUP(TableHandbook[[#This Row],[UDC]],TableAvailabilities[],2,FALSE)&gt;0,"Y",""),"")</f>
        <v/>
      </c>
      <c r="H90" s="72" t="str">
        <f>IFERROR(IF(VLOOKUP(TableHandbook[[#This Row],[UDC]],TableAvailabilities[],3,FALSE)&gt;0,"Y",""),"")</f>
        <v/>
      </c>
      <c r="I90" s="72" t="str">
        <f>IFERROR(IF(VLOOKUP(TableHandbook[[#This Row],[UDC]],TableAvailabilities[],4,FALSE)&gt;0,"Y",""),"")</f>
        <v/>
      </c>
      <c r="J90" s="72" t="str">
        <f>IFERROR(IF(VLOOKUP(TableHandbook[[#This Row],[UDC]],TableAvailabilities[],5,FALSE)&gt;0,"Y",""),"")</f>
        <v>Y</v>
      </c>
      <c r="K90" s="155"/>
      <c r="L90" s="152" t="str" cm="1">
        <f t="array" aca="1" ref="L90" ca="1">IFERROR(_xlfn.XLOOKUP(TableHandbook[[#This Row],[UDC]],INDIRECT("Table"&amp;SUBSTITUTE(L$2,"-","")&amp;"[UDC]",TRUE),INDIRECT("Table"&amp;SUBSTITUTE(L$2,"-","")&amp;"[Component Type]",TRUE)),"")</f>
        <v>Option</v>
      </c>
      <c r="M90" s="152" t="str" cm="1">
        <f t="array" aca="1" ref="M90" ca="1">IFERROR(_xlfn.XLOOKUP(TableHandbook[[#This Row],[UDC]],INDIRECT("Table"&amp;SUBSTITUTE(M$2,"-","")&amp;"[UDC]",TRUE),INDIRECT("Table"&amp;SUBSTITUTE(M$2,"-","")&amp;"[Component Type]",TRUE)),"")</f>
        <v>Option</v>
      </c>
      <c r="N90" s="154" t="str" cm="1">
        <f t="array" aca="1" ref="N90" ca="1">IFERROR(_xlfn.XLOOKUP(TableHandbook[[#This Row],[UDC]],INDIRECT("Table"&amp;SUBSTITUTE(N$2,"-","")&amp;"[UDC]",TRUE),INDIRECT("Table"&amp;SUBSTITUTE(N$2,"-","")&amp;"[Component Type]",TRUE)),"")</f>
        <v/>
      </c>
      <c r="O90" s="152" t="str" cm="1">
        <f t="array" aca="1" ref="O90" ca="1">IFERROR(_xlfn.XLOOKUP(TableHandbook[[#This Row],[UDC]],INDIRECT("Table"&amp;SUBSTITUTE(O$2,"-","")&amp;"[UDC]",TRUE),INDIRECT("Table"&amp;SUBSTITUTE(O$2,"-","")&amp;"[Component Type]",TRUE)),"")</f>
        <v/>
      </c>
      <c r="P90" s="152" t="str" cm="1">
        <f t="array" aca="1" ref="P90" ca="1">IFERROR(_xlfn.XLOOKUP(TableHandbook[[#This Row],[UDC]],INDIRECT("Table"&amp;SUBSTITUTE(P$2,"-","")&amp;"[UDC]",TRUE),INDIRECT("Table"&amp;SUBSTITUTE(P$2,"-","")&amp;"[Component Type]",TRUE)),"")</f>
        <v/>
      </c>
      <c r="Q90" s="152" t="str" cm="1">
        <f t="array" aca="1" ref="Q90" ca="1">IFERROR(_xlfn.XLOOKUP(TableHandbook[[#This Row],[UDC]],INDIRECT("Table"&amp;SUBSTITUTE(Q$2,"-","")&amp;"[UDC]",TRUE),INDIRECT("Table"&amp;SUBSTITUTE(Q$2,"-","")&amp;"[Component Type]",TRUE)),"")</f>
        <v/>
      </c>
      <c r="R90" s="152" t="str" cm="1">
        <f t="array" aca="1" ref="R90" ca="1">IFERROR(_xlfn.XLOOKUP(TableHandbook[[#This Row],[UDC]],INDIRECT("Table"&amp;SUBSTITUTE(R$2,"-","")&amp;"[UDC]",TRUE),INDIRECT("Table"&amp;SUBSTITUTE(R$2,"-","")&amp;"[Component Type]",TRUE)),"")</f>
        <v/>
      </c>
      <c r="S90" s="152" t="str" cm="1">
        <f t="array" aca="1" ref="S90" ca="1">IFERROR(_xlfn.XLOOKUP(TableHandbook[[#This Row],[UDC]],INDIRECT("Table"&amp;SUBSTITUTE(S$2,"-","")&amp;"[UDC]",TRUE),INDIRECT("Table"&amp;SUBSTITUTE(S$2,"-","")&amp;"[Component Type]",TRUE)),"")</f>
        <v/>
      </c>
      <c r="T90" s="152" t="str" cm="1">
        <f t="array" aca="1" ref="T90" ca="1">IFERROR(_xlfn.XLOOKUP(TableHandbook[[#This Row],[UDC]],INDIRECT("Table"&amp;SUBSTITUTE(T$2,"-","")&amp;"[UDC]",TRUE),INDIRECT("Table"&amp;SUBSTITUTE(T$2,"-","")&amp;"[Component Type]",TRUE)),"")</f>
        <v>Core</v>
      </c>
      <c r="U90" s="152" t="str" cm="1">
        <f t="array" aca="1" ref="U90" ca="1">IFERROR(_xlfn.XLOOKUP(TableHandbook[[#This Row],[UDC]],INDIRECT("Table"&amp;SUBSTITUTE(U$2,"-","")&amp;"[UDC]",TRUE),INDIRECT("Table"&amp;SUBSTITUTE(U$2,"-","")&amp;"[Component Type]",TRUE)),"")</f>
        <v/>
      </c>
      <c r="V90" s="154" t="str" cm="1">
        <f t="array" aca="1" ref="V90" ca="1">IFERROR(_xlfn.XLOOKUP(TableHandbook[[#This Row],[UDC]],INDIRECT("Table"&amp;SUBSTITUTE(V$2,"-","")&amp;"[UDC]",TRUE),INDIRECT("Table"&amp;SUBSTITUTE(V$2,"-","")&amp;"[Component Type]",TRUE)),"")</f>
        <v/>
      </c>
      <c r="W90" s="152" t="str" cm="1">
        <f t="array" aca="1" ref="W90" ca="1">IFERROR(_xlfn.XLOOKUP(TableHandbook[[#This Row],[UDC]],INDIRECT("Table"&amp;SUBSTITUTE(W$2,"-","")&amp;"[UDC]",TRUE),INDIRECT("Table"&amp;SUBSTITUTE(W$2,"-","")&amp;"[Component Type]",TRUE)),"")</f>
        <v/>
      </c>
      <c r="X90" s="152" t="str" cm="1">
        <f t="array" aca="1" ref="X90" ca="1">IFERROR(_xlfn.XLOOKUP(TableHandbook[[#This Row],[UDC]],INDIRECT("Table"&amp;SUBSTITUTE(X$2,"-","")&amp;"[UDC]",TRUE),INDIRECT("Table"&amp;SUBSTITUTE(X$2,"-","")&amp;"[Component Type]",TRUE)),"")</f>
        <v>Option</v>
      </c>
      <c r="Y90" s="152" t="str" cm="1">
        <f t="array" aca="1" ref="Y90" ca="1">IFERROR(_xlfn.XLOOKUP(TableHandbook[[#This Row],[UDC]],INDIRECT("Table"&amp;SUBSTITUTE(Y$2,"-","")&amp;"[UDC]",TRUE),INDIRECT("Table"&amp;SUBSTITUTE(Y$2,"-","")&amp;"[Component Type]",TRUE)),"")</f>
        <v>Option</v>
      </c>
      <c r="Z90" s="152" t="str" cm="1">
        <f t="array" aca="1" ref="Z90" ca="1">IFERROR(_xlfn.XLOOKUP(TableHandbook[[#This Row],[UDC]],INDIRECT("Table"&amp;SUBSTITUTE(Z$2,"-","")&amp;"[UDC]",TRUE),INDIRECT("Table"&amp;SUBSTITUTE(Z$2,"-","")&amp;"[Component Type]",TRUE)),"")</f>
        <v/>
      </c>
    </row>
    <row r="91" spans="1:26" x14ac:dyDescent="0.25">
      <c r="A91" s="8" t="s">
        <v>148</v>
      </c>
      <c r="B91" s="9">
        <v>1</v>
      </c>
      <c r="C91" s="9" t="s">
        <v>379</v>
      </c>
      <c r="D91" s="8" t="s">
        <v>380</v>
      </c>
      <c r="E91" s="9">
        <v>25</v>
      </c>
      <c r="F91" s="266" t="s">
        <v>255</v>
      </c>
      <c r="G91" s="72" t="str">
        <f>IFERROR(IF(VLOOKUP(TableHandbook[[#This Row],[UDC]],TableAvailabilities[],2,FALSE)&gt;0,"Y",""),"")</f>
        <v/>
      </c>
      <c r="H91" s="72" t="str">
        <f>IFERROR(IF(VLOOKUP(TableHandbook[[#This Row],[UDC]],TableAvailabilities[],3,FALSE)&gt;0,"Y",""),"")</f>
        <v>Y</v>
      </c>
      <c r="I91" s="72" t="str">
        <f>IFERROR(IF(VLOOKUP(TableHandbook[[#This Row],[UDC]],TableAvailabilities[],4,FALSE)&gt;0,"Y",""),"")</f>
        <v/>
      </c>
      <c r="J91" s="72" t="str">
        <f>IFERROR(IF(VLOOKUP(TableHandbook[[#This Row],[UDC]],TableAvailabilities[],5,FALSE)&gt;0,"Y",""),"")</f>
        <v/>
      </c>
      <c r="K91" s="155"/>
      <c r="L91" s="152" t="str" cm="1">
        <f t="array" aca="1" ref="L91" ca="1">IFERROR(_xlfn.XLOOKUP(TableHandbook[[#This Row],[UDC]],INDIRECT("Table"&amp;SUBSTITUTE(L$2,"-","")&amp;"[UDC]",TRUE),INDIRECT("Table"&amp;SUBSTITUTE(L$2,"-","")&amp;"[Component Type]",TRUE)),"")</f>
        <v>Option</v>
      </c>
      <c r="M91" s="152" t="str" cm="1">
        <f t="array" aca="1" ref="M91" ca="1">IFERROR(_xlfn.XLOOKUP(TableHandbook[[#This Row],[UDC]],INDIRECT("Table"&amp;SUBSTITUTE(M$2,"-","")&amp;"[UDC]",TRUE),INDIRECT("Table"&amp;SUBSTITUTE(M$2,"-","")&amp;"[Component Type]",TRUE)),"")</f>
        <v>Option</v>
      </c>
      <c r="N91" s="154" t="str" cm="1">
        <f t="array" aca="1" ref="N91" ca="1">IFERROR(_xlfn.XLOOKUP(TableHandbook[[#This Row],[UDC]],INDIRECT("Table"&amp;SUBSTITUTE(N$2,"-","")&amp;"[UDC]",TRUE),INDIRECT("Table"&amp;SUBSTITUTE(N$2,"-","")&amp;"[Component Type]",TRUE)),"")</f>
        <v/>
      </c>
      <c r="O91" s="152" t="str" cm="1">
        <f t="array" aca="1" ref="O91" ca="1">IFERROR(_xlfn.XLOOKUP(TableHandbook[[#This Row],[UDC]],INDIRECT("Table"&amp;SUBSTITUTE(O$2,"-","")&amp;"[UDC]",TRUE),INDIRECT("Table"&amp;SUBSTITUTE(O$2,"-","")&amp;"[Component Type]",TRUE)),"")</f>
        <v/>
      </c>
      <c r="P91" s="152" t="str" cm="1">
        <f t="array" aca="1" ref="P91" ca="1">IFERROR(_xlfn.XLOOKUP(TableHandbook[[#This Row],[UDC]],INDIRECT("Table"&amp;SUBSTITUTE(P$2,"-","")&amp;"[UDC]",TRUE),INDIRECT("Table"&amp;SUBSTITUTE(P$2,"-","")&amp;"[Component Type]",TRUE)),"")</f>
        <v/>
      </c>
      <c r="Q91" s="152" t="str" cm="1">
        <f t="array" aca="1" ref="Q91" ca="1">IFERROR(_xlfn.XLOOKUP(TableHandbook[[#This Row],[UDC]],INDIRECT("Table"&amp;SUBSTITUTE(Q$2,"-","")&amp;"[UDC]",TRUE),INDIRECT("Table"&amp;SUBSTITUTE(Q$2,"-","")&amp;"[Component Type]",TRUE)),"")</f>
        <v/>
      </c>
      <c r="R91" s="152" t="str" cm="1">
        <f t="array" aca="1" ref="R91" ca="1">IFERROR(_xlfn.XLOOKUP(TableHandbook[[#This Row],[UDC]],INDIRECT("Table"&amp;SUBSTITUTE(R$2,"-","")&amp;"[UDC]",TRUE),INDIRECT("Table"&amp;SUBSTITUTE(R$2,"-","")&amp;"[Component Type]",TRUE)),"")</f>
        <v/>
      </c>
      <c r="S91" s="152" t="str" cm="1">
        <f t="array" aca="1" ref="S91" ca="1">IFERROR(_xlfn.XLOOKUP(TableHandbook[[#This Row],[UDC]],INDIRECT("Table"&amp;SUBSTITUTE(S$2,"-","")&amp;"[UDC]",TRUE),INDIRECT("Table"&amp;SUBSTITUTE(S$2,"-","")&amp;"[Component Type]",TRUE)),"")</f>
        <v/>
      </c>
      <c r="T91" s="152" t="str" cm="1">
        <f t="array" aca="1" ref="T91" ca="1">IFERROR(_xlfn.XLOOKUP(TableHandbook[[#This Row],[UDC]],INDIRECT("Table"&amp;SUBSTITUTE(T$2,"-","")&amp;"[UDC]",TRUE),INDIRECT("Table"&amp;SUBSTITUTE(T$2,"-","")&amp;"[Component Type]",TRUE)),"")</f>
        <v/>
      </c>
      <c r="U91" s="152" t="str" cm="1">
        <f t="array" aca="1" ref="U91" ca="1">IFERROR(_xlfn.XLOOKUP(TableHandbook[[#This Row],[UDC]],INDIRECT("Table"&amp;SUBSTITUTE(U$2,"-","")&amp;"[UDC]",TRUE),INDIRECT("Table"&amp;SUBSTITUTE(U$2,"-","")&amp;"[Component Type]",TRUE)),"")</f>
        <v>Core</v>
      </c>
      <c r="V91" s="154" t="str" cm="1">
        <f t="array" aca="1" ref="V91" ca="1">IFERROR(_xlfn.XLOOKUP(TableHandbook[[#This Row],[UDC]],INDIRECT("Table"&amp;SUBSTITUTE(V$2,"-","")&amp;"[UDC]",TRUE),INDIRECT("Table"&amp;SUBSTITUTE(V$2,"-","")&amp;"[Component Type]",TRUE)),"")</f>
        <v/>
      </c>
      <c r="W91" s="152" t="str" cm="1">
        <f t="array" aca="1" ref="W91" ca="1">IFERROR(_xlfn.XLOOKUP(TableHandbook[[#This Row],[UDC]],INDIRECT("Table"&amp;SUBSTITUTE(W$2,"-","")&amp;"[UDC]",TRUE),INDIRECT("Table"&amp;SUBSTITUTE(W$2,"-","")&amp;"[Component Type]",TRUE)),"")</f>
        <v/>
      </c>
      <c r="X91" s="152" t="str" cm="1">
        <f t="array" aca="1" ref="X91" ca="1">IFERROR(_xlfn.XLOOKUP(TableHandbook[[#This Row],[UDC]],INDIRECT("Table"&amp;SUBSTITUTE(X$2,"-","")&amp;"[UDC]",TRUE),INDIRECT("Table"&amp;SUBSTITUTE(X$2,"-","")&amp;"[Component Type]",TRUE)),"")</f>
        <v>Option</v>
      </c>
      <c r="Y91" s="152" t="str" cm="1">
        <f t="array" aca="1" ref="Y91" ca="1">IFERROR(_xlfn.XLOOKUP(TableHandbook[[#This Row],[UDC]],INDIRECT("Table"&amp;SUBSTITUTE(Y$2,"-","")&amp;"[UDC]",TRUE),INDIRECT("Table"&amp;SUBSTITUTE(Y$2,"-","")&amp;"[Component Type]",TRUE)),"")</f>
        <v>Option</v>
      </c>
      <c r="Z91" s="152" t="str" cm="1">
        <f t="array" aca="1" ref="Z91" ca="1">IFERROR(_xlfn.XLOOKUP(TableHandbook[[#This Row],[UDC]],INDIRECT("Table"&amp;SUBSTITUTE(Z$2,"-","")&amp;"[UDC]",TRUE),INDIRECT("Table"&amp;SUBSTITUTE(Z$2,"-","")&amp;"[Component Type]",TRUE)),"")</f>
        <v>Option</v>
      </c>
    </row>
    <row r="92" spans="1:26" x14ac:dyDescent="0.25">
      <c r="A92" s="8" t="s">
        <v>137</v>
      </c>
      <c r="B92" s="9">
        <v>1</v>
      </c>
      <c r="C92" s="9" t="s">
        <v>381</v>
      </c>
      <c r="D92" s="8" t="s">
        <v>382</v>
      </c>
      <c r="E92" s="9">
        <v>25</v>
      </c>
      <c r="F92" s="266" t="s">
        <v>255</v>
      </c>
      <c r="G92" s="72" t="str">
        <f>IFERROR(IF(VLOOKUP(TableHandbook[[#This Row],[UDC]],TableAvailabilities[],2,FALSE)&gt;0,"Y",""),"")</f>
        <v/>
      </c>
      <c r="H92" s="72" t="str">
        <f>IFERROR(IF(VLOOKUP(TableHandbook[[#This Row],[UDC]],TableAvailabilities[],3,FALSE)&gt;0,"Y",""),"")</f>
        <v>Y</v>
      </c>
      <c r="I92" s="72" t="str">
        <f>IFERROR(IF(VLOOKUP(TableHandbook[[#This Row],[UDC]],TableAvailabilities[],4,FALSE)&gt;0,"Y",""),"")</f>
        <v/>
      </c>
      <c r="J92" s="72" t="str">
        <f>IFERROR(IF(VLOOKUP(TableHandbook[[#This Row],[UDC]],TableAvailabilities[],5,FALSE)&gt;0,"Y",""),"")</f>
        <v/>
      </c>
      <c r="K92" s="155"/>
      <c r="L92" s="152" t="str" cm="1">
        <f t="array" aca="1" ref="L92" ca="1">IFERROR(_xlfn.XLOOKUP(TableHandbook[[#This Row],[UDC]],INDIRECT("Table"&amp;SUBSTITUTE(L$2,"-","")&amp;"[UDC]",TRUE),INDIRECT("Table"&amp;SUBSTITUTE(L$2,"-","")&amp;"[Component Type]",TRUE)),"")</f>
        <v>Option</v>
      </c>
      <c r="M92" s="152" t="str" cm="1">
        <f t="array" aca="1" ref="M92" ca="1">IFERROR(_xlfn.XLOOKUP(TableHandbook[[#This Row],[UDC]],INDIRECT("Table"&amp;SUBSTITUTE(M$2,"-","")&amp;"[UDC]",TRUE),INDIRECT("Table"&amp;SUBSTITUTE(M$2,"-","")&amp;"[Component Type]",TRUE)),"")</f>
        <v>Option</v>
      </c>
      <c r="N92" s="154" t="str" cm="1">
        <f t="array" aca="1" ref="N92" ca="1">IFERROR(_xlfn.XLOOKUP(TableHandbook[[#This Row],[UDC]],INDIRECT("Table"&amp;SUBSTITUTE(N$2,"-","")&amp;"[UDC]",TRUE),INDIRECT("Table"&amp;SUBSTITUTE(N$2,"-","")&amp;"[Component Type]",TRUE)),"")</f>
        <v/>
      </c>
      <c r="O92" s="152" t="str" cm="1">
        <f t="array" aca="1" ref="O92" ca="1">IFERROR(_xlfn.XLOOKUP(TableHandbook[[#This Row],[UDC]],INDIRECT("Table"&amp;SUBSTITUTE(O$2,"-","")&amp;"[UDC]",TRUE),INDIRECT("Table"&amp;SUBSTITUTE(O$2,"-","")&amp;"[Component Type]",TRUE)),"")</f>
        <v/>
      </c>
      <c r="P92" s="152" t="str" cm="1">
        <f t="array" aca="1" ref="P92" ca="1">IFERROR(_xlfn.XLOOKUP(TableHandbook[[#This Row],[UDC]],INDIRECT("Table"&amp;SUBSTITUTE(P$2,"-","")&amp;"[UDC]",TRUE),INDIRECT("Table"&amp;SUBSTITUTE(P$2,"-","")&amp;"[Component Type]",TRUE)),"")</f>
        <v/>
      </c>
      <c r="Q92" s="152" t="str" cm="1">
        <f t="array" aca="1" ref="Q92" ca="1">IFERROR(_xlfn.XLOOKUP(TableHandbook[[#This Row],[UDC]],INDIRECT("Table"&amp;SUBSTITUTE(Q$2,"-","")&amp;"[UDC]",TRUE),INDIRECT("Table"&amp;SUBSTITUTE(Q$2,"-","")&amp;"[Component Type]",TRUE)),"")</f>
        <v/>
      </c>
      <c r="R92" s="152" t="str" cm="1">
        <f t="array" aca="1" ref="R92" ca="1">IFERROR(_xlfn.XLOOKUP(TableHandbook[[#This Row],[UDC]],INDIRECT("Table"&amp;SUBSTITUTE(R$2,"-","")&amp;"[UDC]",TRUE),INDIRECT("Table"&amp;SUBSTITUTE(R$2,"-","")&amp;"[Component Type]",TRUE)),"")</f>
        <v/>
      </c>
      <c r="S92" s="152" t="str" cm="1">
        <f t="array" aca="1" ref="S92" ca="1">IFERROR(_xlfn.XLOOKUP(TableHandbook[[#This Row],[UDC]],INDIRECT("Table"&amp;SUBSTITUTE(S$2,"-","")&amp;"[UDC]",TRUE),INDIRECT("Table"&amp;SUBSTITUTE(S$2,"-","")&amp;"[Component Type]",TRUE)),"")</f>
        <v>Core</v>
      </c>
      <c r="T92" s="152" t="str" cm="1">
        <f t="array" aca="1" ref="T92" ca="1">IFERROR(_xlfn.XLOOKUP(TableHandbook[[#This Row],[UDC]],INDIRECT("Table"&amp;SUBSTITUTE(T$2,"-","")&amp;"[UDC]",TRUE),INDIRECT("Table"&amp;SUBSTITUTE(T$2,"-","")&amp;"[Component Type]",TRUE)),"")</f>
        <v/>
      </c>
      <c r="U92" s="152" t="str" cm="1">
        <f t="array" aca="1" ref="U92" ca="1">IFERROR(_xlfn.XLOOKUP(TableHandbook[[#This Row],[UDC]],INDIRECT("Table"&amp;SUBSTITUTE(U$2,"-","")&amp;"[UDC]",TRUE),INDIRECT("Table"&amp;SUBSTITUTE(U$2,"-","")&amp;"[Component Type]",TRUE)),"")</f>
        <v/>
      </c>
      <c r="V92" s="154" t="str" cm="1">
        <f t="array" aca="1" ref="V92" ca="1">IFERROR(_xlfn.XLOOKUP(TableHandbook[[#This Row],[UDC]],INDIRECT("Table"&amp;SUBSTITUTE(V$2,"-","")&amp;"[UDC]",TRUE),INDIRECT("Table"&amp;SUBSTITUTE(V$2,"-","")&amp;"[Component Type]",TRUE)),"")</f>
        <v/>
      </c>
      <c r="W92" s="152" t="str" cm="1">
        <f t="array" aca="1" ref="W92" ca="1">IFERROR(_xlfn.XLOOKUP(TableHandbook[[#This Row],[UDC]],INDIRECT("Table"&amp;SUBSTITUTE(W$2,"-","")&amp;"[UDC]",TRUE),INDIRECT("Table"&amp;SUBSTITUTE(W$2,"-","")&amp;"[Component Type]",TRUE)),"")</f>
        <v/>
      </c>
      <c r="X92" s="152" t="str" cm="1">
        <f t="array" aca="1" ref="X92" ca="1">IFERROR(_xlfn.XLOOKUP(TableHandbook[[#This Row],[UDC]],INDIRECT("Table"&amp;SUBSTITUTE(X$2,"-","")&amp;"[UDC]",TRUE),INDIRECT("Table"&amp;SUBSTITUTE(X$2,"-","")&amp;"[Component Type]",TRUE)),"")</f>
        <v>Option</v>
      </c>
      <c r="Y92" s="152" t="str" cm="1">
        <f t="array" aca="1" ref="Y92" ca="1">IFERROR(_xlfn.XLOOKUP(TableHandbook[[#This Row],[UDC]],INDIRECT("Table"&amp;SUBSTITUTE(Y$2,"-","")&amp;"[UDC]",TRUE),INDIRECT("Table"&amp;SUBSTITUTE(Y$2,"-","")&amp;"[Component Type]",TRUE)),"")</f>
        <v>Option</v>
      </c>
      <c r="Z92" s="152" t="str" cm="1">
        <f t="array" aca="1" ref="Z92" ca="1">IFERROR(_xlfn.XLOOKUP(TableHandbook[[#This Row],[UDC]],INDIRECT("Table"&amp;SUBSTITUTE(Z$2,"-","")&amp;"[UDC]",TRUE),INDIRECT("Table"&amp;SUBSTITUTE(Z$2,"-","")&amp;"[Component Type]",TRUE)),"")</f>
        <v>Option</v>
      </c>
    </row>
    <row r="93" spans="1:26" x14ac:dyDescent="0.25">
      <c r="A93" s="8" t="s">
        <v>138</v>
      </c>
      <c r="B93" s="9">
        <v>1</v>
      </c>
      <c r="C93" s="9" t="s">
        <v>383</v>
      </c>
      <c r="D93" s="8" t="s">
        <v>384</v>
      </c>
      <c r="E93" s="9">
        <v>25</v>
      </c>
      <c r="F93" s="266" t="s">
        <v>255</v>
      </c>
      <c r="G93" s="72" t="str">
        <f>IFERROR(IF(VLOOKUP(TableHandbook[[#This Row],[UDC]],TableAvailabilities[],2,FALSE)&gt;0,"Y",""),"")</f>
        <v>Y</v>
      </c>
      <c r="H93" s="72" t="str">
        <f>IFERROR(IF(VLOOKUP(TableHandbook[[#This Row],[UDC]],TableAvailabilities[],3,FALSE)&gt;0,"Y",""),"")</f>
        <v/>
      </c>
      <c r="I93" s="72" t="str">
        <f>IFERROR(IF(VLOOKUP(TableHandbook[[#This Row],[UDC]],TableAvailabilities[],4,FALSE)&gt;0,"Y",""),"")</f>
        <v/>
      </c>
      <c r="J93" s="72" t="str">
        <f>IFERROR(IF(VLOOKUP(TableHandbook[[#This Row],[UDC]],TableAvailabilities[],5,FALSE)&gt;0,"Y",""),"")</f>
        <v/>
      </c>
      <c r="K93" s="155"/>
      <c r="L93" s="152" t="str" cm="1">
        <f t="array" aca="1" ref="L93" ca="1">IFERROR(_xlfn.XLOOKUP(TableHandbook[[#This Row],[UDC]],INDIRECT("Table"&amp;SUBSTITUTE(L$2,"-","")&amp;"[UDC]",TRUE),INDIRECT("Table"&amp;SUBSTITUTE(L$2,"-","")&amp;"[Component Type]",TRUE)),"")</f>
        <v>Option</v>
      </c>
      <c r="M93" s="152" t="str" cm="1">
        <f t="array" aca="1" ref="M93" ca="1">IFERROR(_xlfn.XLOOKUP(TableHandbook[[#This Row],[UDC]],INDIRECT("Table"&amp;SUBSTITUTE(M$2,"-","")&amp;"[UDC]",TRUE),INDIRECT("Table"&amp;SUBSTITUTE(M$2,"-","")&amp;"[Component Type]",TRUE)),"")</f>
        <v>Option</v>
      </c>
      <c r="N93" s="154" t="str" cm="1">
        <f t="array" aca="1" ref="N93" ca="1">IFERROR(_xlfn.XLOOKUP(TableHandbook[[#This Row],[UDC]],INDIRECT("Table"&amp;SUBSTITUTE(N$2,"-","")&amp;"[UDC]",TRUE),INDIRECT("Table"&amp;SUBSTITUTE(N$2,"-","")&amp;"[Component Type]",TRUE)),"")</f>
        <v/>
      </c>
      <c r="O93" s="152" t="str" cm="1">
        <f t="array" aca="1" ref="O93" ca="1">IFERROR(_xlfn.XLOOKUP(TableHandbook[[#This Row],[UDC]],INDIRECT("Table"&amp;SUBSTITUTE(O$2,"-","")&amp;"[UDC]",TRUE),INDIRECT("Table"&amp;SUBSTITUTE(O$2,"-","")&amp;"[Component Type]",TRUE)),"")</f>
        <v/>
      </c>
      <c r="P93" s="152" t="str" cm="1">
        <f t="array" aca="1" ref="P93" ca="1">IFERROR(_xlfn.XLOOKUP(TableHandbook[[#This Row],[UDC]],INDIRECT("Table"&amp;SUBSTITUTE(P$2,"-","")&amp;"[UDC]",TRUE),INDIRECT("Table"&amp;SUBSTITUTE(P$2,"-","")&amp;"[Component Type]",TRUE)),"")</f>
        <v/>
      </c>
      <c r="Q93" s="152" t="str" cm="1">
        <f t="array" aca="1" ref="Q93" ca="1">IFERROR(_xlfn.XLOOKUP(TableHandbook[[#This Row],[UDC]],INDIRECT("Table"&amp;SUBSTITUTE(Q$2,"-","")&amp;"[UDC]",TRUE),INDIRECT("Table"&amp;SUBSTITUTE(Q$2,"-","")&amp;"[Component Type]",TRUE)),"")</f>
        <v/>
      </c>
      <c r="R93" s="152" t="str" cm="1">
        <f t="array" aca="1" ref="R93" ca="1">IFERROR(_xlfn.XLOOKUP(TableHandbook[[#This Row],[UDC]],INDIRECT("Table"&amp;SUBSTITUTE(R$2,"-","")&amp;"[UDC]",TRUE),INDIRECT("Table"&amp;SUBSTITUTE(R$2,"-","")&amp;"[Component Type]",TRUE)),"")</f>
        <v/>
      </c>
      <c r="S93" s="152" t="str" cm="1">
        <f t="array" aca="1" ref="S93" ca="1">IFERROR(_xlfn.XLOOKUP(TableHandbook[[#This Row],[UDC]],INDIRECT("Table"&amp;SUBSTITUTE(S$2,"-","")&amp;"[UDC]",TRUE),INDIRECT("Table"&amp;SUBSTITUTE(S$2,"-","")&amp;"[Component Type]",TRUE)),"")</f>
        <v>Core</v>
      </c>
      <c r="T93" s="152" t="str" cm="1">
        <f t="array" aca="1" ref="T93" ca="1">IFERROR(_xlfn.XLOOKUP(TableHandbook[[#This Row],[UDC]],INDIRECT("Table"&amp;SUBSTITUTE(T$2,"-","")&amp;"[UDC]",TRUE),INDIRECT("Table"&amp;SUBSTITUTE(T$2,"-","")&amp;"[Component Type]",TRUE)),"")</f>
        <v/>
      </c>
      <c r="U93" s="152" t="str" cm="1">
        <f t="array" aca="1" ref="U93" ca="1">IFERROR(_xlfn.XLOOKUP(TableHandbook[[#This Row],[UDC]],INDIRECT("Table"&amp;SUBSTITUTE(U$2,"-","")&amp;"[UDC]",TRUE),INDIRECT("Table"&amp;SUBSTITUTE(U$2,"-","")&amp;"[Component Type]",TRUE)),"")</f>
        <v/>
      </c>
      <c r="V93" s="154" t="str" cm="1">
        <f t="array" aca="1" ref="V93" ca="1">IFERROR(_xlfn.XLOOKUP(TableHandbook[[#This Row],[UDC]],INDIRECT("Table"&amp;SUBSTITUTE(V$2,"-","")&amp;"[UDC]",TRUE),INDIRECT("Table"&amp;SUBSTITUTE(V$2,"-","")&amp;"[Component Type]",TRUE)),"")</f>
        <v/>
      </c>
      <c r="W93" s="152" t="str" cm="1">
        <f t="array" aca="1" ref="W93" ca="1">IFERROR(_xlfn.XLOOKUP(TableHandbook[[#This Row],[UDC]],INDIRECT("Table"&amp;SUBSTITUTE(W$2,"-","")&amp;"[UDC]",TRUE),INDIRECT("Table"&amp;SUBSTITUTE(W$2,"-","")&amp;"[Component Type]",TRUE)),"")</f>
        <v/>
      </c>
      <c r="X93" s="152" t="str" cm="1">
        <f t="array" aca="1" ref="X93" ca="1">IFERROR(_xlfn.XLOOKUP(TableHandbook[[#This Row],[UDC]],INDIRECT("Table"&amp;SUBSTITUTE(X$2,"-","")&amp;"[UDC]",TRUE),INDIRECT("Table"&amp;SUBSTITUTE(X$2,"-","")&amp;"[Component Type]",TRUE)),"")</f>
        <v>Option</v>
      </c>
      <c r="Y93" s="152" t="str" cm="1">
        <f t="array" aca="1" ref="Y93" ca="1">IFERROR(_xlfn.XLOOKUP(TableHandbook[[#This Row],[UDC]],INDIRECT("Table"&amp;SUBSTITUTE(Y$2,"-","")&amp;"[UDC]",TRUE),INDIRECT("Table"&amp;SUBSTITUTE(Y$2,"-","")&amp;"[Component Type]",TRUE)),"")</f>
        <v>Option</v>
      </c>
      <c r="Z93" s="152" t="str" cm="1">
        <f t="array" aca="1" ref="Z93" ca="1">IFERROR(_xlfn.XLOOKUP(TableHandbook[[#This Row],[UDC]],INDIRECT("Table"&amp;SUBSTITUTE(Z$2,"-","")&amp;"[UDC]",TRUE),INDIRECT("Table"&amp;SUBSTITUTE(Z$2,"-","")&amp;"[Component Type]",TRUE)),"")</f>
        <v>Option</v>
      </c>
    </row>
    <row r="94" spans="1:26" x14ac:dyDescent="0.25">
      <c r="A94" s="8" t="s">
        <v>142</v>
      </c>
      <c r="B94" s="9">
        <v>1</v>
      </c>
      <c r="C94" s="9" t="s">
        <v>385</v>
      </c>
      <c r="D94" s="8" t="s">
        <v>386</v>
      </c>
      <c r="E94" s="9">
        <v>25</v>
      </c>
      <c r="F94" s="266" t="s">
        <v>255</v>
      </c>
      <c r="G94" s="72" t="str">
        <f>IFERROR(IF(VLOOKUP(TableHandbook[[#This Row],[UDC]],TableAvailabilities[],2,FALSE)&gt;0,"Y",""),"")</f>
        <v/>
      </c>
      <c r="H94" s="72" t="str">
        <f>IFERROR(IF(VLOOKUP(TableHandbook[[#This Row],[UDC]],TableAvailabilities[],3,FALSE)&gt;0,"Y",""),"")</f>
        <v/>
      </c>
      <c r="I94" s="72" t="str">
        <f>IFERROR(IF(VLOOKUP(TableHandbook[[#This Row],[UDC]],TableAvailabilities[],4,FALSE)&gt;0,"Y",""),"")</f>
        <v/>
      </c>
      <c r="J94" s="72" t="str">
        <f>IFERROR(IF(VLOOKUP(TableHandbook[[#This Row],[UDC]],TableAvailabilities[],5,FALSE)&gt;0,"Y",""),"")</f>
        <v>Y</v>
      </c>
      <c r="K94" s="155"/>
      <c r="L94" s="152" t="str" cm="1">
        <f t="array" aca="1" ref="L94" ca="1">IFERROR(_xlfn.XLOOKUP(TableHandbook[[#This Row],[UDC]],INDIRECT("Table"&amp;SUBSTITUTE(L$2,"-","")&amp;"[UDC]",TRUE),INDIRECT("Table"&amp;SUBSTITUTE(L$2,"-","")&amp;"[Component Type]",TRUE)),"")</f>
        <v>Option</v>
      </c>
      <c r="M94" s="152" t="str" cm="1">
        <f t="array" aca="1" ref="M94" ca="1">IFERROR(_xlfn.XLOOKUP(TableHandbook[[#This Row],[UDC]],INDIRECT("Table"&amp;SUBSTITUTE(M$2,"-","")&amp;"[UDC]",TRUE),INDIRECT("Table"&amp;SUBSTITUTE(M$2,"-","")&amp;"[Component Type]",TRUE)),"")</f>
        <v>Option</v>
      </c>
      <c r="N94" s="154" t="str" cm="1">
        <f t="array" aca="1" ref="N94" ca="1">IFERROR(_xlfn.XLOOKUP(TableHandbook[[#This Row],[UDC]],INDIRECT("Table"&amp;SUBSTITUTE(N$2,"-","")&amp;"[UDC]",TRUE),INDIRECT("Table"&amp;SUBSTITUTE(N$2,"-","")&amp;"[Component Type]",TRUE)),"")</f>
        <v/>
      </c>
      <c r="O94" s="152" t="str" cm="1">
        <f t="array" aca="1" ref="O94" ca="1">IFERROR(_xlfn.XLOOKUP(TableHandbook[[#This Row],[UDC]],INDIRECT("Table"&amp;SUBSTITUTE(O$2,"-","")&amp;"[UDC]",TRUE),INDIRECT("Table"&amp;SUBSTITUTE(O$2,"-","")&amp;"[Component Type]",TRUE)),"")</f>
        <v/>
      </c>
      <c r="P94" s="152" t="str" cm="1">
        <f t="array" aca="1" ref="P94" ca="1">IFERROR(_xlfn.XLOOKUP(TableHandbook[[#This Row],[UDC]],INDIRECT("Table"&amp;SUBSTITUTE(P$2,"-","")&amp;"[UDC]",TRUE),INDIRECT("Table"&amp;SUBSTITUTE(P$2,"-","")&amp;"[Component Type]",TRUE)),"")</f>
        <v/>
      </c>
      <c r="Q94" s="152" t="str" cm="1">
        <f t="array" aca="1" ref="Q94" ca="1">IFERROR(_xlfn.XLOOKUP(TableHandbook[[#This Row],[UDC]],INDIRECT("Table"&amp;SUBSTITUTE(Q$2,"-","")&amp;"[UDC]",TRUE),INDIRECT("Table"&amp;SUBSTITUTE(Q$2,"-","")&amp;"[Component Type]",TRUE)),"")</f>
        <v>Core</v>
      </c>
      <c r="R94" s="152" t="str" cm="1">
        <f t="array" aca="1" ref="R94" ca="1">IFERROR(_xlfn.XLOOKUP(TableHandbook[[#This Row],[UDC]],INDIRECT("Table"&amp;SUBSTITUTE(R$2,"-","")&amp;"[UDC]",TRUE),INDIRECT("Table"&amp;SUBSTITUTE(R$2,"-","")&amp;"[Component Type]",TRUE)),"")</f>
        <v/>
      </c>
      <c r="S94" s="152" t="str" cm="1">
        <f t="array" aca="1" ref="S94" ca="1">IFERROR(_xlfn.XLOOKUP(TableHandbook[[#This Row],[UDC]],INDIRECT("Table"&amp;SUBSTITUTE(S$2,"-","")&amp;"[UDC]",TRUE),INDIRECT("Table"&amp;SUBSTITUTE(S$2,"-","")&amp;"[Component Type]",TRUE)),"")</f>
        <v/>
      </c>
      <c r="T94" s="152" t="str" cm="1">
        <f t="array" aca="1" ref="T94" ca="1">IFERROR(_xlfn.XLOOKUP(TableHandbook[[#This Row],[UDC]],INDIRECT("Table"&amp;SUBSTITUTE(T$2,"-","")&amp;"[UDC]",TRUE),INDIRECT("Table"&amp;SUBSTITUTE(T$2,"-","")&amp;"[Component Type]",TRUE)),"")</f>
        <v/>
      </c>
      <c r="U94" s="152" t="str" cm="1">
        <f t="array" aca="1" ref="U94" ca="1">IFERROR(_xlfn.XLOOKUP(TableHandbook[[#This Row],[UDC]],INDIRECT("Table"&amp;SUBSTITUTE(U$2,"-","")&amp;"[UDC]",TRUE),INDIRECT("Table"&amp;SUBSTITUTE(U$2,"-","")&amp;"[Component Type]",TRUE)),"")</f>
        <v/>
      </c>
      <c r="V94" s="154" t="str" cm="1">
        <f t="array" aca="1" ref="V94" ca="1">IFERROR(_xlfn.XLOOKUP(TableHandbook[[#This Row],[UDC]],INDIRECT("Table"&amp;SUBSTITUTE(V$2,"-","")&amp;"[UDC]",TRUE),INDIRECT("Table"&amp;SUBSTITUTE(V$2,"-","")&amp;"[Component Type]",TRUE)),"")</f>
        <v/>
      </c>
      <c r="W94" s="152" t="str" cm="1">
        <f t="array" aca="1" ref="W94" ca="1">IFERROR(_xlfn.XLOOKUP(TableHandbook[[#This Row],[UDC]],INDIRECT("Table"&amp;SUBSTITUTE(W$2,"-","")&amp;"[UDC]",TRUE),INDIRECT("Table"&amp;SUBSTITUTE(W$2,"-","")&amp;"[Component Type]",TRUE)),"")</f>
        <v/>
      </c>
      <c r="X94" s="152" t="str" cm="1">
        <f t="array" aca="1" ref="X94" ca="1">IFERROR(_xlfn.XLOOKUP(TableHandbook[[#This Row],[UDC]],INDIRECT("Table"&amp;SUBSTITUTE(X$2,"-","")&amp;"[UDC]",TRUE),INDIRECT("Table"&amp;SUBSTITUTE(X$2,"-","")&amp;"[Component Type]",TRUE)),"")</f>
        <v>Option</v>
      </c>
      <c r="Y94" s="152" t="str" cm="1">
        <f t="array" aca="1" ref="Y94" ca="1">IFERROR(_xlfn.XLOOKUP(TableHandbook[[#This Row],[UDC]],INDIRECT("Table"&amp;SUBSTITUTE(Y$2,"-","")&amp;"[UDC]",TRUE),INDIRECT("Table"&amp;SUBSTITUTE(Y$2,"-","")&amp;"[Component Type]",TRUE)),"")</f>
        <v>Option</v>
      </c>
      <c r="Z94" s="152" t="str" cm="1">
        <f t="array" aca="1" ref="Z94" ca="1">IFERROR(_xlfn.XLOOKUP(TableHandbook[[#This Row],[UDC]],INDIRECT("Table"&amp;SUBSTITUTE(Z$2,"-","")&amp;"[UDC]",TRUE),INDIRECT("Table"&amp;SUBSTITUTE(Z$2,"-","")&amp;"[Component Type]",TRUE)),"")</f>
        <v>Option</v>
      </c>
    </row>
    <row r="95" spans="1:26" x14ac:dyDescent="0.25">
      <c r="A95" s="8" t="s">
        <v>149</v>
      </c>
      <c r="B95" s="9">
        <v>1</v>
      </c>
      <c r="C95" s="9" t="s">
        <v>387</v>
      </c>
      <c r="D95" s="8" t="s">
        <v>388</v>
      </c>
      <c r="E95" s="9">
        <v>25</v>
      </c>
      <c r="F95" s="266" t="s">
        <v>255</v>
      </c>
      <c r="G95" s="72" t="str">
        <f>IFERROR(IF(VLOOKUP(TableHandbook[[#This Row],[UDC]],TableAvailabilities[],2,FALSE)&gt;0,"Y",""),"")</f>
        <v>Y</v>
      </c>
      <c r="H95" s="72" t="str">
        <f>IFERROR(IF(VLOOKUP(TableHandbook[[#This Row],[UDC]],TableAvailabilities[],3,FALSE)&gt;0,"Y",""),"")</f>
        <v/>
      </c>
      <c r="I95" s="72" t="str">
        <f>IFERROR(IF(VLOOKUP(TableHandbook[[#This Row],[UDC]],TableAvailabilities[],4,FALSE)&gt;0,"Y",""),"")</f>
        <v/>
      </c>
      <c r="J95" s="72" t="str">
        <f>IFERROR(IF(VLOOKUP(TableHandbook[[#This Row],[UDC]],TableAvailabilities[],5,FALSE)&gt;0,"Y",""),"")</f>
        <v/>
      </c>
      <c r="K95" s="155"/>
      <c r="L95" s="152" t="str" cm="1">
        <f t="array" aca="1" ref="L95" ca="1">IFERROR(_xlfn.XLOOKUP(TableHandbook[[#This Row],[UDC]],INDIRECT("Table"&amp;SUBSTITUTE(L$2,"-","")&amp;"[UDC]",TRUE),INDIRECT("Table"&amp;SUBSTITUTE(L$2,"-","")&amp;"[Component Type]",TRUE)),"")</f>
        <v>Option</v>
      </c>
      <c r="M95" s="152" t="str" cm="1">
        <f t="array" aca="1" ref="M95" ca="1">IFERROR(_xlfn.XLOOKUP(TableHandbook[[#This Row],[UDC]],INDIRECT("Table"&amp;SUBSTITUTE(M$2,"-","")&amp;"[UDC]",TRUE),INDIRECT("Table"&amp;SUBSTITUTE(M$2,"-","")&amp;"[Component Type]",TRUE)),"")</f>
        <v>Option</v>
      </c>
      <c r="N95" s="154" t="str" cm="1">
        <f t="array" aca="1" ref="N95" ca="1">IFERROR(_xlfn.XLOOKUP(TableHandbook[[#This Row],[UDC]],INDIRECT("Table"&amp;SUBSTITUTE(N$2,"-","")&amp;"[UDC]",TRUE),INDIRECT("Table"&amp;SUBSTITUTE(N$2,"-","")&amp;"[Component Type]",TRUE)),"")</f>
        <v/>
      </c>
      <c r="O95" s="152" t="str" cm="1">
        <f t="array" aca="1" ref="O95" ca="1">IFERROR(_xlfn.XLOOKUP(TableHandbook[[#This Row],[UDC]],INDIRECT("Table"&amp;SUBSTITUTE(O$2,"-","")&amp;"[UDC]",TRUE),INDIRECT("Table"&amp;SUBSTITUTE(O$2,"-","")&amp;"[Component Type]",TRUE)),"")</f>
        <v/>
      </c>
      <c r="P95" s="152" t="str" cm="1">
        <f t="array" aca="1" ref="P95" ca="1">IFERROR(_xlfn.XLOOKUP(TableHandbook[[#This Row],[UDC]],INDIRECT("Table"&amp;SUBSTITUTE(P$2,"-","")&amp;"[UDC]",TRUE),INDIRECT("Table"&amp;SUBSTITUTE(P$2,"-","")&amp;"[Component Type]",TRUE)),"")</f>
        <v/>
      </c>
      <c r="Q95" s="152" t="str" cm="1">
        <f t="array" aca="1" ref="Q95" ca="1">IFERROR(_xlfn.XLOOKUP(TableHandbook[[#This Row],[UDC]],INDIRECT("Table"&amp;SUBSTITUTE(Q$2,"-","")&amp;"[UDC]",TRUE),INDIRECT("Table"&amp;SUBSTITUTE(Q$2,"-","")&amp;"[Component Type]",TRUE)),"")</f>
        <v/>
      </c>
      <c r="R95" s="152" t="str" cm="1">
        <f t="array" aca="1" ref="R95" ca="1">IFERROR(_xlfn.XLOOKUP(TableHandbook[[#This Row],[UDC]],INDIRECT("Table"&amp;SUBSTITUTE(R$2,"-","")&amp;"[UDC]",TRUE),INDIRECT("Table"&amp;SUBSTITUTE(R$2,"-","")&amp;"[Component Type]",TRUE)),"")</f>
        <v/>
      </c>
      <c r="S95" s="152" t="str" cm="1">
        <f t="array" aca="1" ref="S95" ca="1">IFERROR(_xlfn.XLOOKUP(TableHandbook[[#This Row],[UDC]],INDIRECT("Table"&amp;SUBSTITUTE(S$2,"-","")&amp;"[UDC]",TRUE),INDIRECT("Table"&amp;SUBSTITUTE(S$2,"-","")&amp;"[Component Type]",TRUE)),"")</f>
        <v/>
      </c>
      <c r="T95" s="152" t="str" cm="1">
        <f t="array" aca="1" ref="T95" ca="1">IFERROR(_xlfn.XLOOKUP(TableHandbook[[#This Row],[UDC]],INDIRECT("Table"&amp;SUBSTITUTE(T$2,"-","")&amp;"[UDC]",TRUE),INDIRECT("Table"&amp;SUBSTITUTE(T$2,"-","")&amp;"[Component Type]",TRUE)),"")</f>
        <v/>
      </c>
      <c r="U95" s="152" t="str" cm="1">
        <f t="array" aca="1" ref="U95" ca="1">IFERROR(_xlfn.XLOOKUP(TableHandbook[[#This Row],[UDC]],INDIRECT("Table"&amp;SUBSTITUTE(U$2,"-","")&amp;"[UDC]",TRUE),INDIRECT("Table"&amp;SUBSTITUTE(U$2,"-","")&amp;"[Component Type]",TRUE)),"")</f>
        <v>Core</v>
      </c>
      <c r="V95" s="154" t="str" cm="1">
        <f t="array" aca="1" ref="V95" ca="1">IFERROR(_xlfn.XLOOKUP(TableHandbook[[#This Row],[UDC]],INDIRECT("Table"&amp;SUBSTITUTE(V$2,"-","")&amp;"[UDC]",TRUE),INDIRECT("Table"&amp;SUBSTITUTE(V$2,"-","")&amp;"[Component Type]",TRUE)),"")</f>
        <v/>
      </c>
      <c r="W95" s="152" t="str" cm="1">
        <f t="array" aca="1" ref="W95" ca="1">IFERROR(_xlfn.XLOOKUP(TableHandbook[[#This Row],[UDC]],INDIRECT("Table"&amp;SUBSTITUTE(W$2,"-","")&amp;"[UDC]",TRUE),INDIRECT("Table"&amp;SUBSTITUTE(W$2,"-","")&amp;"[Component Type]",TRUE)),"")</f>
        <v/>
      </c>
      <c r="X95" s="152" t="str" cm="1">
        <f t="array" aca="1" ref="X95" ca="1">IFERROR(_xlfn.XLOOKUP(TableHandbook[[#This Row],[UDC]],INDIRECT("Table"&amp;SUBSTITUTE(X$2,"-","")&amp;"[UDC]",TRUE),INDIRECT("Table"&amp;SUBSTITUTE(X$2,"-","")&amp;"[Component Type]",TRUE)),"")</f>
        <v>Option</v>
      </c>
      <c r="Y95" s="152" t="str" cm="1">
        <f t="array" aca="1" ref="Y95" ca="1">IFERROR(_xlfn.XLOOKUP(TableHandbook[[#This Row],[UDC]],INDIRECT("Table"&amp;SUBSTITUTE(Y$2,"-","")&amp;"[UDC]",TRUE),INDIRECT("Table"&amp;SUBSTITUTE(Y$2,"-","")&amp;"[Component Type]",TRUE)),"")</f>
        <v>Option</v>
      </c>
      <c r="Z95" s="152" t="str" cm="1">
        <f t="array" aca="1" ref="Z95" ca="1">IFERROR(_xlfn.XLOOKUP(TableHandbook[[#This Row],[UDC]],INDIRECT("Table"&amp;SUBSTITUTE(Z$2,"-","")&amp;"[UDC]",TRUE),INDIRECT("Table"&amp;SUBSTITUTE(Z$2,"-","")&amp;"[Component Type]",TRUE)),"")</f>
        <v>Option</v>
      </c>
    </row>
    <row r="96" spans="1:26" x14ac:dyDescent="0.25">
      <c r="A96" s="8" t="s">
        <v>132</v>
      </c>
      <c r="B96" s="9">
        <v>1</v>
      </c>
      <c r="C96" s="9" t="s">
        <v>389</v>
      </c>
      <c r="D96" s="8" t="s">
        <v>390</v>
      </c>
      <c r="E96" s="9">
        <v>100</v>
      </c>
      <c r="F96" s="266" t="s">
        <v>391</v>
      </c>
      <c r="G96" s="72" t="str">
        <f>IFERROR(IF(VLOOKUP(TableHandbook[[#This Row],[UDC]],TableAvailabilities[],2,FALSE)&gt;0,"Y",""),"")</f>
        <v>Y</v>
      </c>
      <c r="H96" s="72" t="str">
        <f>IFERROR(IF(VLOOKUP(TableHandbook[[#This Row],[UDC]],TableAvailabilities[],3,FALSE)&gt;0,"Y",""),"")</f>
        <v>Y</v>
      </c>
      <c r="I96" s="72" t="str">
        <f>IFERROR(IF(VLOOKUP(TableHandbook[[#This Row],[UDC]],TableAvailabilities[],4,FALSE)&gt;0,"Y",""),"")</f>
        <v>Y</v>
      </c>
      <c r="J96" s="72" t="str">
        <f>IFERROR(IF(VLOOKUP(TableHandbook[[#This Row],[UDC]],TableAvailabilities[],5,FALSE)&gt;0,"Y",""),"")</f>
        <v>Y</v>
      </c>
      <c r="K96" s="155"/>
      <c r="L96" s="152" t="str" cm="1">
        <f t="array" aca="1" ref="L96" ca="1">IFERROR(_xlfn.XLOOKUP(TableHandbook[[#This Row],[UDC]],INDIRECT("Table"&amp;SUBSTITUTE(L$2,"-","")&amp;"[UDC]",TRUE),INDIRECT("Table"&amp;SUBSTITUTE(L$2,"-","")&amp;"[Component Type]",TRUE)),"")</f>
        <v>Core</v>
      </c>
      <c r="M96" s="152" t="str" cm="1">
        <f t="array" aca="1" ref="M96" ca="1">IFERROR(_xlfn.XLOOKUP(TableHandbook[[#This Row],[UDC]],INDIRECT("Table"&amp;SUBSTITUTE(M$2,"-","")&amp;"[UDC]",TRUE),INDIRECT("Table"&amp;SUBSTITUTE(M$2,"-","")&amp;"[Component Type]",TRUE)),"")</f>
        <v>Core</v>
      </c>
      <c r="N96" s="154" t="str" cm="1">
        <f t="array" aca="1" ref="N96" ca="1">IFERROR(_xlfn.XLOOKUP(TableHandbook[[#This Row],[UDC]],INDIRECT("Table"&amp;SUBSTITUTE(N$2,"-","")&amp;"[UDC]",TRUE),INDIRECT("Table"&amp;SUBSTITUTE(N$2,"-","")&amp;"[Component Type]",TRUE)),"")</f>
        <v>Core</v>
      </c>
      <c r="O96" s="152" t="str" cm="1">
        <f t="array" aca="1" ref="O96" ca="1">IFERROR(_xlfn.XLOOKUP(TableHandbook[[#This Row],[UDC]],INDIRECT("Table"&amp;SUBSTITUTE(O$2,"-","")&amp;"[UDC]",TRUE),INDIRECT("Table"&amp;SUBSTITUTE(O$2,"-","")&amp;"[Component Type]",TRUE)),"")</f>
        <v>Core</v>
      </c>
      <c r="P96" s="152" t="str" cm="1">
        <f t="array" aca="1" ref="P96" ca="1">IFERROR(_xlfn.XLOOKUP(TableHandbook[[#This Row],[UDC]],INDIRECT("Table"&amp;SUBSTITUTE(P$2,"-","")&amp;"[UDC]",TRUE),INDIRECT("Table"&amp;SUBSTITUTE(P$2,"-","")&amp;"[Component Type]",TRUE)),"")</f>
        <v/>
      </c>
      <c r="Q96" s="152" t="str" cm="1">
        <f t="array" aca="1" ref="Q96" ca="1">IFERROR(_xlfn.XLOOKUP(TableHandbook[[#This Row],[UDC]],INDIRECT("Table"&amp;SUBSTITUTE(Q$2,"-","")&amp;"[UDC]",TRUE),INDIRECT("Table"&amp;SUBSTITUTE(Q$2,"-","")&amp;"[Component Type]",TRUE)),"")</f>
        <v/>
      </c>
      <c r="R96" s="152" t="str" cm="1">
        <f t="array" aca="1" ref="R96" ca="1">IFERROR(_xlfn.XLOOKUP(TableHandbook[[#This Row],[UDC]],INDIRECT("Table"&amp;SUBSTITUTE(R$2,"-","")&amp;"[UDC]",TRUE),INDIRECT("Table"&amp;SUBSTITUTE(R$2,"-","")&amp;"[Component Type]",TRUE)),"")</f>
        <v/>
      </c>
      <c r="S96" s="152" t="str" cm="1">
        <f t="array" aca="1" ref="S96" ca="1">IFERROR(_xlfn.XLOOKUP(TableHandbook[[#This Row],[UDC]],INDIRECT("Table"&amp;SUBSTITUTE(S$2,"-","")&amp;"[UDC]",TRUE),INDIRECT("Table"&amp;SUBSTITUTE(S$2,"-","")&amp;"[Component Type]",TRUE)),"")</f>
        <v/>
      </c>
      <c r="T96" s="152" t="str" cm="1">
        <f t="array" aca="1" ref="T96" ca="1">IFERROR(_xlfn.XLOOKUP(TableHandbook[[#This Row],[UDC]],INDIRECT("Table"&amp;SUBSTITUTE(T$2,"-","")&amp;"[UDC]",TRUE),INDIRECT("Table"&amp;SUBSTITUTE(T$2,"-","")&amp;"[Component Type]",TRUE)),"")</f>
        <v/>
      </c>
      <c r="U96" s="152" t="str" cm="1">
        <f t="array" aca="1" ref="U96" ca="1">IFERROR(_xlfn.XLOOKUP(TableHandbook[[#This Row],[UDC]],INDIRECT("Table"&amp;SUBSTITUTE(U$2,"-","")&amp;"[UDC]",TRUE),INDIRECT("Table"&amp;SUBSTITUTE(U$2,"-","")&amp;"[Component Type]",TRUE)),"")</f>
        <v/>
      </c>
      <c r="V96" s="154" t="str" cm="1">
        <f t="array" aca="1" ref="V96" ca="1">IFERROR(_xlfn.XLOOKUP(TableHandbook[[#This Row],[UDC]],INDIRECT("Table"&amp;SUBSTITUTE(V$2,"-","")&amp;"[UDC]",TRUE),INDIRECT("Table"&amp;SUBSTITUTE(V$2,"-","")&amp;"[Component Type]",TRUE)),"")</f>
        <v>Core</v>
      </c>
      <c r="W96" s="152" t="str" cm="1">
        <f t="array" aca="1" ref="W96" ca="1">IFERROR(_xlfn.XLOOKUP(TableHandbook[[#This Row],[UDC]],INDIRECT("Table"&amp;SUBSTITUTE(W$2,"-","")&amp;"[UDC]",TRUE),INDIRECT("Table"&amp;SUBSTITUTE(W$2,"-","")&amp;"[Component Type]",TRUE)),"")</f>
        <v>Core</v>
      </c>
      <c r="X96" s="152" t="str" cm="1">
        <f t="array" aca="1" ref="X96" ca="1">IFERROR(_xlfn.XLOOKUP(TableHandbook[[#This Row],[UDC]],INDIRECT("Table"&amp;SUBSTITUTE(X$2,"-","")&amp;"[UDC]",TRUE),INDIRECT("Table"&amp;SUBSTITUTE(X$2,"-","")&amp;"[Component Type]",TRUE)),"")</f>
        <v/>
      </c>
      <c r="Y96" s="152" t="str" cm="1">
        <f t="array" aca="1" ref="Y96" ca="1">IFERROR(_xlfn.XLOOKUP(TableHandbook[[#This Row],[UDC]],INDIRECT("Table"&amp;SUBSTITUTE(Y$2,"-","")&amp;"[UDC]",TRUE),INDIRECT("Table"&amp;SUBSTITUTE(Y$2,"-","")&amp;"[Component Type]",TRUE)),"")</f>
        <v/>
      </c>
      <c r="Z96" s="152" t="str" cm="1">
        <f t="array" aca="1" ref="Z96" ca="1">IFERROR(_xlfn.XLOOKUP(TableHandbook[[#This Row],[UDC]],INDIRECT("Table"&amp;SUBSTITUTE(Z$2,"-","")&amp;"[UDC]",TRUE),INDIRECT("Table"&amp;SUBSTITUTE(Z$2,"-","")&amp;"[Component Type]",TRUE)),"")</f>
        <v/>
      </c>
    </row>
    <row r="97" spans="1:26" x14ac:dyDescent="0.25">
      <c r="A97" s="8" t="s">
        <v>145</v>
      </c>
      <c r="B97" s="9">
        <v>1</v>
      </c>
      <c r="C97" s="9" t="s">
        <v>392</v>
      </c>
      <c r="D97" s="8" t="s">
        <v>393</v>
      </c>
      <c r="E97" s="9">
        <v>25</v>
      </c>
      <c r="F97" s="266" t="s">
        <v>255</v>
      </c>
      <c r="G97" s="72" t="str">
        <f>IFERROR(IF(VLOOKUP(TableHandbook[[#This Row],[UDC]],TableAvailabilities[],2,FALSE)&gt;0,"Y",""),"")</f>
        <v/>
      </c>
      <c r="H97" s="72" t="str">
        <f>IFERROR(IF(VLOOKUP(TableHandbook[[#This Row],[UDC]],TableAvailabilities[],3,FALSE)&gt;0,"Y",""),"")</f>
        <v>Y</v>
      </c>
      <c r="I97" s="72" t="str">
        <f>IFERROR(IF(VLOOKUP(TableHandbook[[#This Row],[UDC]],TableAvailabilities[],4,FALSE)&gt;0,"Y",""),"")</f>
        <v/>
      </c>
      <c r="J97" s="72" t="str">
        <f>IFERROR(IF(VLOOKUP(TableHandbook[[#This Row],[UDC]],TableAvailabilities[],5,FALSE)&gt;0,"Y",""),"")</f>
        <v/>
      </c>
      <c r="K97" s="155"/>
      <c r="L97" s="152" t="str" cm="1">
        <f t="array" aca="1" ref="L97" ca="1">IFERROR(_xlfn.XLOOKUP(TableHandbook[[#This Row],[UDC]],INDIRECT("Table"&amp;SUBSTITUTE(L$2,"-","")&amp;"[UDC]",TRUE),INDIRECT("Table"&amp;SUBSTITUTE(L$2,"-","")&amp;"[Component Type]",TRUE)),"")</f>
        <v>Option</v>
      </c>
      <c r="M97" s="152" t="str" cm="1">
        <f t="array" aca="1" ref="M97" ca="1">IFERROR(_xlfn.XLOOKUP(TableHandbook[[#This Row],[UDC]],INDIRECT("Table"&amp;SUBSTITUTE(M$2,"-","")&amp;"[UDC]",TRUE),INDIRECT("Table"&amp;SUBSTITUTE(M$2,"-","")&amp;"[Component Type]",TRUE)),"")</f>
        <v>Option</v>
      </c>
      <c r="N97" s="154" t="str" cm="1">
        <f t="array" aca="1" ref="N97" ca="1">IFERROR(_xlfn.XLOOKUP(TableHandbook[[#This Row],[UDC]],INDIRECT("Table"&amp;SUBSTITUTE(N$2,"-","")&amp;"[UDC]",TRUE),INDIRECT("Table"&amp;SUBSTITUTE(N$2,"-","")&amp;"[Component Type]",TRUE)),"")</f>
        <v/>
      </c>
      <c r="O97" s="152" t="str" cm="1">
        <f t="array" aca="1" ref="O97" ca="1">IFERROR(_xlfn.XLOOKUP(TableHandbook[[#This Row],[UDC]],INDIRECT("Table"&amp;SUBSTITUTE(O$2,"-","")&amp;"[UDC]",TRUE),INDIRECT("Table"&amp;SUBSTITUTE(O$2,"-","")&amp;"[Component Type]",TRUE)),"")</f>
        <v/>
      </c>
      <c r="P97" s="152" t="str" cm="1">
        <f t="array" aca="1" ref="P97" ca="1">IFERROR(_xlfn.XLOOKUP(TableHandbook[[#This Row],[UDC]],INDIRECT("Table"&amp;SUBSTITUTE(P$2,"-","")&amp;"[UDC]",TRUE),INDIRECT("Table"&amp;SUBSTITUTE(P$2,"-","")&amp;"[Component Type]",TRUE)),"")</f>
        <v/>
      </c>
      <c r="Q97" s="152" t="str" cm="1">
        <f t="array" aca="1" ref="Q97" ca="1">IFERROR(_xlfn.XLOOKUP(TableHandbook[[#This Row],[UDC]],INDIRECT("Table"&amp;SUBSTITUTE(Q$2,"-","")&amp;"[UDC]",TRUE),INDIRECT("Table"&amp;SUBSTITUTE(Q$2,"-","")&amp;"[Component Type]",TRUE)),"")</f>
        <v/>
      </c>
      <c r="R97" s="152" t="str" cm="1">
        <f t="array" aca="1" ref="R97" ca="1">IFERROR(_xlfn.XLOOKUP(TableHandbook[[#This Row],[UDC]],INDIRECT("Table"&amp;SUBSTITUTE(R$2,"-","")&amp;"[UDC]",TRUE),INDIRECT("Table"&amp;SUBSTITUTE(R$2,"-","")&amp;"[Component Type]",TRUE)),"")</f>
        <v/>
      </c>
      <c r="S97" s="152" t="str" cm="1">
        <f t="array" aca="1" ref="S97" ca="1">IFERROR(_xlfn.XLOOKUP(TableHandbook[[#This Row],[UDC]],INDIRECT("Table"&amp;SUBSTITUTE(S$2,"-","")&amp;"[UDC]",TRUE),INDIRECT("Table"&amp;SUBSTITUTE(S$2,"-","")&amp;"[Component Type]",TRUE)),"")</f>
        <v/>
      </c>
      <c r="T97" s="152" t="str" cm="1">
        <f t="array" aca="1" ref="T97" ca="1">IFERROR(_xlfn.XLOOKUP(TableHandbook[[#This Row],[UDC]],INDIRECT("Table"&amp;SUBSTITUTE(T$2,"-","")&amp;"[UDC]",TRUE),INDIRECT("Table"&amp;SUBSTITUTE(T$2,"-","")&amp;"[Component Type]",TRUE)),"")</f>
        <v>Core</v>
      </c>
      <c r="U97" s="152" t="str" cm="1">
        <f t="array" aca="1" ref="U97" ca="1">IFERROR(_xlfn.XLOOKUP(TableHandbook[[#This Row],[UDC]],INDIRECT("Table"&amp;SUBSTITUTE(U$2,"-","")&amp;"[UDC]",TRUE),INDIRECT("Table"&amp;SUBSTITUTE(U$2,"-","")&amp;"[Component Type]",TRUE)),"")</f>
        <v/>
      </c>
      <c r="V97" s="154" t="str" cm="1">
        <f t="array" aca="1" ref="V97" ca="1">IFERROR(_xlfn.XLOOKUP(TableHandbook[[#This Row],[UDC]],INDIRECT("Table"&amp;SUBSTITUTE(V$2,"-","")&amp;"[UDC]",TRUE),INDIRECT("Table"&amp;SUBSTITUTE(V$2,"-","")&amp;"[Component Type]",TRUE)),"")</f>
        <v/>
      </c>
      <c r="W97" s="152" t="str" cm="1">
        <f t="array" aca="1" ref="W97" ca="1">IFERROR(_xlfn.XLOOKUP(TableHandbook[[#This Row],[UDC]],INDIRECT("Table"&amp;SUBSTITUTE(W$2,"-","")&amp;"[UDC]",TRUE),INDIRECT("Table"&amp;SUBSTITUTE(W$2,"-","")&amp;"[Component Type]",TRUE)),"")</f>
        <v/>
      </c>
      <c r="X97" s="152" t="str" cm="1">
        <f t="array" aca="1" ref="X97" ca="1">IFERROR(_xlfn.XLOOKUP(TableHandbook[[#This Row],[UDC]],INDIRECT("Table"&amp;SUBSTITUTE(X$2,"-","")&amp;"[UDC]",TRUE),INDIRECT("Table"&amp;SUBSTITUTE(X$2,"-","")&amp;"[Component Type]",TRUE)),"")</f>
        <v>Option</v>
      </c>
      <c r="Y97" s="152" t="str" cm="1">
        <f t="array" aca="1" ref="Y97" ca="1">IFERROR(_xlfn.XLOOKUP(TableHandbook[[#This Row],[UDC]],INDIRECT("Table"&amp;SUBSTITUTE(Y$2,"-","")&amp;"[UDC]",TRUE),INDIRECT("Table"&amp;SUBSTITUTE(Y$2,"-","")&amp;"[Component Type]",TRUE)),"")</f>
        <v>Option</v>
      </c>
      <c r="Z97" s="152" t="str" cm="1">
        <f t="array" aca="1" ref="Z97" ca="1">IFERROR(_xlfn.XLOOKUP(TableHandbook[[#This Row],[UDC]],INDIRECT("Table"&amp;SUBSTITUTE(Z$2,"-","")&amp;"[UDC]",TRUE),INDIRECT("Table"&amp;SUBSTITUTE(Z$2,"-","")&amp;"[Component Type]",TRUE)),"")</f>
        <v>Option</v>
      </c>
    </row>
    <row r="98" spans="1:26" x14ac:dyDescent="0.25">
      <c r="A98" s="8" t="s">
        <v>146</v>
      </c>
      <c r="B98" s="9">
        <v>2</v>
      </c>
      <c r="C98" s="9" t="s">
        <v>394</v>
      </c>
      <c r="D98" s="8" t="s">
        <v>395</v>
      </c>
      <c r="E98" s="9">
        <v>25</v>
      </c>
      <c r="F98" s="266" t="s">
        <v>255</v>
      </c>
      <c r="G98" s="72" t="str">
        <f>IFERROR(IF(VLOOKUP(TableHandbook[[#This Row],[UDC]],TableAvailabilities[],2,FALSE)&gt;0,"Y",""),"")</f>
        <v/>
      </c>
      <c r="H98" s="72" t="str">
        <f>IFERROR(IF(VLOOKUP(TableHandbook[[#This Row],[UDC]],TableAvailabilities[],3,FALSE)&gt;0,"Y",""),"")</f>
        <v/>
      </c>
      <c r="I98" s="72" t="str">
        <f>IFERROR(IF(VLOOKUP(TableHandbook[[#This Row],[UDC]],TableAvailabilities[],4,FALSE)&gt;0,"Y",""),"")</f>
        <v>Y</v>
      </c>
      <c r="J98" s="72" t="str">
        <f>IFERROR(IF(VLOOKUP(TableHandbook[[#This Row],[UDC]],TableAvailabilities[],5,FALSE)&gt;0,"Y",""),"")</f>
        <v/>
      </c>
      <c r="K98" s="155"/>
      <c r="L98" s="152" t="str" cm="1">
        <f t="array" aca="1" ref="L98" ca="1">IFERROR(_xlfn.XLOOKUP(TableHandbook[[#This Row],[UDC]],INDIRECT("Table"&amp;SUBSTITUTE(L$2,"-","")&amp;"[UDC]",TRUE),INDIRECT("Table"&amp;SUBSTITUTE(L$2,"-","")&amp;"[Component Type]",TRUE)),"")</f>
        <v>Option</v>
      </c>
      <c r="M98" s="152" t="str" cm="1">
        <f t="array" aca="1" ref="M98" ca="1">IFERROR(_xlfn.XLOOKUP(TableHandbook[[#This Row],[UDC]],INDIRECT("Table"&amp;SUBSTITUTE(M$2,"-","")&amp;"[UDC]",TRUE),INDIRECT("Table"&amp;SUBSTITUTE(M$2,"-","")&amp;"[Component Type]",TRUE)),"")</f>
        <v>Option</v>
      </c>
      <c r="N98" s="154" t="str" cm="1">
        <f t="array" aca="1" ref="N98" ca="1">IFERROR(_xlfn.XLOOKUP(TableHandbook[[#This Row],[UDC]],INDIRECT("Table"&amp;SUBSTITUTE(N$2,"-","")&amp;"[UDC]",TRUE),INDIRECT("Table"&amp;SUBSTITUTE(N$2,"-","")&amp;"[Component Type]",TRUE)),"")</f>
        <v/>
      </c>
      <c r="O98" s="152" t="str" cm="1">
        <f t="array" aca="1" ref="O98" ca="1">IFERROR(_xlfn.XLOOKUP(TableHandbook[[#This Row],[UDC]],INDIRECT("Table"&amp;SUBSTITUTE(O$2,"-","")&amp;"[UDC]",TRUE),INDIRECT("Table"&amp;SUBSTITUTE(O$2,"-","")&amp;"[Component Type]",TRUE)),"")</f>
        <v/>
      </c>
      <c r="P98" s="152" t="str" cm="1">
        <f t="array" aca="1" ref="P98" ca="1">IFERROR(_xlfn.XLOOKUP(TableHandbook[[#This Row],[UDC]],INDIRECT("Table"&amp;SUBSTITUTE(P$2,"-","")&amp;"[UDC]",TRUE),INDIRECT("Table"&amp;SUBSTITUTE(P$2,"-","")&amp;"[Component Type]",TRUE)),"")</f>
        <v/>
      </c>
      <c r="Q98" s="152" t="str" cm="1">
        <f t="array" aca="1" ref="Q98" ca="1">IFERROR(_xlfn.XLOOKUP(TableHandbook[[#This Row],[UDC]],INDIRECT("Table"&amp;SUBSTITUTE(Q$2,"-","")&amp;"[UDC]",TRUE),INDIRECT("Table"&amp;SUBSTITUTE(Q$2,"-","")&amp;"[Component Type]",TRUE)),"")</f>
        <v/>
      </c>
      <c r="R98" s="152" t="str" cm="1">
        <f t="array" aca="1" ref="R98" ca="1">IFERROR(_xlfn.XLOOKUP(TableHandbook[[#This Row],[UDC]],INDIRECT("Table"&amp;SUBSTITUTE(R$2,"-","")&amp;"[UDC]",TRUE),INDIRECT("Table"&amp;SUBSTITUTE(R$2,"-","")&amp;"[Component Type]",TRUE)),"")</f>
        <v/>
      </c>
      <c r="S98" s="152" t="str" cm="1">
        <f t="array" aca="1" ref="S98" ca="1">IFERROR(_xlfn.XLOOKUP(TableHandbook[[#This Row],[UDC]],INDIRECT("Table"&amp;SUBSTITUTE(S$2,"-","")&amp;"[UDC]",TRUE),INDIRECT("Table"&amp;SUBSTITUTE(S$2,"-","")&amp;"[Component Type]",TRUE)),"")</f>
        <v/>
      </c>
      <c r="T98" s="152" t="str" cm="1">
        <f t="array" aca="1" ref="T98" ca="1">IFERROR(_xlfn.XLOOKUP(TableHandbook[[#This Row],[UDC]],INDIRECT("Table"&amp;SUBSTITUTE(T$2,"-","")&amp;"[UDC]",TRUE),INDIRECT("Table"&amp;SUBSTITUTE(T$2,"-","")&amp;"[Component Type]",TRUE)),"")</f>
        <v>Core</v>
      </c>
      <c r="U98" s="152" t="str" cm="1">
        <f t="array" aca="1" ref="U98" ca="1">IFERROR(_xlfn.XLOOKUP(TableHandbook[[#This Row],[UDC]],INDIRECT("Table"&amp;SUBSTITUTE(U$2,"-","")&amp;"[UDC]",TRUE),INDIRECT("Table"&amp;SUBSTITUTE(U$2,"-","")&amp;"[Component Type]",TRUE)),"")</f>
        <v/>
      </c>
      <c r="V98" s="154" t="str" cm="1">
        <f t="array" aca="1" ref="V98" ca="1">IFERROR(_xlfn.XLOOKUP(TableHandbook[[#This Row],[UDC]],INDIRECT("Table"&amp;SUBSTITUTE(V$2,"-","")&amp;"[UDC]",TRUE),INDIRECT("Table"&amp;SUBSTITUTE(V$2,"-","")&amp;"[Component Type]",TRUE)),"")</f>
        <v/>
      </c>
      <c r="W98" s="152" t="str" cm="1">
        <f t="array" aca="1" ref="W98" ca="1">IFERROR(_xlfn.XLOOKUP(TableHandbook[[#This Row],[UDC]],INDIRECT("Table"&amp;SUBSTITUTE(W$2,"-","")&amp;"[UDC]",TRUE),INDIRECT("Table"&amp;SUBSTITUTE(W$2,"-","")&amp;"[Component Type]",TRUE)),"")</f>
        <v/>
      </c>
      <c r="X98" s="152" t="str" cm="1">
        <f t="array" aca="1" ref="X98" ca="1">IFERROR(_xlfn.XLOOKUP(TableHandbook[[#This Row],[UDC]],INDIRECT("Table"&amp;SUBSTITUTE(X$2,"-","")&amp;"[UDC]",TRUE),INDIRECT("Table"&amp;SUBSTITUTE(X$2,"-","")&amp;"[Component Type]",TRUE)),"")</f>
        <v>Option</v>
      </c>
      <c r="Y98" s="152" t="str" cm="1">
        <f t="array" aca="1" ref="Y98" ca="1">IFERROR(_xlfn.XLOOKUP(TableHandbook[[#This Row],[UDC]],INDIRECT("Table"&amp;SUBSTITUTE(Y$2,"-","")&amp;"[UDC]",TRUE),INDIRECT("Table"&amp;SUBSTITUTE(Y$2,"-","")&amp;"[Component Type]",TRUE)),"")</f>
        <v>Option</v>
      </c>
      <c r="Z98" s="152" t="str" cm="1">
        <f t="array" aca="1" ref="Z98" ca="1">IFERROR(_xlfn.XLOOKUP(TableHandbook[[#This Row],[UDC]],INDIRECT("Table"&amp;SUBSTITUTE(Z$2,"-","")&amp;"[UDC]",TRUE),INDIRECT("Table"&amp;SUBSTITUTE(Z$2,"-","")&amp;"[Component Type]",TRUE)),"")</f>
        <v>Option</v>
      </c>
    </row>
    <row r="99" spans="1:26" x14ac:dyDescent="0.25">
      <c r="A99" s="8" t="s">
        <v>150</v>
      </c>
      <c r="B99" s="9">
        <v>1</v>
      </c>
      <c r="C99" s="9" t="s">
        <v>396</v>
      </c>
      <c r="D99" s="8" t="s">
        <v>397</v>
      </c>
      <c r="E99" s="9">
        <v>25</v>
      </c>
      <c r="F99" s="266" t="s">
        <v>255</v>
      </c>
      <c r="G99" s="72" t="str">
        <f>IFERROR(IF(VLOOKUP(TableHandbook[[#This Row],[UDC]],TableAvailabilities[],2,FALSE)&gt;0,"Y",""),"")</f>
        <v/>
      </c>
      <c r="H99" s="72" t="str">
        <f>IFERROR(IF(VLOOKUP(TableHandbook[[#This Row],[UDC]],TableAvailabilities[],3,FALSE)&gt;0,"Y",""),"")</f>
        <v/>
      </c>
      <c r="I99" s="72" t="str">
        <f>IFERROR(IF(VLOOKUP(TableHandbook[[#This Row],[UDC]],TableAvailabilities[],4,FALSE)&gt;0,"Y",""),"")</f>
        <v/>
      </c>
      <c r="J99" s="72" t="str">
        <f>IFERROR(IF(VLOOKUP(TableHandbook[[#This Row],[UDC]],TableAvailabilities[],5,FALSE)&gt;0,"Y",""),"")</f>
        <v>Y</v>
      </c>
      <c r="K99" s="155"/>
      <c r="L99" s="152" t="str" cm="1">
        <f t="array" aca="1" ref="L99" ca="1">IFERROR(_xlfn.XLOOKUP(TableHandbook[[#This Row],[UDC]],INDIRECT("Table"&amp;SUBSTITUTE(L$2,"-","")&amp;"[UDC]",TRUE),INDIRECT("Table"&amp;SUBSTITUTE(L$2,"-","")&amp;"[Component Type]",TRUE)),"")</f>
        <v>Option</v>
      </c>
      <c r="M99" s="152" t="str" cm="1">
        <f t="array" aca="1" ref="M99" ca="1">IFERROR(_xlfn.XLOOKUP(TableHandbook[[#This Row],[UDC]],INDIRECT("Table"&amp;SUBSTITUTE(M$2,"-","")&amp;"[UDC]",TRUE),INDIRECT("Table"&amp;SUBSTITUTE(M$2,"-","")&amp;"[Component Type]",TRUE)),"")</f>
        <v>Option</v>
      </c>
      <c r="N99" s="154" t="str" cm="1">
        <f t="array" aca="1" ref="N99" ca="1">IFERROR(_xlfn.XLOOKUP(TableHandbook[[#This Row],[UDC]],INDIRECT("Table"&amp;SUBSTITUTE(N$2,"-","")&amp;"[UDC]",TRUE),INDIRECT("Table"&amp;SUBSTITUTE(N$2,"-","")&amp;"[Component Type]",TRUE)),"")</f>
        <v/>
      </c>
      <c r="O99" s="152" t="str" cm="1">
        <f t="array" aca="1" ref="O99" ca="1">IFERROR(_xlfn.XLOOKUP(TableHandbook[[#This Row],[UDC]],INDIRECT("Table"&amp;SUBSTITUTE(O$2,"-","")&amp;"[UDC]",TRUE),INDIRECT("Table"&amp;SUBSTITUTE(O$2,"-","")&amp;"[Component Type]",TRUE)),"")</f>
        <v/>
      </c>
      <c r="P99" s="152" t="str" cm="1">
        <f t="array" aca="1" ref="P99" ca="1">IFERROR(_xlfn.XLOOKUP(TableHandbook[[#This Row],[UDC]],INDIRECT("Table"&amp;SUBSTITUTE(P$2,"-","")&amp;"[UDC]",TRUE),INDIRECT("Table"&amp;SUBSTITUTE(P$2,"-","")&amp;"[Component Type]",TRUE)),"")</f>
        <v/>
      </c>
      <c r="Q99" s="152" t="str" cm="1">
        <f t="array" aca="1" ref="Q99" ca="1">IFERROR(_xlfn.XLOOKUP(TableHandbook[[#This Row],[UDC]],INDIRECT("Table"&amp;SUBSTITUTE(Q$2,"-","")&amp;"[UDC]",TRUE),INDIRECT("Table"&amp;SUBSTITUTE(Q$2,"-","")&amp;"[Component Type]",TRUE)),"")</f>
        <v/>
      </c>
      <c r="R99" s="152" t="str" cm="1">
        <f t="array" aca="1" ref="R99" ca="1">IFERROR(_xlfn.XLOOKUP(TableHandbook[[#This Row],[UDC]],INDIRECT("Table"&amp;SUBSTITUTE(R$2,"-","")&amp;"[UDC]",TRUE),INDIRECT("Table"&amp;SUBSTITUTE(R$2,"-","")&amp;"[Component Type]",TRUE)),"")</f>
        <v/>
      </c>
      <c r="S99" s="152" t="str" cm="1">
        <f t="array" aca="1" ref="S99" ca="1">IFERROR(_xlfn.XLOOKUP(TableHandbook[[#This Row],[UDC]],INDIRECT("Table"&amp;SUBSTITUTE(S$2,"-","")&amp;"[UDC]",TRUE),INDIRECT("Table"&amp;SUBSTITUTE(S$2,"-","")&amp;"[Component Type]",TRUE)),"")</f>
        <v/>
      </c>
      <c r="T99" s="152" t="str" cm="1">
        <f t="array" aca="1" ref="T99" ca="1">IFERROR(_xlfn.XLOOKUP(TableHandbook[[#This Row],[UDC]],INDIRECT("Table"&amp;SUBSTITUTE(T$2,"-","")&amp;"[UDC]",TRUE),INDIRECT("Table"&amp;SUBSTITUTE(T$2,"-","")&amp;"[Component Type]",TRUE)),"")</f>
        <v/>
      </c>
      <c r="U99" s="152" t="str" cm="1">
        <f t="array" aca="1" ref="U99" ca="1">IFERROR(_xlfn.XLOOKUP(TableHandbook[[#This Row],[UDC]],INDIRECT("Table"&amp;SUBSTITUTE(U$2,"-","")&amp;"[UDC]",TRUE),INDIRECT("Table"&amp;SUBSTITUTE(U$2,"-","")&amp;"[Component Type]",TRUE)),"")</f>
        <v>Core</v>
      </c>
      <c r="V99" s="154" t="str" cm="1">
        <f t="array" aca="1" ref="V99" ca="1">IFERROR(_xlfn.XLOOKUP(TableHandbook[[#This Row],[UDC]],INDIRECT("Table"&amp;SUBSTITUTE(V$2,"-","")&amp;"[UDC]",TRUE),INDIRECT("Table"&amp;SUBSTITUTE(V$2,"-","")&amp;"[Component Type]",TRUE)),"")</f>
        <v/>
      </c>
      <c r="W99" s="152" t="str" cm="1">
        <f t="array" aca="1" ref="W99" ca="1">IFERROR(_xlfn.XLOOKUP(TableHandbook[[#This Row],[UDC]],INDIRECT("Table"&amp;SUBSTITUTE(W$2,"-","")&amp;"[UDC]",TRUE),INDIRECT("Table"&amp;SUBSTITUTE(W$2,"-","")&amp;"[Component Type]",TRUE)),"")</f>
        <v/>
      </c>
      <c r="X99" s="152" t="str" cm="1">
        <f t="array" aca="1" ref="X99" ca="1">IFERROR(_xlfn.XLOOKUP(TableHandbook[[#This Row],[UDC]],INDIRECT("Table"&amp;SUBSTITUTE(X$2,"-","")&amp;"[UDC]",TRUE),INDIRECT("Table"&amp;SUBSTITUTE(X$2,"-","")&amp;"[Component Type]",TRUE)),"")</f>
        <v>Option</v>
      </c>
      <c r="Y99" s="152" t="str" cm="1">
        <f t="array" aca="1" ref="Y99" ca="1">IFERROR(_xlfn.XLOOKUP(TableHandbook[[#This Row],[UDC]],INDIRECT("Table"&amp;SUBSTITUTE(Y$2,"-","")&amp;"[UDC]",TRUE),INDIRECT("Table"&amp;SUBSTITUTE(Y$2,"-","")&amp;"[Component Type]",TRUE)),"")</f>
        <v>Option</v>
      </c>
      <c r="Z99" s="152" t="str" cm="1">
        <f t="array" aca="1" ref="Z99" ca="1">IFERROR(_xlfn.XLOOKUP(TableHandbook[[#This Row],[UDC]],INDIRECT("Table"&amp;SUBSTITUTE(Z$2,"-","")&amp;"[UDC]",TRUE),INDIRECT("Table"&amp;SUBSTITUTE(Z$2,"-","")&amp;"[Component Type]",TRUE)),"")</f>
        <v>Option</v>
      </c>
    </row>
    <row r="100" spans="1:26" x14ac:dyDescent="0.25">
      <c r="A100" s="8" t="s">
        <v>126</v>
      </c>
      <c r="B100" s="9">
        <v>1</v>
      </c>
      <c r="C100" s="9" t="s">
        <v>398</v>
      </c>
      <c r="D100" s="8" t="s">
        <v>399</v>
      </c>
      <c r="E100" s="9">
        <v>25</v>
      </c>
      <c r="F100" s="266" t="s">
        <v>713</v>
      </c>
      <c r="G100" s="72" t="str">
        <f>IFERROR(IF(VLOOKUP(TableHandbook[[#This Row],[UDC]],TableAvailabilities[],2,FALSE)&gt;0,"Y",""),"")</f>
        <v/>
      </c>
      <c r="H100" s="72" t="str">
        <f>IFERROR(IF(VLOOKUP(TableHandbook[[#This Row],[UDC]],TableAvailabilities[],3,FALSE)&gt;0,"Y",""),"")</f>
        <v>Y</v>
      </c>
      <c r="I100" s="72" t="str">
        <f>IFERROR(IF(VLOOKUP(TableHandbook[[#This Row],[UDC]],TableAvailabilities[],4,FALSE)&gt;0,"Y",""),"")</f>
        <v/>
      </c>
      <c r="J100" s="72" t="str">
        <f>IFERROR(IF(VLOOKUP(TableHandbook[[#This Row],[UDC]],TableAvailabilities[],5,FALSE)&gt;0,"Y",""),"")</f>
        <v>Y</v>
      </c>
      <c r="K100" s="209" t="s">
        <v>400</v>
      </c>
      <c r="L100" s="152" t="str" cm="1">
        <f t="array" aca="1" ref="L100" ca="1">IFERROR(_xlfn.XLOOKUP(TableHandbook[[#This Row],[UDC]],INDIRECT("Table"&amp;SUBSTITUTE(L$2,"-","")&amp;"[UDC]",TRUE),INDIRECT("Table"&amp;SUBSTITUTE(L$2,"-","")&amp;"[Component Type]",TRUE)),"")</f>
        <v>Core</v>
      </c>
      <c r="M100" s="152" t="str" cm="1">
        <f t="array" aca="1" ref="M100" ca="1">IFERROR(_xlfn.XLOOKUP(TableHandbook[[#This Row],[UDC]],INDIRECT("Table"&amp;SUBSTITUTE(M$2,"-","")&amp;"[UDC]",TRUE),INDIRECT("Table"&amp;SUBSTITUTE(M$2,"-","")&amp;"[Component Type]",TRUE)),"")</f>
        <v>Core</v>
      </c>
      <c r="N100" s="154" t="str" cm="1">
        <f t="array" aca="1" ref="N100" ca="1">IFERROR(_xlfn.XLOOKUP(TableHandbook[[#This Row],[UDC]],INDIRECT("Table"&amp;SUBSTITUTE(N$2,"-","")&amp;"[UDC]",TRUE),INDIRECT("Table"&amp;SUBSTITUTE(N$2,"-","")&amp;"[Component Type]",TRUE)),"")</f>
        <v>Core</v>
      </c>
      <c r="O100" s="152" t="str" cm="1">
        <f t="array" aca="1" ref="O100" ca="1">IFERROR(_xlfn.XLOOKUP(TableHandbook[[#This Row],[UDC]],INDIRECT("Table"&amp;SUBSTITUTE(O$2,"-","")&amp;"[UDC]",TRUE),INDIRECT("Table"&amp;SUBSTITUTE(O$2,"-","")&amp;"[Component Type]",TRUE)),"")</f>
        <v>Core</v>
      </c>
      <c r="P100" s="152" t="str" cm="1">
        <f t="array" aca="1" ref="P100" ca="1">IFERROR(_xlfn.XLOOKUP(TableHandbook[[#This Row],[UDC]],INDIRECT("Table"&amp;SUBSTITUTE(P$2,"-","")&amp;"[UDC]",TRUE),INDIRECT("Table"&amp;SUBSTITUTE(P$2,"-","")&amp;"[Component Type]",TRUE)),"")</f>
        <v/>
      </c>
      <c r="Q100" s="152" t="str" cm="1">
        <f t="array" aca="1" ref="Q100" ca="1">IFERROR(_xlfn.XLOOKUP(TableHandbook[[#This Row],[UDC]],INDIRECT("Table"&amp;SUBSTITUTE(Q$2,"-","")&amp;"[UDC]",TRUE),INDIRECT("Table"&amp;SUBSTITUTE(Q$2,"-","")&amp;"[Component Type]",TRUE)),"")</f>
        <v/>
      </c>
      <c r="R100" s="152" t="str" cm="1">
        <f t="array" aca="1" ref="R100" ca="1">IFERROR(_xlfn.XLOOKUP(TableHandbook[[#This Row],[UDC]],INDIRECT("Table"&amp;SUBSTITUTE(R$2,"-","")&amp;"[UDC]",TRUE),INDIRECT("Table"&amp;SUBSTITUTE(R$2,"-","")&amp;"[Component Type]",TRUE)),"")</f>
        <v/>
      </c>
      <c r="S100" s="152" t="str" cm="1">
        <f t="array" aca="1" ref="S100" ca="1">IFERROR(_xlfn.XLOOKUP(TableHandbook[[#This Row],[UDC]],INDIRECT("Table"&amp;SUBSTITUTE(S$2,"-","")&amp;"[UDC]",TRUE),INDIRECT("Table"&amp;SUBSTITUTE(S$2,"-","")&amp;"[Component Type]",TRUE)),"")</f>
        <v/>
      </c>
      <c r="T100" s="152" t="str" cm="1">
        <f t="array" aca="1" ref="T100" ca="1">IFERROR(_xlfn.XLOOKUP(TableHandbook[[#This Row],[UDC]],INDIRECT("Table"&amp;SUBSTITUTE(T$2,"-","")&amp;"[UDC]",TRUE),INDIRECT("Table"&amp;SUBSTITUTE(T$2,"-","")&amp;"[Component Type]",TRUE)),"")</f>
        <v/>
      </c>
      <c r="U100" s="152" t="str" cm="1">
        <f t="array" aca="1" ref="U100" ca="1">IFERROR(_xlfn.XLOOKUP(TableHandbook[[#This Row],[UDC]],INDIRECT("Table"&amp;SUBSTITUTE(U$2,"-","")&amp;"[UDC]",TRUE),INDIRECT("Table"&amp;SUBSTITUTE(U$2,"-","")&amp;"[Component Type]",TRUE)),"")</f>
        <v/>
      </c>
      <c r="V100" s="154" t="str" cm="1">
        <f t="array" aca="1" ref="V100" ca="1">IFERROR(_xlfn.XLOOKUP(TableHandbook[[#This Row],[UDC]],INDIRECT("Table"&amp;SUBSTITUTE(V$2,"-","")&amp;"[UDC]",TRUE),INDIRECT("Table"&amp;SUBSTITUTE(V$2,"-","")&amp;"[Component Type]",TRUE)),"")</f>
        <v>Core</v>
      </c>
      <c r="W100" s="152" t="str" cm="1">
        <f t="array" aca="1" ref="W100" ca="1">IFERROR(_xlfn.XLOOKUP(TableHandbook[[#This Row],[UDC]],INDIRECT("Table"&amp;SUBSTITUTE(W$2,"-","")&amp;"[UDC]",TRUE),INDIRECT("Table"&amp;SUBSTITUTE(W$2,"-","")&amp;"[Component Type]",TRUE)),"")</f>
        <v>Core</v>
      </c>
      <c r="X100" s="152" t="str" cm="1">
        <f t="array" aca="1" ref="X100" ca="1">IFERROR(_xlfn.XLOOKUP(TableHandbook[[#This Row],[UDC]],INDIRECT("Table"&amp;SUBSTITUTE(X$2,"-","")&amp;"[UDC]",TRUE),INDIRECT("Table"&amp;SUBSTITUTE(X$2,"-","")&amp;"[Component Type]",TRUE)),"")</f>
        <v/>
      </c>
      <c r="Y100" s="152" t="str" cm="1">
        <f t="array" aca="1" ref="Y100" ca="1">IFERROR(_xlfn.XLOOKUP(TableHandbook[[#This Row],[UDC]],INDIRECT("Table"&amp;SUBSTITUTE(Y$2,"-","")&amp;"[UDC]",TRUE),INDIRECT("Table"&amp;SUBSTITUTE(Y$2,"-","")&amp;"[Component Type]",TRUE)),"")</f>
        <v/>
      </c>
      <c r="Z100" s="152" t="str" cm="1">
        <f t="array" aca="1" ref="Z100" ca="1">IFERROR(_xlfn.XLOOKUP(TableHandbook[[#This Row],[UDC]],INDIRECT("Table"&amp;SUBSTITUTE(Z$2,"-","")&amp;"[UDC]",TRUE),INDIRECT("Table"&amp;SUBSTITUTE(Z$2,"-","")&amp;"[Component Type]",TRUE)),"")</f>
        <v/>
      </c>
    </row>
    <row r="101" spans="1:26" x14ac:dyDescent="0.25">
      <c r="A101" s="8" t="s">
        <v>158</v>
      </c>
      <c r="B101" s="9">
        <v>1</v>
      </c>
      <c r="C101" s="9" t="s">
        <v>401</v>
      </c>
      <c r="D101" s="8" t="s">
        <v>690</v>
      </c>
      <c r="E101" s="9">
        <v>25</v>
      </c>
      <c r="F101" s="266" t="s">
        <v>369</v>
      </c>
      <c r="G101" s="72" t="str">
        <f>IFERROR(IF(VLOOKUP(TableHandbook[[#This Row],[UDC]],TableAvailabilities[],2,FALSE)&gt;0,"Y",""),"")</f>
        <v/>
      </c>
      <c r="H101" s="72" t="str">
        <f>IFERROR(IF(VLOOKUP(TableHandbook[[#This Row],[UDC]],TableAvailabilities[],3,FALSE)&gt;0,"Y",""),"")</f>
        <v/>
      </c>
      <c r="I101" s="72" t="str">
        <f>IFERROR(IF(VLOOKUP(TableHandbook[[#This Row],[UDC]],TableAvailabilities[],4,FALSE)&gt;0,"Y",""),"")</f>
        <v>Y</v>
      </c>
      <c r="J101" s="72" t="str">
        <f>IFERROR(IF(VLOOKUP(TableHandbook[[#This Row],[UDC]],TableAvailabilities[],5,FALSE)&gt;0,"Y",""),"")</f>
        <v/>
      </c>
      <c r="K101" s="155"/>
      <c r="L101" s="152" t="str" cm="1">
        <f t="array" aca="1" ref="L101" ca="1">IFERROR(_xlfn.XLOOKUP(TableHandbook[[#This Row],[UDC]],INDIRECT("Table"&amp;SUBSTITUTE(L$2,"-","")&amp;"[UDC]",TRUE),INDIRECT("Table"&amp;SUBSTITUTE(L$2,"-","")&amp;"[Component Type]",TRUE)),"")</f>
        <v/>
      </c>
      <c r="M101" s="152" t="str" cm="1">
        <f t="array" aca="1" ref="M101" ca="1">IFERROR(_xlfn.XLOOKUP(TableHandbook[[#This Row],[UDC]],INDIRECT("Table"&amp;SUBSTITUTE(M$2,"-","")&amp;"[UDC]",TRUE),INDIRECT("Table"&amp;SUBSTITUTE(M$2,"-","")&amp;"[Component Type]",TRUE)),"")</f>
        <v/>
      </c>
      <c r="N101" s="154" t="str" cm="1">
        <f t="array" aca="1" ref="N101" ca="1">IFERROR(_xlfn.XLOOKUP(TableHandbook[[#This Row],[UDC]],INDIRECT("Table"&amp;SUBSTITUTE(N$2,"-","")&amp;"[UDC]",TRUE),INDIRECT("Table"&amp;SUBSTITUTE(N$2,"-","")&amp;"[Component Type]",TRUE)),"")</f>
        <v/>
      </c>
      <c r="O101" s="152" t="str" cm="1">
        <f t="array" aca="1" ref="O101" ca="1">IFERROR(_xlfn.XLOOKUP(TableHandbook[[#This Row],[UDC]],INDIRECT("Table"&amp;SUBSTITUTE(O$2,"-","")&amp;"[UDC]",TRUE),INDIRECT("Table"&amp;SUBSTITUTE(O$2,"-","")&amp;"[Component Type]",TRUE)),"")</f>
        <v/>
      </c>
      <c r="P101" s="152" t="str" cm="1">
        <f t="array" aca="1" ref="P101" ca="1">IFERROR(_xlfn.XLOOKUP(TableHandbook[[#This Row],[UDC]],INDIRECT("Table"&amp;SUBSTITUTE(P$2,"-","")&amp;"[UDC]",TRUE),INDIRECT("Table"&amp;SUBSTITUTE(P$2,"-","")&amp;"[Component Type]",TRUE)),"")</f>
        <v/>
      </c>
      <c r="Q101" s="152" t="str" cm="1">
        <f t="array" aca="1" ref="Q101" ca="1">IFERROR(_xlfn.XLOOKUP(TableHandbook[[#This Row],[UDC]],INDIRECT("Table"&amp;SUBSTITUTE(Q$2,"-","")&amp;"[UDC]",TRUE),INDIRECT("Table"&amp;SUBSTITUTE(Q$2,"-","")&amp;"[Component Type]",TRUE)),"")</f>
        <v/>
      </c>
      <c r="R101" s="152" t="str" cm="1">
        <f t="array" aca="1" ref="R101" ca="1">IFERROR(_xlfn.XLOOKUP(TableHandbook[[#This Row],[UDC]],INDIRECT("Table"&amp;SUBSTITUTE(R$2,"-","")&amp;"[UDC]",TRUE),INDIRECT("Table"&amp;SUBSTITUTE(R$2,"-","")&amp;"[Component Type]",TRUE)),"")</f>
        <v>Core</v>
      </c>
      <c r="S101" s="152" t="str" cm="1">
        <f t="array" aca="1" ref="S101" ca="1">IFERROR(_xlfn.XLOOKUP(TableHandbook[[#This Row],[UDC]],INDIRECT("Table"&amp;SUBSTITUTE(S$2,"-","")&amp;"[UDC]",TRUE),INDIRECT("Table"&amp;SUBSTITUTE(S$2,"-","")&amp;"[Component Type]",TRUE)),"")</f>
        <v/>
      </c>
      <c r="T101" s="152" t="str" cm="1">
        <f t="array" aca="1" ref="T101" ca="1">IFERROR(_xlfn.XLOOKUP(TableHandbook[[#This Row],[UDC]],INDIRECT("Table"&amp;SUBSTITUTE(T$2,"-","")&amp;"[UDC]",TRUE),INDIRECT("Table"&amp;SUBSTITUTE(T$2,"-","")&amp;"[Component Type]",TRUE)),"")</f>
        <v/>
      </c>
      <c r="U101" s="152" t="str" cm="1">
        <f t="array" aca="1" ref="U101" ca="1">IFERROR(_xlfn.XLOOKUP(TableHandbook[[#This Row],[UDC]],INDIRECT("Table"&amp;SUBSTITUTE(U$2,"-","")&amp;"[UDC]",TRUE),INDIRECT("Table"&amp;SUBSTITUTE(U$2,"-","")&amp;"[Component Type]",TRUE)),"")</f>
        <v/>
      </c>
      <c r="V101" s="154" t="str" cm="1">
        <f t="array" aca="1" ref="V101" ca="1">IFERROR(_xlfn.XLOOKUP(TableHandbook[[#This Row],[UDC]],INDIRECT("Table"&amp;SUBSTITUTE(V$2,"-","")&amp;"[UDC]",TRUE),INDIRECT("Table"&amp;SUBSTITUTE(V$2,"-","")&amp;"[Component Type]",TRUE)),"")</f>
        <v/>
      </c>
      <c r="W101" s="152" t="str" cm="1">
        <f t="array" aca="1" ref="W101" ca="1">IFERROR(_xlfn.XLOOKUP(TableHandbook[[#This Row],[UDC]],INDIRECT("Table"&amp;SUBSTITUTE(W$2,"-","")&amp;"[UDC]",TRUE),INDIRECT("Table"&amp;SUBSTITUTE(W$2,"-","")&amp;"[Component Type]",TRUE)),"")</f>
        <v/>
      </c>
      <c r="X101" s="152" t="str" cm="1">
        <f t="array" aca="1" ref="X101" ca="1">IFERROR(_xlfn.XLOOKUP(TableHandbook[[#This Row],[UDC]],INDIRECT("Table"&amp;SUBSTITUTE(X$2,"-","")&amp;"[UDC]",TRUE),INDIRECT("Table"&amp;SUBSTITUTE(X$2,"-","")&amp;"[Component Type]",TRUE)),"")</f>
        <v/>
      </c>
      <c r="Y101" s="152" t="str" cm="1">
        <f t="array" aca="1" ref="Y101" ca="1">IFERROR(_xlfn.XLOOKUP(TableHandbook[[#This Row],[UDC]],INDIRECT("Table"&amp;SUBSTITUTE(Y$2,"-","")&amp;"[UDC]",TRUE),INDIRECT("Table"&amp;SUBSTITUTE(Y$2,"-","")&amp;"[Component Type]",TRUE)),"")</f>
        <v/>
      </c>
      <c r="Z101" s="152" t="str" cm="1">
        <f t="array" aca="1" ref="Z101" ca="1">IFERROR(_xlfn.XLOOKUP(TableHandbook[[#This Row],[UDC]],INDIRECT("Table"&amp;SUBSTITUTE(Z$2,"-","")&amp;"[UDC]",TRUE),INDIRECT("Table"&amp;SUBSTITUTE(Z$2,"-","")&amp;"[Component Type]",TRUE)),"")</f>
        <v/>
      </c>
    </row>
    <row r="102" spans="1:26" x14ac:dyDescent="0.25">
      <c r="A102" s="8" t="s">
        <v>184</v>
      </c>
      <c r="B102" s="9">
        <v>1</v>
      </c>
      <c r="C102" s="9" t="s">
        <v>402</v>
      </c>
      <c r="D102" s="8" t="s">
        <v>403</v>
      </c>
      <c r="E102" s="9">
        <v>25</v>
      </c>
      <c r="F102" s="266" t="s">
        <v>255</v>
      </c>
      <c r="G102" s="72" t="str">
        <f>IFERROR(IF(VLOOKUP(TableHandbook[[#This Row],[UDC]],TableAvailabilities[],2,FALSE)&gt;0,"Y",""),"")</f>
        <v>Y</v>
      </c>
      <c r="H102" s="72" t="str">
        <f>IFERROR(IF(VLOOKUP(TableHandbook[[#This Row],[UDC]],TableAvailabilities[],3,FALSE)&gt;0,"Y",""),"")</f>
        <v/>
      </c>
      <c r="I102" s="72" t="str">
        <f>IFERROR(IF(VLOOKUP(TableHandbook[[#This Row],[UDC]],TableAvailabilities[],4,FALSE)&gt;0,"Y",""),"")</f>
        <v>Y</v>
      </c>
      <c r="J102" s="72" t="str">
        <f>IFERROR(IF(VLOOKUP(TableHandbook[[#This Row],[UDC]],TableAvailabilities[],5,FALSE)&gt;0,"Y",""),"")</f>
        <v/>
      </c>
      <c r="K102" s="155"/>
      <c r="L102" s="152" t="str" cm="1">
        <f t="array" aca="1" ref="L102" ca="1">IFERROR(_xlfn.XLOOKUP(TableHandbook[[#This Row],[UDC]],INDIRECT("Table"&amp;SUBSTITUTE(L$2,"-","")&amp;"[UDC]",TRUE),INDIRECT("Table"&amp;SUBSTITUTE(L$2,"-","")&amp;"[Component Type]",TRUE)),"")</f>
        <v/>
      </c>
      <c r="M102" s="152" t="str" cm="1">
        <f t="array" aca="1" ref="M102" ca="1">IFERROR(_xlfn.XLOOKUP(TableHandbook[[#This Row],[UDC]],INDIRECT("Table"&amp;SUBSTITUTE(M$2,"-","")&amp;"[UDC]",TRUE),INDIRECT("Table"&amp;SUBSTITUTE(M$2,"-","")&amp;"[Component Type]",TRUE)),"")</f>
        <v/>
      </c>
      <c r="N102" s="154" t="str" cm="1">
        <f t="array" aca="1" ref="N102" ca="1">IFERROR(_xlfn.XLOOKUP(TableHandbook[[#This Row],[UDC]],INDIRECT("Table"&amp;SUBSTITUTE(N$2,"-","")&amp;"[UDC]",TRUE),INDIRECT("Table"&amp;SUBSTITUTE(N$2,"-","")&amp;"[Component Type]",TRUE)),"")</f>
        <v/>
      </c>
      <c r="O102" s="152" t="str" cm="1">
        <f t="array" aca="1" ref="O102" ca="1">IFERROR(_xlfn.XLOOKUP(TableHandbook[[#This Row],[UDC]],INDIRECT("Table"&amp;SUBSTITUTE(O$2,"-","")&amp;"[UDC]",TRUE),INDIRECT("Table"&amp;SUBSTITUTE(O$2,"-","")&amp;"[Component Type]",TRUE)),"")</f>
        <v/>
      </c>
      <c r="P102" s="152" t="str" cm="1">
        <f t="array" aca="1" ref="P102" ca="1">IFERROR(_xlfn.XLOOKUP(TableHandbook[[#This Row],[UDC]],INDIRECT("Table"&amp;SUBSTITUTE(P$2,"-","")&amp;"[UDC]",TRUE),INDIRECT("Table"&amp;SUBSTITUTE(P$2,"-","")&amp;"[Component Type]",TRUE)),"")</f>
        <v/>
      </c>
      <c r="Q102" s="152" t="str" cm="1">
        <f t="array" aca="1" ref="Q102" ca="1">IFERROR(_xlfn.XLOOKUP(TableHandbook[[#This Row],[UDC]],INDIRECT("Table"&amp;SUBSTITUTE(Q$2,"-","")&amp;"[UDC]",TRUE),INDIRECT("Table"&amp;SUBSTITUTE(Q$2,"-","")&amp;"[Component Type]",TRUE)),"")</f>
        <v/>
      </c>
      <c r="R102" s="152" t="str" cm="1">
        <f t="array" aca="1" ref="R102" ca="1">IFERROR(_xlfn.XLOOKUP(TableHandbook[[#This Row],[UDC]],INDIRECT("Table"&amp;SUBSTITUTE(R$2,"-","")&amp;"[UDC]",TRUE),INDIRECT("Table"&amp;SUBSTITUTE(R$2,"-","")&amp;"[Component Type]",TRUE)),"")</f>
        <v/>
      </c>
      <c r="S102" s="152" t="str" cm="1">
        <f t="array" aca="1" ref="S102" ca="1">IFERROR(_xlfn.XLOOKUP(TableHandbook[[#This Row],[UDC]],INDIRECT("Table"&amp;SUBSTITUTE(S$2,"-","")&amp;"[UDC]",TRUE),INDIRECT("Table"&amp;SUBSTITUTE(S$2,"-","")&amp;"[Component Type]",TRUE)),"")</f>
        <v/>
      </c>
      <c r="T102" s="152" t="str" cm="1">
        <f t="array" aca="1" ref="T102" ca="1">IFERROR(_xlfn.XLOOKUP(TableHandbook[[#This Row],[UDC]],INDIRECT("Table"&amp;SUBSTITUTE(T$2,"-","")&amp;"[UDC]",TRUE),INDIRECT("Table"&amp;SUBSTITUTE(T$2,"-","")&amp;"[Component Type]",TRUE)),"")</f>
        <v/>
      </c>
      <c r="U102" s="152" t="str" cm="1">
        <f t="array" aca="1" ref="U102" ca="1">IFERROR(_xlfn.XLOOKUP(TableHandbook[[#This Row],[UDC]],INDIRECT("Table"&amp;SUBSTITUTE(U$2,"-","")&amp;"[UDC]",TRUE),INDIRECT("Table"&amp;SUBSTITUTE(U$2,"-","")&amp;"[Component Type]",TRUE)),"")</f>
        <v/>
      </c>
      <c r="V102" s="154" t="str" cm="1">
        <f t="array" aca="1" ref="V102" ca="1">IFERROR(_xlfn.XLOOKUP(TableHandbook[[#This Row],[UDC]],INDIRECT("Table"&amp;SUBSTITUTE(V$2,"-","")&amp;"[UDC]",TRUE),INDIRECT("Table"&amp;SUBSTITUTE(V$2,"-","")&amp;"[Component Type]",TRUE)),"")</f>
        <v/>
      </c>
      <c r="W102" s="152" t="str" cm="1">
        <f t="array" aca="1" ref="W102" ca="1">IFERROR(_xlfn.XLOOKUP(TableHandbook[[#This Row],[UDC]],INDIRECT("Table"&amp;SUBSTITUTE(W$2,"-","")&amp;"[UDC]",TRUE),INDIRECT("Table"&amp;SUBSTITUTE(W$2,"-","")&amp;"[Component Type]",TRUE)),"")</f>
        <v/>
      </c>
      <c r="X102" s="152" t="str" cm="1">
        <f t="array" aca="1" ref="X102" ca="1">IFERROR(_xlfn.XLOOKUP(TableHandbook[[#This Row],[UDC]],INDIRECT("Table"&amp;SUBSTITUTE(X$2,"-","")&amp;"[UDC]",TRUE),INDIRECT("Table"&amp;SUBSTITUTE(X$2,"-","")&amp;"[Component Type]",TRUE)),"")</f>
        <v/>
      </c>
      <c r="Y102" s="152" t="str" cm="1">
        <f t="array" aca="1" ref="Y102" ca="1">IFERROR(_xlfn.XLOOKUP(TableHandbook[[#This Row],[UDC]],INDIRECT("Table"&amp;SUBSTITUTE(Y$2,"-","")&amp;"[UDC]",TRUE),INDIRECT("Table"&amp;SUBSTITUTE(Y$2,"-","")&amp;"[Component Type]",TRUE)),"")</f>
        <v/>
      </c>
      <c r="Z102" s="152" t="str" cm="1">
        <f t="array" aca="1" ref="Z102" ca="1">IFERROR(_xlfn.XLOOKUP(TableHandbook[[#This Row],[UDC]],INDIRECT("Table"&amp;SUBSTITUTE(Z$2,"-","")&amp;"[UDC]",TRUE),INDIRECT("Table"&amp;SUBSTITUTE(Z$2,"-","")&amp;"[Component Type]",TRUE)),"")</f>
        <v>Core</v>
      </c>
    </row>
    <row r="103" spans="1:26" x14ac:dyDescent="0.25">
      <c r="A103" s="8" t="s">
        <v>226</v>
      </c>
      <c r="B103" s="9">
        <v>1</v>
      </c>
      <c r="C103" s="9" t="s">
        <v>404</v>
      </c>
      <c r="D103" s="8" t="s">
        <v>405</v>
      </c>
      <c r="E103" s="9">
        <v>25</v>
      </c>
      <c r="F103" s="266" t="s">
        <v>255</v>
      </c>
      <c r="G103" s="72" t="str">
        <f>IFERROR(IF(VLOOKUP(TableHandbook[[#This Row],[UDC]],TableAvailabilities[],2,FALSE)&gt;0,"Y",""),"")</f>
        <v/>
      </c>
      <c r="H103" s="72" t="str">
        <f>IFERROR(IF(VLOOKUP(TableHandbook[[#This Row],[UDC]],TableAvailabilities[],3,FALSE)&gt;0,"Y",""),"")</f>
        <v/>
      </c>
      <c r="I103" s="72" t="str">
        <f>IFERROR(IF(VLOOKUP(TableHandbook[[#This Row],[UDC]],TableAvailabilities[],4,FALSE)&gt;0,"Y",""),"")</f>
        <v/>
      </c>
      <c r="J103" s="72" t="str">
        <f>IFERROR(IF(VLOOKUP(TableHandbook[[#This Row],[UDC]],TableAvailabilities[],5,FALSE)&gt;0,"Y",""),"")</f>
        <v>Y</v>
      </c>
      <c r="K103" s="155"/>
      <c r="L103" s="152" t="str" cm="1">
        <f t="array" aca="1" ref="L103" ca="1">IFERROR(_xlfn.XLOOKUP(TableHandbook[[#This Row],[UDC]],INDIRECT("Table"&amp;SUBSTITUTE(L$2,"-","")&amp;"[UDC]",TRUE),INDIRECT("Table"&amp;SUBSTITUTE(L$2,"-","")&amp;"[Component Type]",TRUE)),"")</f>
        <v/>
      </c>
      <c r="M103" s="152" t="str" cm="1">
        <f t="array" aca="1" ref="M103" ca="1">IFERROR(_xlfn.XLOOKUP(TableHandbook[[#This Row],[UDC]],INDIRECT("Table"&amp;SUBSTITUTE(M$2,"-","")&amp;"[UDC]",TRUE),INDIRECT("Table"&amp;SUBSTITUTE(M$2,"-","")&amp;"[Component Type]",TRUE)),"")</f>
        <v/>
      </c>
      <c r="N103" s="154" t="str" cm="1">
        <f t="array" aca="1" ref="N103" ca="1">IFERROR(_xlfn.XLOOKUP(TableHandbook[[#This Row],[UDC]],INDIRECT("Table"&amp;SUBSTITUTE(N$2,"-","")&amp;"[UDC]",TRUE),INDIRECT("Table"&amp;SUBSTITUTE(N$2,"-","")&amp;"[Component Type]",TRUE)),"")</f>
        <v/>
      </c>
      <c r="O103" s="152" t="str" cm="1">
        <f t="array" aca="1" ref="O103" ca="1">IFERROR(_xlfn.XLOOKUP(TableHandbook[[#This Row],[UDC]],INDIRECT("Table"&amp;SUBSTITUTE(O$2,"-","")&amp;"[UDC]",TRUE),INDIRECT("Table"&amp;SUBSTITUTE(O$2,"-","")&amp;"[Component Type]",TRUE)),"")</f>
        <v/>
      </c>
      <c r="P103" s="152" t="str" cm="1">
        <f t="array" aca="1" ref="P103" ca="1">IFERROR(_xlfn.XLOOKUP(TableHandbook[[#This Row],[UDC]],INDIRECT("Table"&amp;SUBSTITUTE(P$2,"-","")&amp;"[UDC]",TRUE),INDIRECT("Table"&amp;SUBSTITUTE(P$2,"-","")&amp;"[Component Type]",TRUE)),"")</f>
        <v/>
      </c>
      <c r="Q103" s="152" t="str" cm="1">
        <f t="array" aca="1" ref="Q103" ca="1">IFERROR(_xlfn.XLOOKUP(TableHandbook[[#This Row],[UDC]],INDIRECT("Table"&amp;SUBSTITUTE(Q$2,"-","")&amp;"[UDC]",TRUE),INDIRECT("Table"&amp;SUBSTITUTE(Q$2,"-","")&amp;"[Component Type]",TRUE)),"")</f>
        <v/>
      </c>
      <c r="R103" s="152" t="str" cm="1">
        <f t="array" aca="1" ref="R103" ca="1">IFERROR(_xlfn.XLOOKUP(TableHandbook[[#This Row],[UDC]],INDIRECT("Table"&amp;SUBSTITUTE(R$2,"-","")&amp;"[UDC]",TRUE),INDIRECT("Table"&amp;SUBSTITUTE(R$2,"-","")&amp;"[Component Type]",TRUE)),"")</f>
        <v/>
      </c>
      <c r="S103" s="152" t="str" cm="1">
        <f t="array" aca="1" ref="S103" ca="1">IFERROR(_xlfn.XLOOKUP(TableHandbook[[#This Row],[UDC]],INDIRECT("Table"&amp;SUBSTITUTE(S$2,"-","")&amp;"[UDC]",TRUE),INDIRECT("Table"&amp;SUBSTITUTE(S$2,"-","")&amp;"[Component Type]",TRUE)),"")</f>
        <v/>
      </c>
      <c r="T103" s="152" t="str" cm="1">
        <f t="array" aca="1" ref="T103" ca="1">IFERROR(_xlfn.XLOOKUP(TableHandbook[[#This Row],[UDC]],INDIRECT("Table"&amp;SUBSTITUTE(T$2,"-","")&amp;"[UDC]",TRUE),INDIRECT("Table"&amp;SUBSTITUTE(T$2,"-","")&amp;"[Component Type]",TRUE)),"")</f>
        <v/>
      </c>
      <c r="U103" s="152" t="str" cm="1">
        <f t="array" aca="1" ref="U103" ca="1">IFERROR(_xlfn.XLOOKUP(TableHandbook[[#This Row],[UDC]],INDIRECT("Table"&amp;SUBSTITUTE(U$2,"-","")&amp;"[UDC]",TRUE),INDIRECT("Table"&amp;SUBSTITUTE(U$2,"-","")&amp;"[Component Type]",TRUE)),"")</f>
        <v/>
      </c>
      <c r="V103" s="154" t="str" cm="1">
        <f t="array" aca="1" ref="V103" ca="1">IFERROR(_xlfn.XLOOKUP(TableHandbook[[#This Row],[UDC]],INDIRECT("Table"&amp;SUBSTITUTE(V$2,"-","")&amp;"[UDC]",TRUE),INDIRECT("Table"&amp;SUBSTITUTE(V$2,"-","")&amp;"[Component Type]",TRUE)),"")</f>
        <v/>
      </c>
      <c r="W103" s="152" t="str" cm="1">
        <f t="array" aca="1" ref="W103" ca="1">IFERROR(_xlfn.XLOOKUP(TableHandbook[[#This Row],[UDC]],INDIRECT("Table"&amp;SUBSTITUTE(W$2,"-","")&amp;"[UDC]",TRUE),INDIRECT("Table"&amp;SUBSTITUTE(W$2,"-","")&amp;"[Component Type]",TRUE)),"")</f>
        <v/>
      </c>
      <c r="X103" s="152" t="str" cm="1">
        <f t="array" aca="1" ref="X103" ca="1">IFERROR(_xlfn.XLOOKUP(TableHandbook[[#This Row],[UDC]],INDIRECT("Table"&amp;SUBSTITUTE(X$2,"-","")&amp;"[UDC]",TRUE),INDIRECT("Table"&amp;SUBSTITUTE(X$2,"-","")&amp;"[Component Type]",TRUE)),"")</f>
        <v/>
      </c>
      <c r="Y103" s="152" t="str" cm="1">
        <f t="array" aca="1" ref="Y103" ca="1">IFERROR(_xlfn.XLOOKUP(TableHandbook[[#This Row],[UDC]],INDIRECT("Table"&amp;SUBSTITUTE(Y$2,"-","")&amp;"[UDC]",TRUE),INDIRECT("Table"&amp;SUBSTITUTE(Y$2,"-","")&amp;"[Component Type]",TRUE)),"")</f>
        <v/>
      </c>
      <c r="Z103" s="152" t="str" cm="1">
        <f t="array" aca="1" ref="Z103" ca="1">IFERROR(_xlfn.XLOOKUP(TableHandbook[[#This Row],[UDC]],INDIRECT("Table"&amp;SUBSTITUTE(Z$2,"-","")&amp;"[UDC]",TRUE),INDIRECT("Table"&amp;SUBSTITUTE(Z$2,"-","")&amp;"[Component Type]",TRUE)),"")</f>
        <v>AltCore</v>
      </c>
    </row>
    <row r="104" spans="1:26" x14ac:dyDescent="0.25">
      <c r="A104" s="8" t="s">
        <v>227</v>
      </c>
      <c r="B104" s="9">
        <v>1</v>
      </c>
      <c r="C104" s="9" t="s">
        <v>406</v>
      </c>
      <c r="D104" s="8" t="s">
        <v>407</v>
      </c>
      <c r="E104" s="9">
        <v>25</v>
      </c>
      <c r="F104" s="266" t="s">
        <v>255</v>
      </c>
      <c r="G104" s="72" t="str">
        <f>IFERROR(IF(VLOOKUP(TableHandbook[[#This Row],[UDC]],TableAvailabilities[],2,FALSE)&gt;0,"Y",""),"")</f>
        <v/>
      </c>
      <c r="H104" s="72" t="str">
        <f>IFERROR(IF(VLOOKUP(TableHandbook[[#This Row],[UDC]],TableAvailabilities[],3,FALSE)&gt;0,"Y",""),"")</f>
        <v>Y</v>
      </c>
      <c r="I104" s="72" t="str">
        <f>IFERROR(IF(VLOOKUP(TableHandbook[[#This Row],[UDC]],TableAvailabilities[],4,FALSE)&gt;0,"Y",""),"")</f>
        <v/>
      </c>
      <c r="J104" s="72" t="str">
        <f>IFERROR(IF(VLOOKUP(TableHandbook[[#This Row],[UDC]],TableAvailabilities[],5,FALSE)&gt;0,"Y",""),"")</f>
        <v/>
      </c>
      <c r="K104" s="155"/>
      <c r="L104" s="152" t="str" cm="1">
        <f t="array" aca="1" ref="L104" ca="1">IFERROR(_xlfn.XLOOKUP(TableHandbook[[#This Row],[UDC]],INDIRECT("Table"&amp;SUBSTITUTE(L$2,"-","")&amp;"[UDC]",TRUE),INDIRECT("Table"&amp;SUBSTITUTE(L$2,"-","")&amp;"[Component Type]",TRUE)),"")</f>
        <v/>
      </c>
      <c r="M104" s="152" t="str" cm="1">
        <f t="array" aca="1" ref="M104" ca="1">IFERROR(_xlfn.XLOOKUP(TableHandbook[[#This Row],[UDC]],INDIRECT("Table"&amp;SUBSTITUTE(M$2,"-","")&amp;"[UDC]",TRUE),INDIRECT("Table"&amp;SUBSTITUTE(M$2,"-","")&amp;"[Component Type]",TRUE)),"")</f>
        <v/>
      </c>
      <c r="N104" s="154" t="str" cm="1">
        <f t="array" aca="1" ref="N104" ca="1">IFERROR(_xlfn.XLOOKUP(TableHandbook[[#This Row],[UDC]],INDIRECT("Table"&amp;SUBSTITUTE(N$2,"-","")&amp;"[UDC]",TRUE),INDIRECT("Table"&amp;SUBSTITUTE(N$2,"-","")&amp;"[Component Type]",TRUE)),"")</f>
        <v/>
      </c>
      <c r="O104" s="152" t="str" cm="1">
        <f t="array" aca="1" ref="O104" ca="1">IFERROR(_xlfn.XLOOKUP(TableHandbook[[#This Row],[UDC]],INDIRECT("Table"&amp;SUBSTITUTE(O$2,"-","")&amp;"[UDC]",TRUE),INDIRECT("Table"&amp;SUBSTITUTE(O$2,"-","")&amp;"[Component Type]",TRUE)),"")</f>
        <v/>
      </c>
      <c r="P104" s="152" t="str" cm="1">
        <f t="array" aca="1" ref="P104" ca="1">IFERROR(_xlfn.XLOOKUP(TableHandbook[[#This Row],[UDC]],INDIRECT("Table"&amp;SUBSTITUTE(P$2,"-","")&amp;"[UDC]",TRUE),INDIRECT("Table"&amp;SUBSTITUTE(P$2,"-","")&amp;"[Component Type]",TRUE)),"")</f>
        <v/>
      </c>
      <c r="Q104" s="152" t="str" cm="1">
        <f t="array" aca="1" ref="Q104" ca="1">IFERROR(_xlfn.XLOOKUP(TableHandbook[[#This Row],[UDC]],INDIRECT("Table"&amp;SUBSTITUTE(Q$2,"-","")&amp;"[UDC]",TRUE),INDIRECT("Table"&amp;SUBSTITUTE(Q$2,"-","")&amp;"[Component Type]",TRUE)),"")</f>
        <v/>
      </c>
      <c r="R104" s="152" t="str" cm="1">
        <f t="array" aca="1" ref="R104" ca="1">IFERROR(_xlfn.XLOOKUP(TableHandbook[[#This Row],[UDC]],INDIRECT("Table"&amp;SUBSTITUTE(R$2,"-","")&amp;"[UDC]",TRUE),INDIRECT("Table"&amp;SUBSTITUTE(R$2,"-","")&amp;"[Component Type]",TRUE)),"")</f>
        <v/>
      </c>
      <c r="S104" s="152" t="str" cm="1">
        <f t="array" aca="1" ref="S104" ca="1">IFERROR(_xlfn.XLOOKUP(TableHandbook[[#This Row],[UDC]],INDIRECT("Table"&amp;SUBSTITUTE(S$2,"-","")&amp;"[UDC]",TRUE),INDIRECT("Table"&amp;SUBSTITUTE(S$2,"-","")&amp;"[Component Type]",TRUE)),"")</f>
        <v/>
      </c>
      <c r="T104" s="152" t="str" cm="1">
        <f t="array" aca="1" ref="T104" ca="1">IFERROR(_xlfn.XLOOKUP(TableHandbook[[#This Row],[UDC]],INDIRECT("Table"&amp;SUBSTITUTE(T$2,"-","")&amp;"[UDC]",TRUE),INDIRECT("Table"&amp;SUBSTITUTE(T$2,"-","")&amp;"[Component Type]",TRUE)),"")</f>
        <v/>
      </c>
      <c r="U104" s="152" t="str" cm="1">
        <f t="array" aca="1" ref="U104" ca="1">IFERROR(_xlfn.XLOOKUP(TableHandbook[[#This Row],[UDC]],INDIRECT("Table"&amp;SUBSTITUTE(U$2,"-","")&amp;"[UDC]",TRUE),INDIRECT("Table"&amp;SUBSTITUTE(U$2,"-","")&amp;"[Component Type]",TRUE)),"")</f>
        <v/>
      </c>
      <c r="V104" s="154" t="str" cm="1">
        <f t="array" aca="1" ref="V104" ca="1">IFERROR(_xlfn.XLOOKUP(TableHandbook[[#This Row],[UDC]],INDIRECT("Table"&amp;SUBSTITUTE(V$2,"-","")&amp;"[UDC]",TRUE),INDIRECT("Table"&amp;SUBSTITUTE(V$2,"-","")&amp;"[Component Type]",TRUE)),"")</f>
        <v/>
      </c>
      <c r="W104" s="152" t="str" cm="1">
        <f t="array" aca="1" ref="W104" ca="1">IFERROR(_xlfn.XLOOKUP(TableHandbook[[#This Row],[UDC]],INDIRECT("Table"&amp;SUBSTITUTE(W$2,"-","")&amp;"[UDC]",TRUE),INDIRECT("Table"&amp;SUBSTITUTE(W$2,"-","")&amp;"[Component Type]",TRUE)),"")</f>
        <v/>
      </c>
      <c r="X104" s="152" t="str" cm="1">
        <f t="array" aca="1" ref="X104" ca="1">IFERROR(_xlfn.XLOOKUP(TableHandbook[[#This Row],[UDC]],INDIRECT("Table"&amp;SUBSTITUTE(X$2,"-","")&amp;"[UDC]",TRUE),INDIRECT("Table"&amp;SUBSTITUTE(X$2,"-","")&amp;"[Component Type]",TRUE)),"")</f>
        <v/>
      </c>
      <c r="Y104" s="152" t="str" cm="1">
        <f t="array" aca="1" ref="Y104" ca="1">IFERROR(_xlfn.XLOOKUP(TableHandbook[[#This Row],[UDC]],INDIRECT("Table"&amp;SUBSTITUTE(Y$2,"-","")&amp;"[UDC]",TRUE),INDIRECT("Table"&amp;SUBSTITUTE(Y$2,"-","")&amp;"[Component Type]",TRUE)),"")</f>
        <v/>
      </c>
      <c r="Z104" s="152" t="str" cm="1">
        <f t="array" aca="1" ref="Z104" ca="1">IFERROR(_xlfn.XLOOKUP(TableHandbook[[#This Row],[UDC]],INDIRECT("Table"&amp;SUBSTITUTE(Z$2,"-","")&amp;"[UDC]",TRUE),INDIRECT("Table"&amp;SUBSTITUTE(Z$2,"-","")&amp;"[Component Type]",TRUE)),"")</f>
        <v>AltCore</v>
      </c>
    </row>
    <row r="105" spans="1:26" x14ac:dyDescent="0.25">
      <c r="A105" s="8" t="s">
        <v>221</v>
      </c>
      <c r="B105" s="9">
        <v>1</v>
      </c>
      <c r="C105" s="9" t="s">
        <v>408</v>
      </c>
      <c r="D105" s="8" t="s">
        <v>409</v>
      </c>
      <c r="E105" s="9">
        <v>25</v>
      </c>
      <c r="F105" s="266" t="s">
        <v>255</v>
      </c>
      <c r="G105" s="72" t="str">
        <f>IFERROR(IF(VLOOKUP(TableHandbook[[#This Row],[UDC]],TableAvailabilities[],2,FALSE)&gt;0,"Y",""),"")</f>
        <v>Y</v>
      </c>
      <c r="H105" s="72" t="str">
        <f>IFERROR(IF(VLOOKUP(TableHandbook[[#This Row],[UDC]],TableAvailabilities[],3,FALSE)&gt;0,"Y",""),"")</f>
        <v/>
      </c>
      <c r="I105" s="72" t="str">
        <f>IFERROR(IF(VLOOKUP(TableHandbook[[#This Row],[UDC]],TableAvailabilities[],4,FALSE)&gt;0,"Y",""),"")</f>
        <v/>
      </c>
      <c r="J105" s="72" t="str">
        <f>IFERROR(IF(VLOOKUP(TableHandbook[[#This Row],[UDC]],TableAvailabilities[],5,FALSE)&gt;0,"Y",""),"")</f>
        <v/>
      </c>
      <c r="K105" s="155"/>
      <c r="L105" s="152" t="str" cm="1">
        <f t="array" aca="1" ref="L105" ca="1">IFERROR(_xlfn.XLOOKUP(TableHandbook[[#This Row],[UDC]],INDIRECT("Table"&amp;SUBSTITUTE(L$2,"-","")&amp;"[UDC]",TRUE),INDIRECT("Table"&amp;SUBSTITUTE(L$2,"-","")&amp;"[Component Type]",TRUE)),"")</f>
        <v/>
      </c>
      <c r="M105" s="152" t="str" cm="1">
        <f t="array" aca="1" ref="M105" ca="1">IFERROR(_xlfn.XLOOKUP(TableHandbook[[#This Row],[UDC]],INDIRECT("Table"&amp;SUBSTITUTE(M$2,"-","")&amp;"[UDC]",TRUE),INDIRECT("Table"&amp;SUBSTITUTE(M$2,"-","")&amp;"[Component Type]",TRUE)),"")</f>
        <v/>
      </c>
      <c r="N105" s="154" t="str" cm="1">
        <f t="array" aca="1" ref="N105" ca="1">IFERROR(_xlfn.XLOOKUP(TableHandbook[[#This Row],[UDC]],INDIRECT("Table"&amp;SUBSTITUTE(N$2,"-","")&amp;"[UDC]",TRUE),INDIRECT("Table"&amp;SUBSTITUTE(N$2,"-","")&amp;"[Component Type]",TRUE)),"")</f>
        <v/>
      </c>
      <c r="O105" s="152" t="str" cm="1">
        <f t="array" aca="1" ref="O105" ca="1">IFERROR(_xlfn.XLOOKUP(TableHandbook[[#This Row],[UDC]],INDIRECT("Table"&amp;SUBSTITUTE(O$2,"-","")&amp;"[UDC]",TRUE),INDIRECT("Table"&amp;SUBSTITUTE(O$2,"-","")&amp;"[Component Type]",TRUE)),"")</f>
        <v/>
      </c>
      <c r="P105" s="152" t="str" cm="1">
        <f t="array" aca="1" ref="P105" ca="1">IFERROR(_xlfn.XLOOKUP(TableHandbook[[#This Row],[UDC]],INDIRECT("Table"&amp;SUBSTITUTE(P$2,"-","")&amp;"[UDC]",TRUE),INDIRECT("Table"&amp;SUBSTITUTE(P$2,"-","")&amp;"[Component Type]",TRUE)),"")</f>
        <v/>
      </c>
      <c r="Q105" s="152" t="str" cm="1">
        <f t="array" aca="1" ref="Q105" ca="1">IFERROR(_xlfn.XLOOKUP(TableHandbook[[#This Row],[UDC]],INDIRECT("Table"&amp;SUBSTITUTE(Q$2,"-","")&amp;"[UDC]",TRUE),INDIRECT("Table"&amp;SUBSTITUTE(Q$2,"-","")&amp;"[Component Type]",TRUE)),"")</f>
        <v/>
      </c>
      <c r="R105" s="152" t="str" cm="1">
        <f t="array" aca="1" ref="R105" ca="1">IFERROR(_xlfn.XLOOKUP(TableHandbook[[#This Row],[UDC]],INDIRECT("Table"&amp;SUBSTITUTE(R$2,"-","")&amp;"[UDC]",TRUE),INDIRECT("Table"&amp;SUBSTITUTE(R$2,"-","")&amp;"[Component Type]",TRUE)),"")</f>
        <v/>
      </c>
      <c r="S105" s="152" t="str" cm="1">
        <f t="array" aca="1" ref="S105" ca="1">IFERROR(_xlfn.XLOOKUP(TableHandbook[[#This Row],[UDC]],INDIRECT("Table"&amp;SUBSTITUTE(S$2,"-","")&amp;"[UDC]",TRUE),INDIRECT("Table"&amp;SUBSTITUTE(S$2,"-","")&amp;"[Component Type]",TRUE)),"")</f>
        <v/>
      </c>
      <c r="T105" s="152" t="str" cm="1">
        <f t="array" aca="1" ref="T105" ca="1">IFERROR(_xlfn.XLOOKUP(TableHandbook[[#This Row],[UDC]],INDIRECT("Table"&amp;SUBSTITUTE(T$2,"-","")&amp;"[UDC]",TRUE),INDIRECT("Table"&amp;SUBSTITUTE(T$2,"-","")&amp;"[Component Type]",TRUE)),"")</f>
        <v/>
      </c>
      <c r="U105" s="152" t="str" cm="1">
        <f t="array" aca="1" ref="U105" ca="1">IFERROR(_xlfn.XLOOKUP(TableHandbook[[#This Row],[UDC]],INDIRECT("Table"&amp;SUBSTITUTE(U$2,"-","")&amp;"[UDC]",TRUE),INDIRECT("Table"&amp;SUBSTITUTE(U$2,"-","")&amp;"[Component Type]",TRUE)),"")</f>
        <v/>
      </c>
      <c r="V105" s="154" t="str" cm="1">
        <f t="array" aca="1" ref="V105" ca="1">IFERROR(_xlfn.XLOOKUP(TableHandbook[[#This Row],[UDC]],INDIRECT("Table"&amp;SUBSTITUTE(V$2,"-","")&amp;"[UDC]",TRUE),INDIRECT("Table"&amp;SUBSTITUTE(V$2,"-","")&amp;"[Component Type]",TRUE)),"")</f>
        <v/>
      </c>
      <c r="W105" s="152" t="str" cm="1">
        <f t="array" aca="1" ref="W105" ca="1">IFERROR(_xlfn.XLOOKUP(TableHandbook[[#This Row],[UDC]],INDIRECT("Table"&amp;SUBSTITUTE(W$2,"-","")&amp;"[UDC]",TRUE),INDIRECT("Table"&amp;SUBSTITUTE(W$2,"-","")&amp;"[Component Type]",TRUE)),"")</f>
        <v/>
      </c>
      <c r="X105" s="152" t="str" cm="1">
        <f t="array" aca="1" ref="X105" ca="1">IFERROR(_xlfn.XLOOKUP(TableHandbook[[#This Row],[UDC]],INDIRECT("Table"&amp;SUBSTITUTE(X$2,"-","")&amp;"[UDC]",TRUE),INDIRECT("Table"&amp;SUBSTITUTE(X$2,"-","")&amp;"[Component Type]",TRUE)),"")</f>
        <v/>
      </c>
      <c r="Y105" s="152" t="str" cm="1">
        <f t="array" aca="1" ref="Y105" ca="1">IFERROR(_xlfn.XLOOKUP(TableHandbook[[#This Row],[UDC]],INDIRECT("Table"&amp;SUBSTITUTE(Y$2,"-","")&amp;"[UDC]",TRUE),INDIRECT("Table"&amp;SUBSTITUTE(Y$2,"-","")&amp;"[Component Type]",TRUE)),"")</f>
        <v/>
      </c>
      <c r="Z105" s="152" t="str" cm="1">
        <f t="array" aca="1" ref="Z105" ca="1">IFERROR(_xlfn.XLOOKUP(TableHandbook[[#This Row],[UDC]],INDIRECT("Table"&amp;SUBSTITUTE(Z$2,"-","")&amp;"[UDC]",TRUE),INDIRECT("Table"&amp;SUBSTITUTE(Z$2,"-","")&amp;"[Component Type]",TRUE)),"")</f>
        <v>AltCore</v>
      </c>
    </row>
    <row r="106" spans="1:26" x14ac:dyDescent="0.25">
      <c r="A106" s="8" t="s">
        <v>228</v>
      </c>
      <c r="B106" s="9">
        <v>2</v>
      </c>
      <c r="C106" s="9" t="s">
        <v>410</v>
      </c>
      <c r="D106" s="8" t="s">
        <v>411</v>
      </c>
      <c r="E106" s="9">
        <v>25</v>
      </c>
      <c r="F106" s="266" t="s">
        <v>255</v>
      </c>
      <c r="G106" s="72" t="str">
        <f>IFERROR(IF(VLOOKUP(TableHandbook[[#This Row],[UDC]],TableAvailabilities[],2,FALSE)&gt;0,"Y",""),"")</f>
        <v>Y</v>
      </c>
      <c r="H106" s="72" t="str">
        <f>IFERROR(IF(VLOOKUP(TableHandbook[[#This Row],[UDC]],TableAvailabilities[],3,FALSE)&gt;0,"Y",""),"")</f>
        <v/>
      </c>
      <c r="I106" s="72" t="str">
        <f>IFERROR(IF(VLOOKUP(TableHandbook[[#This Row],[UDC]],TableAvailabilities[],4,FALSE)&gt;0,"Y",""),"")</f>
        <v/>
      </c>
      <c r="J106" s="72" t="str">
        <f>IFERROR(IF(VLOOKUP(TableHandbook[[#This Row],[UDC]],TableAvailabilities[],5,FALSE)&gt;0,"Y",""),"")</f>
        <v/>
      </c>
      <c r="K106" s="155"/>
      <c r="L106" s="152" t="str" cm="1">
        <f t="array" aca="1" ref="L106" ca="1">IFERROR(_xlfn.XLOOKUP(TableHandbook[[#This Row],[UDC]],INDIRECT("Table"&amp;SUBSTITUTE(L$2,"-","")&amp;"[UDC]",TRUE),INDIRECT("Table"&amp;SUBSTITUTE(L$2,"-","")&amp;"[Component Type]",TRUE)),"")</f>
        <v/>
      </c>
      <c r="M106" s="152" t="str" cm="1">
        <f t="array" aca="1" ref="M106" ca="1">IFERROR(_xlfn.XLOOKUP(TableHandbook[[#This Row],[UDC]],INDIRECT("Table"&amp;SUBSTITUTE(M$2,"-","")&amp;"[UDC]",TRUE),INDIRECT("Table"&amp;SUBSTITUTE(M$2,"-","")&amp;"[Component Type]",TRUE)),"")</f>
        <v/>
      </c>
      <c r="N106" s="154" t="str" cm="1">
        <f t="array" aca="1" ref="N106" ca="1">IFERROR(_xlfn.XLOOKUP(TableHandbook[[#This Row],[UDC]],INDIRECT("Table"&amp;SUBSTITUTE(N$2,"-","")&amp;"[UDC]",TRUE),INDIRECT("Table"&amp;SUBSTITUTE(N$2,"-","")&amp;"[Component Type]",TRUE)),"")</f>
        <v/>
      </c>
      <c r="O106" s="152" t="str" cm="1">
        <f t="array" aca="1" ref="O106" ca="1">IFERROR(_xlfn.XLOOKUP(TableHandbook[[#This Row],[UDC]],INDIRECT("Table"&amp;SUBSTITUTE(O$2,"-","")&amp;"[UDC]",TRUE),INDIRECT("Table"&amp;SUBSTITUTE(O$2,"-","")&amp;"[Component Type]",TRUE)),"")</f>
        <v/>
      </c>
      <c r="P106" s="152" t="str" cm="1">
        <f t="array" aca="1" ref="P106" ca="1">IFERROR(_xlfn.XLOOKUP(TableHandbook[[#This Row],[UDC]],INDIRECT("Table"&amp;SUBSTITUTE(P$2,"-","")&amp;"[UDC]",TRUE),INDIRECT("Table"&amp;SUBSTITUTE(P$2,"-","")&amp;"[Component Type]",TRUE)),"")</f>
        <v/>
      </c>
      <c r="Q106" s="152" t="str" cm="1">
        <f t="array" aca="1" ref="Q106" ca="1">IFERROR(_xlfn.XLOOKUP(TableHandbook[[#This Row],[UDC]],INDIRECT("Table"&amp;SUBSTITUTE(Q$2,"-","")&amp;"[UDC]",TRUE),INDIRECT("Table"&amp;SUBSTITUTE(Q$2,"-","")&amp;"[Component Type]",TRUE)),"")</f>
        <v/>
      </c>
      <c r="R106" s="152" t="str" cm="1">
        <f t="array" aca="1" ref="R106" ca="1">IFERROR(_xlfn.XLOOKUP(TableHandbook[[#This Row],[UDC]],INDIRECT("Table"&amp;SUBSTITUTE(R$2,"-","")&amp;"[UDC]",TRUE),INDIRECT("Table"&amp;SUBSTITUTE(R$2,"-","")&amp;"[Component Type]",TRUE)),"")</f>
        <v/>
      </c>
      <c r="S106" s="152" t="str" cm="1">
        <f t="array" aca="1" ref="S106" ca="1">IFERROR(_xlfn.XLOOKUP(TableHandbook[[#This Row],[UDC]],INDIRECT("Table"&amp;SUBSTITUTE(S$2,"-","")&amp;"[UDC]",TRUE),INDIRECT("Table"&amp;SUBSTITUTE(S$2,"-","")&amp;"[Component Type]",TRUE)),"")</f>
        <v/>
      </c>
      <c r="T106" s="152" t="str" cm="1">
        <f t="array" aca="1" ref="T106" ca="1">IFERROR(_xlfn.XLOOKUP(TableHandbook[[#This Row],[UDC]],INDIRECT("Table"&amp;SUBSTITUTE(T$2,"-","")&amp;"[UDC]",TRUE),INDIRECT("Table"&amp;SUBSTITUTE(T$2,"-","")&amp;"[Component Type]",TRUE)),"")</f>
        <v/>
      </c>
      <c r="U106" s="152" t="str" cm="1">
        <f t="array" aca="1" ref="U106" ca="1">IFERROR(_xlfn.XLOOKUP(TableHandbook[[#This Row],[UDC]],INDIRECT("Table"&amp;SUBSTITUTE(U$2,"-","")&amp;"[UDC]",TRUE),INDIRECT("Table"&amp;SUBSTITUTE(U$2,"-","")&amp;"[Component Type]",TRUE)),"")</f>
        <v/>
      </c>
      <c r="V106" s="154" t="str" cm="1">
        <f t="array" aca="1" ref="V106" ca="1">IFERROR(_xlfn.XLOOKUP(TableHandbook[[#This Row],[UDC]],INDIRECT("Table"&amp;SUBSTITUTE(V$2,"-","")&amp;"[UDC]",TRUE),INDIRECT("Table"&amp;SUBSTITUTE(V$2,"-","")&amp;"[Component Type]",TRUE)),"")</f>
        <v/>
      </c>
      <c r="W106" s="152" t="str" cm="1">
        <f t="array" aca="1" ref="W106" ca="1">IFERROR(_xlfn.XLOOKUP(TableHandbook[[#This Row],[UDC]],INDIRECT("Table"&amp;SUBSTITUTE(W$2,"-","")&amp;"[UDC]",TRUE),INDIRECT("Table"&amp;SUBSTITUTE(W$2,"-","")&amp;"[Component Type]",TRUE)),"")</f>
        <v/>
      </c>
      <c r="X106" s="152" t="str" cm="1">
        <f t="array" aca="1" ref="X106" ca="1">IFERROR(_xlfn.XLOOKUP(TableHandbook[[#This Row],[UDC]],INDIRECT("Table"&amp;SUBSTITUTE(X$2,"-","")&amp;"[UDC]",TRUE),INDIRECT("Table"&amp;SUBSTITUTE(X$2,"-","")&amp;"[Component Type]",TRUE)),"")</f>
        <v/>
      </c>
      <c r="Y106" s="152" t="str" cm="1">
        <f t="array" aca="1" ref="Y106" ca="1">IFERROR(_xlfn.XLOOKUP(TableHandbook[[#This Row],[UDC]],INDIRECT("Table"&amp;SUBSTITUTE(Y$2,"-","")&amp;"[UDC]",TRUE),INDIRECT("Table"&amp;SUBSTITUTE(Y$2,"-","")&amp;"[Component Type]",TRUE)),"")</f>
        <v/>
      </c>
      <c r="Z106" s="152" t="str" cm="1">
        <f t="array" aca="1" ref="Z106" ca="1">IFERROR(_xlfn.XLOOKUP(TableHandbook[[#This Row],[UDC]],INDIRECT("Table"&amp;SUBSTITUTE(Z$2,"-","")&amp;"[UDC]",TRUE),INDIRECT("Table"&amp;SUBSTITUTE(Z$2,"-","")&amp;"[Component Type]",TRUE)),"")</f>
        <v>AltCore</v>
      </c>
    </row>
    <row r="107" spans="1:26" x14ac:dyDescent="0.25">
      <c r="A107" s="8" t="s">
        <v>213</v>
      </c>
      <c r="B107" s="9">
        <v>1</v>
      </c>
      <c r="C107" s="9" t="s">
        <v>412</v>
      </c>
      <c r="D107" s="8" t="s">
        <v>413</v>
      </c>
      <c r="E107" s="9">
        <v>25</v>
      </c>
      <c r="F107" s="266" t="s">
        <v>255</v>
      </c>
      <c r="G107" s="72" t="str">
        <f>IFERROR(IF(VLOOKUP(TableHandbook[[#This Row],[UDC]],TableAvailabilities[],2,FALSE)&gt;0,"Y",""),"")</f>
        <v/>
      </c>
      <c r="H107" s="72" t="str">
        <f>IFERROR(IF(VLOOKUP(TableHandbook[[#This Row],[UDC]],TableAvailabilities[],3,FALSE)&gt;0,"Y",""),"")</f>
        <v>Y</v>
      </c>
      <c r="I107" s="72" t="str">
        <f>IFERROR(IF(VLOOKUP(TableHandbook[[#This Row],[UDC]],TableAvailabilities[],4,FALSE)&gt;0,"Y",""),"")</f>
        <v/>
      </c>
      <c r="J107" s="72" t="str">
        <f>IFERROR(IF(VLOOKUP(TableHandbook[[#This Row],[UDC]],TableAvailabilities[],5,FALSE)&gt;0,"Y",""),"")</f>
        <v/>
      </c>
      <c r="K107" s="155"/>
      <c r="L107" s="152" t="str" cm="1">
        <f t="array" aca="1" ref="L107" ca="1">IFERROR(_xlfn.XLOOKUP(TableHandbook[[#This Row],[UDC]],INDIRECT("Table"&amp;SUBSTITUTE(L$2,"-","")&amp;"[UDC]",TRUE),INDIRECT("Table"&amp;SUBSTITUTE(L$2,"-","")&amp;"[Component Type]",TRUE)),"")</f>
        <v/>
      </c>
      <c r="M107" s="152" t="str" cm="1">
        <f t="array" aca="1" ref="M107" ca="1">IFERROR(_xlfn.XLOOKUP(TableHandbook[[#This Row],[UDC]],INDIRECT("Table"&amp;SUBSTITUTE(M$2,"-","")&amp;"[UDC]",TRUE),INDIRECT("Table"&amp;SUBSTITUTE(M$2,"-","")&amp;"[Component Type]",TRUE)),"")</f>
        <v/>
      </c>
      <c r="N107" s="154" t="str" cm="1">
        <f t="array" aca="1" ref="N107" ca="1">IFERROR(_xlfn.XLOOKUP(TableHandbook[[#This Row],[UDC]],INDIRECT("Table"&amp;SUBSTITUTE(N$2,"-","")&amp;"[UDC]",TRUE),INDIRECT("Table"&amp;SUBSTITUTE(N$2,"-","")&amp;"[Component Type]",TRUE)),"")</f>
        <v/>
      </c>
      <c r="O107" s="152" t="str" cm="1">
        <f t="array" aca="1" ref="O107" ca="1">IFERROR(_xlfn.XLOOKUP(TableHandbook[[#This Row],[UDC]],INDIRECT("Table"&amp;SUBSTITUTE(O$2,"-","")&amp;"[UDC]",TRUE),INDIRECT("Table"&amp;SUBSTITUTE(O$2,"-","")&amp;"[Component Type]",TRUE)),"")</f>
        <v/>
      </c>
      <c r="P107" s="152" t="str" cm="1">
        <f t="array" aca="1" ref="P107" ca="1">IFERROR(_xlfn.XLOOKUP(TableHandbook[[#This Row],[UDC]],INDIRECT("Table"&amp;SUBSTITUTE(P$2,"-","")&amp;"[UDC]",TRUE),INDIRECT("Table"&amp;SUBSTITUTE(P$2,"-","")&amp;"[Component Type]",TRUE)),"")</f>
        <v/>
      </c>
      <c r="Q107" s="152" t="str" cm="1">
        <f t="array" aca="1" ref="Q107" ca="1">IFERROR(_xlfn.XLOOKUP(TableHandbook[[#This Row],[UDC]],INDIRECT("Table"&amp;SUBSTITUTE(Q$2,"-","")&amp;"[UDC]",TRUE),INDIRECT("Table"&amp;SUBSTITUTE(Q$2,"-","")&amp;"[Component Type]",TRUE)),"")</f>
        <v/>
      </c>
      <c r="R107" s="152" t="str" cm="1">
        <f t="array" aca="1" ref="R107" ca="1">IFERROR(_xlfn.XLOOKUP(TableHandbook[[#This Row],[UDC]],INDIRECT("Table"&amp;SUBSTITUTE(R$2,"-","")&amp;"[UDC]",TRUE),INDIRECT("Table"&amp;SUBSTITUTE(R$2,"-","")&amp;"[Component Type]",TRUE)),"")</f>
        <v/>
      </c>
      <c r="S107" s="152" t="str" cm="1">
        <f t="array" aca="1" ref="S107" ca="1">IFERROR(_xlfn.XLOOKUP(TableHandbook[[#This Row],[UDC]],INDIRECT("Table"&amp;SUBSTITUTE(S$2,"-","")&amp;"[UDC]",TRUE),INDIRECT("Table"&amp;SUBSTITUTE(S$2,"-","")&amp;"[Component Type]",TRUE)),"")</f>
        <v/>
      </c>
      <c r="T107" s="152" t="str" cm="1">
        <f t="array" aca="1" ref="T107" ca="1">IFERROR(_xlfn.XLOOKUP(TableHandbook[[#This Row],[UDC]],INDIRECT("Table"&amp;SUBSTITUTE(T$2,"-","")&amp;"[UDC]",TRUE),INDIRECT("Table"&amp;SUBSTITUTE(T$2,"-","")&amp;"[Component Type]",TRUE)),"")</f>
        <v/>
      </c>
      <c r="U107" s="152" t="str" cm="1">
        <f t="array" aca="1" ref="U107" ca="1">IFERROR(_xlfn.XLOOKUP(TableHandbook[[#This Row],[UDC]],INDIRECT("Table"&amp;SUBSTITUTE(U$2,"-","")&amp;"[UDC]",TRUE),INDIRECT("Table"&amp;SUBSTITUTE(U$2,"-","")&amp;"[Component Type]",TRUE)),"")</f>
        <v/>
      </c>
      <c r="V107" s="154" t="str" cm="1">
        <f t="array" aca="1" ref="V107" ca="1">IFERROR(_xlfn.XLOOKUP(TableHandbook[[#This Row],[UDC]],INDIRECT("Table"&amp;SUBSTITUTE(V$2,"-","")&amp;"[UDC]",TRUE),INDIRECT("Table"&amp;SUBSTITUTE(V$2,"-","")&amp;"[Component Type]",TRUE)),"")</f>
        <v/>
      </c>
      <c r="W107" s="152" t="str" cm="1">
        <f t="array" aca="1" ref="W107" ca="1">IFERROR(_xlfn.XLOOKUP(TableHandbook[[#This Row],[UDC]],INDIRECT("Table"&amp;SUBSTITUTE(W$2,"-","")&amp;"[UDC]",TRUE),INDIRECT("Table"&amp;SUBSTITUTE(W$2,"-","")&amp;"[Component Type]",TRUE)),"")</f>
        <v/>
      </c>
      <c r="X107" s="152" t="str" cm="1">
        <f t="array" aca="1" ref="X107" ca="1">IFERROR(_xlfn.XLOOKUP(TableHandbook[[#This Row],[UDC]],INDIRECT("Table"&amp;SUBSTITUTE(X$2,"-","")&amp;"[UDC]",TRUE),INDIRECT("Table"&amp;SUBSTITUTE(X$2,"-","")&amp;"[Component Type]",TRUE)),"")</f>
        <v/>
      </c>
      <c r="Y107" s="152" t="str" cm="1">
        <f t="array" aca="1" ref="Y107" ca="1">IFERROR(_xlfn.XLOOKUP(TableHandbook[[#This Row],[UDC]],INDIRECT("Table"&amp;SUBSTITUTE(Y$2,"-","")&amp;"[UDC]",TRUE),INDIRECT("Table"&amp;SUBSTITUTE(Y$2,"-","")&amp;"[Component Type]",TRUE)),"")</f>
        <v/>
      </c>
      <c r="Z107" s="152" t="str" cm="1">
        <f t="array" aca="1" ref="Z107" ca="1">IFERROR(_xlfn.XLOOKUP(TableHandbook[[#This Row],[UDC]],INDIRECT("Table"&amp;SUBSTITUTE(Z$2,"-","")&amp;"[UDC]",TRUE),INDIRECT("Table"&amp;SUBSTITUTE(Z$2,"-","")&amp;"[Component Type]",TRUE)),"")</f>
        <v>Core</v>
      </c>
    </row>
    <row r="108" spans="1:26" x14ac:dyDescent="0.25">
      <c r="A108" s="210" t="s">
        <v>113</v>
      </c>
      <c r="B108" s="211">
        <v>1</v>
      </c>
      <c r="C108" s="211" t="s">
        <v>113</v>
      </c>
      <c r="D108" s="210" t="s">
        <v>414</v>
      </c>
      <c r="E108" s="211">
        <v>25</v>
      </c>
      <c r="F108" s="266" t="s">
        <v>713</v>
      </c>
      <c r="G108" s="212" t="str">
        <f>IFERROR(IF(VLOOKUP(TableHandbook[[#This Row],[UDC]],TableAvailabilities[],2,FALSE)&gt;0,"Y",""),"")</f>
        <v>Y</v>
      </c>
      <c r="H108" s="212" t="str">
        <f>IFERROR(IF(VLOOKUP(TableHandbook[[#This Row],[UDC]],TableAvailabilities[],3,FALSE)&gt;0,"Y",""),"")</f>
        <v/>
      </c>
      <c r="I108" s="212" t="str">
        <f>IFERROR(IF(VLOOKUP(TableHandbook[[#This Row],[UDC]],TableAvailabilities[],4,FALSE)&gt;0,"Y",""),"")</f>
        <v>Y</v>
      </c>
      <c r="J108" s="212" t="str">
        <f>IFERROR(IF(VLOOKUP(TableHandbook[[#This Row],[UDC]],TableAvailabilities[],5,FALSE)&gt;0,"Y",""),"")</f>
        <v/>
      </c>
      <c r="K108" s="209" t="s">
        <v>265</v>
      </c>
      <c r="L108" s="213" t="str" cm="1">
        <f t="array" aca="1" ref="L108" ca="1">IFERROR(_xlfn.XLOOKUP(TableHandbook[[#This Row],[UDC]],INDIRECT("Table"&amp;SUBSTITUTE(L$2,"-","")&amp;"[UDC]",TRUE),INDIRECT("Table"&amp;SUBSTITUTE(L$2,"-","")&amp;"[Component Type]",TRUE)),"")</f>
        <v>Core</v>
      </c>
      <c r="M108" s="213" t="str" cm="1">
        <f t="array" aca="1" ref="M108" ca="1">IFERROR(_xlfn.XLOOKUP(TableHandbook[[#This Row],[UDC]],INDIRECT("Table"&amp;SUBSTITUTE(M$2,"-","")&amp;"[UDC]",TRUE),INDIRECT("Table"&amp;SUBSTITUTE(M$2,"-","")&amp;"[Component Type]",TRUE)),"")</f>
        <v>Core</v>
      </c>
      <c r="N108" s="214" t="str" cm="1">
        <f t="array" aca="1" ref="N108" ca="1">IFERROR(_xlfn.XLOOKUP(TableHandbook[[#This Row],[UDC]],INDIRECT("Table"&amp;SUBSTITUTE(N$2,"-","")&amp;"[UDC]",TRUE),INDIRECT("Table"&amp;SUBSTITUTE(N$2,"-","")&amp;"[Component Type]",TRUE)),"")</f>
        <v>Core</v>
      </c>
      <c r="O108" s="152" t="str" cm="1">
        <f t="array" aca="1" ref="O108" ca="1">IFERROR(_xlfn.XLOOKUP(TableHandbook[[#This Row],[UDC]],INDIRECT("Table"&amp;SUBSTITUTE(O$2,"-","")&amp;"[UDC]",TRUE),INDIRECT("Table"&amp;SUBSTITUTE(O$2,"-","")&amp;"[Component Type]",TRUE)),"")</f>
        <v>Core</v>
      </c>
      <c r="P108" s="213" t="str" cm="1">
        <f t="array" aca="1" ref="P108" ca="1">IFERROR(_xlfn.XLOOKUP(TableHandbook[[#This Row],[UDC]],INDIRECT("Table"&amp;SUBSTITUTE(P$2,"-","")&amp;"[UDC]",TRUE),INDIRECT("Table"&amp;SUBSTITUTE(P$2,"-","")&amp;"[Component Type]",TRUE)),"")</f>
        <v/>
      </c>
      <c r="Q108" s="213" t="str" cm="1">
        <f t="array" aca="1" ref="Q108" ca="1">IFERROR(_xlfn.XLOOKUP(TableHandbook[[#This Row],[UDC]],INDIRECT("Table"&amp;SUBSTITUTE(Q$2,"-","")&amp;"[UDC]",TRUE),INDIRECT("Table"&amp;SUBSTITUTE(Q$2,"-","")&amp;"[Component Type]",TRUE)),"")</f>
        <v/>
      </c>
      <c r="R108" s="213" t="str" cm="1">
        <f t="array" aca="1" ref="R108" ca="1">IFERROR(_xlfn.XLOOKUP(TableHandbook[[#This Row],[UDC]],INDIRECT("Table"&amp;SUBSTITUTE(R$2,"-","")&amp;"[UDC]",TRUE),INDIRECT("Table"&amp;SUBSTITUTE(R$2,"-","")&amp;"[Component Type]",TRUE)),"")</f>
        <v/>
      </c>
      <c r="S108" s="213" t="str" cm="1">
        <f t="array" aca="1" ref="S108" ca="1">IFERROR(_xlfn.XLOOKUP(TableHandbook[[#This Row],[UDC]],INDIRECT("Table"&amp;SUBSTITUTE(S$2,"-","")&amp;"[UDC]",TRUE),INDIRECT("Table"&amp;SUBSTITUTE(S$2,"-","")&amp;"[Component Type]",TRUE)),"")</f>
        <v/>
      </c>
      <c r="T108" s="213" t="str" cm="1">
        <f t="array" aca="1" ref="T108" ca="1">IFERROR(_xlfn.XLOOKUP(TableHandbook[[#This Row],[UDC]],INDIRECT("Table"&amp;SUBSTITUTE(T$2,"-","")&amp;"[UDC]",TRUE),INDIRECT("Table"&amp;SUBSTITUTE(T$2,"-","")&amp;"[Component Type]",TRUE)),"")</f>
        <v/>
      </c>
      <c r="U108" s="213" t="str" cm="1">
        <f t="array" aca="1" ref="U108" ca="1">IFERROR(_xlfn.XLOOKUP(TableHandbook[[#This Row],[UDC]],INDIRECT("Table"&amp;SUBSTITUTE(U$2,"-","")&amp;"[UDC]",TRUE),INDIRECT("Table"&amp;SUBSTITUTE(U$2,"-","")&amp;"[Component Type]",TRUE)),"")</f>
        <v/>
      </c>
      <c r="V108" s="214" t="str" cm="1">
        <f t="array" aca="1" ref="V108" ca="1">IFERROR(_xlfn.XLOOKUP(TableHandbook[[#This Row],[UDC]],INDIRECT("Table"&amp;SUBSTITUTE(V$2,"-","")&amp;"[UDC]",TRUE),INDIRECT("Table"&amp;SUBSTITUTE(V$2,"-","")&amp;"[Component Type]",TRUE)),"")</f>
        <v>Core</v>
      </c>
      <c r="W108" s="213" t="str" cm="1">
        <f t="array" aca="1" ref="W108" ca="1">IFERROR(_xlfn.XLOOKUP(TableHandbook[[#This Row],[UDC]],INDIRECT("Table"&amp;SUBSTITUTE(W$2,"-","")&amp;"[UDC]",TRUE),INDIRECT("Table"&amp;SUBSTITUTE(W$2,"-","")&amp;"[Component Type]",TRUE)),"")</f>
        <v>Core</v>
      </c>
      <c r="X108" s="213" t="str" cm="1">
        <f t="array" aca="1" ref="X108" ca="1">IFERROR(_xlfn.XLOOKUP(TableHandbook[[#This Row],[UDC]],INDIRECT("Table"&amp;SUBSTITUTE(X$2,"-","")&amp;"[UDC]",TRUE),INDIRECT("Table"&amp;SUBSTITUTE(X$2,"-","")&amp;"[Component Type]",TRUE)),"")</f>
        <v/>
      </c>
      <c r="Y108" s="213" t="str" cm="1">
        <f t="array" aca="1" ref="Y108" ca="1">IFERROR(_xlfn.XLOOKUP(TableHandbook[[#This Row],[UDC]],INDIRECT("Table"&amp;SUBSTITUTE(Y$2,"-","")&amp;"[UDC]",TRUE),INDIRECT("Table"&amp;SUBSTITUTE(Y$2,"-","")&amp;"[Component Type]",TRUE)),"")</f>
        <v/>
      </c>
      <c r="Z108" s="213" t="str" cm="1">
        <f t="array" aca="1" ref="Z108" ca="1">IFERROR(_xlfn.XLOOKUP(TableHandbook[[#This Row],[UDC]],INDIRECT("Table"&amp;SUBSTITUTE(Z$2,"-","")&amp;"[UDC]",TRUE),INDIRECT("Table"&amp;SUBSTITUTE(Z$2,"-","")&amp;"[Component Type]",TRUE)),"")</f>
        <v/>
      </c>
    </row>
    <row r="109" spans="1:26" x14ac:dyDescent="0.25">
      <c r="A109" s="246" t="s">
        <v>638</v>
      </c>
      <c r="B109" s="9">
        <v>1</v>
      </c>
      <c r="C109" s="9" t="s">
        <v>638</v>
      </c>
      <c r="D109" s="8" t="s">
        <v>434</v>
      </c>
      <c r="E109" s="9">
        <v>25</v>
      </c>
      <c r="F109" s="266" t="s">
        <v>255</v>
      </c>
      <c r="G109" s="72" t="str">
        <f>IFERROR(IF(VLOOKUP(TableHandbook[[#This Row],[UDC]],TableAvailabilities[],2,FALSE)&gt;0,"Y",""),"")</f>
        <v>Y</v>
      </c>
      <c r="H109" s="72" t="str">
        <f>IFERROR(IF(VLOOKUP(TableHandbook[[#This Row],[UDC]],TableAvailabilities[],3,FALSE)&gt;0,"Y",""),"")</f>
        <v/>
      </c>
      <c r="I109" s="72" t="str">
        <f>IFERROR(IF(VLOOKUP(TableHandbook[[#This Row],[UDC]],TableAvailabilities[],4,FALSE)&gt;0,"Y",""),"")</f>
        <v>Y</v>
      </c>
      <c r="J109" s="72" t="str">
        <f>IFERROR(IF(VLOOKUP(TableHandbook[[#This Row],[UDC]],TableAvailabilities[],5,FALSE)&gt;0,"Y",""),"")</f>
        <v/>
      </c>
      <c r="K109" s="155"/>
      <c r="L109" s="152" t="str" cm="1">
        <f t="array" aca="1" ref="L109" ca="1">IFERROR(_xlfn.XLOOKUP(TableHandbook[[#This Row],[UDC]],INDIRECT("Table"&amp;SUBSTITUTE(L$2,"-","")&amp;"[UDC]",TRUE),INDIRECT("Table"&amp;SUBSTITUTE(L$2,"-","")&amp;"[Component Type]",TRUE)),"")</f>
        <v/>
      </c>
      <c r="M109" s="152" t="str" cm="1">
        <f t="array" aca="1" ref="M109" ca="1">IFERROR(_xlfn.XLOOKUP(TableHandbook[[#This Row],[UDC]],INDIRECT("Table"&amp;SUBSTITUTE(M$2,"-","")&amp;"[UDC]",TRUE),INDIRECT("Table"&amp;SUBSTITUTE(M$2,"-","")&amp;"[Component Type]",TRUE)),"")</f>
        <v/>
      </c>
      <c r="N109" s="154" t="str" cm="1">
        <f t="array" aca="1" ref="N109" ca="1">IFERROR(_xlfn.XLOOKUP(TableHandbook[[#This Row],[UDC]],INDIRECT("Table"&amp;SUBSTITUTE(N$2,"-","")&amp;"[UDC]",TRUE),INDIRECT("Table"&amp;SUBSTITUTE(N$2,"-","")&amp;"[Component Type]",TRUE)),"")</f>
        <v/>
      </c>
      <c r="O109" s="152" t="str" cm="1">
        <f t="array" aca="1" ref="O109" ca="1">IFERROR(_xlfn.XLOOKUP(TableHandbook[[#This Row],[UDC]],INDIRECT("Table"&amp;SUBSTITUTE(O$2,"-","")&amp;"[UDC]",TRUE),INDIRECT("Table"&amp;SUBSTITUTE(O$2,"-","")&amp;"[Component Type]",TRUE)),"")</f>
        <v/>
      </c>
      <c r="P109" s="152" t="str" cm="1">
        <f t="array" aca="1" ref="P109" ca="1">IFERROR(_xlfn.XLOOKUP(TableHandbook[[#This Row],[UDC]],INDIRECT("Table"&amp;SUBSTITUTE(P$2,"-","")&amp;"[UDC]",TRUE),INDIRECT("Table"&amp;SUBSTITUTE(P$2,"-","")&amp;"[Component Type]",TRUE)),"")</f>
        <v/>
      </c>
      <c r="Q109" s="152" t="str" cm="1">
        <f t="array" aca="1" ref="Q109" ca="1">IFERROR(_xlfn.XLOOKUP(TableHandbook[[#This Row],[UDC]],INDIRECT("Table"&amp;SUBSTITUTE(Q$2,"-","")&amp;"[UDC]",TRUE),INDIRECT("Table"&amp;SUBSTITUTE(Q$2,"-","")&amp;"[Component Type]",TRUE)),"")</f>
        <v/>
      </c>
      <c r="R109" s="152" t="str" cm="1">
        <f t="array" aca="1" ref="R109" ca="1">IFERROR(_xlfn.XLOOKUP(TableHandbook[[#This Row],[UDC]],INDIRECT("Table"&amp;SUBSTITUTE(R$2,"-","")&amp;"[UDC]",TRUE),INDIRECT("Table"&amp;SUBSTITUTE(R$2,"-","")&amp;"[Component Type]",TRUE)),"")</f>
        <v/>
      </c>
      <c r="S109" s="152" t="str" cm="1">
        <f t="array" aca="1" ref="S109" ca="1">IFERROR(_xlfn.XLOOKUP(TableHandbook[[#This Row],[UDC]],INDIRECT("Table"&amp;SUBSTITUTE(S$2,"-","")&amp;"[UDC]",TRUE),INDIRECT("Table"&amp;SUBSTITUTE(S$2,"-","")&amp;"[Component Type]",TRUE)),"")</f>
        <v/>
      </c>
      <c r="T109" s="152" t="str" cm="1">
        <f t="array" aca="1" ref="T109" ca="1">IFERROR(_xlfn.XLOOKUP(TableHandbook[[#This Row],[UDC]],INDIRECT("Table"&amp;SUBSTITUTE(T$2,"-","")&amp;"[UDC]",TRUE),INDIRECT("Table"&amp;SUBSTITUTE(T$2,"-","")&amp;"[Component Type]",TRUE)),"")</f>
        <v/>
      </c>
      <c r="U109" s="152" t="str" cm="1">
        <f t="array" aca="1" ref="U109" ca="1">IFERROR(_xlfn.XLOOKUP(TableHandbook[[#This Row],[UDC]],INDIRECT("Table"&amp;SUBSTITUTE(U$2,"-","")&amp;"[UDC]",TRUE),INDIRECT("Table"&amp;SUBSTITUTE(U$2,"-","")&amp;"[Component Type]",TRUE)),"")</f>
        <v/>
      </c>
      <c r="V109" s="154" t="str" cm="1">
        <f t="array" aca="1" ref="V109" ca="1">IFERROR(_xlfn.XLOOKUP(TableHandbook[[#This Row],[UDC]],INDIRECT("Table"&amp;SUBSTITUTE(V$2,"-","")&amp;"[UDC]",TRUE),INDIRECT("Table"&amp;SUBSTITUTE(V$2,"-","")&amp;"[Component Type]",TRUE)),"")</f>
        <v/>
      </c>
      <c r="W109" s="152" t="str" cm="1">
        <f t="array" aca="1" ref="W109" ca="1">IFERROR(_xlfn.XLOOKUP(TableHandbook[[#This Row],[UDC]],INDIRECT("Table"&amp;SUBSTITUTE(W$2,"-","")&amp;"[UDC]",TRUE),INDIRECT("Table"&amp;SUBSTITUTE(W$2,"-","")&amp;"[Component Type]",TRUE)),"")</f>
        <v/>
      </c>
      <c r="X109" s="152" t="str" cm="1">
        <f t="array" aca="1" ref="X109" ca="1">IFERROR(_xlfn.XLOOKUP(TableHandbook[[#This Row],[UDC]],INDIRECT("Table"&amp;SUBSTITUTE(X$2,"-","")&amp;"[UDC]",TRUE),INDIRECT("Table"&amp;SUBSTITUTE(X$2,"-","")&amp;"[Component Type]",TRUE)),"")</f>
        <v/>
      </c>
      <c r="Y109" s="152" t="str" cm="1">
        <f t="array" aca="1" ref="Y109" ca="1">IFERROR(_xlfn.XLOOKUP(TableHandbook[[#This Row],[UDC]],INDIRECT("Table"&amp;SUBSTITUTE(Y$2,"-","")&amp;"[UDC]",TRUE),INDIRECT("Table"&amp;SUBSTITUTE(Y$2,"-","")&amp;"[Component Type]",TRUE)),"")</f>
        <v>Core</v>
      </c>
      <c r="Z109" s="152" t="str" cm="1">
        <f t="array" aca="1" ref="Z109" ca="1">IFERROR(_xlfn.XLOOKUP(TableHandbook[[#This Row],[UDC]],INDIRECT("Table"&amp;SUBSTITUTE(Z$2,"-","")&amp;"[UDC]",TRUE),INDIRECT("Table"&amp;SUBSTITUTE(Z$2,"-","")&amp;"[Component Type]",TRUE)),"")</f>
        <v/>
      </c>
    </row>
    <row r="110" spans="1:26" x14ac:dyDescent="0.25">
      <c r="A110" s="8" t="s">
        <v>186</v>
      </c>
      <c r="B110" s="9">
        <v>1</v>
      </c>
      <c r="C110" s="9" t="s">
        <v>416</v>
      </c>
      <c r="D110" s="8" t="s">
        <v>417</v>
      </c>
      <c r="E110" s="9">
        <v>25</v>
      </c>
      <c r="F110" s="266" t="s">
        <v>255</v>
      </c>
      <c r="G110" s="72" t="str">
        <f>IFERROR(IF(VLOOKUP(TableHandbook[[#This Row],[UDC]],TableAvailabilities[],2,FALSE)&gt;0,"Y",""),"")</f>
        <v/>
      </c>
      <c r="H110" s="72" t="str">
        <f>IFERROR(IF(VLOOKUP(TableHandbook[[#This Row],[UDC]],TableAvailabilities[],3,FALSE)&gt;0,"Y",""),"")</f>
        <v>Y</v>
      </c>
      <c r="I110" s="72" t="str">
        <f>IFERROR(IF(VLOOKUP(TableHandbook[[#This Row],[UDC]],TableAvailabilities[],4,FALSE)&gt;0,"Y",""),"")</f>
        <v/>
      </c>
      <c r="J110" s="72" t="str">
        <f>IFERROR(IF(VLOOKUP(TableHandbook[[#This Row],[UDC]],TableAvailabilities[],5,FALSE)&gt;0,"Y",""),"")</f>
        <v>Y</v>
      </c>
      <c r="K110" s="155"/>
      <c r="L110" s="152" t="str" cm="1">
        <f t="array" aca="1" ref="L110" ca="1">IFERROR(_xlfn.XLOOKUP(TableHandbook[[#This Row],[UDC]],INDIRECT("Table"&amp;SUBSTITUTE(L$2,"-","")&amp;"[UDC]",TRUE),INDIRECT("Table"&amp;SUBSTITUTE(L$2,"-","")&amp;"[Component Type]",TRUE)),"")</f>
        <v/>
      </c>
      <c r="M110" s="152" t="str" cm="1">
        <f t="array" aca="1" ref="M110" ca="1">IFERROR(_xlfn.XLOOKUP(TableHandbook[[#This Row],[UDC]],INDIRECT("Table"&amp;SUBSTITUTE(M$2,"-","")&amp;"[UDC]",TRUE),INDIRECT("Table"&amp;SUBSTITUTE(M$2,"-","")&amp;"[Component Type]",TRUE)),"")</f>
        <v/>
      </c>
      <c r="N110" s="154" t="str" cm="1">
        <f t="array" aca="1" ref="N110" ca="1">IFERROR(_xlfn.XLOOKUP(TableHandbook[[#This Row],[UDC]],INDIRECT("Table"&amp;SUBSTITUTE(N$2,"-","")&amp;"[UDC]",TRUE),INDIRECT("Table"&amp;SUBSTITUTE(N$2,"-","")&amp;"[Component Type]",TRUE)),"")</f>
        <v/>
      </c>
      <c r="O110" s="152" t="str" cm="1">
        <f t="array" aca="1" ref="O110" ca="1">IFERROR(_xlfn.XLOOKUP(TableHandbook[[#This Row],[UDC]],INDIRECT("Table"&amp;SUBSTITUTE(O$2,"-","")&amp;"[UDC]",TRUE),INDIRECT("Table"&amp;SUBSTITUTE(O$2,"-","")&amp;"[Component Type]",TRUE)),"")</f>
        <v/>
      </c>
      <c r="P110" s="152" t="str" cm="1">
        <f t="array" aca="1" ref="P110" ca="1">IFERROR(_xlfn.XLOOKUP(TableHandbook[[#This Row],[UDC]],INDIRECT("Table"&amp;SUBSTITUTE(P$2,"-","")&amp;"[UDC]",TRUE),INDIRECT("Table"&amp;SUBSTITUTE(P$2,"-","")&amp;"[Component Type]",TRUE)),"")</f>
        <v/>
      </c>
      <c r="Q110" s="152" t="str" cm="1">
        <f t="array" aca="1" ref="Q110" ca="1">IFERROR(_xlfn.XLOOKUP(TableHandbook[[#This Row],[UDC]],INDIRECT("Table"&amp;SUBSTITUTE(Q$2,"-","")&amp;"[UDC]",TRUE),INDIRECT("Table"&amp;SUBSTITUTE(Q$2,"-","")&amp;"[Component Type]",TRUE)),"")</f>
        <v/>
      </c>
      <c r="R110" s="152" t="str" cm="1">
        <f t="array" aca="1" ref="R110" ca="1">IFERROR(_xlfn.XLOOKUP(TableHandbook[[#This Row],[UDC]],INDIRECT("Table"&amp;SUBSTITUTE(R$2,"-","")&amp;"[UDC]",TRUE),INDIRECT("Table"&amp;SUBSTITUTE(R$2,"-","")&amp;"[Component Type]",TRUE)),"")</f>
        <v/>
      </c>
      <c r="S110" s="152" t="str" cm="1">
        <f t="array" aca="1" ref="S110" ca="1">IFERROR(_xlfn.XLOOKUP(TableHandbook[[#This Row],[UDC]],INDIRECT("Table"&amp;SUBSTITUTE(S$2,"-","")&amp;"[UDC]",TRUE),INDIRECT("Table"&amp;SUBSTITUTE(S$2,"-","")&amp;"[Component Type]",TRUE)),"")</f>
        <v/>
      </c>
      <c r="T110" s="152" t="str" cm="1">
        <f t="array" aca="1" ref="T110" ca="1">IFERROR(_xlfn.XLOOKUP(TableHandbook[[#This Row],[UDC]],INDIRECT("Table"&amp;SUBSTITUTE(T$2,"-","")&amp;"[UDC]",TRUE),INDIRECT("Table"&amp;SUBSTITUTE(T$2,"-","")&amp;"[Component Type]",TRUE)),"")</f>
        <v/>
      </c>
      <c r="U110" s="152" t="str" cm="1">
        <f t="array" aca="1" ref="U110" ca="1">IFERROR(_xlfn.XLOOKUP(TableHandbook[[#This Row],[UDC]],INDIRECT("Table"&amp;SUBSTITUTE(U$2,"-","")&amp;"[UDC]",TRUE),INDIRECT("Table"&amp;SUBSTITUTE(U$2,"-","")&amp;"[Component Type]",TRUE)),"")</f>
        <v/>
      </c>
      <c r="V110" s="154" t="str" cm="1">
        <f t="array" aca="1" ref="V110" ca="1">IFERROR(_xlfn.XLOOKUP(TableHandbook[[#This Row],[UDC]],INDIRECT("Table"&amp;SUBSTITUTE(V$2,"-","")&amp;"[UDC]",TRUE),INDIRECT("Table"&amp;SUBSTITUTE(V$2,"-","")&amp;"[Component Type]",TRUE)),"")</f>
        <v/>
      </c>
      <c r="W110" s="152" t="str" cm="1">
        <f t="array" aca="1" ref="W110" ca="1">IFERROR(_xlfn.XLOOKUP(TableHandbook[[#This Row],[UDC]],INDIRECT("Table"&amp;SUBSTITUTE(W$2,"-","")&amp;"[UDC]",TRUE),INDIRECT("Table"&amp;SUBSTITUTE(W$2,"-","")&amp;"[Component Type]",TRUE)),"")</f>
        <v/>
      </c>
      <c r="X110" s="152" t="str" cm="1">
        <f t="array" aca="1" ref="X110" ca="1">IFERROR(_xlfn.XLOOKUP(TableHandbook[[#This Row],[UDC]],INDIRECT("Table"&amp;SUBSTITUTE(X$2,"-","")&amp;"[UDC]",TRUE),INDIRECT("Table"&amp;SUBSTITUTE(X$2,"-","")&amp;"[Component Type]",TRUE)),"")</f>
        <v/>
      </c>
      <c r="Y110" s="152" t="str" cm="1">
        <f t="array" aca="1" ref="Y110" ca="1">IFERROR(_xlfn.XLOOKUP(TableHandbook[[#This Row],[UDC]],INDIRECT("Table"&amp;SUBSTITUTE(Y$2,"-","")&amp;"[UDC]",TRUE),INDIRECT("Table"&amp;SUBSTITUTE(Y$2,"-","")&amp;"[Component Type]",TRUE)),"")</f>
        <v>Core</v>
      </c>
      <c r="Z110" s="152" t="str" cm="1">
        <f t="array" aca="1" ref="Z110" ca="1">IFERROR(_xlfn.XLOOKUP(TableHandbook[[#This Row],[UDC]],INDIRECT("Table"&amp;SUBSTITUTE(Z$2,"-","")&amp;"[UDC]",TRUE),INDIRECT("Table"&amp;SUBSTITUTE(Z$2,"-","")&amp;"[Component Type]",TRUE)),"")</f>
        <v/>
      </c>
    </row>
    <row r="111" spans="1:26" x14ac:dyDescent="0.25">
      <c r="A111" s="8" t="s">
        <v>197</v>
      </c>
      <c r="B111" s="9">
        <v>2</v>
      </c>
      <c r="C111" s="9" t="s">
        <v>418</v>
      </c>
      <c r="D111" s="8" t="s">
        <v>419</v>
      </c>
      <c r="E111" s="9">
        <v>25</v>
      </c>
      <c r="F111" s="266" t="s">
        <v>255</v>
      </c>
      <c r="G111" s="72" t="str">
        <f>IFERROR(IF(VLOOKUP(TableHandbook[[#This Row],[UDC]],TableAvailabilities[],2,FALSE)&gt;0,"Y",""),"")</f>
        <v/>
      </c>
      <c r="H111" s="72" t="str">
        <f>IFERROR(IF(VLOOKUP(TableHandbook[[#This Row],[UDC]],TableAvailabilities[],3,FALSE)&gt;0,"Y",""),"")</f>
        <v>Y</v>
      </c>
      <c r="I111" s="72" t="str">
        <f>IFERROR(IF(VLOOKUP(TableHandbook[[#This Row],[UDC]],TableAvailabilities[],4,FALSE)&gt;0,"Y",""),"")</f>
        <v/>
      </c>
      <c r="J111" s="72" t="str">
        <f>IFERROR(IF(VLOOKUP(TableHandbook[[#This Row],[UDC]],TableAvailabilities[],5,FALSE)&gt;0,"Y",""),"")</f>
        <v>Y</v>
      </c>
      <c r="K111" s="155"/>
      <c r="L111" s="152" t="str" cm="1">
        <f t="array" aca="1" ref="L111" ca="1">IFERROR(_xlfn.XLOOKUP(TableHandbook[[#This Row],[UDC]],INDIRECT("Table"&amp;SUBSTITUTE(L$2,"-","")&amp;"[UDC]",TRUE),INDIRECT("Table"&amp;SUBSTITUTE(L$2,"-","")&amp;"[Component Type]",TRUE)),"")</f>
        <v/>
      </c>
      <c r="M111" s="152" t="str" cm="1">
        <f t="array" aca="1" ref="M111" ca="1">IFERROR(_xlfn.XLOOKUP(TableHandbook[[#This Row],[UDC]],INDIRECT("Table"&amp;SUBSTITUTE(M$2,"-","")&amp;"[UDC]",TRUE),INDIRECT("Table"&amp;SUBSTITUTE(M$2,"-","")&amp;"[Component Type]",TRUE)),"")</f>
        <v/>
      </c>
      <c r="N111" s="154" t="str" cm="1">
        <f t="array" aca="1" ref="N111" ca="1">IFERROR(_xlfn.XLOOKUP(TableHandbook[[#This Row],[UDC]],INDIRECT("Table"&amp;SUBSTITUTE(N$2,"-","")&amp;"[UDC]",TRUE),INDIRECT("Table"&amp;SUBSTITUTE(N$2,"-","")&amp;"[Component Type]",TRUE)),"")</f>
        <v/>
      </c>
      <c r="O111" s="152" t="str" cm="1">
        <f t="array" aca="1" ref="O111" ca="1">IFERROR(_xlfn.XLOOKUP(TableHandbook[[#This Row],[UDC]],INDIRECT("Table"&amp;SUBSTITUTE(O$2,"-","")&amp;"[UDC]",TRUE),INDIRECT("Table"&amp;SUBSTITUTE(O$2,"-","")&amp;"[Component Type]",TRUE)),"")</f>
        <v/>
      </c>
      <c r="P111" s="152" t="str" cm="1">
        <f t="array" aca="1" ref="P111" ca="1">IFERROR(_xlfn.XLOOKUP(TableHandbook[[#This Row],[UDC]],INDIRECT("Table"&amp;SUBSTITUTE(P$2,"-","")&amp;"[UDC]",TRUE),INDIRECT("Table"&amp;SUBSTITUTE(P$2,"-","")&amp;"[Component Type]",TRUE)),"")</f>
        <v/>
      </c>
      <c r="Q111" s="152" t="str" cm="1">
        <f t="array" aca="1" ref="Q111" ca="1">IFERROR(_xlfn.XLOOKUP(TableHandbook[[#This Row],[UDC]],INDIRECT("Table"&amp;SUBSTITUTE(Q$2,"-","")&amp;"[UDC]",TRUE),INDIRECT("Table"&amp;SUBSTITUTE(Q$2,"-","")&amp;"[Component Type]",TRUE)),"")</f>
        <v/>
      </c>
      <c r="R111" s="152" t="str" cm="1">
        <f t="array" aca="1" ref="R111" ca="1">IFERROR(_xlfn.XLOOKUP(TableHandbook[[#This Row],[UDC]],INDIRECT("Table"&amp;SUBSTITUTE(R$2,"-","")&amp;"[UDC]",TRUE),INDIRECT("Table"&amp;SUBSTITUTE(R$2,"-","")&amp;"[Component Type]",TRUE)),"")</f>
        <v/>
      </c>
      <c r="S111" s="152" t="str" cm="1">
        <f t="array" aca="1" ref="S111" ca="1">IFERROR(_xlfn.XLOOKUP(TableHandbook[[#This Row],[UDC]],INDIRECT("Table"&amp;SUBSTITUTE(S$2,"-","")&amp;"[UDC]",TRUE),INDIRECT("Table"&amp;SUBSTITUTE(S$2,"-","")&amp;"[Component Type]",TRUE)),"")</f>
        <v/>
      </c>
      <c r="T111" s="152" t="str" cm="1">
        <f t="array" aca="1" ref="T111" ca="1">IFERROR(_xlfn.XLOOKUP(TableHandbook[[#This Row],[UDC]],INDIRECT("Table"&amp;SUBSTITUTE(T$2,"-","")&amp;"[UDC]",TRUE),INDIRECT("Table"&amp;SUBSTITUTE(T$2,"-","")&amp;"[Component Type]",TRUE)),"")</f>
        <v/>
      </c>
      <c r="U111" s="152" t="str" cm="1">
        <f t="array" aca="1" ref="U111" ca="1">IFERROR(_xlfn.XLOOKUP(TableHandbook[[#This Row],[UDC]],INDIRECT("Table"&amp;SUBSTITUTE(U$2,"-","")&amp;"[UDC]",TRUE),INDIRECT("Table"&amp;SUBSTITUTE(U$2,"-","")&amp;"[Component Type]",TRUE)),"")</f>
        <v/>
      </c>
      <c r="V111" s="154" t="str" cm="1">
        <f t="array" aca="1" ref="V111" ca="1">IFERROR(_xlfn.XLOOKUP(TableHandbook[[#This Row],[UDC]],INDIRECT("Table"&amp;SUBSTITUTE(V$2,"-","")&amp;"[UDC]",TRUE),INDIRECT("Table"&amp;SUBSTITUTE(V$2,"-","")&amp;"[Component Type]",TRUE)),"")</f>
        <v/>
      </c>
      <c r="W111" s="152" t="str" cm="1">
        <f t="array" aca="1" ref="W111" ca="1">IFERROR(_xlfn.XLOOKUP(TableHandbook[[#This Row],[UDC]],INDIRECT("Table"&amp;SUBSTITUTE(W$2,"-","")&amp;"[UDC]",TRUE),INDIRECT("Table"&amp;SUBSTITUTE(W$2,"-","")&amp;"[Component Type]",TRUE)),"")</f>
        <v/>
      </c>
      <c r="X111" s="152" t="str" cm="1">
        <f t="array" aca="1" ref="X111" ca="1">IFERROR(_xlfn.XLOOKUP(TableHandbook[[#This Row],[UDC]],INDIRECT("Table"&amp;SUBSTITUTE(X$2,"-","")&amp;"[UDC]",TRUE),INDIRECT("Table"&amp;SUBSTITUTE(X$2,"-","")&amp;"[Component Type]",TRUE)),"")</f>
        <v/>
      </c>
      <c r="Y111" s="152" t="str" cm="1">
        <f t="array" aca="1" ref="Y111" ca="1">IFERROR(_xlfn.XLOOKUP(TableHandbook[[#This Row],[UDC]],INDIRECT("Table"&amp;SUBSTITUTE(Y$2,"-","")&amp;"[UDC]",TRUE),INDIRECT("Table"&amp;SUBSTITUTE(Y$2,"-","")&amp;"[Component Type]",TRUE)),"")</f>
        <v>Core</v>
      </c>
      <c r="Z111" s="152" t="str" cm="1">
        <f t="array" aca="1" ref="Z111" ca="1">IFERROR(_xlfn.XLOOKUP(TableHandbook[[#This Row],[UDC]],INDIRECT("Table"&amp;SUBSTITUTE(Z$2,"-","")&amp;"[UDC]",TRUE),INDIRECT("Table"&amp;SUBSTITUTE(Z$2,"-","")&amp;"[Component Type]",TRUE)),"")</f>
        <v/>
      </c>
    </row>
    <row r="112" spans="1:26" x14ac:dyDescent="0.25">
      <c r="A112" s="8" t="s">
        <v>200</v>
      </c>
      <c r="B112" s="9">
        <v>1</v>
      </c>
      <c r="C112" s="9" t="s">
        <v>420</v>
      </c>
      <c r="D112" s="8" t="s">
        <v>421</v>
      </c>
      <c r="E112" s="9">
        <v>25</v>
      </c>
      <c r="F112" s="266" t="s">
        <v>255</v>
      </c>
      <c r="G112" s="72" t="str">
        <f>IFERROR(IF(VLOOKUP(TableHandbook[[#This Row],[UDC]],TableAvailabilities[],2,FALSE)&gt;0,"Y",""),"")</f>
        <v>Y</v>
      </c>
      <c r="H112" s="72" t="str">
        <f>IFERROR(IF(VLOOKUP(TableHandbook[[#This Row],[UDC]],TableAvailabilities[],3,FALSE)&gt;0,"Y",""),"")</f>
        <v/>
      </c>
      <c r="I112" s="72" t="str">
        <f>IFERROR(IF(VLOOKUP(TableHandbook[[#This Row],[UDC]],TableAvailabilities[],4,FALSE)&gt;0,"Y",""),"")</f>
        <v>Y</v>
      </c>
      <c r="J112" s="72" t="str">
        <f>IFERROR(IF(VLOOKUP(TableHandbook[[#This Row],[UDC]],TableAvailabilities[],5,FALSE)&gt;0,"Y",""),"")</f>
        <v/>
      </c>
      <c r="K112" s="155"/>
      <c r="L112" s="152" t="str" cm="1">
        <f t="array" aca="1" ref="L112" ca="1">IFERROR(_xlfn.XLOOKUP(TableHandbook[[#This Row],[UDC]],INDIRECT("Table"&amp;SUBSTITUTE(L$2,"-","")&amp;"[UDC]",TRUE),INDIRECT("Table"&amp;SUBSTITUTE(L$2,"-","")&amp;"[Component Type]",TRUE)),"")</f>
        <v/>
      </c>
      <c r="M112" s="152" t="str" cm="1">
        <f t="array" aca="1" ref="M112" ca="1">IFERROR(_xlfn.XLOOKUP(TableHandbook[[#This Row],[UDC]],INDIRECT("Table"&amp;SUBSTITUTE(M$2,"-","")&amp;"[UDC]",TRUE),INDIRECT("Table"&amp;SUBSTITUTE(M$2,"-","")&amp;"[Component Type]",TRUE)),"")</f>
        <v/>
      </c>
      <c r="N112" s="154" t="str" cm="1">
        <f t="array" aca="1" ref="N112" ca="1">IFERROR(_xlfn.XLOOKUP(TableHandbook[[#This Row],[UDC]],INDIRECT("Table"&amp;SUBSTITUTE(N$2,"-","")&amp;"[UDC]",TRUE),INDIRECT("Table"&amp;SUBSTITUTE(N$2,"-","")&amp;"[Component Type]",TRUE)),"")</f>
        <v/>
      </c>
      <c r="O112" s="152" t="str" cm="1">
        <f t="array" aca="1" ref="O112" ca="1">IFERROR(_xlfn.XLOOKUP(TableHandbook[[#This Row],[UDC]],INDIRECT("Table"&amp;SUBSTITUTE(O$2,"-","")&amp;"[UDC]",TRUE),INDIRECT("Table"&amp;SUBSTITUTE(O$2,"-","")&amp;"[Component Type]",TRUE)),"")</f>
        <v/>
      </c>
      <c r="P112" s="152" t="str" cm="1">
        <f t="array" aca="1" ref="P112" ca="1">IFERROR(_xlfn.XLOOKUP(TableHandbook[[#This Row],[UDC]],INDIRECT("Table"&amp;SUBSTITUTE(P$2,"-","")&amp;"[UDC]",TRUE),INDIRECT("Table"&amp;SUBSTITUTE(P$2,"-","")&amp;"[Component Type]",TRUE)),"")</f>
        <v/>
      </c>
      <c r="Q112" s="152" t="str" cm="1">
        <f t="array" aca="1" ref="Q112" ca="1">IFERROR(_xlfn.XLOOKUP(TableHandbook[[#This Row],[UDC]],INDIRECT("Table"&amp;SUBSTITUTE(Q$2,"-","")&amp;"[UDC]",TRUE),INDIRECT("Table"&amp;SUBSTITUTE(Q$2,"-","")&amp;"[Component Type]",TRUE)),"")</f>
        <v/>
      </c>
      <c r="R112" s="152" t="str" cm="1">
        <f t="array" aca="1" ref="R112" ca="1">IFERROR(_xlfn.XLOOKUP(TableHandbook[[#This Row],[UDC]],INDIRECT("Table"&amp;SUBSTITUTE(R$2,"-","")&amp;"[UDC]",TRUE),INDIRECT("Table"&amp;SUBSTITUTE(R$2,"-","")&amp;"[Component Type]",TRUE)),"")</f>
        <v/>
      </c>
      <c r="S112" s="152" t="str" cm="1">
        <f t="array" aca="1" ref="S112" ca="1">IFERROR(_xlfn.XLOOKUP(TableHandbook[[#This Row],[UDC]],INDIRECT("Table"&amp;SUBSTITUTE(S$2,"-","")&amp;"[UDC]",TRUE),INDIRECT("Table"&amp;SUBSTITUTE(S$2,"-","")&amp;"[Component Type]",TRUE)),"")</f>
        <v/>
      </c>
      <c r="T112" s="152" t="str" cm="1">
        <f t="array" aca="1" ref="T112" ca="1">IFERROR(_xlfn.XLOOKUP(TableHandbook[[#This Row],[UDC]],INDIRECT("Table"&amp;SUBSTITUTE(T$2,"-","")&amp;"[UDC]",TRUE),INDIRECT("Table"&amp;SUBSTITUTE(T$2,"-","")&amp;"[Component Type]",TRUE)),"")</f>
        <v/>
      </c>
      <c r="U112" s="152" t="str" cm="1">
        <f t="array" aca="1" ref="U112" ca="1">IFERROR(_xlfn.XLOOKUP(TableHandbook[[#This Row],[UDC]],INDIRECT("Table"&amp;SUBSTITUTE(U$2,"-","")&amp;"[UDC]",TRUE),INDIRECT("Table"&amp;SUBSTITUTE(U$2,"-","")&amp;"[Component Type]",TRUE)),"")</f>
        <v/>
      </c>
      <c r="V112" s="154" t="str" cm="1">
        <f t="array" aca="1" ref="V112" ca="1">IFERROR(_xlfn.XLOOKUP(TableHandbook[[#This Row],[UDC]],INDIRECT("Table"&amp;SUBSTITUTE(V$2,"-","")&amp;"[UDC]",TRUE),INDIRECT("Table"&amp;SUBSTITUTE(V$2,"-","")&amp;"[Component Type]",TRUE)),"")</f>
        <v/>
      </c>
      <c r="W112" s="152" t="str" cm="1">
        <f t="array" aca="1" ref="W112" ca="1">IFERROR(_xlfn.XLOOKUP(TableHandbook[[#This Row],[UDC]],INDIRECT("Table"&amp;SUBSTITUTE(W$2,"-","")&amp;"[UDC]",TRUE),INDIRECT("Table"&amp;SUBSTITUTE(W$2,"-","")&amp;"[Component Type]",TRUE)),"")</f>
        <v/>
      </c>
      <c r="X112" s="152" t="str" cm="1">
        <f t="array" aca="1" ref="X112" ca="1">IFERROR(_xlfn.XLOOKUP(TableHandbook[[#This Row],[UDC]],INDIRECT("Table"&amp;SUBSTITUTE(X$2,"-","")&amp;"[UDC]",TRUE),INDIRECT("Table"&amp;SUBSTITUTE(X$2,"-","")&amp;"[Component Type]",TRUE)),"")</f>
        <v/>
      </c>
      <c r="Y112" s="152" t="str" cm="1">
        <f t="array" aca="1" ref="Y112" ca="1">IFERROR(_xlfn.XLOOKUP(TableHandbook[[#This Row],[UDC]],INDIRECT("Table"&amp;SUBSTITUTE(Y$2,"-","")&amp;"[UDC]",TRUE),INDIRECT("Table"&amp;SUBSTITUTE(Y$2,"-","")&amp;"[Component Type]",TRUE)),"")</f>
        <v>Core</v>
      </c>
      <c r="Z112" s="152" t="str" cm="1">
        <f t="array" aca="1" ref="Z112" ca="1">IFERROR(_xlfn.XLOOKUP(TableHandbook[[#This Row],[UDC]],INDIRECT("Table"&amp;SUBSTITUTE(Z$2,"-","")&amp;"[UDC]",TRUE),INDIRECT("Table"&amp;SUBSTITUTE(Z$2,"-","")&amp;"[Component Type]",TRUE)),"")</f>
        <v/>
      </c>
    </row>
    <row r="113" spans="1:26" x14ac:dyDescent="0.25">
      <c r="A113" s="8" t="s">
        <v>215</v>
      </c>
      <c r="B113" s="9">
        <v>1</v>
      </c>
      <c r="C113" s="9" t="s">
        <v>422</v>
      </c>
      <c r="D113" s="8" t="s">
        <v>423</v>
      </c>
      <c r="E113" s="9">
        <v>25</v>
      </c>
      <c r="F113" s="266" t="s">
        <v>255</v>
      </c>
      <c r="G113" s="72" t="str">
        <f>IFERROR(IF(VLOOKUP(TableHandbook[[#This Row],[UDC]],TableAvailabilities[],2,FALSE)&gt;0,"Y",""),"")</f>
        <v>Y</v>
      </c>
      <c r="H113" s="72" t="str">
        <f>IFERROR(IF(VLOOKUP(TableHandbook[[#This Row],[UDC]],TableAvailabilities[],3,FALSE)&gt;0,"Y",""),"")</f>
        <v/>
      </c>
      <c r="I113" s="72" t="str">
        <f>IFERROR(IF(VLOOKUP(TableHandbook[[#This Row],[UDC]],TableAvailabilities[],4,FALSE)&gt;0,"Y",""),"")</f>
        <v>Y</v>
      </c>
      <c r="J113" s="72" t="str">
        <f>IFERROR(IF(VLOOKUP(TableHandbook[[#This Row],[UDC]],TableAvailabilities[],5,FALSE)&gt;0,"Y",""),"")</f>
        <v/>
      </c>
      <c r="K113" s="155"/>
      <c r="L113" s="152" t="str" cm="1">
        <f t="array" aca="1" ref="L113" ca="1">IFERROR(_xlfn.XLOOKUP(TableHandbook[[#This Row],[UDC]],INDIRECT("Table"&amp;SUBSTITUTE(L$2,"-","")&amp;"[UDC]",TRUE),INDIRECT("Table"&amp;SUBSTITUTE(L$2,"-","")&amp;"[Component Type]",TRUE)),"")</f>
        <v/>
      </c>
      <c r="M113" s="152" t="str" cm="1">
        <f t="array" aca="1" ref="M113" ca="1">IFERROR(_xlfn.XLOOKUP(TableHandbook[[#This Row],[UDC]],INDIRECT("Table"&amp;SUBSTITUTE(M$2,"-","")&amp;"[UDC]",TRUE),INDIRECT("Table"&amp;SUBSTITUTE(M$2,"-","")&amp;"[Component Type]",TRUE)),"")</f>
        <v/>
      </c>
      <c r="N113" s="154" t="str" cm="1">
        <f t="array" aca="1" ref="N113" ca="1">IFERROR(_xlfn.XLOOKUP(TableHandbook[[#This Row],[UDC]],INDIRECT("Table"&amp;SUBSTITUTE(N$2,"-","")&amp;"[UDC]",TRUE),INDIRECT("Table"&amp;SUBSTITUTE(N$2,"-","")&amp;"[Component Type]",TRUE)),"")</f>
        <v/>
      </c>
      <c r="O113" s="152" t="str" cm="1">
        <f t="array" aca="1" ref="O113" ca="1">IFERROR(_xlfn.XLOOKUP(TableHandbook[[#This Row],[UDC]],INDIRECT("Table"&amp;SUBSTITUTE(O$2,"-","")&amp;"[UDC]",TRUE),INDIRECT("Table"&amp;SUBSTITUTE(O$2,"-","")&amp;"[Component Type]",TRUE)),"")</f>
        <v/>
      </c>
      <c r="P113" s="152" t="str" cm="1">
        <f t="array" aca="1" ref="P113" ca="1">IFERROR(_xlfn.XLOOKUP(TableHandbook[[#This Row],[UDC]],INDIRECT("Table"&amp;SUBSTITUTE(P$2,"-","")&amp;"[UDC]",TRUE),INDIRECT("Table"&amp;SUBSTITUTE(P$2,"-","")&amp;"[Component Type]",TRUE)),"")</f>
        <v/>
      </c>
      <c r="Q113" s="152" t="str" cm="1">
        <f t="array" aca="1" ref="Q113" ca="1">IFERROR(_xlfn.XLOOKUP(TableHandbook[[#This Row],[UDC]],INDIRECT("Table"&amp;SUBSTITUTE(Q$2,"-","")&amp;"[UDC]",TRUE),INDIRECT("Table"&amp;SUBSTITUTE(Q$2,"-","")&amp;"[Component Type]",TRUE)),"")</f>
        <v/>
      </c>
      <c r="R113" s="152" t="str" cm="1">
        <f t="array" aca="1" ref="R113" ca="1">IFERROR(_xlfn.XLOOKUP(TableHandbook[[#This Row],[UDC]],INDIRECT("Table"&amp;SUBSTITUTE(R$2,"-","")&amp;"[UDC]",TRUE),INDIRECT("Table"&amp;SUBSTITUTE(R$2,"-","")&amp;"[Component Type]",TRUE)),"")</f>
        <v/>
      </c>
      <c r="S113" s="152" t="str" cm="1">
        <f t="array" aca="1" ref="S113" ca="1">IFERROR(_xlfn.XLOOKUP(TableHandbook[[#This Row],[UDC]],INDIRECT("Table"&amp;SUBSTITUTE(S$2,"-","")&amp;"[UDC]",TRUE),INDIRECT("Table"&amp;SUBSTITUTE(S$2,"-","")&amp;"[Component Type]",TRUE)),"")</f>
        <v/>
      </c>
      <c r="T113" s="152" t="str" cm="1">
        <f t="array" aca="1" ref="T113" ca="1">IFERROR(_xlfn.XLOOKUP(TableHandbook[[#This Row],[UDC]],INDIRECT("Table"&amp;SUBSTITUTE(T$2,"-","")&amp;"[UDC]",TRUE),INDIRECT("Table"&amp;SUBSTITUTE(T$2,"-","")&amp;"[Component Type]",TRUE)),"")</f>
        <v/>
      </c>
      <c r="U113" s="152" t="str" cm="1">
        <f t="array" aca="1" ref="U113" ca="1">IFERROR(_xlfn.XLOOKUP(TableHandbook[[#This Row],[UDC]],INDIRECT("Table"&amp;SUBSTITUTE(U$2,"-","")&amp;"[UDC]",TRUE),INDIRECT("Table"&amp;SUBSTITUTE(U$2,"-","")&amp;"[Component Type]",TRUE)),"")</f>
        <v/>
      </c>
      <c r="V113" s="154" t="str" cm="1">
        <f t="array" aca="1" ref="V113" ca="1">IFERROR(_xlfn.XLOOKUP(TableHandbook[[#This Row],[UDC]],INDIRECT("Table"&amp;SUBSTITUTE(V$2,"-","")&amp;"[UDC]",TRUE),INDIRECT("Table"&amp;SUBSTITUTE(V$2,"-","")&amp;"[Component Type]",TRUE)),"")</f>
        <v/>
      </c>
      <c r="W113" s="152" t="str" cm="1">
        <f t="array" aca="1" ref="W113" ca="1">IFERROR(_xlfn.XLOOKUP(TableHandbook[[#This Row],[UDC]],INDIRECT("Table"&amp;SUBSTITUTE(W$2,"-","")&amp;"[UDC]",TRUE),INDIRECT("Table"&amp;SUBSTITUTE(W$2,"-","")&amp;"[Component Type]",TRUE)),"")</f>
        <v/>
      </c>
      <c r="X113" s="152" t="str" cm="1">
        <f t="array" aca="1" ref="X113" ca="1">IFERROR(_xlfn.XLOOKUP(TableHandbook[[#This Row],[UDC]],INDIRECT("Table"&amp;SUBSTITUTE(X$2,"-","")&amp;"[UDC]",TRUE),INDIRECT("Table"&amp;SUBSTITUTE(X$2,"-","")&amp;"[Component Type]",TRUE)),"")</f>
        <v/>
      </c>
      <c r="Y113" s="152" t="str" cm="1">
        <f t="array" aca="1" ref="Y113" ca="1">IFERROR(_xlfn.XLOOKUP(TableHandbook[[#This Row],[UDC]],INDIRECT("Table"&amp;SUBSTITUTE(Y$2,"-","")&amp;"[UDC]",TRUE),INDIRECT("Table"&amp;SUBSTITUTE(Y$2,"-","")&amp;"[Component Type]",TRUE)),"")</f>
        <v>Core</v>
      </c>
      <c r="Z113" s="152" t="str" cm="1">
        <f t="array" aca="1" ref="Z113" ca="1">IFERROR(_xlfn.XLOOKUP(TableHandbook[[#This Row],[UDC]],INDIRECT("Table"&amp;SUBSTITUTE(Z$2,"-","")&amp;"[UDC]",TRUE),INDIRECT("Table"&amp;SUBSTITUTE(Z$2,"-","")&amp;"[Component Type]",TRUE)),"")</f>
        <v/>
      </c>
    </row>
    <row r="114" spans="1:26" x14ac:dyDescent="0.25">
      <c r="A114" s="8" t="s">
        <v>218</v>
      </c>
      <c r="B114" s="9">
        <v>1</v>
      </c>
      <c r="C114" s="9" t="s">
        <v>424</v>
      </c>
      <c r="D114" s="8" t="s">
        <v>425</v>
      </c>
      <c r="E114" s="9">
        <v>25</v>
      </c>
      <c r="F114" s="266" t="s">
        <v>255</v>
      </c>
      <c r="G114" s="72" t="str">
        <f>IFERROR(IF(VLOOKUP(TableHandbook[[#This Row],[UDC]],TableAvailabilities[],2,FALSE)&gt;0,"Y",""),"")</f>
        <v/>
      </c>
      <c r="H114" s="72" t="str">
        <f>IFERROR(IF(VLOOKUP(TableHandbook[[#This Row],[UDC]],TableAvailabilities[],3,FALSE)&gt;0,"Y",""),"")</f>
        <v>Y</v>
      </c>
      <c r="I114" s="72" t="str">
        <f>IFERROR(IF(VLOOKUP(TableHandbook[[#This Row],[UDC]],TableAvailabilities[],4,FALSE)&gt;0,"Y",""),"")</f>
        <v/>
      </c>
      <c r="J114" s="72" t="str">
        <f>IFERROR(IF(VLOOKUP(TableHandbook[[#This Row],[UDC]],TableAvailabilities[],5,FALSE)&gt;0,"Y",""),"")</f>
        <v>Y</v>
      </c>
      <c r="K114" s="155"/>
      <c r="L114" s="152" t="str" cm="1">
        <f t="array" aca="1" ref="L114" ca="1">IFERROR(_xlfn.XLOOKUP(TableHandbook[[#This Row],[UDC]],INDIRECT("Table"&amp;SUBSTITUTE(L$2,"-","")&amp;"[UDC]",TRUE),INDIRECT("Table"&amp;SUBSTITUTE(L$2,"-","")&amp;"[Component Type]",TRUE)),"")</f>
        <v/>
      </c>
      <c r="M114" s="152" t="str" cm="1">
        <f t="array" aca="1" ref="M114" ca="1">IFERROR(_xlfn.XLOOKUP(TableHandbook[[#This Row],[UDC]],INDIRECT("Table"&amp;SUBSTITUTE(M$2,"-","")&amp;"[UDC]",TRUE),INDIRECT("Table"&amp;SUBSTITUTE(M$2,"-","")&amp;"[Component Type]",TRUE)),"")</f>
        <v/>
      </c>
      <c r="N114" s="154" t="str" cm="1">
        <f t="array" aca="1" ref="N114" ca="1">IFERROR(_xlfn.XLOOKUP(TableHandbook[[#This Row],[UDC]],INDIRECT("Table"&amp;SUBSTITUTE(N$2,"-","")&amp;"[UDC]",TRUE),INDIRECT("Table"&amp;SUBSTITUTE(N$2,"-","")&amp;"[Component Type]",TRUE)),"")</f>
        <v/>
      </c>
      <c r="O114" s="152" t="str" cm="1">
        <f t="array" aca="1" ref="O114" ca="1">IFERROR(_xlfn.XLOOKUP(TableHandbook[[#This Row],[UDC]],INDIRECT("Table"&amp;SUBSTITUTE(O$2,"-","")&amp;"[UDC]",TRUE),INDIRECT("Table"&amp;SUBSTITUTE(O$2,"-","")&amp;"[Component Type]",TRUE)),"")</f>
        <v/>
      </c>
      <c r="P114" s="152" t="str" cm="1">
        <f t="array" aca="1" ref="P114" ca="1">IFERROR(_xlfn.XLOOKUP(TableHandbook[[#This Row],[UDC]],INDIRECT("Table"&amp;SUBSTITUTE(P$2,"-","")&amp;"[UDC]",TRUE),INDIRECT("Table"&amp;SUBSTITUTE(P$2,"-","")&amp;"[Component Type]",TRUE)),"")</f>
        <v/>
      </c>
      <c r="Q114" s="152" t="str" cm="1">
        <f t="array" aca="1" ref="Q114" ca="1">IFERROR(_xlfn.XLOOKUP(TableHandbook[[#This Row],[UDC]],INDIRECT("Table"&amp;SUBSTITUTE(Q$2,"-","")&amp;"[UDC]",TRUE),INDIRECT("Table"&amp;SUBSTITUTE(Q$2,"-","")&amp;"[Component Type]",TRUE)),"")</f>
        <v/>
      </c>
      <c r="R114" s="152" t="str" cm="1">
        <f t="array" aca="1" ref="R114" ca="1">IFERROR(_xlfn.XLOOKUP(TableHandbook[[#This Row],[UDC]],INDIRECT("Table"&amp;SUBSTITUTE(R$2,"-","")&amp;"[UDC]",TRUE),INDIRECT("Table"&amp;SUBSTITUTE(R$2,"-","")&amp;"[Component Type]",TRUE)),"")</f>
        <v/>
      </c>
      <c r="S114" s="152" t="str" cm="1">
        <f t="array" aca="1" ref="S114" ca="1">IFERROR(_xlfn.XLOOKUP(TableHandbook[[#This Row],[UDC]],INDIRECT("Table"&amp;SUBSTITUTE(S$2,"-","")&amp;"[UDC]",TRUE),INDIRECT("Table"&amp;SUBSTITUTE(S$2,"-","")&amp;"[Component Type]",TRUE)),"")</f>
        <v/>
      </c>
      <c r="T114" s="152" t="str" cm="1">
        <f t="array" aca="1" ref="T114" ca="1">IFERROR(_xlfn.XLOOKUP(TableHandbook[[#This Row],[UDC]],INDIRECT("Table"&amp;SUBSTITUTE(T$2,"-","")&amp;"[UDC]",TRUE),INDIRECT("Table"&amp;SUBSTITUTE(T$2,"-","")&amp;"[Component Type]",TRUE)),"")</f>
        <v/>
      </c>
      <c r="U114" s="152" t="str" cm="1">
        <f t="array" aca="1" ref="U114" ca="1">IFERROR(_xlfn.XLOOKUP(TableHandbook[[#This Row],[UDC]],INDIRECT("Table"&amp;SUBSTITUTE(U$2,"-","")&amp;"[UDC]",TRUE),INDIRECT("Table"&amp;SUBSTITUTE(U$2,"-","")&amp;"[Component Type]",TRUE)),"")</f>
        <v/>
      </c>
      <c r="V114" s="154" t="str" cm="1">
        <f t="array" aca="1" ref="V114" ca="1">IFERROR(_xlfn.XLOOKUP(TableHandbook[[#This Row],[UDC]],INDIRECT("Table"&amp;SUBSTITUTE(V$2,"-","")&amp;"[UDC]",TRUE),INDIRECT("Table"&amp;SUBSTITUTE(V$2,"-","")&amp;"[Component Type]",TRUE)),"")</f>
        <v/>
      </c>
      <c r="W114" s="152" t="str" cm="1">
        <f t="array" aca="1" ref="W114" ca="1">IFERROR(_xlfn.XLOOKUP(TableHandbook[[#This Row],[UDC]],INDIRECT("Table"&amp;SUBSTITUTE(W$2,"-","")&amp;"[UDC]",TRUE),INDIRECT("Table"&amp;SUBSTITUTE(W$2,"-","")&amp;"[Component Type]",TRUE)),"")</f>
        <v/>
      </c>
      <c r="X114" s="152" t="str" cm="1">
        <f t="array" aca="1" ref="X114" ca="1">IFERROR(_xlfn.XLOOKUP(TableHandbook[[#This Row],[UDC]],INDIRECT("Table"&amp;SUBSTITUTE(X$2,"-","")&amp;"[UDC]",TRUE),INDIRECT("Table"&amp;SUBSTITUTE(X$2,"-","")&amp;"[Component Type]",TRUE)),"")</f>
        <v/>
      </c>
      <c r="Y114" s="152" t="str" cm="1">
        <f t="array" aca="1" ref="Y114" ca="1">IFERROR(_xlfn.XLOOKUP(TableHandbook[[#This Row],[UDC]],INDIRECT("Table"&amp;SUBSTITUTE(Y$2,"-","")&amp;"[UDC]",TRUE),INDIRECT("Table"&amp;SUBSTITUTE(Y$2,"-","")&amp;"[Component Type]",TRUE)),"")</f>
        <v>Core</v>
      </c>
      <c r="Z114" s="152" t="str" cm="1">
        <f t="array" aca="1" ref="Z114" ca="1">IFERROR(_xlfn.XLOOKUP(TableHandbook[[#This Row],[UDC]],INDIRECT("Table"&amp;SUBSTITUTE(Z$2,"-","")&amp;"[UDC]",TRUE),INDIRECT("Table"&amp;SUBSTITUTE(Z$2,"-","")&amp;"[Component Type]",TRUE)),"")</f>
        <v/>
      </c>
    </row>
    <row r="115" spans="1:26" x14ac:dyDescent="0.25">
      <c r="A115" s="8" t="s">
        <v>225</v>
      </c>
      <c r="B115" s="9">
        <v>0</v>
      </c>
      <c r="C115" s="9"/>
      <c r="D115" s="8" t="s">
        <v>426</v>
      </c>
      <c r="E115" s="9">
        <v>100</v>
      </c>
      <c r="F115" s="265"/>
      <c r="G115" s="72" t="str">
        <f>IFERROR(IF(VLOOKUP(TableHandbook[[#This Row],[UDC]],TableAvailabilities[],2,FALSE)&gt;0,"Y",""),"")</f>
        <v/>
      </c>
      <c r="H115" s="72" t="str">
        <f>IFERROR(IF(VLOOKUP(TableHandbook[[#This Row],[UDC]],TableAvailabilities[],3,FALSE)&gt;0,"Y",""),"")</f>
        <v/>
      </c>
      <c r="I115" s="72" t="str">
        <f>IFERROR(IF(VLOOKUP(TableHandbook[[#This Row],[UDC]],TableAvailabilities[],4,FALSE)&gt;0,"Y",""),"")</f>
        <v/>
      </c>
      <c r="J115" s="72" t="str">
        <f>IFERROR(IF(VLOOKUP(TableHandbook[[#This Row],[UDC]],TableAvailabilities[],5,FALSE)&gt;0,"Y",""),"")</f>
        <v/>
      </c>
      <c r="K115" s="155"/>
      <c r="L115" s="152" t="str" cm="1">
        <f t="array" aca="1" ref="L115" ca="1">IFERROR(_xlfn.XLOOKUP(TableHandbook[[#This Row],[UDC]],INDIRECT("Table"&amp;SUBSTITUTE(L$2,"-","")&amp;"[UDC]",TRUE),INDIRECT("Table"&amp;SUBSTITUTE(L$2,"-","")&amp;"[Component Type]",TRUE)),"")</f>
        <v/>
      </c>
      <c r="M115" s="152" t="str" cm="1">
        <f t="array" aca="1" ref="M115" ca="1">IFERROR(_xlfn.XLOOKUP(TableHandbook[[#This Row],[UDC]],INDIRECT("Table"&amp;SUBSTITUTE(M$2,"-","")&amp;"[UDC]",TRUE),INDIRECT("Table"&amp;SUBSTITUTE(M$2,"-","")&amp;"[Component Type]",TRUE)),"")</f>
        <v/>
      </c>
      <c r="N115" s="154" t="str" cm="1">
        <f t="array" aca="1" ref="N115" ca="1">IFERROR(_xlfn.XLOOKUP(TableHandbook[[#This Row],[UDC]],INDIRECT("Table"&amp;SUBSTITUTE(N$2,"-","")&amp;"[UDC]",TRUE),INDIRECT("Table"&amp;SUBSTITUTE(N$2,"-","")&amp;"[Component Type]",TRUE)),"")</f>
        <v/>
      </c>
      <c r="O115" s="152" t="str" cm="1">
        <f t="array" aca="1" ref="O115" ca="1">IFERROR(_xlfn.XLOOKUP(TableHandbook[[#This Row],[UDC]],INDIRECT("Table"&amp;SUBSTITUTE(O$2,"-","")&amp;"[UDC]",TRUE),INDIRECT("Table"&amp;SUBSTITUTE(O$2,"-","")&amp;"[Component Type]",TRUE)),"")</f>
        <v/>
      </c>
      <c r="P115" s="152" t="str" cm="1">
        <f t="array" aca="1" ref="P115" ca="1">IFERROR(_xlfn.XLOOKUP(TableHandbook[[#This Row],[UDC]],INDIRECT("Table"&amp;SUBSTITUTE(P$2,"-","")&amp;"[UDC]",TRUE),INDIRECT("Table"&amp;SUBSTITUTE(P$2,"-","")&amp;"[Component Type]",TRUE)),"")</f>
        <v/>
      </c>
      <c r="Q115" s="152" t="str" cm="1">
        <f t="array" aca="1" ref="Q115" ca="1">IFERROR(_xlfn.XLOOKUP(TableHandbook[[#This Row],[UDC]],INDIRECT("Table"&amp;SUBSTITUTE(Q$2,"-","")&amp;"[UDC]",TRUE),INDIRECT("Table"&amp;SUBSTITUTE(Q$2,"-","")&amp;"[Component Type]",TRUE)),"")</f>
        <v/>
      </c>
      <c r="R115" s="152" t="str" cm="1">
        <f t="array" aca="1" ref="R115" ca="1">IFERROR(_xlfn.XLOOKUP(TableHandbook[[#This Row],[UDC]],INDIRECT("Table"&amp;SUBSTITUTE(R$2,"-","")&amp;"[UDC]",TRUE),INDIRECT("Table"&amp;SUBSTITUTE(R$2,"-","")&amp;"[Component Type]",TRUE)),"")</f>
        <v/>
      </c>
      <c r="S115" s="152" t="str" cm="1">
        <f t="array" aca="1" ref="S115" ca="1">IFERROR(_xlfn.XLOOKUP(TableHandbook[[#This Row],[UDC]],INDIRECT("Table"&amp;SUBSTITUTE(S$2,"-","")&amp;"[UDC]",TRUE),INDIRECT("Table"&amp;SUBSTITUTE(S$2,"-","")&amp;"[Component Type]",TRUE)),"")</f>
        <v/>
      </c>
      <c r="T115" s="152" t="str" cm="1">
        <f t="array" aca="1" ref="T115" ca="1">IFERROR(_xlfn.XLOOKUP(TableHandbook[[#This Row],[UDC]],INDIRECT("Table"&amp;SUBSTITUTE(T$2,"-","")&amp;"[UDC]",TRUE),INDIRECT("Table"&amp;SUBSTITUTE(T$2,"-","")&amp;"[Component Type]",TRUE)),"")</f>
        <v/>
      </c>
      <c r="U115" s="152" t="str" cm="1">
        <f t="array" aca="1" ref="U115" ca="1">IFERROR(_xlfn.XLOOKUP(TableHandbook[[#This Row],[UDC]],INDIRECT("Table"&amp;SUBSTITUTE(U$2,"-","")&amp;"[UDC]",TRUE),INDIRECT("Table"&amp;SUBSTITUTE(U$2,"-","")&amp;"[Component Type]",TRUE)),"")</f>
        <v/>
      </c>
      <c r="V115" s="154" t="str" cm="1">
        <f t="array" aca="1" ref="V115" ca="1">IFERROR(_xlfn.XLOOKUP(TableHandbook[[#This Row],[UDC]],INDIRECT("Table"&amp;SUBSTITUTE(V$2,"-","")&amp;"[UDC]",TRUE),INDIRECT("Table"&amp;SUBSTITUTE(V$2,"-","")&amp;"[Component Type]",TRUE)),"")</f>
        <v/>
      </c>
      <c r="W115" s="152" t="str" cm="1">
        <f t="array" aca="1" ref="W115" ca="1">IFERROR(_xlfn.XLOOKUP(TableHandbook[[#This Row],[UDC]],INDIRECT("Table"&amp;SUBSTITUTE(W$2,"-","")&amp;"[UDC]",TRUE),INDIRECT("Table"&amp;SUBSTITUTE(W$2,"-","")&amp;"[Component Type]",TRUE)),"")</f>
        <v/>
      </c>
      <c r="X115" s="152" t="str" cm="1">
        <f t="array" aca="1" ref="X115" ca="1">IFERROR(_xlfn.XLOOKUP(TableHandbook[[#This Row],[UDC]],INDIRECT("Table"&amp;SUBSTITUTE(X$2,"-","")&amp;"[UDC]",TRUE),INDIRECT("Table"&amp;SUBSTITUTE(X$2,"-","")&amp;"[Component Type]",TRUE)),"")</f>
        <v>Option</v>
      </c>
      <c r="Y115" s="152" t="str" cm="1">
        <f t="array" aca="1" ref="Y115" ca="1">IFERROR(_xlfn.XLOOKUP(TableHandbook[[#This Row],[UDC]],INDIRECT("Table"&amp;SUBSTITUTE(Y$2,"-","")&amp;"[UDC]",TRUE),INDIRECT("Table"&amp;SUBSTITUTE(Y$2,"-","")&amp;"[Component Type]",TRUE)),"")</f>
        <v/>
      </c>
      <c r="Z115" s="152" t="str" cm="1">
        <f t="array" aca="1" ref="Z115" ca="1">IFERROR(_xlfn.XLOOKUP(TableHandbook[[#This Row],[UDC]],INDIRECT("Table"&amp;SUBSTITUTE(Z$2,"-","")&amp;"[UDC]",TRUE),INDIRECT("Table"&amp;SUBSTITUTE(Z$2,"-","")&amp;"[Component Type]",TRUE)),"")</f>
        <v/>
      </c>
    </row>
    <row r="116" spans="1:26" x14ac:dyDescent="0.25">
      <c r="A116" s="8" t="s">
        <v>219</v>
      </c>
      <c r="B116" s="9">
        <v>0</v>
      </c>
      <c r="C116" s="9"/>
      <c r="D116" s="8" t="s">
        <v>426</v>
      </c>
      <c r="E116" s="9">
        <v>100</v>
      </c>
      <c r="F116" s="265"/>
      <c r="G116" s="72" t="str">
        <f>IFERROR(IF(VLOOKUP(TableHandbook[[#This Row],[UDC]],TableAvailabilities[],2,FALSE)&gt;0,"Y",""),"")</f>
        <v/>
      </c>
      <c r="H116" s="72" t="str">
        <f>IFERROR(IF(VLOOKUP(TableHandbook[[#This Row],[UDC]],TableAvailabilities[],3,FALSE)&gt;0,"Y",""),"")</f>
        <v/>
      </c>
      <c r="I116" s="72" t="str">
        <f>IFERROR(IF(VLOOKUP(TableHandbook[[#This Row],[UDC]],TableAvailabilities[],4,FALSE)&gt;0,"Y",""),"")</f>
        <v/>
      </c>
      <c r="J116" s="72" t="str">
        <f>IFERROR(IF(VLOOKUP(TableHandbook[[#This Row],[UDC]],TableAvailabilities[],5,FALSE)&gt;0,"Y",""),"")</f>
        <v/>
      </c>
      <c r="K116" s="155"/>
      <c r="L116" s="152" t="str" cm="1">
        <f t="array" aca="1" ref="L116" ca="1">IFERROR(_xlfn.XLOOKUP(TableHandbook[[#This Row],[UDC]],INDIRECT("Table"&amp;SUBSTITUTE(L$2,"-","")&amp;"[UDC]",TRUE),INDIRECT("Table"&amp;SUBSTITUTE(L$2,"-","")&amp;"[Component Type]",TRUE)),"")</f>
        <v/>
      </c>
      <c r="M116" s="152" t="str" cm="1">
        <f t="array" aca="1" ref="M116" ca="1">IFERROR(_xlfn.XLOOKUP(TableHandbook[[#This Row],[UDC]],INDIRECT("Table"&amp;SUBSTITUTE(M$2,"-","")&amp;"[UDC]",TRUE),INDIRECT("Table"&amp;SUBSTITUTE(M$2,"-","")&amp;"[Component Type]",TRUE)),"")</f>
        <v/>
      </c>
      <c r="N116" s="154" t="str" cm="1">
        <f t="array" aca="1" ref="N116" ca="1">IFERROR(_xlfn.XLOOKUP(TableHandbook[[#This Row],[UDC]],INDIRECT("Table"&amp;SUBSTITUTE(N$2,"-","")&amp;"[UDC]",TRUE),INDIRECT("Table"&amp;SUBSTITUTE(N$2,"-","")&amp;"[Component Type]",TRUE)),"")</f>
        <v/>
      </c>
      <c r="O116" s="152" t="str" cm="1">
        <f t="array" aca="1" ref="O116" ca="1">IFERROR(_xlfn.XLOOKUP(TableHandbook[[#This Row],[UDC]],INDIRECT("Table"&amp;SUBSTITUTE(O$2,"-","")&amp;"[UDC]",TRUE),INDIRECT("Table"&amp;SUBSTITUTE(O$2,"-","")&amp;"[Component Type]",TRUE)),"")</f>
        <v/>
      </c>
      <c r="P116" s="152" t="str" cm="1">
        <f t="array" aca="1" ref="P116" ca="1">IFERROR(_xlfn.XLOOKUP(TableHandbook[[#This Row],[UDC]],INDIRECT("Table"&amp;SUBSTITUTE(P$2,"-","")&amp;"[UDC]",TRUE),INDIRECT("Table"&amp;SUBSTITUTE(P$2,"-","")&amp;"[Component Type]",TRUE)),"")</f>
        <v/>
      </c>
      <c r="Q116" s="152" t="str" cm="1">
        <f t="array" aca="1" ref="Q116" ca="1">IFERROR(_xlfn.XLOOKUP(TableHandbook[[#This Row],[UDC]],INDIRECT("Table"&amp;SUBSTITUTE(Q$2,"-","")&amp;"[UDC]",TRUE),INDIRECT("Table"&amp;SUBSTITUTE(Q$2,"-","")&amp;"[Component Type]",TRUE)),"")</f>
        <v/>
      </c>
      <c r="R116" s="152" t="str" cm="1">
        <f t="array" aca="1" ref="R116" ca="1">IFERROR(_xlfn.XLOOKUP(TableHandbook[[#This Row],[UDC]],INDIRECT("Table"&amp;SUBSTITUTE(R$2,"-","")&amp;"[UDC]",TRUE),INDIRECT("Table"&amp;SUBSTITUTE(R$2,"-","")&amp;"[Component Type]",TRUE)),"")</f>
        <v/>
      </c>
      <c r="S116" s="152" t="str" cm="1">
        <f t="array" aca="1" ref="S116" ca="1">IFERROR(_xlfn.XLOOKUP(TableHandbook[[#This Row],[UDC]],INDIRECT("Table"&amp;SUBSTITUTE(S$2,"-","")&amp;"[UDC]",TRUE),INDIRECT("Table"&amp;SUBSTITUTE(S$2,"-","")&amp;"[Component Type]",TRUE)),"")</f>
        <v/>
      </c>
      <c r="T116" s="152" t="str" cm="1">
        <f t="array" aca="1" ref="T116" ca="1">IFERROR(_xlfn.XLOOKUP(TableHandbook[[#This Row],[UDC]],INDIRECT("Table"&amp;SUBSTITUTE(T$2,"-","")&amp;"[UDC]",TRUE),INDIRECT("Table"&amp;SUBSTITUTE(T$2,"-","")&amp;"[Component Type]",TRUE)),"")</f>
        <v/>
      </c>
      <c r="U116" s="152" t="str" cm="1">
        <f t="array" aca="1" ref="U116" ca="1">IFERROR(_xlfn.XLOOKUP(TableHandbook[[#This Row],[UDC]],INDIRECT("Table"&amp;SUBSTITUTE(U$2,"-","")&amp;"[UDC]",TRUE),INDIRECT("Table"&amp;SUBSTITUTE(U$2,"-","")&amp;"[Component Type]",TRUE)),"")</f>
        <v/>
      </c>
      <c r="V116" s="154" t="str" cm="1">
        <f t="array" aca="1" ref="V116" ca="1">IFERROR(_xlfn.XLOOKUP(TableHandbook[[#This Row],[UDC]],INDIRECT("Table"&amp;SUBSTITUTE(V$2,"-","")&amp;"[UDC]",TRUE),INDIRECT("Table"&amp;SUBSTITUTE(V$2,"-","")&amp;"[Component Type]",TRUE)),"")</f>
        <v/>
      </c>
      <c r="W116" s="152" t="str" cm="1">
        <f t="array" aca="1" ref="W116" ca="1">IFERROR(_xlfn.XLOOKUP(TableHandbook[[#This Row],[UDC]],INDIRECT("Table"&amp;SUBSTITUTE(W$2,"-","")&amp;"[UDC]",TRUE),INDIRECT("Table"&amp;SUBSTITUTE(W$2,"-","")&amp;"[Component Type]",TRUE)),"")</f>
        <v/>
      </c>
      <c r="X116" s="152" t="str" cm="1">
        <f t="array" aca="1" ref="X116" ca="1">IFERROR(_xlfn.XLOOKUP(TableHandbook[[#This Row],[UDC]],INDIRECT("Table"&amp;SUBSTITUTE(X$2,"-","")&amp;"[UDC]",TRUE),INDIRECT("Table"&amp;SUBSTITUTE(X$2,"-","")&amp;"[Component Type]",TRUE)),"")</f>
        <v/>
      </c>
      <c r="Y116" s="152" t="str" cm="1">
        <f t="array" aca="1" ref="Y116" ca="1">IFERROR(_xlfn.XLOOKUP(TableHandbook[[#This Row],[UDC]],INDIRECT("Table"&amp;SUBSTITUTE(Y$2,"-","")&amp;"[UDC]",TRUE),INDIRECT("Table"&amp;SUBSTITUTE(Y$2,"-","")&amp;"[Component Type]",TRUE)),"")</f>
        <v>Option</v>
      </c>
      <c r="Z116" s="152" t="str" cm="1">
        <f t="array" aca="1" ref="Z116" ca="1">IFERROR(_xlfn.XLOOKUP(TableHandbook[[#This Row],[UDC]],INDIRECT("Table"&amp;SUBSTITUTE(Z$2,"-","")&amp;"[UDC]",TRUE),INDIRECT("Table"&amp;SUBSTITUTE(Z$2,"-","")&amp;"[Component Type]",TRUE)),"")</f>
        <v/>
      </c>
    </row>
    <row r="117" spans="1:26" x14ac:dyDescent="0.25">
      <c r="A117" s="8" t="s">
        <v>230</v>
      </c>
      <c r="B117" s="9">
        <v>0</v>
      </c>
      <c r="C117" s="9"/>
      <c r="D117" s="8" t="s">
        <v>426</v>
      </c>
      <c r="E117" s="9">
        <v>100</v>
      </c>
      <c r="F117" s="265"/>
      <c r="G117" s="72" t="str">
        <f>IFERROR(IF(VLOOKUP(TableHandbook[[#This Row],[UDC]],TableAvailabilities[],2,FALSE)&gt;0,"Y",""),"")</f>
        <v/>
      </c>
      <c r="H117" s="72" t="str">
        <f>IFERROR(IF(VLOOKUP(TableHandbook[[#This Row],[UDC]],TableAvailabilities[],3,FALSE)&gt;0,"Y",""),"")</f>
        <v/>
      </c>
      <c r="I117" s="72" t="str">
        <f>IFERROR(IF(VLOOKUP(TableHandbook[[#This Row],[UDC]],TableAvailabilities[],4,FALSE)&gt;0,"Y",""),"")</f>
        <v/>
      </c>
      <c r="J117" s="72" t="str">
        <f>IFERROR(IF(VLOOKUP(TableHandbook[[#This Row],[UDC]],TableAvailabilities[],5,FALSE)&gt;0,"Y",""),"")</f>
        <v/>
      </c>
      <c r="K117" s="155"/>
      <c r="L117" s="152" t="str" cm="1">
        <f t="array" aca="1" ref="L117" ca="1">IFERROR(_xlfn.XLOOKUP(TableHandbook[[#This Row],[UDC]],INDIRECT("Table"&amp;SUBSTITUTE(L$2,"-","")&amp;"[UDC]",TRUE),INDIRECT("Table"&amp;SUBSTITUTE(L$2,"-","")&amp;"[Component Type]",TRUE)),"")</f>
        <v/>
      </c>
      <c r="M117" s="152" t="str" cm="1">
        <f t="array" aca="1" ref="M117" ca="1">IFERROR(_xlfn.XLOOKUP(TableHandbook[[#This Row],[UDC]],INDIRECT("Table"&amp;SUBSTITUTE(M$2,"-","")&amp;"[UDC]",TRUE),INDIRECT("Table"&amp;SUBSTITUTE(M$2,"-","")&amp;"[Component Type]",TRUE)),"")</f>
        <v/>
      </c>
      <c r="N117" s="154" t="str" cm="1">
        <f t="array" aca="1" ref="N117" ca="1">IFERROR(_xlfn.XLOOKUP(TableHandbook[[#This Row],[UDC]],INDIRECT("Table"&amp;SUBSTITUTE(N$2,"-","")&amp;"[UDC]",TRUE),INDIRECT("Table"&amp;SUBSTITUTE(N$2,"-","")&amp;"[Component Type]",TRUE)),"")</f>
        <v/>
      </c>
      <c r="O117" s="152" t="str" cm="1">
        <f t="array" aca="1" ref="O117" ca="1">IFERROR(_xlfn.XLOOKUP(TableHandbook[[#This Row],[UDC]],INDIRECT("Table"&amp;SUBSTITUTE(O$2,"-","")&amp;"[UDC]",TRUE),INDIRECT("Table"&amp;SUBSTITUTE(O$2,"-","")&amp;"[Component Type]",TRUE)),"")</f>
        <v/>
      </c>
      <c r="P117" s="152" t="str" cm="1">
        <f t="array" aca="1" ref="P117" ca="1">IFERROR(_xlfn.XLOOKUP(TableHandbook[[#This Row],[UDC]],INDIRECT("Table"&amp;SUBSTITUTE(P$2,"-","")&amp;"[UDC]",TRUE),INDIRECT("Table"&amp;SUBSTITUTE(P$2,"-","")&amp;"[Component Type]",TRUE)),"")</f>
        <v/>
      </c>
      <c r="Q117" s="152" t="str" cm="1">
        <f t="array" aca="1" ref="Q117" ca="1">IFERROR(_xlfn.XLOOKUP(TableHandbook[[#This Row],[UDC]],INDIRECT("Table"&amp;SUBSTITUTE(Q$2,"-","")&amp;"[UDC]",TRUE),INDIRECT("Table"&amp;SUBSTITUTE(Q$2,"-","")&amp;"[Component Type]",TRUE)),"")</f>
        <v/>
      </c>
      <c r="R117" s="152" t="str" cm="1">
        <f t="array" aca="1" ref="R117" ca="1">IFERROR(_xlfn.XLOOKUP(TableHandbook[[#This Row],[UDC]],INDIRECT("Table"&amp;SUBSTITUTE(R$2,"-","")&amp;"[UDC]",TRUE),INDIRECT("Table"&amp;SUBSTITUTE(R$2,"-","")&amp;"[Component Type]",TRUE)),"")</f>
        <v/>
      </c>
      <c r="S117" s="152" t="str" cm="1">
        <f t="array" aca="1" ref="S117" ca="1">IFERROR(_xlfn.XLOOKUP(TableHandbook[[#This Row],[UDC]],INDIRECT("Table"&amp;SUBSTITUTE(S$2,"-","")&amp;"[UDC]",TRUE),INDIRECT("Table"&amp;SUBSTITUTE(S$2,"-","")&amp;"[Component Type]",TRUE)),"")</f>
        <v/>
      </c>
      <c r="T117" s="152" t="str" cm="1">
        <f t="array" aca="1" ref="T117" ca="1">IFERROR(_xlfn.XLOOKUP(TableHandbook[[#This Row],[UDC]],INDIRECT("Table"&amp;SUBSTITUTE(T$2,"-","")&amp;"[UDC]",TRUE),INDIRECT("Table"&amp;SUBSTITUTE(T$2,"-","")&amp;"[Component Type]",TRUE)),"")</f>
        <v/>
      </c>
      <c r="U117" s="152" t="str" cm="1">
        <f t="array" aca="1" ref="U117" ca="1">IFERROR(_xlfn.XLOOKUP(TableHandbook[[#This Row],[UDC]],INDIRECT("Table"&amp;SUBSTITUTE(U$2,"-","")&amp;"[UDC]",TRUE),INDIRECT("Table"&amp;SUBSTITUTE(U$2,"-","")&amp;"[Component Type]",TRUE)),"")</f>
        <v/>
      </c>
      <c r="V117" s="154" t="str" cm="1">
        <f t="array" aca="1" ref="V117" ca="1">IFERROR(_xlfn.XLOOKUP(TableHandbook[[#This Row],[UDC]],INDIRECT("Table"&amp;SUBSTITUTE(V$2,"-","")&amp;"[UDC]",TRUE),INDIRECT("Table"&amp;SUBSTITUTE(V$2,"-","")&amp;"[Component Type]",TRUE)),"")</f>
        <v/>
      </c>
      <c r="W117" s="152" t="str" cm="1">
        <f t="array" aca="1" ref="W117" ca="1">IFERROR(_xlfn.XLOOKUP(TableHandbook[[#This Row],[UDC]],INDIRECT("Table"&amp;SUBSTITUTE(W$2,"-","")&amp;"[UDC]",TRUE),INDIRECT("Table"&amp;SUBSTITUTE(W$2,"-","")&amp;"[Component Type]",TRUE)),"")</f>
        <v/>
      </c>
      <c r="X117" s="152" t="str" cm="1">
        <f t="array" aca="1" ref="X117" ca="1">IFERROR(_xlfn.XLOOKUP(TableHandbook[[#This Row],[UDC]],INDIRECT("Table"&amp;SUBSTITUTE(X$2,"-","")&amp;"[UDC]",TRUE),INDIRECT("Table"&amp;SUBSTITUTE(X$2,"-","")&amp;"[Component Type]",TRUE)),"")</f>
        <v/>
      </c>
      <c r="Y117" s="152" t="str" cm="1">
        <f t="array" aca="1" ref="Y117" ca="1">IFERROR(_xlfn.XLOOKUP(TableHandbook[[#This Row],[UDC]],INDIRECT("Table"&amp;SUBSTITUTE(Y$2,"-","")&amp;"[UDC]",TRUE),INDIRECT("Table"&amp;SUBSTITUTE(Y$2,"-","")&amp;"[Component Type]",TRUE)),"")</f>
        <v/>
      </c>
      <c r="Z117" s="152" t="str" cm="1">
        <f t="array" aca="1" ref="Z117" ca="1">IFERROR(_xlfn.XLOOKUP(TableHandbook[[#This Row],[UDC]],INDIRECT("Table"&amp;SUBSTITUTE(Z$2,"-","")&amp;"[UDC]",TRUE),INDIRECT("Table"&amp;SUBSTITUTE(Z$2,"-","")&amp;"[Component Type]",TRUE)),"")</f>
        <v>Option</v>
      </c>
    </row>
    <row r="118" spans="1:26" x14ac:dyDescent="0.25">
      <c r="A118" s="8" t="s">
        <v>173</v>
      </c>
      <c r="B118" s="9">
        <v>1</v>
      </c>
      <c r="C118" s="9"/>
      <c r="D118" s="8" t="s">
        <v>172</v>
      </c>
      <c r="E118" s="9">
        <v>375</v>
      </c>
      <c r="F118" s="265"/>
      <c r="G118" s="72" t="str">
        <f>IFERROR(IF(VLOOKUP(TableHandbook[[#This Row],[UDC]],TableAvailabilities[],2,FALSE)&gt;0,"Y",""),"")</f>
        <v/>
      </c>
      <c r="H118" s="72" t="str">
        <f>IFERROR(IF(VLOOKUP(TableHandbook[[#This Row],[UDC]],TableAvailabilities[],3,FALSE)&gt;0,"Y",""),"")</f>
        <v/>
      </c>
      <c r="I118" s="72" t="str">
        <f>IFERROR(IF(VLOOKUP(TableHandbook[[#This Row],[UDC]],TableAvailabilities[],4,FALSE)&gt;0,"Y",""),"")</f>
        <v/>
      </c>
      <c r="J118" s="72" t="str">
        <f>IFERROR(IF(VLOOKUP(TableHandbook[[#This Row],[UDC]],TableAvailabilities[],5,FALSE)&gt;0,"Y",""),"")</f>
        <v/>
      </c>
      <c r="K118" s="155"/>
      <c r="L118" s="152" t="str" cm="1">
        <f t="array" aca="1" ref="L118" ca="1">IFERROR(_xlfn.XLOOKUP(TableHandbook[[#This Row],[UDC]],INDIRECT("Table"&amp;SUBSTITUTE(L$2,"-","")&amp;"[UDC]",TRUE),INDIRECT("Table"&amp;SUBSTITUTE(L$2,"-","")&amp;"[Component Type]",TRUE)),"")</f>
        <v/>
      </c>
      <c r="M118" s="152" t="str" cm="1">
        <f t="array" aca="1" ref="M118" ca="1">IFERROR(_xlfn.XLOOKUP(TableHandbook[[#This Row],[UDC]],INDIRECT("Table"&amp;SUBSTITUTE(M$2,"-","")&amp;"[UDC]",TRUE),INDIRECT("Table"&amp;SUBSTITUTE(M$2,"-","")&amp;"[Component Type]",TRUE)),"")</f>
        <v/>
      </c>
      <c r="N118" s="154" t="str" cm="1">
        <f t="array" aca="1" ref="N118" ca="1">IFERROR(_xlfn.XLOOKUP(TableHandbook[[#This Row],[UDC]],INDIRECT("Table"&amp;SUBSTITUTE(N$2,"-","")&amp;"[UDC]",TRUE),INDIRECT("Table"&amp;SUBSTITUTE(N$2,"-","")&amp;"[Component Type]",TRUE)),"")</f>
        <v/>
      </c>
      <c r="O118" s="152" t="str" cm="1">
        <f t="array" aca="1" ref="O118" ca="1">IFERROR(_xlfn.XLOOKUP(TableHandbook[[#This Row],[UDC]],INDIRECT("Table"&amp;SUBSTITUTE(O$2,"-","")&amp;"[UDC]",TRUE),INDIRECT("Table"&amp;SUBSTITUTE(O$2,"-","")&amp;"[Component Type]",TRUE)),"")</f>
        <v/>
      </c>
      <c r="P118" s="152" t="str" cm="1">
        <f t="array" aca="1" ref="P118" ca="1">IFERROR(_xlfn.XLOOKUP(TableHandbook[[#This Row],[UDC]],INDIRECT("Table"&amp;SUBSTITUTE(P$2,"-","")&amp;"[UDC]",TRUE),INDIRECT("Table"&amp;SUBSTITUTE(P$2,"-","")&amp;"[Component Type]",TRUE)),"")</f>
        <v/>
      </c>
      <c r="Q118" s="152" t="str" cm="1">
        <f t="array" aca="1" ref="Q118" ca="1">IFERROR(_xlfn.XLOOKUP(TableHandbook[[#This Row],[UDC]],INDIRECT("Table"&amp;SUBSTITUTE(Q$2,"-","")&amp;"[UDC]",TRUE),INDIRECT("Table"&amp;SUBSTITUTE(Q$2,"-","")&amp;"[Component Type]",TRUE)),"")</f>
        <v/>
      </c>
      <c r="R118" s="152" t="str" cm="1">
        <f t="array" aca="1" ref="R118" ca="1">IFERROR(_xlfn.XLOOKUP(TableHandbook[[#This Row],[UDC]],INDIRECT("Table"&amp;SUBSTITUTE(R$2,"-","")&amp;"[UDC]",TRUE),INDIRECT("Table"&amp;SUBSTITUTE(R$2,"-","")&amp;"[Component Type]",TRUE)),"")</f>
        <v/>
      </c>
      <c r="S118" s="152" t="str" cm="1">
        <f t="array" aca="1" ref="S118" ca="1">IFERROR(_xlfn.XLOOKUP(TableHandbook[[#This Row],[UDC]],INDIRECT("Table"&amp;SUBSTITUTE(S$2,"-","")&amp;"[UDC]",TRUE),INDIRECT("Table"&amp;SUBSTITUTE(S$2,"-","")&amp;"[Component Type]",TRUE)),"")</f>
        <v/>
      </c>
      <c r="T118" s="152" t="str" cm="1">
        <f t="array" aca="1" ref="T118" ca="1">IFERROR(_xlfn.XLOOKUP(TableHandbook[[#This Row],[UDC]],INDIRECT("Table"&amp;SUBSTITUTE(T$2,"-","")&amp;"[UDC]",TRUE),INDIRECT("Table"&amp;SUBSTITUTE(T$2,"-","")&amp;"[Component Type]",TRUE)),"")</f>
        <v/>
      </c>
      <c r="U118" s="152" t="str" cm="1">
        <f t="array" aca="1" ref="U118" ca="1">IFERROR(_xlfn.XLOOKUP(TableHandbook[[#This Row],[UDC]],INDIRECT("Table"&amp;SUBSTITUTE(U$2,"-","")&amp;"[UDC]",TRUE),INDIRECT("Table"&amp;SUBSTITUTE(U$2,"-","")&amp;"[Component Type]",TRUE)),"")</f>
        <v/>
      </c>
      <c r="V118" s="154" t="str" cm="1">
        <f t="array" aca="1" ref="V118" ca="1">IFERROR(_xlfn.XLOOKUP(TableHandbook[[#This Row],[UDC]],INDIRECT("Table"&amp;SUBSTITUTE(V$2,"-","")&amp;"[UDC]",TRUE),INDIRECT("Table"&amp;SUBSTITUTE(V$2,"-","")&amp;"[Component Type]",TRUE)),"")</f>
        <v>AltCore</v>
      </c>
      <c r="W118" s="152" t="str" cm="1">
        <f t="array" aca="1" ref="W118" ca="1">IFERROR(_xlfn.XLOOKUP(TableHandbook[[#This Row],[UDC]],INDIRECT("Table"&amp;SUBSTITUTE(W$2,"-","")&amp;"[UDC]",TRUE),INDIRECT("Table"&amp;SUBSTITUTE(W$2,"-","")&amp;"[Component Type]",TRUE)),"")</f>
        <v>AltCore</v>
      </c>
      <c r="X118" s="152" t="str" cm="1">
        <f t="array" aca="1" ref="X118" ca="1">IFERROR(_xlfn.XLOOKUP(TableHandbook[[#This Row],[UDC]],INDIRECT("Table"&amp;SUBSTITUTE(X$2,"-","")&amp;"[UDC]",TRUE),INDIRECT("Table"&amp;SUBSTITUTE(X$2,"-","")&amp;"[Component Type]",TRUE)),"")</f>
        <v/>
      </c>
      <c r="Y118" s="152" t="str" cm="1">
        <f t="array" aca="1" ref="Y118" ca="1">IFERROR(_xlfn.XLOOKUP(TableHandbook[[#This Row],[UDC]],INDIRECT("Table"&amp;SUBSTITUTE(Y$2,"-","")&amp;"[UDC]",TRUE),INDIRECT("Table"&amp;SUBSTITUTE(Y$2,"-","")&amp;"[Component Type]",TRUE)),"")</f>
        <v/>
      </c>
      <c r="Z118" s="152" t="str" cm="1">
        <f t="array" aca="1" ref="Z118" ca="1">IFERROR(_xlfn.XLOOKUP(TableHandbook[[#This Row],[UDC]],INDIRECT("Table"&amp;SUBSTITUTE(Z$2,"-","")&amp;"[UDC]",TRUE),INDIRECT("Table"&amp;SUBSTITUTE(Z$2,"-","")&amp;"[Component Type]",TRUE)),"")</f>
        <v/>
      </c>
    </row>
    <row r="119" spans="1:26" x14ac:dyDescent="0.25">
      <c r="A119" s="246" t="s">
        <v>177</v>
      </c>
      <c r="B119" s="9">
        <v>2</v>
      </c>
      <c r="C119" s="9"/>
      <c r="D119" s="8" t="s">
        <v>176</v>
      </c>
      <c r="E119" s="9">
        <v>375</v>
      </c>
      <c r="F119" s="265"/>
      <c r="G119" s="72" t="str">
        <f>IFERROR(IF(VLOOKUP(TableHandbook[[#This Row],[UDC]],TableAvailabilities[],2,FALSE)&gt;0,"Y",""),"")</f>
        <v/>
      </c>
      <c r="H119" s="72" t="str">
        <f>IFERROR(IF(VLOOKUP(TableHandbook[[#This Row],[UDC]],TableAvailabilities[],3,FALSE)&gt;0,"Y",""),"")</f>
        <v/>
      </c>
      <c r="I119" s="72" t="str">
        <f>IFERROR(IF(VLOOKUP(TableHandbook[[#This Row],[UDC]],TableAvailabilities[],4,FALSE)&gt;0,"Y",""),"")</f>
        <v/>
      </c>
      <c r="J119" s="72" t="str">
        <f>IFERROR(IF(VLOOKUP(TableHandbook[[#This Row],[UDC]],TableAvailabilities[],5,FALSE)&gt;0,"Y",""),"")</f>
        <v/>
      </c>
      <c r="K119" s="155" t="s">
        <v>657</v>
      </c>
      <c r="L119" s="152" t="str" cm="1">
        <f t="array" aca="1" ref="L119" ca="1">IFERROR(_xlfn.XLOOKUP(TableHandbook[[#This Row],[UDC]],INDIRECT("Table"&amp;SUBSTITUTE(L$2,"-","")&amp;"[UDC]",TRUE),INDIRECT("Table"&amp;SUBSTITUTE(L$2,"-","")&amp;"[Component Type]",TRUE)),"")</f>
        <v/>
      </c>
      <c r="M119" s="152" t="str" cm="1">
        <f t="array" aca="1" ref="M119" ca="1">IFERROR(_xlfn.XLOOKUP(TableHandbook[[#This Row],[UDC]],INDIRECT("Table"&amp;SUBSTITUTE(M$2,"-","")&amp;"[UDC]",TRUE),INDIRECT("Table"&amp;SUBSTITUTE(M$2,"-","")&amp;"[Component Type]",TRUE)),"")</f>
        <v/>
      </c>
      <c r="N119" s="154" t="str" cm="1">
        <f t="array" aca="1" ref="N119" ca="1">IFERROR(_xlfn.XLOOKUP(TableHandbook[[#This Row],[UDC]],INDIRECT("Table"&amp;SUBSTITUTE(N$2,"-","")&amp;"[UDC]",TRUE),INDIRECT("Table"&amp;SUBSTITUTE(N$2,"-","")&amp;"[Component Type]",TRUE)),"")</f>
        <v/>
      </c>
      <c r="O119" s="152" t="str" cm="1">
        <f t="array" aca="1" ref="O119" ca="1">IFERROR(_xlfn.XLOOKUP(TableHandbook[[#This Row],[UDC]],INDIRECT("Table"&amp;SUBSTITUTE(O$2,"-","")&amp;"[UDC]",TRUE),INDIRECT("Table"&amp;SUBSTITUTE(O$2,"-","")&amp;"[Component Type]",TRUE)),"")</f>
        <v/>
      </c>
      <c r="P119" s="152" t="str" cm="1">
        <f t="array" aca="1" ref="P119" ca="1">IFERROR(_xlfn.XLOOKUP(TableHandbook[[#This Row],[UDC]],INDIRECT("Table"&amp;SUBSTITUTE(P$2,"-","")&amp;"[UDC]",TRUE),INDIRECT("Table"&amp;SUBSTITUTE(P$2,"-","")&amp;"[Component Type]",TRUE)),"")</f>
        <v/>
      </c>
      <c r="Q119" s="152" t="str" cm="1">
        <f t="array" aca="1" ref="Q119" ca="1">IFERROR(_xlfn.XLOOKUP(TableHandbook[[#This Row],[UDC]],INDIRECT("Table"&amp;SUBSTITUTE(Q$2,"-","")&amp;"[UDC]",TRUE),INDIRECT("Table"&amp;SUBSTITUTE(Q$2,"-","")&amp;"[Component Type]",TRUE)),"")</f>
        <v/>
      </c>
      <c r="R119" s="152" t="str" cm="1">
        <f t="array" aca="1" ref="R119" ca="1">IFERROR(_xlfn.XLOOKUP(TableHandbook[[#This Row],[UDC]],INDIRECT("Table"&amp;SUBSTITUTE(R$2,"-","")&amp;"[UDC]",TRUE),INDIRECT("Table"&amp;SUBSTITUTE(R$2,"-","")&amp;"[Component Type]",TRUE)),"")</f>
        <v/>
      </c>
      <c r="S119" s="152" t="str" cm="1">
        <f t="array" aca="1" ref="S119" ca="1">IFERROR(_xlfn.XLOOKUP(TableHandbook[[#This Row],[UDC]],INDIRECT("Table"&amp;SUBSTITUTE(S$2,"-","")&amp;"[UDC]",TRUE),INDIRECT("Table"&amp;SUBSTITUTE(S$2,"-","")&amp;"[Component Type]",TRUE)),"")</f>
        <v/>
      </c>
      <c r="T119" s="152" t="str" cm="1">
        <f t="array" aca="1" ref="T119" ca="1">IFERROR(_xlfn.XLOOKUP(TableHandbook[[#This Row],[UDC]],INDIRECT("Table"&amp;SUBSTITUTE(T$2,"-","")&amp;"[UDC]",TRUE),INDIRECT("Table"&amp;SUBSTITUTE(T$2,"-","")&amp;"[Component Type]",TRUE)),"")</f>
        <v/>
      </c>
      <c r="U119" s="152" t="str" cm="1">
        <f t="array" aca="1" ref="U119" ca="1">IFERROR(_xlfn.XLOOKUP(TableHandbook[[#This Row],[UDC]],INDIRECT("Table"&amp;SUBSTITUTE(U$2,"-","")&amp;"[UDC]",TRUE),INDIRECT("Table"&amp;SUBSTITUTE(U$2,"-","")&amp;"[Component Type]",TRUE)),"")</f>
        <v/>
      </c>
      <c r="V119" s="154" t="str" cm="1">
        <f t="array" aca="1" ref="V119" ca="1">IFERROR(_xlfn.XLOOKUP(TableHandbook[[#This Row],[UDC]],INDIRECT("Table"&amp;SUBSTITUTE(V$2,"-","")&amp;"[UDC]",TRUE),INDIRECT("Table"&amp;SUBSTITUTE(V$2,"-","")&amp;"[Component Type]",TRUE)),"")</f>
        <v>AltCore</v>
      </c>
      <c r="W119" s="152" t="str" cm="1">
        <f t="array" aca="1" ref="W119" ca="1">IFERROR(_xlfn.XLOOKUP(TableHandbook[[#This Row],[UDC]],INDIRECT("Table"&amp;SUBSTITUTE(W$2,"-","")&amp;"[UDC]",TRUE),INDIRECT("Table"&amp;SUBSTITUTE(W$2,"-","")&amp;"[Component Type]",TRUE)),"")</f>
        <v>AltCore</v>
      </c>
      <c r="X119" s="152" t="str" cm="1">
        <f t="array" aca="1" ref="X119" ca="1">IFERROR(_xlfn.XLOOKUP(TableHandbook[[#This Row],[UDC]],INDIRECT("Table"&amp;SUBSTITUTE(X$2,"-","")&amp;"[UDC]",TRUE),INDIRECT("Table"&amp;SUBSTITUTE(X$2,"-","")&amp;"[Component Type]",TRUE)),"")</f>
        <v/>
      </c>
      <c r="Y119" s="152" t="str" cm="1">
        <f t="array" aca="1" ref="Y119" ca="1">IFERROR(_xlfn.XLOOKUP(TableHandbook[[#This Row],[UDC]],INDIRECT("Table"&amp;SUBSTITUTE(Y$2,"-","")&amp;"[UDC]",TRUE),INDIRECT("Table"&amp;SUBSTITUTE(Y$2,"-","")&amp;"[Component Type]",TRUE)),"")</f>
        <v/>
      </c>
      <c r="Z119" s="152" t="str" cm="1">
        <f t="array" aca="1" ref="Z119" ca="1">IFERROR(_xlfn.XLOOKUP(TableHandbook[[#This Row],[UDC]],INDIRECT("Table"&amp;SUBSTITUTE(Z$2,"-","")&amp;"[UDC]",TRUE),INDIRECT("Table"&amp;SUBSTITUTE(Z$2,"-","")&amp;"[Component Type]",TRUE)),"")</f>
        <v/>
      </c>
    </row>
    <row r="120" spans="1:26" x14ac:dyDescent="0.25">
      <c r="A120" s="8" t="s">
        <v>661</v>
      </c>
      <c r="B120" s="9">
        <v>1</v>
      </c>
      <c r="C120" s="9"/>
      <c r="D120" s="8" t="s">
        <v>176</v>
      </c>
      <c r="E120" s="9">
        <v>375</v>
      </c>
      <c r="F120" s="265"/>
      <c r="G120" s="72" t="str">
        <f>IFERROR(IF(VLOOKUP(TableHandbook[[#This Row],[UDC]],TableAvailabilities[],2,FALSE)&gt;0,"Y",""),"")</f>
        <v/>
      </c>
      <c r="H120" s="72" t="str">
        <f>IFERROR(IF(VLOOKUP(TableHandbook[[#This Row],[UDC]],TableAvailabilities[],3,FALSE)&gt;0,"Y",""),"")</f>
        <v/>
      </c>
      <c r="I120" s="72" t="str">
        <f>IFERROR(IF(VLOOKUP(TableHandbook[[#This Row],[UDC]],TableAvailabilities[],4,FALSE)&gt;0,"Y",""),"")</f>
        <v/>
      </c>
      <c r="J120" s="72" t="str">
        <f>IFERROR(IF(VLOOKUP(TableHandbook[[#This Row],[UDC]],TableAvailabilities[],5,FALSE)&gt;0,"Y",""),"")</f>
        <v/>
      </c>
      <c r="K120" s="155" t="s">
        <v>656</v>
      </c>
      <c r="L120" s="152" t="str" cm="1">
        <f t="array" aca="1" ref="L120" ca="1">IFERROR(_xlfn.XLOOKUP(TableHandbook[[#This Row],[UDC]],INDIRECT("Table"&amp;SUBSTITUTE(L$2,"-","")&amp;"[UDC]",TRUE),INDIRECT("Table"&amp;SUBSTITUTE(L$2,"-","")&amp;"[Component Type]",TRUE)),"")</f>
        <v/>
      </c>
      <c r="M120" s="152" t="str" cm="1">
        <f t="array" aca="1" ref="M120" ca="1">IFERROR(_xlfn.XLOOKUP(TableHandbook[[#This Row],[UDC]],INDIRECT("Table"&amp;SUBSTITUTE(M$2,"-","")&amp;"[UDC]",TRUE),INDIRECT("Table"&amp;SUBSTITUTE(M$2,"-","")&amp;"[Component Type]",TRUE)),"")</f>
        <v/>
      </c>
      <c r="N120" s="154" t="str" cm="1">
        <f t="array" aca="1" ref="N120" ca="1">IFERROR(_xlfn.XLOOKUP(TableHandbook[[#This Row],[UDC]],INDIRECT("Table"&amp;SUBSTITUTE(N$2,"-","")&amp;"[UDC]",TRUE),INDIRECT("Table"&amp;SUBSTITUTE(N$2,"-","")&amp;"[Component Type]",TRUE)),"")</f>
        <v/>
      </c>
      <c r="O120" s="152" t="str" cm="1">
        <f t="array" aca="1" ref="O120" ca="1">IFERROR(_xlfn.XLOOKUP(TableHandbook[[#This Row],[UDC]],INDIRECT("Table"&amp;SUBSTITUTE(O$2,"-","")&amp;"[UDC]",TRUE),INDIRECT("Table"&amp;SUBSTITUTE(O$2,"-","")&amp;"[Component Type]",TRUE)),"")</f>
        <v/>
      </c>
      <c r="P120" s="152" t="str" cm="1">
        <f t="array" aca="1" ref="P120" ca="1">IFERROR(_xlfn.XLOOKUP(TableHandbook[[#This Row],[UDC]],INDIRECT("Table"&amp;SUBSTITUTE(P$2,"-","")&amp;"[UDC]",TRUE),INDIRECT("Table"&amp;SUBSTITUTE(P$2,"-","")&amp;"[Component Type]",TRUE)),"")</f>
        <v/>
      </c>
      <c r="Q120" s="152" t="str" cm="1">
        <f t="array" aca="1" ref="Q120" ca="1">IFERROR(_xlfn.XLOOKUP(TableHandbook[[#This Row],[UDC]],INDIRECT("Table"&amp;SUBSTITUTE(Q$2,"-","")&amp;"[UDC]",TRUE),INDIRECT("Table"&amp;SUBSTITUTE(Q$2,"-","")&amp;"[Component Type]",TRUE)),"")</f>
        <v/>
      </c>
      <c r="R120" s="152" t="str" cm="1">
        <f t="array" aca="1" ref="R120" ca="1">IFERROR(_xlfn.XLOOKUP(TableHandbook[[#This Row],[UDC]],INDIRECT("Table"&amp;SUBSTITUTE(R$2,"-","")&amp;"[UDC]",TRUE),INDIRECT("Table"&amp;SUBSTITUTE(R$2,"-","")&amp;"[Component Type]",TRUE)),"")</f>
        <v/>
      </c>
      <c r="S120" s="152" t="str" cm="1">
        <f t="array" aca="1" ref="S120" ca="1">IFERROR(_xlfn.XLOOKUP(TableHandbook[[#This Row],[UDC]],INDIRECT("Table"&amp;SUBSTITUTE(S$2,"-","")&amp;"[UDC]",TRUE),INDIRECT("Table"&amp;SUBSTITUTE(S$2,"-","")&amp;"[Component Type]",TRUE)),"")</f>
        <v/>
      </c>
      <c r="T120" s="152" t="str" cm="1">
        <f t="array" aca="1" ref="T120" ca="1">IFERROR(_xlfn.XLOOKUP(TableHandbook[[#This Row],[UDC]],INDIRECT("Table"&amp;SUBSTITUTE(T$2,"-","")&amp;"[UDC]",TRUE),INDIRECT("Table"&amp;SUBSTITUTE(T$2,"-","")&amp;"[Component Type]",TRUE)),"")</f>
        <v/>
      </c>
      <c r="U120" s="152" t="str" cm="1">
        <f t="array" aca="1" ref="U120" ca="1">IFERROR(_xlfn.XLOOKUP(TableHandbook[[#This Row],[UDC]],INDIRECT("Table"&amp;SUBSTITUTE(U$2,"-","")&amp;"[UDC]",TRUE),INDIRECT("Table"&amp;SUBSTITUTE(U$2,"-","")&amp;"[Component Type]",TRUE)),"")</f>
        <v/>
      </c>
      <c r="V120" s="154" t="str" cm="1">
        <f t="array" aca="1" ref="V120" ca="1">IFERROR(_xlfn.XLOOKUP(TableHandbook[[#This Row],[UDC]],INDIRECT("Table"&amp;SUBSTITUTE(V$2,"-","")&amp;"[UDC]",TRUE),INDIRECT("Table"&amp;SUBSTITUTE(V$2,"-","")&amp;"[Component Type]",TRUE)),"")</f>
        <v/>
      </c>
      <c r="W120" s="152" t="str" cm="1">
        <f t="array" aca="1" ref="W120" ca="1">IFERROR(_xlfn.XLOOKUP(TableHandbook[[#This Row],[UDC]],INDIRECT("Table"&amp;SUBSTITUTE(W$2,"-","")&amp;"[UDC]",TRUE),INDIRECT("Table"&amp;SUBSTITUTE(W$2,"-","")&amp;"[Component Type]",TRUE)),"")</f>
        <v/>
      </c>
      <c r="X120" s="152" t="str" cm="1">
        <f t="array" aca="1" ref="X120" ca="1">IFERROR(_xlfn.XLOOKUP(TableHandbook[[#This Row],[UDC]],INDIRECT("Table"&amp;SUBSTITUTE(X$2,"-","")&amp;"[UDC]",TRUE),INDIRECT("Table"&amp;SUBSTITUTE(X$2,"-","")&amp;"[Component Type]",TRUE)),"")</f>
        <v/>
      </c>
      <c r="Y120" s="152" t="str" cm="1">
        <f t="array" aca="1" ref="Y120" ca="1">IFERROR(_xlfn.XLOOKUP(TableHandbook[[#This Row],[UDC]],INDIRECT("Table"&amp;SUBSTITUTE(Y$2,"-","")&amp;"[UDC]",TRUE),INDIRECT("Table"&amp;SUBSTITUTE(Y$2,"-","")&amp;"[Component Type]",TRUE)),"")</f>
        <v/>
      </c>
      <c r="Z120" s="152" t="str" cm="1">
        <f t="array" aca="1" ref="Z120" ca="1">IFERROR(_xlfn.XLOOKUP(TableHandbook[[#This Row],[UDC]],INDIRECT("Table"&amp;SUBSTITUTE(Z$2,"-","")&amp;"[UDC]",TRUE),INDIRECT("Table"&amp;SUBSTITUTE(Z$2,"-","")&amp;"[Component Type]",TRUE)),"")</f>
        <v/>
      </c>
    </row>
    <row r="121" spans="1:26" x14ac:dyDescent="0.25">
      <c r="A121" s="8" t="s">
        <v>178</v>
      </c>
      <c r="B121" s="9">
        <v>1</v>
      </c>
      <c r="C121" s="9"/>
      <c r="D121" s="8" t="s">
        <v>160</v>
      </c>
      <c r="E121" s="9">
        <v>375</v>
      </c>
      <c r="F121" s="265"/>
      <c r="G121" s="72" t="str">
        <f>IFERROR(IF(VLOOKUP(TableHandbook[[#This Row],[UDC]],TableAvailabilities[],2,FALSE)&gt;0,"Y",""),"")</f>
        <v/>
      </c>
      <c r="H121" s="72" t="str">
        <f>IFERROR(IF(VLOOKUP(TableHandbook[[#This Row],[UDC]],TableAvailabilities[],3,FALSE)&gt;0,"Y",""),"")</f>
        <v/>
      </c>
      <c r="I121" s="72" t="str">
        <f>IFERROR(IF(VLOOKUP(TableHandbook[[#This Row],[UDC]],TableAvailabilities[],4,FALSE)&gt;0,"Y",""),"")</f>
        <v/>
      </c>
      <c r="J121" s="72" t="str">
        <f>IFERROR(IF(VLOOKUP(TableHandbook[[#This Row],[UDC]],TableAvailabilities[],5,FALSE)&gt;0,"Y",""),"")</f>
        <v/>
      </c>
      <c r="K121" s="155"/>
      <c r="L121" s="152" t="str" cm="1">
        <f t="array" aca="1" ref="L121" ca="1">IFERROR(_xlfn.XLOOKUP(TableHandbook[[#This Row],[UDC]],INDIRECT("Table"&amp;SUBSTITUTE(L$2,"-","")&amp;"[UDC]",TRUE),INDIRECT("Table"&amp;SUBSTITUTE(L$2,"-","")&amp;"[Component Type]",TRUE)),"")</f>
        <v/>
      </c>
      <c r="M121" s="152" t="str" cm="1">
        <f t="array" aca="1" ref="M121" ca="1">IFERROR(_xlfn.XLOOKUP(TableHandbook[[#This Row],[UDC]],INDIRECT("Table"&amp;SUBSTITUTE(M$2,"-","")&amp;"[UDC]",TRUE),INDIRECT("Table"&amp;SUBSTITUTE(M$2,"-","")&amp;"[Component Type]",TRUE)),"")</f>
        <v/>
      </c>
      <c r="N121" s="154" t="str" cm="1">
        <f t="array" aca="1" ref="N121" ca="1">IFERROR(_xlfn.XLOOKUP(TableHandbook[[#This Row],[UDC]],INDIRECT("Table"&amp;SUBSTITUTE(N$2,"-","")&amp;"[UDC]",TRUE),INDIRECT("Table"&amp;SUBSTITUTE(N$2,"-","")&amp;"[Component Type]",TRUE)),"")</f>
        <v/>
      </c>
      <c r="O121" s="152" t="str" cm="1">
        <f t="array" aca="1" ref="O121" ca="1">IFERROR(_xlfn.XLOOKUP(TableHandbook[[#This Row],[UDC]],INDIRECT("Table"&amp;SUBSTITUTE(O$2,"-","")&amp;"[UDC]",TRUE),INDIRECT("Table"&amp;SUBSTITUTE(O$2,"-","")&amp;"[Component Type]",TRUE)),"")</f>
        <v/>
      </c>
      <c r="P121" s="152" t="str" cm="1">
        <f t="array" aca="1" ref="P121" ca="1">IFERROR(_xlfn.XLOOKUP(TableHandbook[[#This Row],[UDC]],INDIRECT("Table"&amp;SUBSTITUTE(P$2,"-","")&amp;"[UDC]",TRUE),INDIRECT("Table"&amp;SUBSTITUTE(P$2,"-","")&amp;"[Component Type]",TRUE)),"")</f>
        <v/>
      </c>
      <c r="Q121" s="152" t="str" cm="1">
        <f t="array" aca="1" ref="Q121" ca="1">IFERROR(_xlfn.XLOOKUP(TableHandbook[[#This Row],[UDC]],INDIRECT("Table"&amp;SUBSTITUTE(Q$2,"-","")&amp;"[UDC]",TRUE),INDIRECT("Table"&amp;SUBSTITUTE(Q$2,"-","")&amp;"[Component Type]",TRUE)),"")</f>
        <v/>
      </c>
      <c r="R121" s="152" t="str" cm="1">
        <f t="array" aca="1" ref="R121" ca="1">IFERROR(_xlfn.XLOOKUP(TableHandbook[[#This Row],[UDC]],INDIRECT("Table"&amp;SUBSTITUTE(R$2,"-","")&amp;"[UDC]",TRUE),INDIRECT("Table"&amp;SUBSTITUTE(R$2,"-","")&amp;"[Component Type]",TRUE)),"")</f>
        <v/>
      </c>
      <c r="S121" s="152" t="str" cm="1">
        <f t="array" aca="1" ref="S121" ca="1">IFERROR(_xlfn.XLOOKUP(TableHandbook[[#This Row],[UDC]],INDIRECT("Table"&amp;SUBSTITUTE(S$2,"-","")&amp;"[UDC]",TRUE),INDIRECT("Table"&amp;SUBSTITUTE(S$2,"-","")&amp;"[Component Type]",TRUE)),"")</f>
        <v/>
      </c>
      <c r="T121" s="152" t="str" cm="1">
        <f t="array" aca="1" ref="T121" ca="1">IFERROR(_xlfn.XLOOKUP(TableHandbook[[#This Row],[UDC]],INDIRECT("Table"&amp;SUBSTITUTE(T$2,"-","")&amp;"[UDC]",TRUE),INDIRECT("Table"&amp;SUBSTITUTE(T$2,"-","")&amp;"[Component Type]",TRUE)),"")</f>
        <v/>
      </c>
      <c r="U121" s="152" t="str" cm="1">
        <f t="array" aca="1" ref="U121" ca="1">IFERROR(_xlfn.XLOOKUP(TableHandbook[[#This Row],[UDC]],INDIRECT("Table"&amp;SUBSTITUTE(U$2,"-","")&amp;"[UDC]",TRUE),INDIRECT("Table"&amp;SUBSTITUTE(U$2,"-","")&amp;"[Component Type]",TRUE)),"")</f>
        <v/>
      </c>
      <c r="V121" s="154" t="str" cm="1">
        <f t="array" aca="1" ref="V121" ca="1">IFERROR(_xlfn.XLOOKUP(TableHandbook[[#This Row],[UDC]],INDIRECT("Table"&amp;SUBSTITUTE(V$2,"-","")&amp;"[UDC]",TRUE),INDIRECT("Table"&amp;SUBSTITUTE(V$2,"-","")&amp;"[Component Type]",TRUE)),"")</f>
        <v>AltCore</v>
      </c>
      <c r="W121" s="152" t="str" cm="1">
        <f t="array" aca="1" ref="W121" ca="1">IFERROR(_xlfn.XLOOKUP(TableHandbook[[#This Row],[UDC]],INDIRECT("Table"&amp;SUBSTITUTE(W$2,"-","")&amp;"[UDC]",TRUE),INDIRECT("Table"&amp;SUBSTITUTE(W$2,"-","")&amp;"[Component Type]",TRUE)),"")</f>
        <v>AltCore</v>
      </c>
      <c r="X121" s="152" t="str" cm="1">
        <f t="array" aca="1" ref="X121" ca="1">IFERROR(_xlfn.XLOOKUP(TableHandbook[[#This Row],[UDC]],INDIRECT("Table"&amp;SUBSTITUTE(X$2,"-","")&amp;"[UDC]",TRUE),INDIRECT("Table"&amp;SUBSTITUTE(X$2,"-","")&amp;"[Component Type]",TRUE)),"")</f>
        <v/>
      </c>
      <c r="Y121" s="152" t="str" cm="1">
        <f t="array" aca="1" ref="Y121" ca="1">IFERROR(_xlfn.XLOOKUP(TableHandbook[[#This Row],[UDC]],INDIRECT("Table"&amp;SUBSTITUTE(Y$2,"-","")&amp;"[UDC]",TRUE),INDIRECT("Table"&amp;SUBSTITUTE(Y$2,"-","")&amp;"[Component Type]",TRUE)),"")</f>
        <v/>
      </c>
      <c r="Z121" s="152" t="str" cm="1">
        <f t="array" aca="1" ref="Z121" ca="1">IFERROR(_xlfn.XLOOKUP(TableHandbook[[#This Row],[UDC]],INDIRECT("Table"&amp;SUBSTITUTE(Z$2,"-","")&amp;"[UDC]",TRUE),INDIRECT("Table"&amp;SUBSTITUTE(Z$2,"-","")&amp;"[Component Type]",TRUE)),"")</f>
        <v/>
      </c>
    </row>
    <row r="122" spans="1:26" x14ac:dyDescent="0.25">
      <c r="A122" s="246" t="s">
        <v>620</v>
      </c>
      <c r="B122" s="9">
        <v>1</v>
      </c>
      <c r="C122" s="9"/>
      <c r="D122" s="8" t="s">
        <v>621</v>
      </c>
      <c r="E122" s="9">
        <v>75</v>
      </c>
      <c r="F122" s="265"/>
      <c r="G122" s="72" t="str">
        <f>IFERROR(IF(VLOOKUP(TableHandbook[[#This Row],[UDC]],TableAvailabilities[],2,FALSE)&gt;0,"Y",""),"")</f>
        <v/>
      </c>
      <c r="H122" s="72" t="str">
        <f>IFERROR(IF(VLOOKUP(TableHandbook[[#This Row],[UDC]],TableAvailabilities[],3,FALSE)&gt;0,"Y",""),"")</f>
        <v/>
      </c>
      <c r="I122" s="72" t="str">
        <f>IFERROR(IF(VLOOKUP(TableHandbook[[#This Row],[UDC]],TableAvailabilities[],4,FALSE)&gt;0,"Y",""),"")</f>
        <v/>
      </c>
      <c r="J122" s="72" t="str">
        <f>IFERROR(IF(VLOOKUP(TableHandbook[[#This Row],[UDC]],TableAvailabilities[],5,FALSE)&gt;0,"Y",""),"")</f>
        <v/>
      </c>
      <c r="K122" s="155"/>
      <c r="L122" s="152" t="str" cm="1">
        <f t="array" aca="1" ref="L122" ca="1">IFERROR(_xlfn.XLOOKUP(TableHandbook[[#This Row],[UDC]],INDIRECT("Table"&amp;SUBSTITUTE(L$2,"-","")&amp;"[UDC]",TRUE),INDIRECT("Table"&amp;SUBSTITUTE(L$2,"-","")&amp;"[Component Type]",TRUE)),"")</f>
        <v/>
      </c>
      <c r="M122" s="152" t="str" cm="1">
        <f t="array" aca="1" ref="M122" ca="1">IFERROR(_xlfn.XLOOKUP(TableHandbook[[#This Row],[UDC]],INDIRECT("Table"&amp;SUBSTITUTE(M$2,"-","")&amp;"[UDC]",TRUE),INDIRECT("Table"&amp;SUBSTITUTE(M$2,"-","")&amp;"[Component Type]",TRUE)),"")</f>
        <v/>
      </c>
      <c r="N122" s="154" t="str" cm="1">
        <f t="array" aca="1" ref="N122" ca="1">IFERROR(_xlfn.XLOOKUP(TableHandbook[[#This Row],[UDC]],INDIRECT("Table"&amp;SUBSTITUTE(N$2,"-","")&amp;"[UDC]",TRUE),INDIRECT("Table"&amp;SUBSTITUTE(N$2,"-","")&amp;"[Component Type]",TRUE)),"")</f>
        <v>Option</v>
      </c>
      <c r="O122" s="152" t="str" cm="1">
        <f t="array" aca="1" ref="O122" ca="1">IFERROR(_xlfn.XLOOKUP(TableHandbook[[#This Row],[UDC]],INDIRECT("Table"&amp;SUBSTITUTE(O$2,"-","")&amp;"[UDC]",TRUE),INDIRECT("Table"&amp;SUBSTITUTE(O$2,"-","")&amp;"[Component Type]",TRUE)),"")</f>
        <v>Option</v>
      </c>
      <c r="P122" s="152" t="str" cm="1">
        <f t="array" aca="1" ref="P122" ca="1">IFERROR(_xlfn.XLOOKUP(TableHandbook[[#This Row],[UDC]],INDIRECT("Table"&amp;SUBSTITUTE(P$2,"-","")&amp;"[UDC]",TRUE),INDIRECT("Table"&amp;SUBSTITUTE(P$2,"-","")&amp;"[Component Type]",TRUE)),"")</f>
        <v/>
      </c>
      <c r="Q122" s="152" t="str" cm="1">
        <f t="array" aca="1" ref="Q122" ca="1">IFERROR(_xlfn.XLOOKUP(TableHandbook[[#This Row],[UDC]],INDIRECT("Table"&amp;SUBSTITUTE(Q$2,"-","")&amp;"[UDC]",TRUE),INDIRECT("Table"&amp;SUBSTITUTE(Q$2,"-","")&amp;"[Component Type]",TRUE)),"")</f>
        <v/>
      </c>
      <c r="R122" s="152" t="str" cm="1">
        <f t="array" aca="1" ref="R122" ca="1">IFERROR(_xlfn.XLOOKUP(TableHandbook[[#This Row],[UDC]],INDIRECT("Table"&amp;SUBSTITUTE(R$2,"-","")&amp;"[UDC]",TRUE),INDIRECT("Table"&amp;SUBSTITUTE(R$2,"-","")&amp;"[Component Type]",TRUE)),"")</f>
        <v/>
      </c>
      <c r="S122" s="152" t="str" cm="1">
        <f t="array" aca="1" ref="S122" ca="1">IFERROR(_xlfn.XLOOKUP(TableHandbook[[#This Row],[UDC]],INDIRECT("Table"&amp;SUBSTITUTE(S$2,"-","")&amp;"[UDC]",TRUE),INDIRECT("Table"&amp;SUBSTITUTE(S$2,"-","")&amp;"[Component Type]",TRUE)),"")</f>
        <v/>
      </c>
      <c r="T122" s="152" t="str" cm="1">
        <f t="array" aca="1" ref="T122" ca="1">IFERROR(_xlfn.XLOOKUP(TableHandbook[[#This Row],[UDC]],INDIRECT("Table"&amp;SUBSTITUTE(T$2,"-","")&amp;"[UDC]",TRUE),INDIRECT("Table"&amp;SUBSTITUTE(T$2,"-","")&amp;"[Component Type]",TRUE)),"")</f>
        <v/>
      </c>
      <c r="U122" s="152" t="str" cm="1">
        <f t="array" aca="1" ref="U122" ca="1">IFERROR(_xlfn.XLOOKUP(TableHandbook[[#This Row],[UDC]],INDIRECT("Table"&amp;SUBSTITUTE(U$2,"-","")&amp;"[UDC]",TRUE),INDIRECT("Table"&amp;SUBSTITUTE(U$2,"-","")&amp;"[Component Type]",TRUE)),"")</f>
        <v/>
      </c>
      <c r="V122" s="154" t="str" cm="1">
        <f t="array" aca="1" ref="V122" ca="1">IFERROR(_xlfn.XLOOKUP(TableHandbook[[#This Row],[UDC]],INDIRECT("Table"&amp;SUBSTITUTE(V$2,"-","")&amp;"[UDC]",TRUE),INDIRECT("Table"&amp;SUBSTITUTE(V$2,"-","")&amp;"[Component Type]",TRUE)),"")</f>
        <v/>
      </c>
      <c r="W122" s="152" t="str" cm="1">
        <f t="array" aca="1" ref="W122" ca="1">IFERROR(_xlfn.XLOOKUP(TableHandbook[[#This Row],[UDC]],INDIRECT("Table"&amp;SUBSTITUTE(W$2,"-","")&amp;"[UDC]",TRUE),INDIRECT("Table"&amp;SUBSTITUTE(W$2,"-","")&amp;"[Component Type]",TRUE)),"")</f>
        <v/>
      </c>
      <c r="X122" s="152" t="str" cm="1">
        <f t="array" aca="1" ref="X122" ca="1">IFERROR(_xlfn.XLOOKUP(TableHandbook[[#This Row],[UDC]],INDIRECT("Table"&amp;SUBSTITUTE(X$2,"-","")&amp;"[UDC]",TRUE),INDIRECT("Table"&amp;SUBSTITUTE(X$2,"-","")&amp;"[Component Type]",TRUE)),"")</f>
        <v/>
      </c>
      <c r="Y122" s="152" t="str" cm="1">
        <f t="array" aca="1" ref="Y122" ca="1">IFERROR(_xlfn.XLOOKUP(TableHandbook[[#This Row],[UDC]],INDIRECT("Table"&amp;SUBSTITUTE(Y$2,"-","")&amp;"[UDC]",TRUE),INDIRECT("Table"&amp;SUBSTITUTE(Y$2,"-","")&amp;"[Component Type]",TRUE)),"")</f>
        <v/>
      </c>
      <c r="Z122" s="152" t="str" cm="1">
        <f t="array" aca="1" ref="Z122" ca="1">IFERROR(_xlfn.XLOOKUP(TableHandbook[[#This Row],[UDC]],INDIRECT("Table"&amp;SUBSTITUTE(Z$2,"-","")&amp;"[UDC]",TRUE),INDIRECT("Table"&amp;SUBSTITUTE(Z$2,"-","")&amp;"[Component Type]",TRUE)),"")</f>
        <v/>
      </c>
    </row>
    <row r="123" spans="1:26" x14ac:dyDescent="0.25">
      <c r="A123" s="246" t="s">
        <v>622</v>
      </c>
      <c r="B123" s="9">
        <v>1</v>
      </c>
      <c r="C123" s="9"/>
      <c r="D123" s="8" t="s">
        <v>623</v>
      </c>
      <c r="E123" s="9">
        <v>75</v>
      </c>
      <c r="F123" s="265"/>
      <c r="G123" s="72" t="str">
        <f>IFERROR(IF(VLOOKUP(TableHandbook[[#This Row],[UDC]],TableAvailabilities[],2,FALSE)&gt;0,"Y",""),"")</f>
        <v/>
      </c>
      <c r="H123" s="72" t="str">
        <f>IFERROR(IF(VLOOKUP(TableHandbook[[#This Row],[UDC]],TableAvailabilities[],3,FALSE)&gt;0,"Y",""),"")</f>
        <v/>
      </c>
      <c r="I123" s="72" t="str">
        <f>IFERROR(IF(VLOOKUP(TableHandbook[[#This Row],[UDC]],TableAvailabilities[],4,FALSE)&gt;0,"Y",""),"")</f>
        <v/>
      </c>
      <c r="J123" s="72" t="str">
        <f>IFERROR(IF(VLOOKUP(TableHandbook[[#This Row],[UDC]],TableAvailabilities[],5,FALSE)&gt;0,"Y",""),"")</f>
        <v/>
      </c>
      <c r="K123" s="155"/>
      <c r="L123" s="152" t="str" cm="1">
        <f t="array" aca="1" ref="L123" ca="1">IFERROR(_xlfn.XLOOKUP(TableHandbook[[#This Row],[UDC]],INDIRECT("Table"&amp;SUBSTITUTE(L$2,"-","")&amp;"[UDC]",TRUE),INDIRECT("Table"&amp;SUBSTITUTE(L$2,"-","")&amp;"[Component Type]",TRUE)),"")</f>
        <v/>
      </c>
      <c r="M123" s="152" t="str" cm="1">
        <f t="array" aca="1" ref="M123" ca="1">IFERROR(_xlfn.XLOOKUP(TableHandbook[[#This Row],[UDC]],INDIRECT("Table"&amp;SUBSTITUTE(M$2,"-","")&amp;"[UDC]",TRUE),INDIRECT("Table"&amp;SUBSTITUTE(M$2,"-","")&amp;"[Component Type]",TRUE)),"")</f>
        <v/>
      </c>
      <c r="N123" s="154" t="str" cm="1">
        <f t="array" aca="1" ref="N123" ca="1">IFERROR(_xlfn.XLOOKUP(TableHandbook[[#This Row],[UDC]],INDIRECT("Table"&amp;SUBSTITUTE(N$2,"-","")&amp;"[UDC]",TRUE),INDIRECT("Table"&amp;SUBSTITUTE(N$2,"-","")&amp;"[Component Type]",TRUE)),"")</f>
        <v>Option</v>
      </c>
      <c r="O123" s="152" t="str" cm="1">
        <f t="array" aca="1" ref="O123" ca="1">IFERROR(_xlfn.XLOOKUP(TableHandbook[[#This Row],[UDC]],INDIRECT("Table"&amp;SUBSTITUTE(O$2,"-","")&amp;"[UDC]",TRUE),INDIRECT("Table"&amp;SUBSTITUTE(O$2,"-","")&amp;"[Component Type]",TRUE)),"")</f>
        <v>Option</v>
      </c>
      <c r="P123" s="152" t="str" cm="1">
        <f t="array" aca="1" ref="P123" ca="1">IFERROR(_xlfn.XLOOKUP(TableHandbook[[#This Row],[UDC]],INDIRECT("Table"&amp;SUBSTITUTE(P$2,"-","")&amp;"[UDC]",TRUE),INDIRECT("Table"&amp;SUBSTITUTE(P$2,"-","")&amp;"[Component Type]",TRUE)),"")</f>
        <v/>
      </c>
      <c r="Q123" s="152" t="str" cm="1">
        <f t="array" aca="1" ref="Q123" ca="1">IFERROR(_xlfn.XLOOKUP(TableHandbook[[#This Row],[UDC]],INDIRECT("Table"&amp;SUBSTITUTE(Q$2,"-","")&amp;"[UDC]",TRUE),INDIRECT("Table"&amp;SUBSTITUTE(Q$2,"-","")&amp;"[Component Type]",TRUE)),"")</f>
        <v/>
      </c>
      <c r="R123" s="152" t="str" cm="1">
        <f t="array" aca="1" ref="R123" ca="1">IFERROR(_xlfn.XLOOKUP(TableHandbook[[#This Row],[UDC]],INDIRECT("Table"&amp;SUBSTITUTE(R$2,"-","")&amp;"[UDC]",TRUE),INDIRECT("Table"&amp;SUBSTITUTE(R$2,"-","")&amp;"[Component Type]",TRUE)),"")</f>
        <v/>
      </c>
      <c r="S123" s="152" t="str" cm="1">
        <f t="array" aca="1" ref="S123" ca="1">IFERROR(_xlfn.XLOOKUP(TableHandbook[[#This Row],[UDC]],INDIRECT("Table"&amp;SUBSTITUTE(S$2,"-","")&amp;"[UDC]",TRUE),INDIRECT("Table"&amp;SUBSTITUTE(S$2,"-","")&amp;"[Component Type]",TRUE)),"")</f>
        <v/>
      </c>
      <c r="T123" s="152" t="str" cm="1">
        <f t="array" aca="1" ref="T123" ca="1">IFERROR(_xlfn.XLOOKUP(TableHandbook[[#This Row],[UDC]],INDIRECT("Table"&amp;SUBSTITUTE(T$2,"-","")&amp;"[UDC]",TRUE),INDIRECT("Table"&amp;SUBSTITUTE(T$2,"-","")&amp;"[Component Type]",TRUE)),"")</f>
        <v/>
      </c>
      <c r="U123" s="152" t="str" cm="1">
        <f t="array" aca="1" ref="U123" ca="1">IFERROR(_xlfn.XLOOKUP(TableHandbook[[#This Row],[UDC]],INDIRECT("Table"&amp;SUBSTITUTE(U$2,"-","")&amp;"[UDC]",TRUE),INDIRECT("Table"&amp;SUBSTITUTE(U$2,"-","")&amp;"[Component Type]",TRUE)),"")</f>
        <v/>
      </c>
      <c r="V123" s="154" t="str" cm="1">
        <f t="array" aca="1" ref="V123" ca="1">IFERROR(_xlfn.XLOOKUP(TableHandbook[[#This Row],[UDC]],INDIRECT("Table"&amp;SUBSTITUTE(V$2,"-","")&amp;"[UDC]",TRUE),INDIRECT("Table"&amp;SUBSTITUTE(V$2,"-","")&amp;"[Component Type]",TRUE)),"")</f>
        <v/>
      </c>
      <c r="W123" s="152" t="str" cm="1">
        <f t="array" aca="1" ref="W123" ca="1">IFERROR(_xlfn.XLOOKUP(TableHandbook[[#This Row],[UDC]],INDIRECT("Table"&amp;SUBSTITUTE(W$2,"-","")&amp;"[UDC]",TRUE),INDIRECT("Table"&amp;SUBSTITUTE(W$2,"-","")&amp;"[Component Type]",TRUE)),"")</f>
        <v/>
      </c>
      <c r="X123" s="152" t="str" cm="1">
        <f t="array" aca="1" ref="X123" ca="1">IFERROR(_xlfn.XLOOKUP(TableHandbook[[#This Row],[UDC]],INDIRECT("Table"&amp;SUBSTITUTE(X$2,"-","")&amp;"[UDC]",TRUE),INDIRECT("Table"&amp;SUBSTITUTE(X$2,"-","")&amp;"[Component Type]",TRUE)),"")</f>
        <v/>
      </c>
      <c r="Y123" s="152" t="str" cm="1">
        <f t="array" aca="1" ref="Y123" ca="1">IFERROR(_xlfn.XLOOKUP(TableHandbook[[#This Row],[UDC]],INDIRECT("Table"&amp;SUBSTITUTE(Y$2,"-","")&amp;"[UDC]",TRUE),INDIRECT("Table"&amp;SUBSTITUTE(Y$2,"-","")&amp;"[Component Type]",TRUE)),"")</f>
        <v/>
      </c>
      <c r="Z123" s="152" t="str" cm="1">
        <f t="array" aca="1" ref="Z123" ca="1">IFERROR(_xlfn.XLOOKUP(TableHandbook[[#This Row],[UDC]],INDIRECT("Table"&amp;SUBSTITUTE(Z$2,"-","")&amp;"[UDC]",TRUE),INDIRECT("Table"&amp;SUBSTITUTE(Z$2,"-","")&amp;"[Component Type]",TRUE)),"")</f>
        <v/>
      </c>
    </row>
    <row r="124" spans="1:26" x14ac:dyDescent="0.25">
      <c r="A124" s="246" t="s">
        <v>624</v>
      </c>
      <c r="B124" s="9">
        <v>1</v>
      </c>
      <c r="C124" s="9"/>
      <c r="D124" s="8" t="s">
        <v>625</v>
      </c>
      <c r="E124" s="9">
        <v>75</v>
      </c>
      <c r="F124" s="265"/>
      <c r="G124" s="72" t="str">
        <f>IFERROR(IF(VLOOKUP(TableHandbook[[#This Row],[UDC]],TableAvailabilities[],2,FALSE)&gt;0,"Y",""),"")</f>
        <v/>
      </c>
      <c r="H124" s="72" t="str">
        <f>IFERROR(IF(VLOOKUP(TableHandbook[[#This Row],[UDC]],TableAvailabilities[],3,FALSE)&gt;0,"Y",""),"")</f>
        <v/>
      </c>
      <c r="I124" s="72" t="str">
        <f>IFERROR(IF(VLOOKUP(TableHandbook[[#This Row],[UDC]],TableAvailabilities[],4,FALSE)&gt;0,"Y",""),"")</f>
        <v/>
      </c>
      <c r="J124" s="72" t="str">
        <f>IFERROR(IF(VLOOKUP(TableHandbook[[#This Row],[UDC]],TableAvailabilities[],5,FALSE)&gt;0,"Y",""),"")</f>
        <v/>
      </c>
      <c r="K124" s="155"/>
      <c r="L124" s="152" t="str" cm="1">
        <f t="array" aca="1" ref="L124" ca="1">IFERROR(_xlfn.XLOOKUP(TableHandbook[[#This Row],[UDC]],INDIRECT("Table"&amp;SUBSTITUTE(L$2,"-","")&amp;"[UDC]",TRUE),INDIRECT("Table"&amp;SUBSTITUTE(L$2,"-","")&amp;"[Component Type]",TRUE)),"")</f>
        <v/>
      </c>
      <c r="M124" s="152" t="str" cm="1">
        <f t="array" aca="1" ref="M124" ca="1">IFERROR(_xlfn.XLOOKUP(TableHandbook[[#This Row],[UDC]],INDIRECT("Table"&amp;SUBSTITUTE(M$2,"-","")&amp;"[UDC]",TRUE),INDIRECT("Table"&amp;SUBSTITUTE(M$2,"-","")&amp;"[Component Type]",TRUE)),"")</f>
        <v/>
      </c>
      <c r="N124" s="154" t="str" cm="1">
        <f t="array" aca="1" ref="N124" ca="1">IFERROR(_xlfn.XLOOKUP(TableHandbook[[#This Row],[UDC]],INDIRECT("Table"&amp;SUBSTITUTE(N$2,"-","")&amp;"[UDC]",TRUE),INDIRECT("Table"&amp;SUBSTITUTE(N$2,"-","")&amp;"[Component Type]",TRUE)),"")</f>
        <v>Option</v>
      </c>
      <c r="O124" s="152" t="str" cm="1">
        <f t="array" aca="1" ref="O124" ca="1">IFERROR(_xlfn.XLOOKUP(TableHandbook[[#This Row],[UDC]],INDIRECT("Table"&amp;SUBSTITUTE(O$2,"-","")&amp;"[UDC]",TRUE),INDIRECT("Table"&amp;SUBSTITUTE(O$2,"-","")&amp;"[Component Type]",TRUE)),"")</f>
        <v>Option</v>
      </c>
      <c r="P124" s="152" t="str" cm="1">
        <f t="array" aca="1" ref="P124" ca="1">IFERROR(_xlfn.XLOOKUP(TableHandbook[[#This Row],[UDC]],INDIRECT("Table"&amp;SUBSTITUTE(P$2,"-","")&amp;"[UDC]",TRUE),INDIRECT("Table"&amp;SUBSTITUTE(P$2,"-","")&amp;"[Component Type]",TRUE)),"")</f>
        <v/>
      </c>
      <c r="Q124" s="152" t="str" cm="1">
        <f t="array" aca="1" ref="Q124" ca="1">IFERROR(_xlfn.XLOOKUP(TableHandbook[[#This Row],[UDC]],INDIRECT("Table"&amp;SUBSTITUTE(Q$2,"-","")&amp;"[UDC]",TRUE),INDIRECT("Table"&amp;SUBSTITUTE(Q$2,"-","")&amp;"[Component Type]",TRUE)),"")</f>
        <v/>
      </c>
      <c r="R124" s="152" t="str" cm="1">
        <f t="array" aca="1" ref="R124" ca="1">IFERROR(_xlfn.XLOOKUP(TableHandbook[[#This Row],[UDC]],INDIRECT("Table"&amp;SUBSTITUTE(R$2,"-","")&amp;"[UDC]",TRUE),INDIRECT("Table"&amp;SUBSTITUTE(R$2,"-","")&amp;"[Component Type]",TRUE)),"")</f>
        <v/>
      </c>
      <c r="S124" s="152" t="str" cm="1">
        <f t="array" aca="1" ref="S124" ca="1">IFERROR(_xlfn.XLOOKUP(TableHandbook[[#This Row],[UDC]],INDIRECT("Table"&amp;SUBSTITUTE(S$2,"-","")&amp;"[UDC]",TRUE),INDIRECT("Table"&amp;SUBSTITUTE(S$2,"-","")&amp;"[Component Type]",TRUE)),"")</f>
        <v/>
      </c>
      <c r="T124" s="152" t="str" cm="1">
        <f t="array" aca="1" ref="T124" ca="1">IFERROR(_xlfn.XLOOKUP(TableHandbook[[#This Row],[UDC]],INDIRECT("Table"&amp;SUBSTITUTE(T$2,"-","")&amp;"[UDC]",TRUE),INDIRECT("Table"&amp;SUBSTITUTE(T$2,"-","")&amp;"[Component Type]",TRUE)),"")</f>
        <v/>
      </c>
      <c r="U124" s="152" t="str" cm="1">
        <f t="array" aca="1" ref="U124" ca="1">IFERROR(_xlfn.XLOOKUP(TableHandbook[[#This Row],[UDC]],INDIRECT("Table"&amp;SUBSTITUTE(U$2,"-","")&amp;"[UDC]",TRUE),INDIRECT("Table"&amp;SUBSTITUTE(U$2,"-","")&amp;"[Component Type]",TRUE)),"")</f>
        <v/>
      </c>
      <c r="V124" s="154" t="str" cm="1">
        <f t="array" aca="1" ref="V124" ca="1">IFERROR(_xlfn.XLOOKUP(TableHandbook[[#This Row],[UDC]],INDIRECT("Table"&amp;SUBSTITUTE(V$2,"-","")&amp;"[UDC]",TRUE),INDIRECT("Table"&amp;SUBSTITUTE(V$2,"-","")&amp;"[Component Type]",TRUE)),"")</f>
        <v/>
      </c>
      <c r="W124" s="152" t="str" cm="1">
        <f t="array" aca="1" ref="W124" ca="1">IFERROR(_xlfn.XLOOKUP(TableHandbook[[#This Row],[UDC]],INDIRECT("Table"&amp;SUBSTITUTE(W$2,"-","")&amp;"[UDC]",TRUE),INDIRECT("Table"&amp;SUBSTITUTE(W$2,"-","")&amp;"[Component Type]",TRUE)),"")</f>
        <v/>
      </c>
      <c r="X124" s="152" t="str" cm="1">
        <f t="array" aca="1" ref="X124" ca="1">IFERROR(_xlfn.XLOOKUP(TableHandbook[[#This Row],[UDC]],INDIRECT("Table"&amp;SUBSTITUTE(X$2,"-","")&amp;"[UDC]",TRUE),INDIRECT("Table"&amp;SUBSTITUTE(X$2,"-","")&amp;"[Component Type]",TRUE)),"")</f>
        <v/>
      </c>
      <c r="Y124" s="152" t="str" cm="1">
        <f t="array" aca="1" ref="Y124" ca="1">IFERROR(_xlfn.XLOOKUP(TableHandbook[[#This Row],[UDC]],INDIRECT("Table"&amp;SUBSTITUTE(Y$2,"-","")&amp;"[UDC]",TRUE),INDIRECT("Table"&amp;SUBSTITUTE(Y$2,"-","")&amp;"[Component Type]",TRUE)),"")</f>
        <v/>
      </c>
      <c r="Z124" s="152" t="str" cm="1">
        <f t="array" aca="1" ref="Z124" ca="1">IFERROR(_xlfn.XLOOKUP(TableHandbook[[#This Row],[UDC]],INDIRECT("Table"&amp;SUBSTITUTE(Z$2,"-","")&amp;"[UDC]",TRUE),INDIRECT("Table"&amp;SUBSTITUTE(Z$2,"-","")&amp;"[Component Type]",TRUE)),"")</f>
        <v/>
      </c>
    </row>
    <row r="125" spans="1:26" x14ac:dyDescent="0.25">
      <c r="A125" s="246" t="s">
        <v>626</v>
      </c>
      <c r="B125" s="9">
        <v>1</v>
      </c>
      <c r="C125" s="9"/>
      <c r="D125" s="8" t="s">
        <v>627</v>
      </c>
      <c r="E125" s="9">
        <v>75</v>
      </c>
      <c r="F125" s="265"/>
      <c r="G125" s="72" t="str">
        <f>IFERROR(IF(VLOOKUP(TableHandbook[[#This Row],[UDC]],TableAvailabilities[],2,FALSE)&gt;0,"Y",""),"")</f>
        <v/>
      </c>
      <c r="H125" s="72" t="str">
        <f>IFERROR(IF(VLOOKUP(TableHandbook[[#This Row],[UDC]],TableAvailabilities[],3,FALSE)&gt;0,"Y",""),"")</f>
        <v/>
      </c>
      <c r="I125" s="72" t="str">
        <f>IFERROR(IF(VLOOKUP(TableHandbook[[#This Row],[UDC]],TableAvailabilities[],4,FALSE)&gt;0,"Y",""),"")</f>
        <v/>
      </c>
      <c r="J125" s="72" t="str">
        <f>IFERROR(IF(VLOOKUP(TableHandbook[[#This Row],[UDC]],TableAvailabilities[],5,FALSE)&gt;0,"Y",""),"")</f>
        <v/>
      </c>
      <c r="K125" s="155"/>
      <c r="L125" s="152" t="str" cm="1">
        <f t="array" aca="1" ref="L125" ca="1">IFERROR(_xlfn.XLOOKUP(TableHandbook[[#This Row],[UDC]],INDIRECT("Table"&amp;SUBSTITUTE(L$2,"-","")&amp;"[UDC]",TRUE),INDIRECT("Table"&amp;SUBSTITUTE(L$2,"-","")&amp;"[Component Type]",TRUE)),"")</f>
        <v/>
      </c>
      <c r="M125" s="152" t="str" cm="1">
        <f t="array" aca="1" ref="M125" ca="1">IFERROR(_xlfn.XLOOKUP(TableHandbook[[#This Row],[UDC]],INDIRECT("Table"&amp;SUBSTITUTE(M$2,"-","")&amp;"[UDC]",TRUE),INDIRECT("Table"&amp;SUBSTITUTE(M$2,"-","")&amp;"[Component Type]",TRUE)),"")</f>
        <v/>
      </c>
      <c r="N125" s="154" t="str" cm="1">
        <f t="array" aca="1" ref="N125" ca="1">IFERROR(_xlfn.XLOOKUP(TableHandbook[[#This Row],[UDC]],INDIRECT("Table"&amp;SUBSTITUTE(N$2,"-","")&amp;"[UDC]",TRUE),INDIRECT("Table"&amp;SUBSTITUTE(N$2,"-","")&amp;"[Component Type]",TRUE)),"")</f>
        <v>Option</v>
      </c>
      <c r="O125" s="152" t="str" cm="1">
        <f t="array" aca="1" ref="O125" ca="1">IFERROR(_xlfn.XLOOKUP(TableHandbook[[#This Row],[UDC]],INDIRECT("Table"&amp;SUBSTITUTE(O$2,"-","")&amp;"[UDC]",TRUE),INDIRECT("Table"&amp;SUBSTITUTE(O$2,"-","")&amp;"[Component Type]",TRUE)),"")</f>
        <v>Option</v>
      </c>
      <c r="P125" s="152" t="str" cm="1">
        <f t="array" aca="1" ref="P125" ca="1">IFERROR(_xlfn.XLOOKUP(TableHandbook[[#This Row],[UDC]],INDIRECT("Table"&amp;SUBSTITUTE(P$2,"-","")&amp;"[UDC]",TRUE),INDIRECT("Table"&amp;SUBSTITUTE(P$2,"-","")&amp;"[Component Type]",TRUE)),"")</f>
        <v/>
      </c>
      <c r="Q125" s="152" t="str" cm="1">
        <f t="array" aca="1" ref="Q125" ca="1">IFERROR(_xlfn.XLOOKUP(TableHandbook[[#This Row],[UDC]],INDIRECT("Table"&amp;SUBSTITUTE(Q$2,"-","")&amp;"[UDC]",TRUE),INDIRECT("Table"&amp;SUBSTITUTE(Q$2,"-","")&amp;"[Component Type]",TRUE)),"")</f>
        <v/>
      </c>
      <c r="R125" s="152" t="str" cm="1">
        <f t="array" aca="1" ref="R125" ca="1">IFERROR(_xlfn.XLOOKUP(TableHandbook[[#This Row],[UDC]],INDIRECT("Table"&amp;SUBSTITUTE(R$2,"-","")&amp;"[UDC]",TRUE),INDIRECT("Table"&amp;SUBSTITUTE(R$2,"-","")&amp;"[Component Type]",TRUE)),"")</f>
        <v/>
      </c>
      <c r="S125" s="152" t="str" cm="1">
        <f t="array" aca="1" ref="S125" ca="1">IFERROR(_xlfn.XLOOKUP(TableHandbook[[#This Row],[UDC]],INDIRECT("Table"&amp;SUBSTITUTE(S$2,"-","")&amp;"[UDC]",TRUE),INDIRECT("Table"&amp;SUBSTITUTE(S$2,"-","")&amp;"[Component Type]",TRUE)),"")</f>
        <v/>
      </c>
      <c r="T125" s="152" t="str" cm="1">
        <f t="array" aca="1" ref="T125" ca="1">IFERROR(_xlfn.XLOOKUP(TableHandbook[[#This Row],[UDC]],INDIRECT("Table"&amp;SUBSTITUTE(T$2,"-","")&amp;"[UDC]",TRUE),INDIRECT("Table"&amp;SUBSTITUTE(T$2,"-","")&amp;"[Component Type]",TRUE)),"")</f>
        <v/>
      </c>
      <c r="U125" s="152" t="str" cm="1">
        <f t="array" aca="1" ref="U125" ca="1">IFERROR(_xlfn.XLOOKUP(TableHandbook[[#This Row],[UDC]],INDIRECT("Table"&amp;SUBSTITUTE(U$2,"-","")&amp;"[UDC]",TRUE),INDIRECT("Table"&amp;SUBSTITUTE(U$2,"-","")&amp;"[Component Type]",TRUE)),"")</f>
        <v/>
      </c>
      <c r="V125" s="154" t="str" cm="1">
        <f t="array" aca="1" ref="V125" ca="1">IFERROR(_xlfn.XLOOKUP(TableHandbook[[#This Row],[UDC]],INDIRECT("Table"&amp;SUBSTITUTE(V$2,"-","")&amp;"[UDC]",TRUE),INDIRECT("Table"&amp;SUBSTITUTE(V$2,"-","")&amp;"[Component Type]",TRUE)),"")</f>
        <v/>
      </c>
      <c r="W125" s="152" t="str" cm="1">
        <f t="array" aca="1" ref="W125" ca="1">IFERROR(_xlfn.XLOOKUP(TableHandbook[[#This Row],[UDC]],INDIRECT("Table"&amp;SUBSTITUTE(W$2,"-","")&amp;"[UDC]",TRUE),INDIRECT("Table"&amp;SUBSTITUTE(W$2,"-","")&amp;"[Component Type]",TRUE)),"")</f>
        <v/>
      </c>
      <c r="X125" s="152" t="str" cm="1">
        <f t="array" aca="1" ref="X125" ca="1">IFERROR(_xlfn.XLOOKUP(TableHandbook[[#This Row],[UDC]],INDIRECT("Table"&amp;SUBSTITUTE(X$2,"-","")&amp;"[UDC]",TRUE),INDIRECT("Table"&amp;SUBSTITUTE(X$2,"-","")&amp;"[Component Type]",TRUE)),"")</f>
        <v/>
      </c>
      <c r="Y125" s="152" t="str" cm="1">
        <f t="array" aca="1" ref="Y125" ca="1">IFERROR(_xlfn.XLOOKUP(TableHandbook[[#This Row],[UDC]],INDIRECT("Table"&amp;SUBSTITUTE(Y$2,"-","")&amp;"[UDC]",TRUE),INDIRECT("Table"&amp;SUBSTITUTE(Y$2,"-","")&amp;"[Component Type]",TRUE)),"")</f>
        <v/>
      </c>
      <c r="Z125" s="152" t="str" cm="1">
        <f t="array" aca="1" ref="Z125" ca="1">IFERROR(_xlfn.XLOOKUP(TableHandbook[[#This Row],[UDC]],INDIRECT("Table"&amp;SUBSTITUTE(Z$2,"-","")&amp;"[UDC]",TRUE),INDIRECT("Table"&amp;SUBSTITUTE(Z$2,"-","")&amp;"[Component Type]",TRUE)),"")</f>
        <v/>
      </c>
    </row>
    <row r="126" spans="1:26" x14ac:dyDescent="0.25">
      <c r="A126" s="246" t="s">
        <v>628</v>
      </c>
      <c r="B126" s="9">
        <v>1</v>
      </c>
      <c r="C126" s="9"/>
      <c r="D126" s="8" t="s">
        <v>629</v>
      </c>
      <c r="E126" s="9">
        <v>75</v>
      </c>
      <c r="F126" s="265"/>
      <c r="G126" s="72" t="str">
        <f>IFERROR(IF(VLOOKUP(TableHandbook[[#This Row],[UDC]],TableAvailabilities[],2,FALSE)&gt;0,"Y",""),"")</f>
        <v/>
      </c>
      <c r="H126" s="72" t="str">
        <f>IFERROR(IF(VLOOKUP(TableHandbook[[#This Row],[UDC]],TableAvailabilities[],3,FALSE)&gt;0,"Y",""),"")</f>
        <v/>
      </c>
      <c r="I126" s="72" t="str">
        <f>IFERROR(IF(VLOOKUP(TableHandbook[[#This Row],[UDC]],TableAvailabilities[],4,FALSE)&gt;0,"Y",""),"")</f>
        <v/>
      </c>
      <c r="J126" s="72" t="str">
        <f>IFERROR(IF(VLOOKUP(TableHandbook[[#This Row],[UDC]],TableAvailabilities[],5,FALSE)&gt;0,"Y",""),"")</f>
        <v/>
      </c>
      <c r="K126" s="155"/>
      <c r="L126" s="152" t="str" cm="1">
        <f t="array" aca="1" ref="L126" ca="1">IFERROR(_xlfn.XLOOKUP(TableHandbook[[#This Row],[UDC]],INDIRECT("Table"&amp;SUBSTITUTE(L$2,"-","")&amp;"[UDC]",TRUE),INDIRECT("Table"&amp;SUBSTITUTE(L$2,"-","")&amp;"[Component Type]",TRUE)),"")</f>
        <v/>
      </c>
      <c r="M126" s="152" t="str" cm="1">
        <f t="array" aca="1" ref="M126" ca="1">IFERROR(_xlfn.XLOOKUP(TableHandbook[[#This Row],[UDC]],INDIRECT("Table"&amp;SUBSTITUTE(M$2,"-","")&amp;"[UDC]",TRUE),INDIRECT("Table"&amp;SUBSTITUTE(M$2,"-","")&amp;"[Component Type]",TRUE)),"")</f>
        <v/>
      </c>
      <c r="N126" s="154" t="str" cm="1">
        <f t="array" aca="1" ref="N126" ca="1">IFERROR(_xlfn.XLOOKUP(TableHandbook[[#This Row],[UDC]],INDIRECT("Table"&amp;SUBSTITUTE(N$2,"-","")&amp;"[UDC]",TRUE),INDIRECT("Table"&amp;SUBSTITUTE(N$2,"-","")&amp;"[Component Type]",TRUE)),"")</f>
        <v>Option</v>
      </c>
      <c r="O126" s="152" t="str" cm="1">
        <f t="array" aca="1" ref="O126" ca="1">IFERROR(_xlfn.XLOOKUP(TableHandbook[[#This Row],[UDC]],INDIRECT("Table"&amp;SUBSTITUTE(O$2,"-","")&amp;"[UDC]",TRUE),INDIRECT("Table"&amp;SUBSTITUTE(O$2,"-","")&amp;"[Component Type]",TRUE)),"")</f>
        <v>Option</v>
      </c>
      <c r="P126" s="152" t="str" cm="1">
        <f t="array" aca="1" ref="P126" ca="1">IFERROR(_xlfn.XLOOKUP(TableHandbook[[#This Row],[UDC]],INDIRECT("Table"&amp;SUBSTITUTE(P$2,"-","")&amp;"[UDC]",TRUE),INDIRECT("Table"&amp;SUBSTITUTE(P$2,"-","")&amp;"[Component Type]",TRUE)),"")</f>
        <v/>
      </c>
      <c r="Q126" s="152" t="str" cm="1">
        <f t="array" aca="1" ref="Q126" ca="1">IFERROR(_xlfn.XLOOKUP(TableHandbook[[#This Row],[UDC]],INDIRECT("Table"&amp;SUBSTITUTE(Q$2,"-","")&amp;"[UDC]",TRUE),INDIRECT("Table"&amp;SUBSTITUTE(Q$2,"-","")&amp;"[Component Type]",TRUE)),"")</f>
        <v/>
      </c>
      <c r="R126" s="152" t="str" cm="1">
        <f t="array" aca="1" ref="R126" ca="1">IFERROR(_xlfn.XLOOKUP(TableHandbook[[#This Row],[UDC]],INDIRECT("Table"&amp;SUBSTITUTE(R$2,"-","")&amp;"[UDC]",TRUE),INDIRECT("Table"&amp;SUBSTITUTE(R$2,"-","")&amp;"[Component Type]",TRUE)),"")</f>
        <v/>
      </c>
      <c r="S126" s="152" t="str" cm="1">
        <f t="array" aca="1" ref="S126" ca="1">IFERROR(_xlfn.XLOOKUP(TableHandbook[[#This Row],[UDC]],INDIRECT("Table"&amp;SUBSTITUTE(S$2,"-","")&amp;"[UDC]",TRUE),INDIRECT("Table"&amp;SUBSTITUTE(S$2,"-","")&amp;"[Component Type]",TRUE)),"")</f>
        <v/>
      </c>
      <c r="T126" s="152" t="str" cm="1">
        <f t="array" aca="1" ref="T126" ca="1">IFERROR(_xlfn.XLOOKUP(TableHandbook[[#This Row],[UDC]],INDIRECT("Table"&amp;SUBSTITUTE(T$2,"-","")&amp;"[UDC]",TRUE),INDIRECT("Table"&amp;SUBSTITUTE(T$2,"-","")&amp;"[Component Type]",TRUE)),"")</f>
        <v/>
      </c>
      <c r="U126" s="152" t="str" cm="1">
        <f t="array" aca="1" ref="U126" ca="1">IFERROR(_xlfn.XLOOKUP(TableHandbook[[#This Row],[UDC]],INDIRECT("Table"&amp;SUBSTITUTE(U$2,"-","")&amp;"[UDC]",TRUE),INDIRECT("Table"&amp;SUBSTITUTE(U$2,"-","")&amp;"[Component Type]",TRUE)),"")</f>
        <v/>
      </c>
      <c r="V126" s="154" t="str" cm="1">
        <f t="array" aca="1" ref="V126" ca="1">IFERROR(_xlfn.XLOOKUP(TableHandbook[[#This Row],[UDC]],INDIRECT("Table"&amp;SUBSTITUTE(V$2,"-","")&amp;"[UDC]",TRUE),INDIRECT("Table"&amp;SUBSTITUTE(V$2,"-","")&amp;"[Component Type]",TRUE)),"")</f>
        <v/>
      </c>
      <c r="W126" s="152" t="str" cm="1">
        <f t="array" aca="1" ref="W126" ca="1">IFERROR(_xlfn.XLOOKUP(TableHandbook[[#This Row],[UDC]],INDIRECT("Table"&amp;SUBSTITUTE(W$2,"-","")&amp;"[UDC]",TRUE),INDIRECT("Table"&amp;SUBSTITUTE(W$2,"-","")&amp;"[Component Type]",TRUE)),"")</f>
        <v/>
      </c>
      <c r="X126" s="152" t="str" cm="1">
        <f t="array" aca="1" ref="X126" ca="1">IFERROR(_xlfn.XLOOKUP(TableHandbook[[#This Row],[UDC]],INDIRECT("Table"&amp;SUBSTITUTE(X$2,"-","")&amp;"[UDC]",TRUE),INDIRECT("Table"&amp;SUBSTITUTE(X$2,"-","")&amp;"[Component Type]",TRUE)),"")</f>
        <v/>
      </c>
      <c r="Y126" s="152" t="str" cm="1">
        <f t="array" aca="1" ref="Y126" ca="1">IFERROR(_xlfn.XLOOKUP(TableHandbook[[#This Row],[UDC]],INDIRECT("Table"&amp;SUBSTITUTE(Y$2,"-","")&amp;"[UDC]",TRUE),INDIRECT("Table"&amp;SUBSTITUTE(Y$2,"-","")&amp;"[Component Type]",TRUE)),"")</f>
        <v/>
      </c>
      <c r="Z126" s="152" t="str" cm="1">
        <f t="array" aca="1" ref="Z126" ca="1">IFERROR(_xlfn.XLOOKUP(TableHandbook[[#This Row],[UDC]],INDIRECT("Table"&amp;SUBSTITUTE(Z$2,"-","")&amp;"[UDC]",TRUE),INDIRECT("Table"&amp;SUBSTITUTE(Z$2,"-","")&amp;"[Component Type]",TRUE)),"")</f>
        <v/>
      </c>
    </row>
    <row r="127" spans="1:26" x14ac:dyDescent="0.25">
      <c r="A127" s="246" t="s">
        <v>630</v>
      </c>
      <c r="B127" s="9">
        <v>1</v>
      </c>
      <c r="C127" s="9"/>
      <c r="D127" s="8" t="s">
        <v>631</v>
      </c>
      <c r="E127" s="9">
        <v>75</v>
      </c>
      <c r="F127" s="265"/>
      <c r="G127" s="72" t="str">
        <f>IFERROR(IF(VLOOKUP(TableHandbook[[#This Row],[UDC]],TableAvailabilities[],2,FALSE)&gt;0,"Y",""),"")</f>
        <v/>
      </c>
      <c r="H127" s="72" t="str">
        <f>IFERROR(IF(VLOOKUP(TableHandbook[[#This Row],[UDC]],TableAvailabilities[],3,FALSE)&gt;0,"Y",""),"")</f>
        <v/>
      </c>
      <c r="I127" s="72" t="str">
        <f>IFERROR(IF(VLOOKUP(TableHandbook[[#This Row],[UDC]],TableAvailabilities[],4,FALSE)&gt;0,"Y",""),"")</f>
        <v/>
      </c>
      <c r="J127" s="72" t="str">
        <f>IFERROR(IF(VLOOKUP(TableHandbook[[#This Row],[UDC]],TableAvailabilities[],5,FALSE)&gt;0,"Y",""),"")</f>
        <v/>
      </c>
      <c r="K127" s="155"/>
      <c r="L127" s="152" t="str" cm="1">
        <f t="array" aca="1" ref="L127" ca="1">IFERROR(_xlfn.XLOOKUP(TableHandbook[[#This Row],[UDC]],INDIRECT("Table"&amp;SUBSTITUTE(L$2,"-","")&amp;"[UDC]",TRUE),INDIRECT("Table"&amp;SUBSTITUTE(L$2,"-","")&amp;"[Component Type]",TRUE)),"")</f>
        <v/>
      </c>
      <c r="M127" s="152" t="str" cm="1">
        <f t="array" aca="1" ref="M127" ca="1">IFERROR(_xlfn.XLOOKUP(TableHandbook[[#This Row],[UDC]],INDIRECT("Table"&amp;SUBSTITUTE(M$2,"-","")&amp;"[UDC]",TRUE),INDIRECT("Table"&amp;SUBSTITUTE(M$2,"-","")&amp;"[Component Type]",TRUE)),"")</f>
        <v/>
      </c>
      <c r="N127" s="154" t="str" cm="1">
        <f t="array" aca="1" ref="N127" ca="1">IFERROR(_xlfn.XLOOKUP(TableHandbook[[#This Row],[UDC]],INDIRECT("Table"&amp;SUBSTITUTE(N$2,"-","")&amp;"[UDC]",TRUE),INDIRECT("Table"&amp;SUBSTITUTE(N$2,"-","")&amp;"[Component Type]",TRUE)),"")</f>
        <v>Option</v>
      </c>
      <c r="O127" s="152" t="str" cm="1">
        <f t="array" aca="1" ref="O127" ca="1">IFERROR(_xlfn.XLOOKUP(TableHandbook[[#This Row],[UDC]],INDIRECT("Table"&amp;SUBSTITUTE(O$2,"-","")&amp;"[UDC]",TRUE),INDIRECT("Table"&amp;SUBSTITUTE(O$2,"-","")&amp;"[Component Type]",TRUE)),"")</f>
        <v>Option</v>
      </c>
      <c r="P127" s="152" t="str" cm="1">
        <f t="array" aca="1" ref="P127" ca="1">IFERROR(_xlfn.XLOOKUP(TableHandbook[[#This Row],[UDC]],INDIRECT("Table"&amp;SUBSTITUTE(P$2,"-","")&amp;"[UDC]",TRUE),INDIRECT("Table"&amp;SUBSTITUTE(P$2,"-","")&amp;"[Component Type]",TRUE)),"")</f>
        <v/>
      </c>
      <c r="Q127" s="152" t="str" cm="1">
        <f t="array" aca="1" ref="Q127" ca="1">IFERROR(_xlfn.XLOOKUP(TableHandbook[[#This Row],[UDC]],INDIRECT("Table"&amp;SUBSTITUTE(Q$2,"-","")&amp;"[UDC]",TRUE),INDIRECT("Table"&amp;SUBSTITUTE(Q$2,"-","")&amp;"[Component Type]",TRUE)),"")</f>
        <v/>
      </c>
      <c r="R127" s="152" t="str" cm="1">
        <f t="array" aca="1" ref="R127" ca="1">IFERROR(_xlfn.XLOOKUP(TableHandbook[[#This Row],[UDC]],INDIRECT("Table"&amp;SUBSTITUTE(R$2,"-","")&amp;"[UDC]",TRUE),INDIRECT("Table"&amp;SUBSTITUTE(R$2,"-","")&amp;"[Component Type]",TRUE)),"")</f>
        <v/>
      </c>
      <c r="S127" s="152" t="str" cm="1">
        <f t="array" aca="1" ref="S127" ca="1">IFERROR(_xlfn.XLOOKUP(TableHandbook[[#This Row],[UDC]],INDIRECT("Table"&amp;SUBSTITUTE(S$2,"-","")&amp;"[UDC]",TRUE),INDIRECT("Table"&amp;SUBSTITUTE(S$2,"-","")&amp;"[Component Type]",TRUE)),"")</f>
        <v/>
      </c>
      <c r="T127" s="152" t="str" cm="1">
        <f t="array" aca="1" ref="T127" ca="1">IFERROR(_xlfn.XLOOKUP(TableHandbook[[#This Row],[UDC]],INDIRECT("Table"&amp;SUBSTITUTE(T$2,"-","")&amp;"[UDC]",TRUE),INDIRECT("Table"&amp;SUBSTITUTE(T$2,"-","")&amp;"[Component Type]",TRUE)),"")</f>
        <v/>
      </c>
      <c r="U127" s="152" t="str" cm="1">
        <f t="array" aca="1" ref="U127" ca="1">IFERROR(_xlfn.XLOOKUP(TableHandbook[[#This Row],[UDC]],INDIRECT("Table"&amp;SUBSTITUTE(U$2,"-","")&amp;"[UDC]",TRUE),INDIRECT("Table"&amp;SUBSTITUTE(U$2,"-","")&amp;"[Component Type]",TRUE)),"")</f>
        <v/>
      </c>
      <c r="V127" s="154" t="str" cm="1">
        <f t="array" aca="1" ref="V127" ca="1">IFERROR(_xlfn.XLOOKUP(TableHandbook[[#This Row],[UDC]],INDIRECT("Table"&amp;SUBSTITUTE(V$2,"-","")&amp;"[UDC]",TRUE),INDIRECT("Table"&amp;SUBSTITUTE(V$2,"-","")&amp;"[Component Type]",TRUE)),"")</f>
        <v/>
      </c>
      <c r="W127" s="152" t="str" cm="1">
        <f t="array" aca="1" ref="W127" ca="1">IFERROR(_xlfn.XLOOKUP(TableHandbook[[#This Row],[UDC]],INDIRECT("Table"&amp;SUBSTITUTE(W$2,"-","")&amp;"[UDC]",TRUE),INDIRECT("Table"&amp;SUBSTITUTE(W$2,"-","")&amp;"[Component Type]",TRUE)),"")</f>
        <v/>
      </c>
      <c r="X127" s="152" t="str" cm="1">
        <f t="array" aca="1" ref="X127" ca="1">IFERROR(_xlfn.XLOOKUP(TableHandbook[[#This Row],[UDC]],INDIRECT("Table"&amp;SUBSTITUTE(X$2,"-","")&amp;"[UDC]",TRUE),INDIRECT("Table"&amp;SUBSTITUTE(X$2,"-","")&amp;"[Component Type]",TRUE)),"")</f>
        <v/>
      </c>
      <c r="Y127" s="152" t="str" cm="1">
        <f t="array" aca="1" ref="Y127" ca="1">IFERROR(_xlfn.XLOOKUP(TableHandbook[[#This Row],[UDC]],INDIRECT("Table"&amp;SUBSTITUTE(Y$2,"-","")&amp;"[UDC]",TRUE),INDIRECT("Table"&amp;SUBSTITUTE(Y$2,"-","")&amp;"[Component Type]",TRUE)),"")</f>
        <v/>
      </c>
      <c r="Z127" s="152" t="str" cm="1">
        <f t="array" aca="1" ref="Z127" ca="1">IFERROR(_xlfn.XLOOKUP(TableHandbook[[#This Row],[UDC]],INDIRECT("Table"&amp;SUBSTITUTE(Z$2,"-","")&amp;"[UDC]",TRUE),INDIRECT("Table"&amp;SUBSTITUTE(Z$2,"-","")&amp;"[Component Type]",TRUE)),"")</f>
        <v/>
      </c>
    </row>
    <row r="128" spans="1:26" x14ac:dyDescent="0.25">
      <c r="A128" s="8" t="s">
        <v>198</v>
      </c>
      <c r="B128" s="9">
        <v>1</v>
      </c>
      <c r="C128" s="9" t="s">
        <v>427</v>
      </c>
      <c r="D128" s="8" t="s">
        <v>428</v>
      </c>
      <c r="E128" s="9">
        <v>25</v>
      </c>
      <c r="F128" s="266" t="s">
        <v>255</v>
      </c>
      <c r="G128" s="72" t="str">
        <f>IFERROR(IF(VLOOKUP(TableHandbook[[#This Row],[UDC]],TableAvailabilities[],2,FALSE)&gt;0,"Y",""),"")</f>
        <v/>
      </c>
      <c r="H128" s="72" t="str">
        <f>IFERROR(IF(VLOOKUP(TableHandbook[[#This Row],[UDC]],TableAvailabilities[],3,FALSE)&gt;0,"Y",""),"")</f>
        <v>Y</v>
      </c>
      <c r="I128" s="72" t="str">
        <f>IFERROR(IF(VLOOKUP(TableHandbook[[#This Row],[UDC]],TableAvailabilities[],4,FALSE)&gt;0,"Y",""),"")</f>
        <v/>
      </c>
      <c r="J128" s="72" t="str">
        <f>IFERROR(IF(VLOOKUP(TableHandbook[[#This Row],[UDC]],TableAvailabilities[],5,FALSE)&gt;0,"Y",""),"")</f>
        <v>Y</v>
      </c>
      <c r="K128" s="155"/>
      <c r="L128" s="152" t="str" cm="1">
        <f t="array" aca="1" ref="L128" ca="1">IFERROR(_xlfn.XLOOKUP(TableHandbook[[#This Row],[UDC]],INDIRECT("Table"&amp;SUBSTITUTE(L$2,"-","")&amp;"[UDC]",TRUE),INDIRECT("Table"&amp;SUBSTITUTE(L$2,"-","")&amp;"[Component Type]",TRUE)),"")</f>
        <v/>
      </c>
      <c r="M128" s="152" t="str" cm="1">
        <f t="array" aca="1" ref="M128" ca="1">IFERROR(_xlfn.XLOOKUP(TableHandbook[[#This Row],[UDC]],INDIRECT("Table"&amp;SUBSTITUTE(M$2,"-","")&amp;"[UDC]",TRUE),INDIRECT("Table"&amp;SUBSTITUTE(M$2,"-","")&amp;"[Component Type]",TRUE)),"")</f>
        <v/>
      </c>
      <c r="N128" s="154" t="str" cm="1">
        <f t="array" aca="1" ref="N128" ca="1">IFERROR(_xlfn.XLOOKUP(TableHandbook[[#This Row],[UDC]],INDIRECT("Table"&amp;SUBSTITUTE(N$2,"-","")&amp;"[UDC]",TRUE),INDIRECT("Table"&amp;SUBSTITUTE(N$2,"-","")&amp;"[Component Type]",TRUE)),"")</f>
        <v/>
      </c>
      <c r="O128" s="152" t="str" cm="1">
        <f t="array" aca="1" ref="O128" ca="1">IFERROR(_xlfn.XLOOKUP(TableHandbook[[#This Row],[UDC]],INDIRECT("Table"&amp;SUBSTITUTE(O$2,"-","")&amp;"[UDC]",TRUE),INDIRECT("Table"&amp;SUBSTITUTE(O$2,"-","")&amp;"[Component Type]",TRUE)),"")</f>
        <v/>
      </c>
      <c r="P128" s="152" t="str" cm="1">
        <f t="array" aca="1" ref="P128" ca="1">IFERROR(_xlfn.XLOOKUP(TableHandbook[[#This Row],[UDC]],INDIRECT("Table"&amp;SUBSTITUTE(P$2,"-","")&amp;"[UDC]",TRUE),INDIRECT("Table"&amp;SUBSTITUTE(P$2,"-","")&amp;"[Component Type]",TRUE)),"")</f>
        <v/>
      </c>
      <c r="Q128" s="152" t="str" cm="1">
        <f t="array" aca="1" ref="Q128" ca="1">IFERROR(_xlfn.XLOOKUP(TableHandbook[[#This Row],[UDC]],INDIRECT("Table"&amp;SUBSTITUTE(Q$2,"-","")&amp;"[UDC]",TRUE),INDIRECT("Table"&amp;SUBSTITUTE(Q$2,"-","")&amp;"[Component Type]",TRUE)),"")</f>
        <v/>
      </c>
      <c r="R128" s="152" t="str" cm="1">
        <f t="array" aca="1" ref="R128" ca="1">IFERROR(_xlfn.XLOOKUP(TableHandbook[[#This Row],[UDC]],INDIRECT("Table"&amp;SUBSTITUTE(R$2,"-","")&amp;"[UDC]",TRUE),INDIRECT("Table"&amp;SUBSTITUTE(R$2,"-","")&amp;"[Component Type]",TRUE)),"")</f>
        <v/>
      </c>
      <c r="S128" s="152" t="str" cm="1">
        <f t="array" aca="1" ref="S128" ca="1">IFERROR(_xlfn.XLOOKUP(TableHandbook[[#This Row],[UDC]],INDIRECT("Table"&amp;SUBSTITUTE(S$2,"-","")&amp;"[UDC]",TRUE),INDIRECT("Table"&amp;SUBSTITUTE(S$2,"-","")&amp;"[Component Type]",TRUE)),"")</f>
        <v/>
      </c>
      <c r="T128" s="152" t="str" cm="1">
        <f t="array" aca="1" ref="T128" ca="1">IFERROR(_xlfn.XLOOKUP(TableHandbook[[#This Row],[UDC]],INDIRECT("Table"&amp;SUBSTITUTE(T$2,"-","")&amp;"[UDC]",TRUE),INDIRECT("Table"&amp;SUBSTITUTE(T$2,"-","")&amp;"[Component Type]",TRUE)),"")</f>
        <v/>
      </c>
      <c r="U128" s="152" t="str" cm="1">
        <f t="array" aca="1" ref="U128" ca="1">IFERROR(_xlfn.XLOOKUP(TableHandbook[[#This Row],[UDC]],INDIRECT("Table"&amp;SUBSTITUTE(U$2,"-","")&amp;"[UDC]",TRUE),INDIRECT("Table"&amp;SUBSTITUTE(U$2,"-","")&amp;"[Component Type]",TRUE)),"")</f>
        <v/>
      </c>
      <c r="V128" s="154" t="str" cm="1">
        <f t="array" aca="1" ref="V128" ca="1">IFERROR(_xlfn.XLOOKUP(TableHandbook[[#This Row],[UDC]],INDIRECT("Table"&amp;SUBSTITUTE(V$2,"-","")&amp;"[UDC]",TRUE),INDIRECT("Table"&amp;SUBSTITUTE(V$2,"-","")&amp;"[Component Type]",TRUE)),"")</f>
        <v/>
      </c>
      <c r="W128" s="152" t="str" cm="1">
        <f t="array" aca="1" ref="W128" ca="1">IFERROR(_xlfn.XLOOKUP(TableHandbook[[#This Row],[UDC]],INDIRECT("Table"&amp;SUBSTITUTE(W$2,"-","")&amp;"[UDC]",TRUE),INDIRECT("Table"&amp;SUBSTITUTE(W$2,"-","")&amp;"[Component Type]",TRUE)),"")</f>
        <v/>
      </c>
      <c r="X128" s="152" t="str" cm="1">
        <f t="array" aca="1" ref="X128" ca="1">IFERROR(_xlfn.XLOOKUP(TableHandbook[[#This Row],[UDC]],INDIRECT("Table"&amp;SUBSTITUTE(X$2,"-","")&amp;"[UDC]",TRUE),INDIRECT("Table"&amp;SUBSTITUTE(X$2,"-","")&amp;"[Component Type]",TRUE)),"")</f>
        <v/>
      </c>
      <c r="Y128" s="152" t="str" cm="1">
        <f t="array" aca="1" ref="Y128" ca="1">IFERROR(_xlfn.XLOOKUP(TableHandbook[[#This Row],[UDC]],INDIRECT("Table"&amp;SUBSTITUTE(Y$2,"-","")&amp;"[UDC]",TRUE),INDIRECT("Table"&amp;SUBSTITUTE(Y$2,"-","")&amp;"[Component Type]",TRUE)),"")</f>
        <v/>
      </c>
      <c r="Z128" s="152" t="str" cm="1">
        <f t="array" aca="1" ref="Z128" ca="1">IFERROR(_xlfn.XLOOKUP(TableHandbook[[#This Row],[UDC]],INDIRECT("Table"&amp;SUBSTITUTE(Z$2,"-","")&amp;"[UDC]",TRUE),INDIRECT("Table"&amp;SUBSTITUTE(Z$2,"-","")&amp;"[Component Type]",TRUE)),"")</f>
        <v>Core</v>
      </c>
    </row>
    <row r="129" spans="1:26" x14ac:dyDescent="0.25">
      <c r="A129" s="8" t="s">
        <v>223</v>
      </c>
      <c r="B129" s="9">
        <v>1</v>
      </c>
      <c r="C129" s="9" t="s">
        <v>429</v>
      </c>
      <c r="D129" s="8" t="s">
        <v>430</v>
      </c>
      <c r="E129" s="9">
        <v>25</v>
      </c>
      <c r="F129" s="266" t="s">
        <v>255</v>
      </c>
      <c r="G129" s="72" t="str">
        <f>IFERROR(IF(VLOOKUP(TableHandbook[[#This Row],[UDC]],TableAvailabilities[],2,FALSE)&gt;0,"Y",""),"")</f>
        <v/>
      </c>
      <c r="H129" s="72" t="str">
        <f>IFERROR(IF(VLOOKUP(TableHandbook[[#This Row],[UDC]],TableAvailabilities[],3,FALSE)&gt;0,"Y",""),"")</f>
        <v/>
      </c>
      <c r="I129" s="72" t="str">
        <f>IFERROR(IF(VLOOKUP(TableHandbook[[#This Row],[UDC]],TableAvailabilities[],4,FALSE)&gt;0,"Y",""),"")</f>
        <v>Y</v>
      </c>
      <c r="J129" s="72" t="str">
        <f>IFERROR(IF(VLOOKUP(TableHandbook[[#This Row],[UDC]],TableAvailabilities[],5,FALSE)&gt;0,"Y",""),"")</f>
        <v/>
      </c>
      <c r="K129" s="155"/>
      <c r="L129" s="152" t="str" cm="1">
        <f t="array" aca="1" ref="L129" ca="1">IFERROR(_xlfn.XLOOKUP(TableHandbook[[#This Row],[UDC]],INDIRECT("Table"&amp;SUBSTITUTE(L$2,"-","")&amp;"[UDC]",TRUE),INDIRECT("Table"&amp;SUBSTITUTE(L$2,"-","")&amp;"[Component Type]",TRUE)),"")</f>
        <v/>
      </c>
      <c r="M129" s="152" t="str" cm="1">
        <f t="array" aca="1" ref="M129" ca="1">IFERROR(_xlfn.XLOOKUP(TableHandbook[[#This Row],[UDC]],INDIRECT("Table"&amp;SUBSTITUTE(M$2,"-","")&amp;"[UDC]",TRUE),INDIRECT("Table"&amp;SUBSTITUTE(M$2,"-","")&amp;"[Component Type]",TRUE)),"")</f>
        <v/>
      </c>
      <c r="N129" s="154" t="str" cm="1">
        <f t="array" aca="1" ref="N129" ca="1">IFERROR(_xlfn.XLOOKUP(TableHandbook[[#This Row],[UDC]],INDIRECT("Table"&amp;SUBSTITUTE(N$2,"-","")&amp;"[UDC]",TRUE),INDIRECT("Table"&amp;SUBSTITUTE(N$2,"-","")&amp;"[Component Type]",TRUE)),"")</f>
        <v/>
      </c>
      <c r="O129" s="152" t="str" cm="1">
        <f t="array" aca="1" ref="O129" ca="1">IFERROR(_xlfn.XLOOKUP(TableHandbook[[#This Row],[UDC]],INDIRECT("Table"&amp;SUBSTITUTE(O$2,"-","")&amp;"[UDC]",TRUE),INDIRECT("Table"&amp;SUBSTITUTE(O$2,"-","")&amp;"[Component Type]",TRUE)),"")</f>
        <v/>
      </c>
      <c r="P129" s="152" t="str" cm="1">
        <f t="array" aca="1" ref="P129" ca="1">IFERROR(_xlfn.XLOOKUP(TableHandbook[[#This Row],[UDC]],INDIRECT("Table"&amp;SUBSTITUTE(P$2,"-","")&amp;"[UDC]",TRUE),INDIRECT("Table"&amp;SUBSTITUTE(P$2,"-","")&amp;"[Component Type]",TRUE)),"")</f>
        <v/>
      </c>
      <c r="Q129" s="152" t="str" cm="1">
        <f t="array" aca="1" ref="Q129" ca="1">IFERROR(_xlfn.XLOOKUP(TableHandbook[[#This Row],[UDC]],INDIRECT("Table"&amp;SUBSTITUTE(Q$2,"-","")&amp;"[UDC]",TRUE),INDIRECT("Table"&amp;SUBSTITUTE(Q$2,"-","")&amp;"[Component Type]",TRUE)),"")</f>
        <v/>
      </c>
      <c r="R129" s="152" t="str" cm="1">
        <f t="array" aca="1" ref="R129" ca="1">IFERROR(_xlfn.XLOOKUP(TableHandbook[[#This Row],[UDC]],INDIRECT("Table"&amp;SUBSTITUTE(R$2,"-","")&amp;"[UDC]",TRUE),INDIRECT("Table"&amp;SUBSTITUTE(R$2,"-","")&amp;"[Component Type]",TRUE)),"")</f>
        <v/>
      </c>
      <c r="S129" s="152" t="str" cm="1">
        <f t="array" aca="1" ref="S129" ca="1">IFERROR(_xlfn.XLOOKUP(TableHandbook[[#This Row],[UDC]],INDIRECT("Table"&amp;SUBSTITUTE(S$2,"-","")&amp;"[UDC]",TRUE),INDIRECT("Table"&amp;SUBSTITUTE(S$2,"-","")&amp;"[Component Type]",TRUE)),"")</f>
        <v/>
      </c>
      <c r="T129" s="152" t="str" cm="1">
        <f t="array" aca="1" ref="T129" ca="1">IFERROR(_xlfn.XLOOKUP(TableHandbook[[#This Row],[UDC]],INDIRECT("Table"&amp;SUBSTITUTE(T$2,"-","")&amp;"[UDC]",TRUE),INDIRECT("Table"&amp;SUBSTITUTE(T$2,"-","")&amp;"[Component Type]",TRUE)),"")</f>
        <v/>
      </c>
      <c r="U129" s="152" t="str" cm="1">
        <f t="array" aca="1" ref="U129" ca="1">IFERROR(_xlfn.XLOOKUP(TableHandbook[[#This Row],[UDC]],INDIRECT("Table"&amp;SUBSTITUTE(U$2,"-","")&amp;"[UDC]",TRUE),INDIRECT("Table"&amp;SUBSTITUTE(U$2,"-","")&amp;"[Component Type]",TRUE)),"")</f>
        <v/>
      </c>
      <c r="V129" s="154" t="str" cm="1">
        <f t="array" aca="1" ref="V129" ca="1">IFERROR(_xlfn.XLOOKUP(TableHandbook[[#This Row],[UDC]],INDIRECT("Table"&amp;SUBSTITUTE(V$2,"-","")&amp;"[UDC]",TRUE),INDIRECT("Table"&amp;SUBSTITUTE(V$2,"-","")&amp;"[Component Type]",TRUE)),"")</f>
        <v/>
      </c>
      <c r="W129" s="152" t="str" cm="1">
        <f t="array" aca="1" ref="W129" ca="1">IFERROR(_xlfn.XLOOKUP(TableHandbook[[#This Row],[UDC]],INDIRECT("Table"&amp;SUBSTITUTE(W$2,"-","")&amp;"[UDC]",TRUE),INDIRECT("Table"&amp;SUBSTITUTE(W$2,"-","")&amp;"[Component Type]",TRUE)),"")</f>
        <v/>
      </c>
      <c r="X129" s="152" t="str" cm="1">
        <f t="array" aca="1" ref="X129" ca="1">IFERROR(_xlfn.XLOOKUP(TableHandbook[[#This Row],[UDC]],INDIRECT("Table"&amp;SUBSTITUTE(X$2,"-","")&amp;"[UDC]",TRUE),INDIRECT("Table"&amp;SUBSTITUTE(X$2,"-","")&amp;"[Component Type]",TRUE)),"")</f>
        <v/>
      </c>
      <c r="Y129" s="152" t="str" cm="1">
        <f t="array" aca="1" ref="Y129" ca="1">IFERROR(_xlfn.XLOOKUP(TableHandbook[[#This Row],[UDC]],INDIRECT("Table"&amp;SUBSTITUTE(Y$2,"-","")&amp;"[UDC]",TRUE),INDIRECT("Table"&amp;SUBSTITUTE(Y$2,"-","")&amp;"[Component Type]",TRUE)),"")</f>
        <v/>
      </c>
      <c r="Z129" s="152" t="str" cm="1">
        <f t="array" aca="1" ref="Z129" ca="1">IFERROR(_xlfn.XLOOKUP(TableHandbook[[#This Row],[UDC]],INDIRECT("Table"&amp;SUBSTITUTE(Z$2,"-","")&amp;"[UDC]",TRUE),INDIRECT("Table"&amp;SUBSTITUTE(Z$2,"-","")&amp;"[Component Type]",TRUE)),"")</f>
        <v>AltCore</v>
      </c>
    </row>
    <row r="130" spans="1:26" x14ac:dyDescent="0.25">
      <c r="A130" s="8" t="s">
        <v>229</v>
      </c>
      <c r="B130" s="9">
        <v>3</v>
      </c>
      <c r="C130" s="9" t="s">
        <v>431</v>
      </c>
      <c r="D130" s="8" t="s">
        <v>432</v>
      </c>
      <c r="E130" s="9">
        <v>25</v>
      </c>
      <c r="F130" s="266" t="s">
        <v>255</v>
      </c>
      <c r="G130" s="72" t="str">
        <f>IFERROR(IF(VLOOKUP(TableHandbook[[#This Row],[UDC]],TableAvailabilities[],2,FALSE)&gt;0,"Y",""),"")</f>
        <v/>
      </c>
      <c r="H130" s="72" t="str">
        <f>IFERROR(IF(VLOOKUP(TableHandbook[[#This Row],[UDC]],TableAvailabilities[],3,FALSE)&gt;0,"Y",""),"")</f>
        <v/>
      </c>
      <c r="I130" s="72" t="str">
        <f>IFERROR(IF(VLOOKUP(TableHandbook[[#This Row],[UDC]],TableAvailabilities[],4,FALSE)&gt;0,"Y",""),"")</f>
        <v>Y</v>
      </c>
      <c r="J130" s="72" t="str">
        <f>IFERROR(IF(VLOOKUP(TableHandbook[[#This Row],[UDC]],TableAvailabilities[],5,FALSE)&gt;0,"Y",""),"")</f>
        <v/>
      </c>
      <c r="K130" s="155"/>
      <c r="L130" s="152" t="str" cm="1">
        <f t="array" aca="1" ref="L130" ca="1">IFERROR(_xlfn.XLOOKUP(TableHandbook[[#This Row],[UDC]],INDIRECT("Table"&amp;SUBSTITUTE(L$2,"-","")&amp;"[UDC]",TRUE),INDIRECT("Table"&amp;SUBSTITUTE(L$2,"-","")&amp;"[Component Type]",TRUE)),"")</f>
        <v/>
      </c>
      <c r="M130" s="152" t="str" cm="1">
        <f t="array" aca="1" ref="M130" ca="1">IFERROR(_xlfn.XLOOKUP(TableHandbook[[#This Row],[UDC]],INDIRECT("Table"&amp;SUBSTITUTE(M$2,"-","")&amp;"[UDC]",TRUE),INDIRECT("Table"&amp;SUBSTITUTE(M$2,"-","")&amp;"[Component Type]",TRUE)),"")</f>
        <v/>
      </c>
      <c r="N130" s="154" t="str" cm="1">
        <f t="array" aca="1" ref="N130" ca="1">IFERROR(_xlfn.XLOOKUP(TableHandbook[[#This Row],[UDC]],INDIRECT("Table"&amp;SUBSTITUTE(N$2,"-","")&amp;"[UDC]",TRUE),INDIRECT("Table"&amp;SUBSTITUTE(N$2,"-","")&amp;"[Component Type]",TRUE)),"")</f>
        <v/>
      </c>
      <c r="O130" s="152" t="str" cm="1">
        <f t="array" aca="1" ref="O130" ca="1">IFERROR(_xlfn.XLOOKUP(TableHandbook[[#This Row],[UDC]],INDIRECT("Table"&amp;SUBSTITUTE(O$2,"-","")&amp;"[UDC]",TRUE),INDIRECT("Table"&amp;SUBSTITUTE(O$2,"-","")&amp;"[Component Type]",TRUE)),"")</f>
        <v/>
      </c>
      <c r="P130" s="152" t="str" cm="1">
        <f t="array" aca="1" ref="P130" ca="1">IFERROR(_xlfn.XLOOKUP(TableHandbook[[#This Row],[UDC]],INDIRECT("Table"&amp;SUBSTITUTE(P$2,"-","")&amp;"[UDC]",TRUE),INDIRECT("Table"&amp;SUBSTITUTE(P$2,"-","")&amp;"[Component Type]",TRUE)),"")</f>
        <v/>
      </c>
      <c r="Q130" s="152" t="str" cm="1">
        <f t="array" aca="1" ref="Q130" ca="1">IFERROR(_xlfn.XLOOKUP(TableHandbook[[#This Row],[UDC]],INDIRECT("Table"&amp;SUBSTITUTE(Q$2,"-","")&amp;"[UDC]",TRUE),INDIRECT("Table"&amp;SUBSTITUTE(Q$2,"-","")&amp;"[Component Type]",TRUE)),"")</f>
        <v/>
      </c>
      <c r="R130" s="152" t="str" cm="1">
        <f t="array" aca="1" ref="R130" ca="1">IFERROR(_xlfn.XLOOKUP(TableHandbook[[#This Row],[UDC]],INDIRECT("Table"&amp;SUBSTITUTE(R$2,"-","")&amp;"[UDC]",TRUE),INDIRECT("Table"&amp;SUBSTITUTE(R$2,"-","")&amp;"[Component Type]",TRUE)),"")</f>
        <v/>
      </c>
      <c r="S130" s="152" t="str" cm="1">
        <f t="array" aca="1" ref="S130" ca="1">IFERROR(_xlfn.XLOOKUP(TableHandbook[[#This Row],[UDC]],INDIRECT("Table"&amp;SUBSTITUTE(S$2,"-","")&amp;"[UDC]",TRUE),INDIRECT("Table"&amp;SUBSTITUTE(S$2,"-","")&amp;"[Component Type]",TRUE)),"")</f>
        <v/>
      </c>
      <c r="T130" s="152" t="str" cm="1">
        <f t="array" aca="1" ref="T130" ca="1">IFERROR(_xlfn.XLOOKUP(TableHandbook[[#This Row],[UDC]],INDIRECT("Table"&amp;SUBSTITUTE(T$2,"-","")&amp;"[UDC]",TRUE),INDIRECT("Table"&amp;SUBSTITUTE(T$2,"-","")&amp;"[Component Type]",TRUE)),"")</f>
        <v/>
      </c>
      <c r="U130" s="152" t="str" cm="1">
        <f t="array" aca="1" ref="U130" ca="1">IFERROR(_xlfn.XLOOKUP(TableHandbook[[#This Row],[UDC]],INDIRECT("Table"&amp;SUBSTITUTE(U$2,"-","")&amp;"[UDC]",TRUE),INDIRECT("Table"&amp;SUBSTITUTE(U$2,"-","")&amp;"[Component Type]",TRUE)),"")</f>
        <v/>
      </c>
      <c r="V130" s="154" t="str" cm="1">
        <f t="array" aca="1" ref="V130" ca="1">IFERROR(_xlfn.XLOOKUP(TableHandbook[[#This Row],[UDC]],INDIRECT("Table"&amp;SUBSTITUTE(V$2,"-","")&amp;"[UDC]",TRUE),INDIRECT("Table"&amp;SUBSTITUTE(V$2,"-","")&amp;"[Component Type]",TRUE)),"")</f>
        <v/>
      </c>
      <c r="W130" s="152" t="str" cm="1">
        <f t="array" aca="1" ref="W130" ca="1">IFERROR(_xlfn.XLOOKUP(TableHandbook[[#This Row],[UDC]],INDIRECT("Table"&amp;SUBSTITUTE(W$2,"-","")&amp;"[UDC]",TRUE),INDIRECT("Table"&amp;SUBSTITUTE(W$2,"-","")&amp;"[Component Type]",TRUE)),"")</f>
        <v/>
      </c>
      <c r="X130" s="152" t="str" cm="1">
        <f t="array" aca="1" ref="X130" ca="1">IFERROR(_xlfn.XLOOKUP(TableHandbook[[#This Row],[UDC]],INDIRECT("Table"&amp;SUBSTITUTE(X$2,"-","")&amp;"[UDC]",TRUE),INDIRECT("Table"&amp;SUBSTITUTE(X$2,"-","")&amp;"[Component Type]",TRUE)),"")</f>
        <v/>
      </c>
      <c r="Y130" s="152" t="str" cm="1">
        <f t="array" aca="1" ref="Y130" ca="1">IFERROR(_xlfn.XLOOKUP(TableHandbook[[#This Row],[UDC]],INDIRECT("Table"&amp;SUBSTITUTE(Y$2,"-","")&amp;"[UDC]",TRUE),INDIRECT("Table"&amp;SUBSTITUTE(Y$2,"-","")&amp;"[Component Type]",TRUE)),"")</f>
        <v/>
      </c>
      <c r="Z130" s="152" t="str" cm="1">
        <f t="array" aca="1" ref="Z130" ca="1">IFERROR(_xlfn.XLOOKUP(TableHandbook[[#This Row],[UDC]],INDIRECT("Table"&amp;SUBSTITUTE(Z$2,"-","")&amp;"[UDC]",TRUE),INDIRECT("Table"&amp;SUBSTITUTE(Z$2,"-","")&amp;"[Component Type]",TRUE)),"")</f>
        <v>AltCore</v>
      </c>
    </row>
    <row r="131" spans="1:26" x14ac:dyDescent="0.25">
      <c r="A131" s="8" t="s">
        <v>691</v>
      </c>
      <c r="B131" s="9">
        <v>2</v>
      </c>
      <c r="C131" s="9" t="s">
        <v>433</v>
      </c>
      <c r="D131" s="8" t="s">
        <v>434</v>
      </c>
      <c r="E131" s="9">
        <v>25</v>
      </c>
      <c r="F131" s="266" t="s">
        <v>255</v>
      </c>
      <c r="G131" s="72" t="str">
        <f>IFERROR(IF(VLOOKUP(TableHandbook[[#This Row],[UDC]],TableAvailabilities[],2,FALSE)&gt;0,"Y",""),"")</f>
        <v/>
      </c>
      <c r="H131" s="72" t="str">
        <f>IFERROR(IF(VLOOKUP(TableHandbook[[#This Row],[UDC]],TableAvailabilities[],3,FALSE)&gt;0,"Y",""),"")</f>
        <v/>
      </c>
      <c r="I131" s="72" t="str">
        <f>IFERROR(IF(VLOOKUP(TableHandbook[[#This Row],[UDC]],TableAvailabilities[],4,FALSE)&gt;0,"Y",""),"")</f>
        <v/>
      </c>
      <c r="J131" s="72" t="str">
        <f>IFERROR(IF(VLOOKUP(TableHandbook[[#This Row],[UDC]],TableAvailabilities[],5,FALSE)&gt;0,"Y",""),"")</f>
        <v/>
      </c>
      <c r="K131" s="155" t="s">
        <v>654</v>
      </c>
      <c r="L131" s="152" t="str" cm="1">
        <f t="array" aca="1" ref="L131" ca="1">IFERROR(_xlfn.XLOOKUP(TableHandbook[[#This Row],[UDC]],INDIRECT("Table"&amp;SUBSTITUTE(L$2,"-","")&amp;"[UDC]",TRUE),INDIRECT("Table"&amp;SUBSTITUTE(L$2,"-","")&amp;"[Component Type]",TRUE)),"")</f>
        <v/>
      </c>
      <c r="M131" s="152" t="str" cm="1">
        <f t="array" aca="1" ref="M131" ca="1">IFERROR(_xlfn.XLOOKUP(TableHandbook[[#This Row],[UDC]],INDIRECT("Table"&amp;SUBSTITUTE(M$2,"-","")&amp;"[UDC]",TRUE),INDIRECT("Table"&amp;SUBSTITUTE(M$2,"-","")&amp;"[Component Type]",TRUE)),"")</f>
        <v/>
      </c>
      <c r="N131" s="154" t="str" cm="1">
        <f t="array" aca="1" ref="N131" ca="1">IFERROR(_xlfn.XLOOKUP(TableHandbook[[#This Row],[UDC]],INDIRECT("Table"&amp;SUBSTITUTE(N$2,"-","")&amp;"[UDC]",TRUE),INDIRECT("Table"&amp;SUBSTITUTE(N$2,"-","")&amp;"[Component Type]",TRUE)),"")</f>
        <v/>
      </c>
      <c r="O131" s="152" t="str" cm="1">
        <f t="array" aca="1" ref="O131" ca="1">IFERROR(_xlfn.XLOOKUP(TableHandbook[[#This Row],[UDC]],INDIRECT("Table"&amp;SUBSTITUTE(O$2,"-","")&amp;"[UDC]",TRUE),INDIRECT("Table"&amp;SUBSTITUTE(O$2,"-","")&amp;"[Component Type]",TRUE)),"")</f>
        <v/>
      </c>
      <c r="P131" s="152" t="str" cm="1">
        <f t="array" aca="1" ref="P131" ca="1">IFERROR(_xlfn.XLOOKUP(TableHandbook[[#This Row],[UDC]],INDIRECT("Table"&amp;SUBSTITUTE(P$2,"-","")&amp;"[UDC]",TRUE),INDIRECT("Table"&amp;SUBSTITUTE(P$2,"-","")&amp;"[Component Type]",TRUE)),"")</f>
        <v/>
      </c>
      <c r="Q131" s="152" t="str" cm="1">
        <f t="array" aca="1" ref="Q131" ca="1">IFERROR(_xlfn.XLOOKUP(TableHandbook[[#This Row],[UDC]],INDIRECT("Table"&amp;SUBSTITUTE(Q$2,"-","")&amp;"[UDC]",TRUE),INDIRECT("Table"&amp;SUBSTITUTE(Q$2,"-","")&amp;"[Component Type]",TRUE)),"")</f>
        <v/>
      </c>
      <c r="R131" s="152" t="str" cm="1">
        <f t="array" aca="1" ref="R131" ca="1">IFERROR(_xlfn.XLOOKUP(TableHandbook[[#This Row],[UDC]],INDIRECT("Table"&amp;SUBSTITUTE(R$2,"-","")&amp;"[UDC]",TRUE),INDIRECT("Table"&amp;SUBSTITUTE(R$2,"-","")&amp;"[Component Type]",TRUE)),"")</f>
        <v/>
      </c>
      <c r="S131" s="152" t="str" cm="1">
        <f t="array" aca="1" ref="S131" ca="1">IFERROR(_xlfn.XLOOKUP(TableHandbook[[#This Row],[UDC]],INDIRECT("Table"&amp;SUBSTITUTE(S$2,"-","")&amp;"[UDC]",TRUE),INDIRECT("Table"&amp;SUBSTITUTE(S$2,"-","")&amp;"[Component Type]",TRUE)),"")</f>
        <v/>
      </c>
      <c r="T131" s="152" t="str" cm="1">
        <f t="array" aca="1" ref="T131" ca="1">IFERROR(_xlfn.XLOOKUP(TableHandbook[[#This Row],[UDC]],INDIRECT("Table"&amp;SUBSTITUTE(T$2,"-","")&amp;"[UDC]",TRUE),INDIRECT("Table"&amp;SUBSTITUTE(T$2,"-","")&amp;"[Component Type]",TRUE)),"")</f>
        <v/>
      </c>
      <c r="U131" s="152" t="str" cm="1">
        <f t="array" aca="1" ref="U131" ca="1">IFERROR(_xlfn.XLOOKUP(TableHandbook[[#This Row],[UDC]],INDIRECT("Table"&amp;SUBSTITUTE(U$2,"-","")&amp;"[UDC]",TRUE),INDIRECT("Table"&amp;SUBSTITUTE(U$2,"-","")&amp;"[Component Type]",TRUE)),"")</f>
        <v/>
      </c>
      <c r="V131" s="154" t="str" cm="1">
        <f t="array" aca="1" ref="V131" ca="1">IFERROR(_xlfn.XLOOKUP(TableHandbook[[#This Row],[UDC]],INDIRECT("Table"&amp;SUBSTITUTE(V$2,"-","")&amp;"[UDC]",TRUE),INDIRECT("Table"&amp;SUBSTITUTE(V$2,"-","")&amp;"[Component Type]",TRUE)),"")</f>
        <v/>
      </c>
      <c r="W131" s="152" t="str" cm="1">
        <f t="array" aca="1" ref="W131" ca="1">IFERROR(_xlfn.XLOOKUP(TableHandbook[[#This Row],[UDC]],INDIRECT("Table"&amp;SUBSTITUTE(W$2,"-","")&amp;"[UDC]",TRUE),INDIRECT("Table"&amp;SUBSTITUTE(W$2,"-","")&amp;"[Component Type]",TRUE)),"")</f>
        <v/>
      </c>
      <c r="X131" s="152" t="str" cm="1">
        <f t="array" aca="1" ref="X131" ca="1">IFERROR(_xlfn.XLOOKUP(TableHandbook[[#This Row],[UDC]],INDIRECT("Table"&amp;SUBSTITUTE(X$2,"-","")&amp;"[UDC]",TRUE),INDIRECT("Table"&amp;SUBSTITUTE(X$2,"-","")&amp;"[Component Type]",TRUE)),"")</f>
        <v/>
      </c>
      <c r="Y131" s="152" t="str" cm="1">
        <f t="array" aca="1" ref="Y131" ca="1">IFERROR(_xlfn.XLOOKUP(TableHandbook[[#This Row],[UDC]],INDIRECT("Table"&amp;SUBSTITUTE(Y$2,"-","")&amp;"[UDC]",TRUE),INDIRECT("Table"&amp;SUBSTITUTE(Y$2,"-","")&amp;"[Component Type]",TRUE)),"")</f>
        <v/>
      </c>
      <c r="Z131" s="152" t="str" cm="1">
        <f t="array" aca="1" ref="Z131" ca="1">IFERROR(_xlfn.XLOOKUP(TableHandbook[[#This Row],[UDC]],INDIRECT("Table"&amp;SUBSTITUTE(Z$2,"-","")&amp;"[UDC]",TRUE),INDIRECT("Table"&amp;SUBSTITUTE(Z$2,"-","")&amp;"[Component Type]",TRUE)),"")</f>
        <v/>
      </c>
    </row>
    <row r="132" spans="1:26" x14ac:dyDescent="0.25">
      <c r="A132" s="8" t="s">
        <v>151</v>
      </c>
      <c r="B132" s="9"/>
      <c r="C132" s="9"/>
      <c r="D132" s="8" t="s">
        <v>435</v>
      </c>
      <c r="E132" s="9"/>
      <c r="F132" s="265"/>
      <c r="G132" s="72" t="str">
        <f>IFERROR(IF(VLOOKUP(TableHandbook[[#This Row],[UDC]],TableAvailabilities[],2,FALSE)&gt;0,"Y",""),"")</f>
        <v/>
      </c>
      <c r="H132" s="72" t="str">
        <f>IFERROR(IF(VLOOKUP(TableHandbook[[#This Row],[UDC]],TableAvailabilities[],3,FALSE)&gt;0,"Y",""),"")</f>
        <v/>
      </c>
      <c r="I132" s="72" t="str">
        <f>IFERROR(IF(VLOOKUP(TableHandbook[[#This Row],[UDC]],TableAvailabilities[],4,FALSE)&gt;0,"Y",""),"")</f>
        <v/>
      </c>
      <c r="J132" s="72" t="str">
        <f>IFERROR(IF(VLOOKUP(TableHandbook[[#This Row],[UDC]],TableAvailabilities[],5,FALSE)&gt;0,"Y",""),"")</f>
        <v/>
      </c>
      <c r="K132" s="155"/>
      <c r="L132" s="152" t="str" cm="1">
        <f t="array" aca="1" ref="L132" ca="1">IFERROR(_xlfn.XLOOKUP(TableHandbook[[#This Row],[UDC]],INDIRECT("Table"&amp;SUBSTITUTE(L$2,"-","")&amp;"[UDC]",TRUE),INDIRECT("Table"&amp;SUBSTITUTE(L$2,"-","")&amp;"[Component Type]",TRUE)),"")</f>
        <v/>
      </c>
      <c r="M132" s="152" t="str" cm="1">
        <f t="array" aca="1" ref="M132" ca="1">IFERROR(_xlfn.XLOOKUP(TableHandbook[[#This Row],[UDC]],INDIRECT("Table"&amp;SUBSTITUTE(M$2,"-","")&amp;"[UDC]",TRUE),INDIRECT("Table"&amp;SUBSTITUTE(M$2,"-","")&amp;"[Component Type]",TRUE)),"")</f>
        <v/>
      </c>
      <c r="N132" s="154" t="str" cm="1">
        <f t="array" aca="1" ref="N132" ca="1">IFERROR(_xlfn.XLOOKUP(TableHandbook[[#This Row],[UDC]],INDIRECT("Table"&amp;SUBSTITUTE(N$2,"-","")&amp;"[UDC]",TRUE),INDIRECT("Table"&amp;SUBSTITUTE(N$2,"-","")&amp;"[Component Type]",TRUE)),"")</f>
        <v/>
      </c>
      <c r="O132" s="152" t="str" cm="1">
        <f t="array" aca="1" ref="O132" ca="1">IFERROR(_xlfn.XLOOKUP(TableHandbook[[#This Row],[UDC]],INDIRECT("Table"&amp;SUBSTITUTE(O$2,"-","")&amp;"[UDC]",TRUE),INDIRECT("Table"&amp;SUBSTITUTE(O$2,"-","")&amp;"[Component Type]",TRUE)),"")</f>
        <v/>
      </c>
      <c r="P132" s="152" t="str" cm="1">
        <f t="array" aca="1" ref="P132" ca="1">IFERROR(_xlfn.XLOOKUP(TableHandbook[[#This Row],[UDC]],INDIRECT("Table"&amp;SUBSTITUTE(P$2,"-","")&amp;"[UDC]",TRUE),INDIRECT("Table"&amp;SUBSTITUTE(P$2,"-","")&amp;"[Component Type]",TRUE)),"")</f>
        <v/>
      </c>
      <c r="Q132" s="152" t="str" cm="1">
        <f t="array" aca="1" ref="Q132" ca="1">IFERROR(_xlfn.XLOOKUP(TableHandbook[[#This Row],[UDC]],INDIRECT("Table"&amp;SUBSTITUTE(Q$2,"-","")&amp;"[UDC]",TRUE),INDIRECT("Table"&amp;SUBSTITUTE(Q$2,"-","")&amp;"[Component Type]",TRUE)),"")</f>
        <v/>
      </c>
      <c r="R132" s="152" t="str" cm="1">
        <f t="array" aca="1" ref="R132" ca="1">IFERROR(_xlfn.XLOOKUP(TableHandbook[[#This Row],[UDC]],INDIRECT("Table"&amp;SUBSTITUTE(R$2,"-","")&amp;"[UDC]",TRUE),INDIRECT("Table"&amp;SUBSTITUTE(R$2,"-","")&amp;"[Component Type]",TRUE)),"")</f>
        <v/>
      </c>
      <c r="S132" s="152" t="str" cm="1">
        <f t="array" aca="1" ref="S132" ca="1">IFERROR(_xlfn.XLOOKUP(TableHandbook[[#This Row],[UDC]],INDIRECT("Table"&amp;SUBSTITUTE(S$2,"-","")&amp;"[UDC]",TRUE),INDIRECT("Table"&amp;SUBSTITUTE(S$2,"-","")&amp;"[Component Type]",TRUE)),"")</f>
        <v/>
      </c>
      <c r="T132" s="152" t="str" cm="1">
        <f t="array" aca="1" ref="T132" ca="1">IFERROR(_xlfn.XLOOKUP(TableHandbook[[#This Row],[UDC]],INDIRECT("Table"&amp;SUBSTITUTE(T$2,"-","")&amp;"[UDC]",TRUE),INDIRECT("Table"&amp;SUBSTITUTE(T$2,"-","")&amp;"[Component Type]",TRUE)),"")</f>
        <v/>
      </c>
      <c r="U132" s="152" t="str" cm="1">
        <f t="array" aca="1" ref="U132" ca="1">IFERROR(_xlfn.XLOOKUP(TableHandbook[[#This Row],[UDC]],INDIRECT("Table"&amp;SUBSTITUTE(U$2,"-","")&amp;"[UDC]",TRUE),INDIRECT("Table"&amp;SUBSTITUTE(U$2,"-","")&amp;"[Component Type]",TRUE)),"")</f>
        <v/>
      </c>
      <c r="V132" s="154" t="str" cm="1">
        <f t="array" aca="1" ref="V132" ca="1">IFERROR(_xlfn.XLOOKUP(TableHandbook[[#This Row],[UDC]],INDIRECT("Table"&amp;SUBSTITUTE(V$2,"-","")&amp;"[UDC]",TRUE),INDIRECT("Table"&amp;SUBSTITUTE(V$2,"-","")&amp;"[Component Type]",TRUE)),"")</f>
        <v/>
      </c>
      <c r="W132" s="152" t="str" cm="1">
        <f t="array" aca="1" ref="W132" ca="1">IFERROR(_xlfn.XLOOKUP(TableHandbook[[#This Row],[UDC]],INDIRECT("Table"&amp;SUBSTITUTE(W$2,"-","")&amp;"[UDC]",TRUE),INDIRECT("Table"&amp;SUBSTITUTE(W$2,"-","")&amp;"[Component Type]",TRUE)),"")</f>
        <v/>
      </c>
      <c r="X132" s="152" t="str" cm="1">
        <f t="array" aca="1" ref="X132" ca="1">IFERROR(_xlfn.XLOOKUP(TableHandbook[[#This Row],[UDC]],INDIRECT("Table"&amp;SUBSTITUTE(X$2,"-","")&amp;"[UDC]",TRUE),INDIRECT("Table"&amp;SUBSTITUTE(X$2,"-","")&amp;"[Component Type]",TRUE)),"")</f>
        <v/>
      </c>
      <c r="Y132" s="152" t="str" cm="1">
        <f t="array" aca="1" ref="Y132" ca="1">IFERROR(_xlfn.XLOOKUP(TableHandbook[[#This Row],[UDC]],INDIRECT("Table"&amp;SUBSTITUTE(Y$2,"-","")&amp;"[UDC]",TRUE),INDIRECT("Table"&amp;SUBSTITUTE(Y$2,"-","")&amp;"[Component Type]",TRUE)),"")</f>
        <v/>
      </c>
      <c r="Z132" s="152" t="str" cm="1">
        <f t="array" aca="1" ref="Z132" ca="1">IFERROR(_xlfn.XLOOKUP(TableHandbook[[#This Row],[UDC]],INDIRECT("Table"&amp;SUBSTITUTE(Z$2,"-","")&amp;"[UDC]",TRUE),INDIRECT("Table"&amp;SUBSTITUTE(Z$2,"-","")&amp;"[Component Type]",TRUE)),"")</f>
        <v/>
      </c>
    </row>
    <row r="133" spans="1:26" x14ac:dyDescent="0.25">
      <c r="A133" s="8" t="s">
        <v>139</v>
      </c>
      <c r="B133" s="9"/>
      <c r="C133" s="9"/>
      <c r="D133" s="8" t="s">
        <v>436</v>
      </c>
      <c r="E133" s="9"/>
      <c r="F133" s="265"/>
      <c r="G133" s="72" t="str">
        <f>IFERROR(IF(VLOOKUP(TableHandbook[[#This Row],[UDC]],TableAvailabilities[],2,FALSE)&gt;0,"Y",""),"")</f>
        <v/>
      </c>
      <c r="H133" s="72" t="str">
        <f>IFERROR(IF(VLOOKUP(TableHandbook[[#This Row],[UDC]],TableAvailabilities[],3,FALSE)&gt;0,"Y",""),"")</f>
        <v/>
      </c>
      <c r="I133" s="72" t="str">
        <f>IFERROR(IF(VLOOKUP(TableHandbook[[#This Row],[UDC]],TableAvailabilities[],4,FALSE)&gt;0,"Y",""),"")</f>
        <v/>
      </c>
      <c r="J133" s="72" t="str">
        <f>IFERROR(IF(VLOOKUP(TableHandbook[[#This Row],[UDC]],TableAvailabilities[],5,FALSE)&gt;0,"Y",""),"")</f>
        <v/>
      </c>
      <c r="K133" s="155"/>
      <c r="L133" s="152" t="str" cm="1">
        <f t="array" aca="1" ref="L133" ca="1">IFERROR(_xlfn.XLOOKUP(TableHandbook[[#This Row],[UDC]],INDIRECT("Table"&amp;SUBSTITUTE(L$2,"-","")&amp;"[UDC]",TRUE),INDIRECT("Table"&amp;SUBSTITUTE(L$2,"-","")&amp;"[Component Type]",TRUE)),"")</f>
        <v/>
      </c>
      <c r="M133" s="152" t="str" cm="1">
        <f t="array" aca="1" ref="M133" ca="1">IFERROR(_xlfn.XLOOKUP(TableHandbook[[#This Row],[UDC]],INDIRECT("Table"&amp;SUBSTITUTE(M$2,"-","")&amp;"[UDC]",TRUE),INDIRECT("Table"&amp;SUBSTITUTE(M$2,"-","")&amp;"[Component Type]",TRUE)),"")</f>
        <v/>
      </c>
      <c r="N133" s="154" t="str" cm="1">
        <f t="array" aca="1" ref="N133" ca="1">IFERROR(_xlfn.XLOOKUP(TableHandbook[[#This Row],[UDC]],INDIRECT("Table"&amp;SUBSTITUTE(N$2,"-","")&amp;"[UDC]",TRUE),INDIRECT("Table"&amp;SUBSTITUTE(N$2,"-","")&amp;"[Component Type]",TRUE)),"")</f>
        <v/>
      </c>
      <c r="O133" s="152" t="str" cm="1">
        <f t="array" aca="1" ref="O133" ca="1">IFERROR(_xlfn.XLOOKUP(TableHandbook[[#This Row],[UDC]],INDIRECT("Table"&amp;SUBSTITUTE(O$2,"-","")&amp;"[UDC]",TRUE),INDIRECT("Table"&amp;SUBSTITUTE(O$2,"-","")&amp;"[Component Type]",TRUE)),"")</f>
        <v/>
      </c>
      <c r="P133" s="152" t="str" cm="1">
        <f t="array" aca="1" ref="P133" ca="1">IFERROR(_xlfn.XLOOKUP(TableHandbook[[#This Row],[UDC]],INDIRECT("Table"&amp;SUBSTITUTE(P$2,"-","")&amp;"[UDC]",TRUE),INDIRECT("Table"&amp;SUBSTITUTE(P$2,"-","")&amp;"[Component Type]",TRUE)),"")</f>
        <v/>
      </c>
      <c r="Q133" s="152" t="str" cm="1">
        <f t="array" aca="1" ref="Q133" ca="1">IFERROR(_xlfn.XLOOKUP(TableHandbook[[#This Row],[UDC]],INDIRECT("Table"&amp;SUBSTITUTE(Q$2,"-","")&amp;"[UDC]",TRUE),INDIRECT("Table"&amp;SUBSTITUTE(Q$2,"-","")&amp;"[Component Type]",TRUE)),"")</f>
        <v/>
      </c>
      <c r="R133" s="152" t="str" cm="1">
        <f t="array" aca="1" ref="R133" ca="1">IFERROR(_xlfn.XLOOKUP(TableHandbook[[#This Row],[UDC]],INDIRECT("Table"&amp;SUBSTITUTE(R$2,"-","")&amp;"[UDC]",TRUE),INDIRECT("Table"&amp;SUBSTITUTE(R$2,"-","")&amp;"[Component Type]",TRUE)),"")</f>
        <v/>
      </c>
      <c r="S133" s="152" t="str" cm="1">
        <f t="array" aca="1" ref="S133" ca="1">IFERROR(_xlfn.XLOOKUP(TableHandbook[[#This Row],[UDC]],INDIRECT("Table"&amp;SUBSTITUTE(S$2,"-","")&amp;"[UDC]",TRUE),INDIRECT("Table"&amp;SUBSTITUTE(S$2,"-","")&amp;"[Component Type]",TRUE)),"")</f>
        <v/>
      </c>
      <c r="T133" s="152" t="str" cm="1">
        <f t="array" aca="1" ref="T133" ca="1">IFERROR(_xlfn.XLOOKUP(TableHandbook[[#This Row],[UDC]],INDIRECT("Table"&amp;SUBSTITUTE(T$2,"-","")&amp;"[UDC]",TRUE),INDIRECT("Table"&amp;SUBSTITUTE(T$2,"-","")&amp;"[Component Type]",TRUE)),"")</f>
        <v/>
      </c>
      <c r="U133" s="152" t="str" cm="1">
        <f t="array" aca="1" ref="U133" ca="1">IFERROR(_xlfn.XLOOKUP(TableHandbook[[#This Row],[UDC]],INDIRECT("Table"&amp;SUBSTITUTE(U$2,"-","")&amp;"[UDC]",TRUE),INDIRECT("Table"&amp;SUBSTITUTE(U$2,"-","")&amp;"[Component Type]",TRUE)),"")</f>
        <v/>
      </c>
      <c r="V133" s="154" t="str" cm="1">
        <f t="array" aca="1" ref="V133" ca="1">IFERROR(_xlfn.XLOOKUP(TableHandbook[[#This Row],[UDC]],INDIRECT("Table"&amp;SUBSTITUTE(V$2,"-","")&amp;"[UDC]",TRUE),INDIRECT("Table"&amp;SUBSTITUTE(V$2,"-","")&amp;"[Component Type]",TRUE)),"")</f>
        <v/>
      </c>
      <c r="W133" s="152" t="str" cm="1">
        <f t="array" aca="1" ref="W133" ca="1">IFERROR(_xlfn.XLOOKUP(TableHandbook[[#This Row],[UDC]],INDIRECT("Table"&amp;SUBSTITUTE(W$2,"-","")&amp;"[UDC]",TRUE),INDIRECT("Table"&amp;SUBSTITUTE(W$2,"-","")&amp;"[Component Type]",TRUE)),"")</f>
        <v/>
      </c>
      <c r="X133" s="152" t="str" cm="1">
        <f t="array" aca="1" ref="X133" ca="1">IFERROR(_xlfn.XLOOKUP(TableHandbook[[#This Row],[UDC]],INDIRECT("Table"&amp;SUBSTITUTE(X$2,"-","")&amp;"[UDC]",TRUE),INDIRECT("Table"&amp;SUBSTITUTE(X$2,"-","")&amp;"[Component Type]",TRUE)),"")</f>
        <v/>
      </c>
      <c r="Y133" s="152" t="str" cm="1">
        <f t="array" aca="1" ref="Y133" ca="1">IFERROR(_xlfn.XLOOKUP(TableHandbook[[#This Row],[UDC]],INDIRECT("Table"&amp;SUBSTITUTE(Y$2,"-","")&amp;"[UDC]",TRUE),INDIRECT("Table"&amp;SUBSTITUTE(Y$2,"-","")&amp;"[Component Type]",TRUE)),"")</f>
        <v/>
      </c>
      <c r="Z133" s="152" t="str" cm="1">
        <f t="array" aca="1" ref="Z133" ca="1">IFERROR(_xlfn.XLOOKUP(TableHandbook[[#This Row],[UDC]],INDIRECT("Table"&amp;SUBSTITUTE(Z$2,"-","")&amp;"[UDC]",TRUE),INDIRECT("Table"&amp;SUBSTITUTE(Z$2,"-","")&amp;"[Component Type]",TRUE)),"")</f>
        <v/>
      </c>
    </row>
    <row r="134" spans="1:26" x14ac:dyDescent="0.25">
      <c r="A134" s="8" t="s">
        <v>155</v>
      </c>
      <c r="B134" s="9"/>
      <c r="C134" s="9"/>
      <c r="D134" s="8" t="s">
        <v>437</v>
      </c>
      <c r="E134" s="9"/>
      <c r="F134" s="265"/>
      <c r="G134" s="72" t="str">
        <f>IFERROR(IF(VLOOKUP(TableHandbook[[#This Row],[UDC]],TableAvailabilities[],2,FALSE)&gt;0,"Y",""),"")</f>
        <v/>
      </c>
      <c r="H134" s="72" t="str">
        <f>IFERROR(IF(VLOOKUP(TableHandbook[[#This Row],[UDC]],TableAvailabilities[],3,FALSE)&gt;0,"Y",""),"")</f>
        <v/>
      </c>
      <c r="I134" s="72" t="str">
        <f>IFERROR(IF(VLOOKUP(TableHandbook[[#This Row],[UDC]],TableAvailabilities[],4,FALSE)&gt;0,"Y",""),"")</f>
        <v/>
      </c>
      <c r="J134" s="72" t="str">
        <f>IFERROR(IF(VLOOKUP(TableHandbook[[#This Row],[UDC]],TableAvailabilities[],5,FALSE)&gt;0,"Y",""),"")</f>
        <v/>
      </c>
      <c r="K134" s="155"/>
      <c r="L134" s="152" t="str" cm="1">
        <f t="array" aca="1" ref="L134" ca="1">IFERROR(_xlfn.XLOOKUP(TableHandbook[[#This Row],[UDC]],INDIRECT("Table"&amp;SUBSTITUTE(L$2,"-","")&amp;"[UDC]",TRUE),INDIRECT("Table"&amp;SUBSTITUTE(L$2,"-","")&amp;"[Component Type]",TRUE)),"")</f>
        <v/>
      </c>
      <c r="M134" s="152" t="str" cm="1">
        <f t="array" aca="1" ref="M134" ca="1">IFERROR(_xlfn.XLOOKUP(TableHandbook[[#This Row],[UDC]],INDIRECT("Table"&amp;SUBSTITUTE(M$2,"-","")&amp;"[UDC]",TRUE),INDIRECT("Table"&amp;SUBSTITUTE(M$2,"-","")&amp;"[Component Type]",TRUE)),"")</f>
        <v/>
      </c>
      <c r="N134" s="154" t="str" cm="1">
        <f t="array" aca="1" ref="N134" ca="1">IFERROR(_xlfn.XLOOKUP(TableHandbook[[#This Row],[UDC]],INDIRECT("Table"&amp;SUBSTITUTE(N$2,"-","")&amp;"[UDC]",TRUE),INDIRECT("Table"&amp;SUBSTITUTE(N$2,"-","")&amp;"[Component Type]",TRUE)),"")</f>
        <v/>
      </c>
      <c r="O134" s="152" t="str" cm="1">
        <f t="array" aca="1" ref="O134" ca="1">IFERROR(_xlfn.XLOOKUP(TableHandbook[[#This Row],[UDC]],INDIRECT("Table"&amp;SUBSTITUTE(O$2,"-","")&amp;"[UDC]",TRUE),INDIRECT("Table"&amp;SUBSTITUTE(O$2,"-","")&amp;"[Component Type]",TRUE)),"")</f>
        <v/>
      </c>
      <c r="P134" s="152" t="str" cm="1">
        <f t="array" aca="1" ref="P134" ca="1">IFERROR(_xlfn.XLOOKUP(TableHandbook[[#This Row],[UDC]],INDIRECT("Table"&amp;SUBSTITUTE(P$2,"-","")&amp;"[UDC]",TRUE),INDIRECT("Table"&amp;SUBSTITUTE(P$2,"-","")&amp;"[Component Type]",TRUE)),"")</f>
        <v/>
      </c>
      <c r="Q134" s="152" t="str" cm="1">
        <f t="array" aca="1" ref="Q134" ca="1">IFERROR(_xlfn.XLOOKUP(TableHandbook[[#This Row],[UDC]],INDIRECT("Table"&amp;SUBSTITUTE(Q$2,"-","")&amp;"[UDC]",TRUE),INDIRECT("Table"&amp;SUBSTITUTE(Q$2,"-","")&amp;"[Component Type]",TRUE)),"")</f>
        <v/>
      </c>
      <c r="R134" s="152" t="str" cm="1">
        <f t="array" aca="1" ref="R134" ca="1">IFERROR(_xlfn.XLOOKUP(TableHandbook[[#This Row],[UDC]],INDIRECT("Table"&amp;SUBSTITUTE(R$2,"-","")&amp;"[UDC]",TRUE),INDIRECT("Table"&amp;SUBSTITUTE(R$2,"-","")&amp;"[Component Type]",TRUE)),"")</f>
        <v/>
      </c>
      <c r="S134" s="152" t="str" cm="1">
        <f t="array" aca="1" ref="S134" ca="1">IFERROR(_xlfn.XLOOKUP(TableHandbook[[#This Row],[UDC]],INDIRECT("Table"&amp;SUBSTITUTE(S$2,"-","")&amp;"[UDC]",TRUE),INDIRECT("Table"&amp;SUBSTITUTE(S$2,"-","")&amp;"[Component Type]",TRUE)),"")</f>
        <v/>
      </c>
      <c r="T134" s="152" t="str" cm="1">
        <f t="array" aca="1" ref="T134" ca="1">IFERROR(_xlfn.XLOOKUP(TableHandbook[[#This Row],[UDC]],INDIRECT("Table"&amp;SUBSTITUTE(T$2,"-","")&amp;"[UDC]",TRUE),INDIRECT("Table"&amp;SUBSTITUTE(T$2,"-","")&amp;"[Component Type]",TRUE)),"")</f>
        <v/>
      </c>
      <c r="U134" s="152" t="str" cm="1">
        <f t="array" aca="1" ref="U134" ca="1">IFERROR(_xlfn.XLOOKUP(TableHandbook[[#This Row],[UDC]],INDIRECT("Table"&amp;SUBSTITUTE(U$2,"-","")&amp;"[UDC]",TRUE),INDIRECT("Table"&amp;SUBSTITUTE(U$2,"-","")&amp;"[Component Type]",TRUE)),"")</f>
        <v/>
      </c>
      <c r="V134" s="154" t="str" cm="1">
        <f t="array" aca="1" ref="V134" ca="1">IFERROR(_xlfn.XLOOKUP(TableHandbook[[#This Row],[UDC]],INDIRECT("Table"&amp;SUBSTITUTE(V$2,"-","")&amp;"[UDC]",TRUE),INDIRECT("Table"&amp;SUBSTITUTE(V$2,"-","")&amp;"[Component Type]",TRUE)),"")</f>
        <v/>
      </c>
      <c r="W134" s="152" t="str" cm="1">
        <f t="array" aca="1" ref="W134" ca="1">IFERROR(_xlfn.XLOOKUP(TableHandbook[[#This Row],[UDC]],INDIRECT("Table"&amp;SUBSTITUTE(W$2,"-","")&amp;"[UDC]",TRUE),INDIRECT("Table"&amp;SUBSTITUTE(W$2,"-","")&amp;"[Component Type]",TRUE)),"")</f>
        <v/>
      </c>
      <c r="X134" s="152" t="str" cm="1">
        <f t="array" aca="1" ref="X134" ca="1">IFERROR(_xlfn.XLOOKUP(TableHandbook[[#This Row],[UDC]],INDIRECT("Table"&amp;SUBSTITUTE(X$2,"-","")&amp;"[UDC]",TRUE),INDIRECT("Table"&amp;SUBSTITUTE(X$2,"-","")&amp;"[Component Type]",TRUE)),"")</f>
        <v/>
      </c>
      <c r="Y134" s="152" t="str" cm="1">
        <f t="array" aca="1" ref="Y134" ca="1">IFERROR(_xlfn.XLOOKUP(TableHandbook[[#This Row],[UDC]],INDIRECT("Table"&amp;SUBSTITUTE(Y$2,"-","")&amp;"[UDC]",TRUE),INDIRECT("Table"&amp;SUBSTITUTE(Y$2,"-","")&amp;"[Component Type]",TRUE)),"")</f>
        <v/>
      </c>
      <c r="Z134" s="152" t="str" cm="1">
        <f t="array" aca="1" ref="Z134" ca="1">IFERROR(_xlfn.XLOOKUP(TableHandbook[[#This Row],[UDC]],INDIRECT("Table"&amp;SUBSTITUTE(Z$2,"-","")&amp;"[UDC]",TRUE),INDIRECT("Table"&amp;SUBSTITUTE(Z$2,"-","")&amp;"[Component Type]",TRUE)),"")</f>
        <v/>
      </c>
    </row>
    <row r="135" spans="1:26" x14ac:dyDescent="0.25">
      <c r="A135" s="8" t="s">
        <v>438</v>
      </c>
      <c r="B135" s="9"/>
      <c r="C135" s="9"/>
      <c r="D135" s="8" t="s">
        <v>439</v>
      </c>
      <c r="E135" s="9"/>
      <c r="F135" s="265"/>
      <c r="G135" s="72" t="str">
        <f>IFERROR(IF(VLOOKUP(TableHandbook[[#This Row],[UDC]],TableAvailabilities[],2,FALSE)&gt;0,"Y",""),"")</f>
        <v/>
      </c>
      <c r="H135" s="72" t="str">
        <f>IFERROR(IF(VLOOKUP(TableHandbook[[#This Row],[UDC]],TableAvailabilities[],3,FALSE)&gt;0,"Y",""),"")</f>
        <v/>
      </c>
      <c r="I135" s="72" t="str">
        <f>IFERROR(IF(VLOOKUP(TableHandbook[[#This Row],[UDC]],TableAvailabilities[],4,FALSE)&gt;0,"Y",""),"")</f>
        <v/>
      </c>
      <c r="J135" s="72" t="str">
        <f>IFERROR(IF(VLOOKUP(TableHandbook[[#This Row],[UDC]],TableAvailabilities[],5,FALSE)&gt;0,"Y",""),"")</f>
        <v/>
      </c>
      <c r="K135" s="155"/>
      <c r="L135" s="152" t="str" cm="1">
        <f t="array" aca="1" ref="L135" ca="1">IFERROR(_xlfn.XLOOKUP(TableHandbook[[#This Row],[UDC]],INDIRECT("Table"&amp;SUBSTITUTE(L$2,"-","")&amp;"[UDC]",TRUE),INDIRECT("Table"&amp;SUBSTITUTE(L$2,"-","")&amp;"[Component Type]",TRUE)),"")</f>
        <v/>
      </c>
      <c r="M135" s="152" t="str" cm="1">
        <f t="array" aca="1" ref="M135" ca="1">IFERROR(_xlfn.XLOOKUP(TableHandbook[[#This Row],[UDC]],INDIRECT("Table"&amp;SUBSTITUTE(M$2,"-","")&amp;"[UDC]",TRUE),INDIRECT("Table"&amp;SUBSTITUTE(M$2,"-","")&amp;"[Component Type]",TRUE)),"")</f>
        <v/>
      </c>
      <c r="N135" s="154" t="str" cm="1">
        <f t="array" aca="1" ref="N135" ca="1">IFERROR(_xlfn.XLOOKUP(TableHandbook[[#This Row],[UDC]],INDIRECT("Table"&amp;SUBSTITUTE(N$2,"-","")&amp;"[UDC]",TRUE),INDIRECT("Table"&amp;SUBSTITUTE(N$2,"-","")&amp;"[Component Type]",TRUE)),"")</f>
        <v/>
      </c>
      <c r="O135" s="152" t="str" cm="1">
        <f t="array" aca="1" ref="O135" ca="1">IFERROR(_xlfn.XLOOKUP(TableHandbook[[#This Row],[UDC]],INDIRECT("Table"&amp;SUBSTITUTE(O$2,"-","")&amp;"[UDC]",TRUE),INDIRECT("Table"&amp;SUBSTITUTE(O$2,"-","")&amp;"[Component Type]",TRUE)),"")</f>
        <v/>
      </c>
      <c r="P135" s="152" t="str" cm="1">
        <f t="array" aca="1" ref="P135" ca="1">IFERROR(_xlfn.XLOOKUP(TableHandbook[[#This Row],[UDC]],INDIRECT("Table"&amp;SUBSTITUTE(P$2,"-","")&amp;"[UDC]",TRUE),INDIRECT("Table"&amp;SUBSTITUTE(P$2,"-","")&amp;"[Component Type]",TRUE)),"")</f>
        <v/>
      </c>
      <c r="Q135" s="152" t="str" cm="1">
        <f t="array" aca="1" ref="Q135" ca="1">IFERROR(_xlfn.XLOOKUP(TableHandbook[[#This Row],[UDC]],INDIRECT("Table"&amp;SUBSTITUTE(Q$2,"-","")&amp;"[UDC]",TRUE),INDIRECT("Table"&amp;SUBSTITUTE(Q$2,"-","")&amp;"[Component Type]",TRUE)),"")</f>
        <v/>
      </c>
      <c r="R135" s="152" t="str" cm="1">
        <f t="array" aca="1" ref="R135" ca="1">IFERROR(_xlfn.XLOOKUP(TableHandbook[[#This Row],[UDC]],INDIRECT("Table"&amp;SUBSTITUTE(R$2,"-","")&amp;"[UDC]",TRUE),INDIRECT("Table"&amp;SUBSTITUTE(R$2,"-","")&amp;"[Component Type]",TRUE)),"")</f>
        <v/>
      </c>
      <c r="S135" s="152" t="str" cm="1">
        <f t="array" aca="1" ref="S135" ca="1">IFERROR(_xlfn.XLOOKUP(TableHandbook[[#This Row],[UDC]],INDIRECT("Table"&amp;SUBSTITUTE(S$2,"-","")&amp;"[UDC]",TRUE),INDIRECT("Table"&amp;SUBSTITUTE(S$2,"-","")&amp;"[Component Type]",TRUE)),"")</f>
        <v/>
      </c>
      <c r="T135" s="152" t="str" cm="1">
        <f t="array" aca="1" ref="T135" ca="1">IFERROR(_xlfn.XLOOKUP(TableHandbook[[#This Row],[UDC]],INDIRECT("Table"&amp;SUBSTITUTE(T$2,"-","")&amp;"[UDC]",TRUE),INDIRECT("Table"&amp;SUBSTITUTE(T$2,"-","")&amp;"[Component Type]",TRUE)),"")</f>
        <v/>
      </c>
      <c r="U135" s="152" t="str" cm="1">
        <f t="array" aca="1" ref="U135" ca="1">IFERROR(_xlfn.XLOOKUP(TableHandbook[[#This Row],[UDC]],INDIRECT("Table"&amp;SUBSTITUTE(U$2,"-","")&amp;"[UDC]",TRUE),INDIRECT("Table"&amp;SUBSTITUTE(U$2,"-","")&amp;"[Component Type]",TRUE)),"")</f>
        <v/>
      </c>
      <c r="V135" s="154" t="str" cm="1">
        <f t="array" aca="1" ref="V135" ca="1">IFERROR(_xlfn.XLOOKUP(TableHandbook[[#This Row],[UDC]],INDIRECT("Table"&amp;SUBSTITUTE(V$2,"-","")&amp;"[UDC]",TRUE),INDIRECT("Table"&amp;SUBSTITUTE(V$2,"-","")&amp;"[Component Type]",TRUE)),"")</f>
        <v/>
      </c>
      <c r="W135" s="152" t="str" cm="1">
        <f t="array" aca="1" ref="W135" ca="1">IFERROR(_xlfn.XLOOKUP(TableHandbook[[#This Row],[UDC]],INDIRECT("Table"&amp;SUBSTITUTE(W$2,"-","")&amp;"[UDC]",TRUE),INDIRECT("Table"&amp;SUBSTITUTE(W$2,"-","")&amp;"[Component Type]",TRUE)),"")</f>
        <v/>
      </c>
      <c r="X135" s="152" t="str" cm="1">
        <f t="array" aca="1" ref="X135" ca="1">IFERROR(_xlfn.XLOOKUP(TableHandbook[[#This Row],[UDC]],INDIRECT("Table"&amp;SUBSTITUTE(X$2,"-","")&amp;"[UDC]",TRUE),INDIRECT("Table"&amp;SUBSTITUTE(X$2,"-","")&amp;"[Component Type]",TRUE)),"")</f>
        <v/>
      </c>
      <c r="Y135" s="152" t="str" cm="1">
        <f t="array" aca="1" ref="Y135" ca="1">IFERROR(_xlfn.XLOOKUP(TableHandbook[[#This Row],[UDC]],INDIRECT("Table"&amp;SUBSTITUTE(Y$2,"-","")&amp;"[UDC]",TRUE),INDIRECT("Table"&amp;SUBSTITUTE(Y$2,"-","")&amp;"[Component Type]",TRUE)),"")</f>
        <v/>
      </c>
      <c r="Z135" s="152" t="str" cm="1">
        <f t="array" aca="1" ref="Z135" ca="1">IFERROR(_xlfn.XLOOKUP(TableHandbook[[#This Row],[UDC]],INDIRECT("Table"&amp;SUBSTITUTE(Z$2,"-","")&amp;"[UDC]",TRUE),INDIRECT("Table"&amp;SUBSTITUTE(Z$2,"-","")&amp;"[Component Type]",TRUE)),"")</f>
        <v/>
      </c>
    </row>
    <row r="136" spans="1:26" x14ac:dyDescent="0.25">
      <c r="A136" s="8" t="s">
        <v>143</v>
      </c>
      <c r="B136" s="9"/>
      <c r="C136" s="9"/>
      <c r="D136" s="8" t="s">
        <v>440</v>
      </c>
      <c r="E136" s="9"/>
      <c r="F136" s="265"/>
      <c r="G136" s="72" t="str">
        <f>IFERROR(IF(VLOOKUP(TableHandbook[[#This Row],[UDC]],TableAvailabilities[],2,FALSE)&gt;0,"Y",""),"")</f>
        <v/>
      </c>
      <c r="H136" s="72" t="str">
        <f>IFERROR(IF(VLOOKUP(TableHandbook[[#This Row],[UDC]],TableAvailabilities[],3,FALSE)&gt;0,"Y",""),"")</f>
        <v/>
      </c>
      <c r="I136" s="72" t="str">
        <f>IFERROR(IF(VLOOKUP(TableHandbook[[#This Row],[UDC]],TableAvailabilities[],4,FALSE)&gt;0,"Y",""),"")</f>
        <v/>
      </c>
      <c r="J136" s="72" t="str">
        <f>IFERROR(IF(VLOOKUP(TableHandbook[[#This Row],[UDC]],TableAvailabilities[],5,FALSE)&gt;0,"Y",""),"")</f>
        <v/>
      </c>
      <c r="K136" s="155"/>
      <c r="L136" s="152" t="str" cm="1">
        <f t="array" aca="1" ref="L136" ca="1">IFERROR(_xlfn.XLOOKUP(TableHandbook[[#This Row],[UDC]],INDIRECT("Table"&amp;SUBSTITUTE(L$2,"-","")&amp;"[UDC]",TRUE),INDIRECT("Table"&amp;SUBSTITUTE(L$2,"-","")&amp;"[Component Type]",TRUE)),"")</f>
        <v/>
      </c>
      <c r="M136" s="152" t="str" cm="1">
        <f t="array" aca="1" ref="M136" ca="1">IFERROR(_xlfn.XLOOKUP(TableHandbook[[#This Row],[UDC]],INDIRECT("Table"&amp;SUBSTITUTE(M$2,"-","")&amp;"[UDC]",TRUE),INDIRECT("Table"&amp;SUBSTITUTE(M$2,"-","")&amp;"[Component Type]",TRUE)),"")</f>
        <v/>
      </c>
      <c r="N136" s="154" t="str" cm="1">
        <f t="array" aca="1" ref="N136" ca="1">IFERROR(_xlfn.XLOOKUP(TableHandbook[[#This Row],[UDC]],INDIRECT("Table"&amp;SUBSTITUTE(N$2,"-","")&amp;"[UDC]",TRUE),INDIRECT("Table"&amp;SUBSTITUTE(N$2,"-","")&amp;"[Component Type]",TRUE)),"")</f>
        <v/>
      </c>
      <c r="O136" s="152" t="str" cm="1">
        <f t="array" aca="1" ref="O136" ca="1">IFERROR(_xlfn.XLOOKUP(TableHandbook[[#This Row],[UDC]],INDIRECT("Table"&amp;SUBSTITUTE(O$2,"-","")&amp;"[UDC]",TRUE),INDIRECT("Table"&amp;SUBSTITUTE(O$2,"-","")&amp;"[Component Type]",TRUE)),"")</f>
        <v/>
      </c>
      <c r="P136" s="152" t="str" cm="1">
        <f t="array" aca="1" ref="P136" ca="1">IFERROR(_xlfn.XLOOKUP(TableHandbook[[#This Row],[UDC]],INDIRECT("Table"&amp;SUBSTITUTE(P$2,"-","")&amp;"[UDC]",TRUE),INDIRECT("Table"&amp;SUBSTITUTE(P$2,"-","")&amp;"[Component Type]",TRUE)),"")</f>
        <v/>
      </c>
      <c r="Q136" s="152" t="str" cm="1">
        <f t="array" aca="1" ref="Q136" ca="1">IFERROR(_xlfn.XLOOKUP(TableHandbook[[#This Row],[UDC]],INDIRECT("Table"&amp;SUBSTITUTE(Q$2,"-","")&amp;"[UDC]",TRUE),INDIRECT("Table"&amp;SUBSTITUTE(Q$2,"-","")&amp;"[Component Type]",TRUE)),"")</f>
        <v/>
      </c>
      <c r="R136" s="152" t="str" cm="1">
        <f t="array" aca="1" ref="R136" ca="1">IFERROR(_xlfn.XLOOKUP(TableHandbook[[#This Row],[UDC]],INDIRECT("Table"&amp;SUBSTITUTE(R$2,"-","")&amp;"[UDC]",TRUE),INDIRECT("Table"&amp;SUBSTITUTE(R$2,"-","")&amp;"[Component Type]",TRUE)),"")</f>
        <v/>
      </c>
      <c r="S136" s="152" t="str" cm="1">
        <f t="array" aca="1" ref="S136" ca="1">IFERROR(_xlfn.XLOOKUP(TableHandbook[[#This Row],[UDC]],INDIRECT("Table"&amp;SUBSTITUTE(S$2,"-","")&amp;"[UDC]",TRUE),INDIRECT("Table"&amp;SUBSTITUTE(S$2,"-","")&amp;"[Component Type]",TRUE)),"")</f>
        <v/>
      </c>
      <c r="T136" s="152" t="str" cm="1">
        <f t="array" aca="1" ref="T136" ca="1">IFERROR(_xlfn.XLOOKUP(TableHandbook[[#This Row],[UDC]],INDIRECT("Table"&amp;SUBSTITUTE(T$2,"-","")&amp;"[UDC]",TRUE),INDIRECT("Table"&amp;SUBSTITUTE(T$2,"-","")&amp;"[Component Type]",TRUE)),"")</f>
        <v/>
      </c>
      <c r="U136" s="152" t="str" cm="1">
        <f t="array" aca="1" ref="U136" ca="1">IFERROR(_xlfn.XLOOKUP(TableHandbook[[#This Row],[UDC]],INDIRECT("Table"&amp;SUBSTITUTE(U$2,"-","")&amp;"[UDC]",TRUE),INDIRECT("Table"&amp;SUBSTITUTE(U$2,"-","")&amp;"[Component Type]",TRUE)),"")</f>
        <v/>
      </c>
      <c r="V136" s="154" t="str" cm="1">
        <f t="array" aca="1" ref="V136" ca="1">IFERROR(_xlfn.XLOOKUP(TableHandbook[[#This Row],[UDC]],INDIRECT("Table"&amp;SUBSTITUTE(V$2,"-","")&amp;"[UDC]",TRUE),INDIRECT("Table"&amp;SUBSTITUTE(V$2,"-","")&amp;"[Component Type]",TRUE)),"")</f>
        <v/>
      </c>
      <c r="W136" s="152" t="str" cm="1">
        <f t="array" aca="1" ref="W136" ca="1">IFERROR(_xlfn.XLOOKUP(TableHandbook[[#This Row],[UDC]],INDIRECT("Table"&amp;SUBSTITUTE(W$2,"-","")&amp;"[UDC]",TRUE),INDIRECT("Table"&amp;SUBSTITUTE(W$2,"-","")&amp;"[Component Type]",TRUE)),"")</f>
        <v/>
      </c>
      <c r="X136" s="152" t="str" cm="1">
        <f t="array" aca="1" ref="X136" ca="1">IFERROR(_xlfn.XLOOKUP(TableHandbook[[#This Row],[UDC]],INDIRECT("Table"&amp;SUBSTITUTE(X$2,"-","")&amp;"[UDC]",TRUE),INDIRECT("Table"&amp;SUBSTITUTE(X$2,"-","")&amp;"[Component Type]",TRUE)),"")</f>
        <v/>
      </c>
      <c r="Y136" s="152" t="str" cm="1">
        <f t="array" aca="1" ref="Y136" ca="1">IFERROR(_xlfn.XLOOKUP(TableHandbook[[#This Row],[UDC]],INDIRECT("Table"&amp;SUBSTITUTE(Y$2,"-","")&amp;"[UDC]",TRUE),INDIRECT("Table"&amp;SUBSTITUTE(Y$2,"-","")&amp;"[Component Type]",TRUE)),"")</f>
        <v/>
      </c>
      <c r="Z136" s="152" t="str" cm="1">
        <f t="array" aca="1" ref="Z136" ca="1">IFERROR(_xlfn.XLOOKUP(TableHandbook[[#This Row],[UDC]],INDIRECT("Table"&amp;SUBSTITUTE(Z$2,"-","")&amp;"[UDC]",TRUE),INDIRECT("Table"&amp;SUBSTITUTE(Z$2,"-","")&amp;"[Component Type]",TRUE)),"")</f>
        <v/>
      </c>
    </row>
    <row r="137" spans="1:26" x14ac:dyDescent="0.25">
      <c r="A137" s="8" t="s">
        <v>147</v>
      </c>
      <c r="B137" s="9"/>
      <c r="C137" s="9"/>
      <c r="D137" s="8" t="s">
        <v>441</v>
      </c>
      <c r="E137" s="9"/>
      <c r="F137" s="265"/>
      <c r="G137" s="72" t="str">
        <f>IFERROR(IF(VLOOKUP(TableHandbook[[#This Row],[UDC]],TableAvailabilities[],2,FALSE)&gt;0,"Y",""),"")</f>
        <v/>
      </c>
      <c r="H137" s="72" t="str">
        <f>IFERROR(IF(VLOOKUP(TableHandbook[[#This Row],[UDC]],TableAvailabilities[],3,FALSE)&gt;0,"Y",""),"")</f>
        <v/>
      </c>
      <c r="I137" s="72" t="str">
        <f>IFERROR(IF(VLOOKUP(TableHandbook[[#This Row],[UDC]],TableAvailabilities[],4,FALSE)&gt;0,"Y",""),"")</f>
        <v/>
      </c>
      <c r="J137" s="72" t="str">
        <f>IFERROR(IF(VLOOKUP(TableHandbook[[#This Row],[UDC]],TableAvailabilities[],5,FALSE)&gt;0,"Y",""),"")</f>
        <v/>
      </c>
      <c r="K137" s="155"/>
      <c r="L137" s="152" t="str" cm="1">
        <f t="array" aca="1" ref="L137" ca="1">IFERROR(_xlfn.XLOOKUP(TableHandbook[[#This Row],[UDC]],INDIRECT("Table"&amp;SUBSTITUTE(L$2,"-","")&amp;"[UDC]",TRUE),INDIRECT("Table"&amp;SUBSTITUTE(L$2,"-","")&amp;"[Component Type]",TRUE)),"")</f>
        <v/>
      </c>
      <c r="M137" s="152" t="str" cm="1">
        <f t="array" aca="1" ref="M137" ca="1">IFERROR(_xlfn.XLOOKUP(TableHandbook[[#This Row],[UDC]],INDIRECT("Table"&amp;SUBSTITUTE(M$2,"-","")&amp;"[UDC]",TRUE),INDIRECT("Table"&amp;SUBSTITUTE(M$2,"-","")&amp;"[Component Type]",TRUE)),"")</f>
        <v/>
      </c>
      <c r="N137" s="154" t="str" cm="1">
        <f t="array" aca="1" ref="N137" ca="1">IFERROR(_xlfn.XLOOKUP(TableHandbook[[#This Row],[UDC]],INDIRECT("Table"&amp;SUBSTITUTE(N$2,"-","")&amp;"[UDC]",TRUE),INDIRECT("Table"&amp;SUBSTITUTE(N$2,"-","")&amp;"[Component Type]",TRUE)),"")</f>
        <v/>
      </c>
      <c r="O137" s="152" t="str" cm="1">
        <f t="array" aca="1" ref="O137" ca="1">IFERROR(_xlfn.XLOOKUP(TableHandbook[[#This Row],[UDC]],INDIRECT("Table"&amp;SUBSTITUTE(O$2,"-","")&amp;"[UDC]",TRUE),INDIRECT("Table"&amp;SUBSTITUTE(O$2,"-","")&amp;"[Component Type]",TRUE)),"")</f>
        <v/>
      </c>
      <c r="P137" s="152" t="str" cm="1">
        <f t="array" aca="1" ref="P137" ca="1">IFERROR(_xlfn.XLOOKUP(TableHandbook[[#This Row],[UDC]],INDIRECT("Table"&amp;SUBSTITUTE(P$2,"-","")&amp;"[UDC]",TRUE),INDIRECT("Table"&amp;SUBSTITUTE(P$2,"-","")&amp;"[Component Type]",TRUE)),"")</f>
        <v/>
      </c>
      <c r="Q137" s="152" t="str" cm="1">
        <f t="array" aca="1" ref="Q137" ca="1">IFERROR(_xlfn.XLOOKUP(TableHandbook[[#This Row],[UDC]],INDIRECT("Table"&amp;SUBSTITUTE(Q$2,"-","")&amp;"[UDC]",TRUE),INDIRECT("Table"&amp;SUBSTITUTE(Q$2,"-","")&amp;"[Component Type]",TRUE)),"")</f>
        <v/>
      </c>
      <c r="R137" s="152" t="str" cm="1">
        <f t="array" aca="1" ref="R137" ca="1">IFERROR(_xlfn.XLOOKUP(TableHandbook[[#This Row],[UDC]],INDIRECT("Table"&amp;SUBSTITUTE(R$2,"-","")&amp;"[UDC]",TRUE),INDIRECT("Table"&amp;SUBSTITUTE(R$2,"-","")&amp;"[Component Type]",TRUE)),"")</f>
        <v/>
      </c>
      <c r="S137" s="152" t="str" cm="1">
        <f t="array" aca="1" ref="S137" ca="1">IFERROR(_xlfn.XLOOKUP(TableHandbook[[#This Row],[UDC]],INDIRECT("Table"&amp;SUBSTITUTE(S$2,"-","")&amp;"[UDC]",TRUE),INDIRECT("Table"&amp;SUBSTITUTE(S$2,"-","")&amp;"[Component Type]",TRUE)),"")</f>
        <v/>
      </c>
      <c r="T137" s="152" t="str" cm="1">
        <f t="array" aca="1" ref="T137" ca="1">IFERROR(_xlfn.XLOOKUP(TableHandbook[[#This Row],[UDC]],INDIRECT("Table"&amp;SUBSTITUTE(T$2,"-","")&amp;"[UDC]",TRUE),INDIRECT("Table"&amp;SUBSTITUTE(T$2,"-","")&amp;"[Component Type]",TRUE)),"")</f>
        <v/>
      </c>
      <c r="U137" s="152" t="str" cm="1">
        <f t="array" aca="1" ref="U137" ca="1">IFERROR(_xlfn.XLOOKUP(TableHandbook[[#This Row],[UDC]],INDIRECT("Table"&amp;SUBSTITUTE(U$2,"-","")&amp;"[UDC]",TRUE),INDIRECT("Table"&amp;SUBSTITUTE(U$2,"-","")&amp;"[Component Type]",TRUE)),"")</f>
        <v/>
      </c>
      <c r="V137" s="154" t="str" cm="1">
        <f t="array" aca="1" ref="V137" ca="1">IFERROR(_xlfn.XLOOKUP(TableHandbook[[#This Row],[UDC]],INDIRECT("Table"&amp;SUBSTITUTE(V$2,"-","")&amp;"[UDC]",TRUE),INDIRECT("Table"&amp;SUBSTITUTE(V$2,"-","")&amp;"[Component Type]",TRUE)),"")</f>
        <v/>
      </c>
      <c r="W137" s="152" t="str" cm="1">
        <f t="array" aca="1" ref="W137" ca="1">IFERROR(_xlfn.XLOOKUP(TableHandbook[[#This Row],[UDC]],INDIRECT("Table"&amp;SUBSTITUTE(W$2,"-","")&amp;"[UDC]",TRUE),INDIRECT("Table"&amp;SUBSTITUTE(W$2,"-","")&amp;"[Component Type]",TRUE)),"")</f>
        <v/>
      </c>
      <c r="X137" s="152" t="str" cm="1">
        <f t="array" aca="1" ref="X137" ca="1">IFERROR(_xlfn.XLOOKUP(TableHandbook[[#This Row],[UDC]],INDIRECT("Table"&amp;SUBSTITUTE(X$2,"-","")&amp;"[UDC]",TRUE),INDIRECT("Table"&amp;SUBSTITUTE(X$2,"-","")&amp;"[Component Type]",TRUE)),"")</f>
        <v/>
      </c>
      <c r="Y137" s="152" t="str" cm="1">
        <f t="array" aca="1" ref="Y137" ca="1">IFERROR(_xlfn.XLOOKUP(TableHandbook[[#This Row],[UDC]],INDIRECT("Table"&amp;SUBSTITUTE(Y$2,"-","")&amp;"[UDC]",TRUE),INDIRECT("Table"&amp;SUBSTITUTE(Y$2,"-","")&amp;"[Component Type]",TRUE)),"")</f>
        <v/>
      </c>
      <c r="Z137" s="152" t="str" cm="1">
        <f t="array" aca="1" ref="Z137" ca="1">IFERROR(_xlfn.XLOOKUP(TableHandbook[[#This Row],[UDC]],INDIRECT("Table"&amp;SUBSTITUTE(Z$2,"-","")&amp;"[UDC]",TRUE),INDIRECT("Table"&amp;SUBSTITUTE(Z$2,"-","")&amp;"[Component Type]",TRUE)),"")</f>
        <v/>
      </c>
    </row>
    <row r="138" spans="1:26" x14ac:dyDescent="0.25">
      <c r="A138" s="8" t="s">
        <v>103</v>
      </c>
      <c r="B138" s="9"/>
      <c r="C138" s="9"/>
      <c r="D138" s="8" t="s">
        <v>442</v>
      </c>
      <c r="E138" s="9">
        <v>25</v>
      </c>
      <c r="F138" s="265" t="s">
        <v>244</v>
      </c>
      <c r="G138" s="72" t="str">
        <f>IFERROR(IF(VLOOKUP(TableHandbook[[#This Row],[UDC]],TableAvailabilities[],2,FALSE)&gt;0,"Y",""),"")</f>
        <v/>
      </c>
      <c r="H138" s="72" t="str">
        <f>IFERROR(IF(VLOOKUP(TableHandbook[[#This Row],[UDC]],TableAvailabilities[],3,FALSE)&gt;0,"Y",""),"")</f>
        <v/>
      </c>
      <c r="I138" s="72" t="str">
        <f>IFERROR(IF(VLOOKUP(TableHandbook[[#This Row],[UDC]],TableAvailabilities[],4,FALSE)&gt;0,"Y",""),"")</f>
        <v/>
      </c>
      <c r="J138" s="72" t="str">
        <f>IFERROR(IF(VLOOKUP(TableHandbook[[#This Row],[UDC]],TableAvailabilities[],5,FALSE)&gt;0,"Y",""),"")</f>
        <v/>
      </c>
      <c r="K138" s="155"/>
      <c r="L138" s="152" t="str" cm="1">
        <f t="array" aca="1" ref="L138" ca="1">IFERROR(_xlfn.XLOOKUP(TableHandbook[[#This Row],[UDC]],INDIRECT("Table"&amp;SUBSTITUTE(L$2,"-","")&amp;"[UDC]",TRUE),INDIRECT("Table"&amp;SUBSTITUTE(L$2,"-","")&amp;"[Component Type]",TRUE)),"")</f>
        <v/>
      </c>
      <c r="M138" s="152" t="str" cm="1">
        <f t="array" aca="1" ref="M138" ca="1">IFERROR(_xlfn.XLOOKUP(TableHandbook[[#This Row],[UDC]],INDIRECT("Table"&amp;SUBSTITUTE(M$2,"-","")&amp;"[UDC]",TRUE),INDIRECT("Table"&amp;SUBSTITUTE(M$2,"-","")&amp;"[Component Type]",TRUE)),"")</f>
        <v/>
      </c>
      <c r="N138" s="154" t="str" cm="1">
        <f t="array" aca="1" ref="N138" ca="1">IFERROR(_xlfn.XLOOKUP(TableHandbook[[#This Row],[UDC]],INDIRECT("Table"&amp;SUBSTITUTE(N$2,"-","")&amp;"[UDC]",TRUE),INDIRECT("Table"&amp;SUBSTITUTE(N$2,"-","")&amp;"[Component Type]",TRUE)),"")</f>
        <v/>
      </c>
      <c r="O138" s="152" t="str" cm="1">
        <f t="array" aca="1" ref="O138" ca="1">IFERROR(_xlfn.XLOOKUP(TableHandbook[[#This Row],[UDC]],INDIRECT("Table"&amp;SUBSTITUTE(O$2,"-","")&amp;"[UDC]",TRUE),INDIRECT("Table"&amp;SUBSTITUTE(O$2,"-","")&amp;"[Component Type]",TRUE)),"")</f>
        <v/>
      </c>
      <c r="P138" s="152" t="str" cm="1">
        <f t="array" aca="1" ref="P138" ca="1">IFERROR(_xlfn.XLOOKUP(TableHandbook[[#This Row],[UDC]],INDIRECT("Table"&amp;SUBSTITUTE(P$2,"-","")&amp;"[UDC]",TRUE),INDIRECT("Table"&amp;SUBSTITUTE(P$2,"-","")&amp;"[Component Type]",TRUE)),"")</f>
        <v/>
      </c>
      <c r="Q138" s="152" t="str" cm="1">
        <f t="array" aca="1" ref="Q138" ca="1">IFERROR(_xlfn.XLOOKUP(TableHandbook[[#This Row],[UDC]],INDIRECT("Table"&amp;SUBSTITUTE(Q$2,"-","")&amp;"[UDC]",TRUE),INDIRECT("Table"&amp;SUBSTITUTE(Q$2,"-","")&amp;"[Component Type]",TRUE)),"")</f>
        <v/>
      </c>
      <c r="R138" s="152" t="str" cm="1">
        <f t="array" aca="1" ref="R138" ca="1">IFERROR(_xlfn.XLOOKUP(TableHandbook[[#This Row],[UDC]],INDIRECT("Table"&amp;SUBSTITUTE(R$2,"-","")&amp;"[UDC]",TRUE),INDIRECT("Table"&amp;SUBSTITUTE(R$2,"-","")&amp;"[Component Type]",TRUE)),"")</f>
        <v/>
      </c>
      <c r="S138" s="152" t="str" cm="1">
        <f t="array" aca="1" ref="S138" ca="1">IFERROR(_xlfn.XLOOKUP(TableHandbook[[#This Row],[UDC]],INDIRECT("Table"&amp;SUBSTITUTE(S$2,"-","")&amp;"[UDC]",TRUE),INDIRECT("Table"&amp;SUBSTITUTE(S$2,"-","")&amp;"[Component Type]",TRUE)),"")</f>
        <v/>
      </c>
      <c r="T138" s="152" t="str" cm="1">
        <f t="array" aca="1" ref="T138" ca="1">IFERROR(_xlfn.XLOOKUP(TableHandbook[[#This Row],[UDC]],INDIRECT("Table"&amp;SUBSTITUTE(T$2,"-","")&amp;"[UDC]",TRUE),INDIRECT("Table"&amp;SUBSTITUTE(T$2,"-","")&amp;"[Component Type]",TRUE)),"")</f>
        <v/>
      </c>
      <c r="U138" s="152" t="str" cm="1">
        <f t="array" aca="1" ref="U138" ca="1">IFERROR(_xlfn.XLOOKUP(TableHandbook[[#This Row],[UDC]],INDIRECT("Table"&amp;SUBSTITUTE(U$2,"-","")&amp;"[UDC]",TRUE),INDIRECT("Table"&amp;SUBSTITUTE(U$2,"-","")&amp;"[Component Type]",TRUE)),"")</f>
        <v/>
      </c>
      <c r="V138" s="154" t="str" cm="1">
        <f t="array" aca="1" ref="V138" ca="1">IFERROR(_xlfn.XLOOKUP(TableHandbook[[#This Row],[UDC]],INDIRECT("Table"&amp;SUBSTITUTE(V$2,"-","")&amp;"[UDC]",TRUE),INDIRECT("Table"&amp;SUBSTITUTE(V$2,"-","")&amp;"[Component Type]",TRUE)),"")</f>
        <v/>
      </c>
      <c r="W138" s="152" t="str" cm="1">
        <f t="array" aca="1" ref="W138" ca="1">IFERROR(_xlfn.XLOOKUP(TableHandbook[[#This Row],[UDC]],INDIRECT("Table"&amp;SUBSTITUTE(W$2,"-","")&amp;"[UDC]",TRUE),INDIRECT("Table"&amp;SUBSTITUTE(W$2,"-","")&amp;"[Component Type]",TRUE)),"")</f>
        <v/>
      </c>
      <c r="X138" s="152" t="str" cm="1">
        <f t="array" aca="1" ref="X138" ca="1">IFERROR(_xlfn.XLOOKUP(TableHandbook[[#This Row],[UDC]],INDIRECT("Table"&amp;SUBSTITUTE(X$2,"-","")&amp;"[UDC]",TRUE),INDIRECT("Table"&amp;SUBSTITUTE(X$2,"-","")&amp;"[Component Type]",TRUE)),"")</f>
        <v/>
      </c>
      <c r="Y138" s="152" t="str" cm="1">
        <f t="array" aca="1" ref="Y138" ca="1">IFERROR(_xlfn.XLOOKUP(TableHandbook[[#This Row],[UDC]],INDIRECT("Table"&amp;SUBSTITUTE(Y$2,"-","")&amp;"[UDC]",TRUE),INDIRECT("Table"&amp;SUBSTITUTE(Y$2,"-","")&amp;"[Component Type]",TRUE)),"")</f>
        <v/>
      </c>
      <c r="Z138" s="152" t="str" cm="1">
        <f t="array" aca="1" ref="Z138" ca="1">IFERROR(_xlfn.XLOOKUP(TableHandbook[[#This Row],[UDC]],INDIRECT("Table"&amp;SUBSTITUTE(Z$2,"-","")&amp;"[UDC]",TRUE),INDIRECT("Table"&amp;SUBSTITUTE(Z$2,"-","")&amp;"[Component Type]",TRUE)),"")</f>
        <v/>
      </c>
    </row>
    <row r="139" spans="1:26" x14ac:dyDescent="0.25">
      <c r="A139" s="246" t="s">
        <v>619</v>
      </c>
      <c r="B139" s="9"/>
      <c r="C139" s="9" t="s">
        <v>534</v>
      </c>
      <c r="D139" s="8" t="s">
        <v>618</v>
      </c>
      <c r="E139" s="9">
        <v>0</v>
      </c>
      <c r="F139" s="265"/>
      <c r="G139" s="72" t="str">
        <f>IFERROR(IF(VLOOKUP(TableHandbook[[#This Row],[UDC]],TableAvailabilities[],2,FALSE)&gt;0,"Y",""),"")</f>
        <v/>
      </c>
      <c r="H139" s="72" t="str">
        <f>IFERROR(IF(VLOOKUP(TableHandbook[[#This Row],[UDC]],TableAvailabilities[],3,FALSE)&gt;0,"Y",""),"")</f>
        <v/>
      </c>
      <c r="I139" s="72" t="str">
        <f>IFERROR(IF(VLOOKUP(TableHandbook[[#This Row],[UDC]],TableAvailabilities[],4,FALSE)&gt;0,"Y",""),"")</f>
        <v/>
      </c>
      <c r="J139" s="72" t="str">
        <f>IFERROR(IF(VLOOKUP(TableHandbook[[#This Row],[UDC]],TableAvailabilities[],5,FALSE)&gt;0,"Y",""),"")</f>
        <v/>
      </c>
      <c r="K139" s="155"/>
      <c r="L139" s="152" t="str" cm="1">
        <f t="array" aca="1" ref="L139" ca="1">IFERROR(_xlfn.XLOOKUP(TableHandbook[[#This Row],[UDC]],INDIRECT("Table"&amp;SUBSTITUTE(L$2,"-","")&amp;"[UDC]",TRUE),INDIRECT("Table"&amp;SUBSTITUTE(L$2,"-","")&amp;"[Component Type]",TRUE)),"")</f>
        <v/>
      </c>
      <c r="M139" s="152" t="str" cm="1">
        <f t="array" aca="1" ref="M139" ca="1">IFERROR(_xlfn.XLOOKUP(TableHandbook[[#This Row],[UDC]],INDIRECT("Table"&amp;SUBSTITUTE(M$2,"-","")&amp;"[UDC]",TRUE),INDIRECT("Table"&amp;SUBSTITUTE(M$2,"-","")&amp;"[Component Type]",TRUE)),"")</f>
        <v/>
      </c>
      <c r="N139" s="154" t="str" cm="1">
        <f t="array" aca="1" ref="N139" ca="1">IFERROR(_xlfn.XLOOKUP(TableHandbook[[#This Row],[UDC]],INDIRECT("Table"&amp;SUBSTITUTE(N$2,"-","")&amp;"[UDC]",TRUE),INDIRECT("Table"&amp;SUBSTITUTE(N$2,"-","")&amp;"[Component Type]",TRUE)),"")</f>
        <v>Option</v>
      </c>
      <c r="O139" s="152" t="str" cm="1">
        <f t="array" aca="1" ref="O139" ca="1">IFERROR(_xlfn.XLOOKUP(TableHandbook[[#This Row],[UDC]],INDIRECT("Table"&amp;SUBSTITUTE(O$2,"-","")&amp;"[UDC]",TRUE),INDIRECT("Table"&amp;SUBSTITUTE(O$2,"-","")&amp;"[Component Type]",TRUE)),"")</f>
        <v>Option</v>
      </c>
      <c r="P139" s="152" t="str" cm="1">
        <f t="array" aca="1" ref="P139" ca="1">IFERROR(_xlfn.XLOOKUP(TableHandbook[[#This Row],[UDC]],INDIRECT("Table"&amp;SUBSTITUTE(P$2,"-","")&amp;"[UDC]",TRUE),INDIRECT("Table"&amp;SUBSTITUTE(P$2,"-","")&amp;"[Component Type]",TRUE)),"")</f>
        <v/>
      </c>
      <c r="Q139" s="152" t="str" cm="1">
        <f t="array" aca="1" ref="Q139" ca="1">IFERROR(_xlfn.XLOOKUP(TableHandbook[[#This Row],[UDC]],INDIRECT("Table"&amp;SUBSTITUTE(Q$2,"-","")&amp;"[UDC]",TRUE),INDIRECT("Table"&amp;SUBSTITUTE(Q$2,"-","")&amp;"[Component Type]",TRUE)),"")</f>
        <v/>
      </c>
      <c r="R139" s="152" t="str" cm="1">
        <f t="array" aca="1" ref="R139" ca="1">IFERROR(_xlfn.XLOOKUP(TableHandbook[[#This Row],[UDC]],INDIRECT("Table"&amp;SUBSTITUTE(R$2,"-","")&amp;"[UDC]",TRUE),INDIRECT("Table"&amp;SUBSTITUTE(R$2,"-","")&amp;"[Component Type]",TRUE)),"")</f>
        <v/>
      </c>
      <c r="S139" s="152" t="str" cm="1">
        <f t="array" aca="1" ref="S139" ca="1">IFERROR(_xlfn.XLOOKUP(TableHandbook[[#This Row],[UDC]],INDIRECT("Table"&amp;SUBSTITUTE(S$2,"-","")&amp;"[UDC]",TRUE),INDIRECT("Table"&amp;SUBSTITUTE(S$2,"-","")&amp;"[Component Type]",TRUE)),"")</f>
        <v/>
      </c>
      <c r="T139" s="152" t="str" cm="1">
        <f t="array" aca="1" ref="T139" ca="1">IFERROR(_xlfn.XLOOKUP(TableHandbook[[#This Row],[UDC]],INDIRECT("Table"&amp;SUBSTITUTE(T$2,"-","")&amp;"[UDC]",TRUE),INDIRECT("Table"&amp;SUBSTITUTE(T$2,"-","")&amp;"[Component Type]",TRUE)),"")</f>
        <v/>
      </c>
      <c r="U139" s="152" t="str" cm="1">
        <f t="array" aca="1" ref="U139" ca="1">IFERROR(_xlfn.XLOOKUP(TableHandbook[[#This Row],[UDC]],INDIRECT("Table"&amp;SUBSTITUTE(U$2,"-","")&amp;"[UDC]",TRUE),INDIRECT("Table"&amp;SUBSTITUTE(U$2,"-","")&amp;"[Component Type]",TRUE)),"")</f>
        <v/>
      </c>
      <c r="V139" s="154" t="str" cm="1">
        <f t="array" aca="1" ref="V139" ca="1">IFERROR(_xlfn.XLOOKUP(TableHandbook[[#This Row],[UDC]],INDIRECT("Table"&amp;SUBSTITUTE(V$2,"-","")&amp;"[UDC]",TRUE),INDIRECT("Table"&amp;SUBSTITUTE(V$2,"-","")&amp;"[Component Type]",TRUE)),"")</f>
        <v/>
      </c>
      <c r="W139" s="152" t="str" cm="1">
        <f t="array" aca="1" ref="W139" ca="1">IFERROR(_xlfn.XLOOKUP(TableHandbook[[#This Row],[UDC]],INDIRECT("Table"&amp;SUBSTITUTE(W$2,"-","")&amp;"[UDC]",TRUE),INDIRECT("Table"&amp;SUBSTITUTE(W$2,"-","")&amp;"[Component Type]",TRUE)),"")</f>
        <v/>
      </c>
      <c r="X139" s="152" t="str" cm="1">
        <f t="array" aca="1" ref="X139" ca="1">IFERROR(_xlfn.XLOOKUP(TableHandbook[[#This Row],[UDC]],INDIRECT("Table"&amp;SUBSTITUTE(X$2,"-","")&amp;"[UDC]",TRUE),INDIRECT("Table"&amp;SUBSTITUTE(X$2,"-","")&amp;"[Component Type]",TRUE)),"")</f>
        <v/>
      </c>
      <c r="Y139" s="152" t="str" cm="1">
        <f t="array" aca="1" ref="Y139" ca="1">IFERROR(_xlfn.XLOOKUP(TableHandbook[[#This Row],[UDC]],INDIRECT("Table"&amp;SUBSTITUTE(Y$2,"-","")&amp;"[UDC]",TRUE),INDIRECT("Table"&amp;SUBSTITUTE(Y$2,"-","")&amp;"[Component Type]",TRUE)),"")</f>
        <v/>
      </c>
      <c r="Z139" s="152" t="str" cm="1">
        <f t="array" aca="1" ref="Z139" ca="1">IFERROR(_xlfn.XLOOKUP(TableHandbook[[#This Row],[UDC]],INDIRECT("Table"&amp;SUBSTITUTE(Z$2,"-","")&amp;"[UDC]",TRUE),INDIRECT("Table"&amp;SUBSTITUTE(Z$2,"-","")&amp;"[Component Type]",TRUE)),"")</f>
        <v/>
      </c>
    </row>
    <row r="140" spans="1:26" x14ac:dyDescent="0.25">
      <c r="A140" s="8" t="s">
        <v>668</v>
      </c>
      <c r="B140" s="9"/>
      <c r="C140" s="9"/>
      <c r="D140" s="8" t="s">
        <v>669</v>
      </c>
      <c r="E140" s="9">
        <v>25</v>
      </c>
      <c r="F140" s="265" t="s">
        <v>244</v>
      </c>
      <c r="G140" s="72" t="str">
        <f>IFERROR(IF(VLOOKUP(TableHandbook[[#This Row],[UDC]],TableAvailabilities[],2,FALSE)&gt;0,"Y",""),"")</f>
        <v/>
      </c>
      <c r="H140" s="72" t="str">
        <f>IFERROR(IF(VLOOKUP(TableHandbook[[#This Row],[UDC]],TableAvailabilities[],3,FALSE)&gt;0,"Y",""),"")</f>
        <v/>
      </c>
      <c r="I140" s="72" t="str">
        <f>IFERROR(IF(VLOOKUP(TableHandbook[[#This Row],[UDC]],TableAvailabilities[],4,FALSE)&gt;0,"Y",""),"")</f>
        <v/>
      </c>
      <c r="J140" s="72" t="str">
        <f>IFERROR(IF(VLOOKUP(TableHandbook[[#This Row],[UDC]],TableAvailabilities[],5,FALSE)&gt;0,"Y",""),"")</f>
        <v/>
      </c>
      <c r="K140" s="155"/>
      <c r="L140" s="152" t="str" cm="1">
        <f t="array" aca="1" ref="L140" ca="1">IFERROR(_xlfn.XLOOKUP(TableHandbook[[#This Row],[UDC]],INDIRECT("Table"&amp;SUBSTITUTE(L$2,"-","")&amp;"[UDC]",TRUE),INDIRECT("Table"&amp;SUBSTITUTE(L$2,"-","")&amp;"[Component Type]",TRUE)),"")</f>
        <v/>
      </c>
      <c r="M140" s="152" t="str" cm="1">
        <f t="array" aca="1" ref="M140" ca="1">IFERROR(_xlfn.XLOOKUP(TableHandbook[[#This Row],[UDC]],INDIRECT("Table"&amp;SUBSTITUTE(M$2,"-","")&amp;"[UDC]",TRUE),INDIRECT("Table"&amp;SUBSTITUTE(M$2,"-","")&amp;"[Component Type]",TRUE)),"")</f>
        <v/>
      </c>
      <c r="N140" s="154" t="str" cm="1">
        <f t="array" aca="1" ref="N140" ca="1">IFERROR(_xlfn.XLOOKUP(TableHandbook[[#This Row],[UDC]],INDIRECT("Table"&amp;SUBSTITUTE(N$2,"-","")&amp;"[UDC]",TRUE),INDIRECT("Table"&amp;SUBSTITUTE(N$2,"-","")&amp;"[Component Type]",TRUE)),"")</f>
        <v/>
      </c>
      <c r="O140" s="152" t="str" cm="1">
        <f t="array" aca="1" ref="O140" ca="1">IFERROR(_xlfn.XLOOKUP(TableHandbook[[#This Row],[UDC]],INDIRECT("Table"&amp;SUBSTITUTE(O$2,"-","")&amp;"[UDC]",TRUE),INDIRECT("Table"&amp;SUBSTITUTE(O$2,"-","")&amp;"[Component Type]",TRUE)),"")</f>
        <v/>
      </c>
      <c r="P140" s="152" t="str" cm="1">
        <f t="array" aca="1" ref="P140" ca="1">IFERROR(_xlfn.XLOOKUP(TableHandbook[[#This Row],[UDC]],INDIRECT("Table"&amp;SUBSTITUTE(P$2,"-","")&amp;"[UDC]",TRUE),INDIRECT("Table"&amp;SUBSTITUTE(P$2,"-","")&amp;"[Component Type]",TRUE)),"")</f>
        <v/>
      </c>
      <c r="Q140" s="152" t="str" cm="1">
        <f t="array" aca="1" ref="Q140" ca="1">IFERROR(_xlfn.XLOOKUP(TableHandbook[[#This Row],[UDC]],INDIRECT("Table"&amp;SUBSTITUTE(Q$2,"-","")&amp;"[UDC]",TRUE),INDIRECT("Table"&amp;SUBSTITUTE(Q$2,"-","")&amp;"[Component Type]",TRUE)),"")</f>
        <v/>
      </c>
      <c r="R140" s="152" t="str" cm="1">
        <f t="array" aca="1" ref="R140" ca="1">IFERROR(_xlfn.XLOOKUP(TableHandbook[[#This Row],[UDC]],INDIRECT("Table"&amp;SUBSTITUTE(R$2,"-","")&amp;"[UDC]",TRUE),INDIRECT("Table"&amp;SUBSTITUTE(R$2,"-","")&amp;"[Component Type]",TRUE)),"")</f>
        <v/>
      </c>
      <c r="S140" s="152" t="str" cm="1">
        <f t="array" aca="1" ref="S140" ca="1">IFERROR(_xlfn.XLOOKUP(TableHandbook[[#This Row],[UDC]],INDIRECT("Table"&amp;SUBSTITUTE(S$2,"-","")&amp;"[UDC]",TRUE),INDIRECT("Table"&amp;SUBSTITUTE(S$2,"-","")&amp;"[Component Type]",TRUE)),"")</f>
        <v/>
      </c>
      <c r="T140" s="152" t="str" cm="1">
        <f t="array" aca="1" ref="T140" ca="1">IFERROR(_xlfn.XLOOKUP(TableHandbook[[#This Row],[UDC]],INDIRECT("Table"&amp;SUBSTITUTE(T$2,"-","")&amp;"[UDC]",TRUE),INDIRECT("Table"&amp;SUBSTITUTE(T$2,"-","")&amp;"[Component Type]",TRUE)),"")</f>
        <v/>
      </c>
      <c r="U140" s="152" t="str" cm="1">
        <f t="array" aca="1" ref="U140" ca="1">IFERROR(_xlfn.XLOOKUP(TableHandbook[[#This Row],[UDC]],INDIRECT("Table"&amp;SUBSTITUTE(U$2,"-","")&amp;"[UDC]",TRUE),INDIRECT("Table"&amp;SUBSTITUTE(U$2,"-","")&amp;"[Component Type]",TRUE)),"")</f>
        <v/>
      </c>
      <c r="V140" s="154" t="str" cm="1">
        <f t="array" aca="1" ref="V140" ca="1">IFERROR(_xlfn.XLOOKUP(TableHandbook[[#This Row],[UDC]],INDIRECT("Table"&amp;SUBSTITUTE(V$2,"-","")&amp;"[UDC]",TRUE),INDIRECT("Table"&amp;SUBSTITUTE(V$2,"-","")&amp;"[Component Type]",TRUE)),"")</f>
        <v/>
      </c>
      <c r="W140" s="152" t="str" cm="1">
        <f t="array" aca="1" ref="W140" ca="1">IFERROR(_xlfn.XLOOKUP(TableHandbook[[#This Row],[UDC]],INDIRECT("Table"&amp;SUBSTITUTE(W$2,"-","")&amp;"[UDC]",TRUE),INDIRECT("Table"&amp;SUBSTITUTE(W$2,"-","")&amp;"[Component Type]",TRUE)),"")</f>
        <v/>
      </c>
      <c r="X140" s="152" t="str" cm="1">
        <f t="array" aca="1" ref="X140" ca="1">IFERROR(_xlfn.XLOOKUP(TableHandbook[[#This Row],[UDC]],INDIRECT("Table"&amp;SUBSTITUTE(X$2,"-","")&amp;"[UDC]",TRUE),INDIRECT("Table"&amp;SUBSTITUTE(X$2,"-","")&amp;"[Component Type]",TRUE)),"")</f>
        <v/>
      </c>
      <c r="Y140" s="152" t="str" cm="1">
        <f t="array" aca="1" ref="Y140" ca="1">IFERROR(_xlfn.XLOOKUP(TableHandbook[[#This Row],[UDC]],INDIRECT("Table"&amp;SUBSTITUTE(Y$2,"-","")&amp;"[UDC]",TRUE),INDIRECT("Table"&amp;SUBSTITUTE(Y$2,"-","")&amp;"[Component Type]",TRUE)),"")</f>
        <v/>
      </c>
      <c r="Z140" s="152" t="str" cm="1">
        <f t="array" aca="1" ref="Z140" ca="1">IFERROR(_xlfn.XLOOKUP(TableHandbook[[#This Row],[UDC]],INDIRECT("Table"&amp;SUBSTITUTE(Z$2,"-","")&amp;"[UDC]",TRUE),INDIRECT("Table"&amp;SUBSTITUTE(Z$2,"-","")&amp;"[Component Type]",TRUE)),"")</f>
        <v/>
      </c>
    </row>
    <row r="141" spans="1:26" x14ac:dyDescent="0.25">
      <c r="A141" s="8" t="s">
        <v>196</v>
      </c>
      <c r="B141" s="9">
        <v>2</v>
      </c>
      <c r="C141" s="9" t="s">
        <v>443</v>
      </c>
      <c r="D141" s="8" t="s">
        <v>444</v>
      </c>
      <c r="E141" s="9">
        <v>25</v>
      </c>
      <c r="F141" s="266" t="s">
        <v>255</v>
      </c>
      <c r="G141" s="72" t="str">
        <f>IFERROR(IF(VLOOKUP(TableHandbook[[#This Row],[UDC]],TableAvailabilities[],2,FALSE)&gt;0,"Y",""),"")</f>
        <v>Y</v>
      </c>
      <c r="H141" s="72" t="str">
        <f>IFERROR(IF(VLOOKUP(TableHandbook[[#This Row],[UDC]],TableAvailabilities[],3,FALSE)&gt;0,"Y",""),"")</f>
        <v>Y</v>
      </c>
      <c r="I141" s="72" t="str">
        <f>IFERROR(IF(VLOOKUP(TableHandbook[[#This Row],[UDC]],TableAvailabilities[],4,FALSE)&gt;0,"Y",""),"")</f>
        <v>Y</v>
      </c>
      <c r="J141" s="72" t="str">
        <f>IFERROR(IF(VLOOKUP(TableHandbook[[#This Row],[UDC]],TableAvailabilities[],5,FALSE)&gt;0,"Y",""),"")</f>
        <v>Y</v>
      </c>
      <c r="K141" s="155"/>
      <c r="L141" s="152" t="str" cm="1">
        <f t="array" aca="1" ref="L141" ca="1">IFERROR(_xlfn.XLOOKUP(TableHandbook[[#This Row],[UDC]],INDIRECT("Table"&amp;SUBSTITUTE(L$2,"-","")&amp;"[UDC]",TRUE),INDIRECT("Table"&amp;SUBSTITUTE(L$2,"-","")&amp;"[Component Type]",TRUE)),"")</f>
        <v/>
      </c>
      <c r="M141" s="152" t="str" cm="1">
        <f t="array" aca="1" ref="M141" ca="1">IFERROR(_xlfn.XLOOKUP(TableHandbook[[#This Row],[UDC]],INDIRECT("Table"&amp;SUBSTITUTE(M$2,"-","")&amp;"[UDC]",TRUE),INDIRECT("Table"&amp;SUBSTITUTE(M$2,"-","")&amp;"[Component Type]",TRUE)),"")</f>
        <v/>
      </c>
      <c r="N141" s="154" t="str" cm="1">
        <f t="array" aca="1" ref="N141" ca="1">IFERROR(_xlfn.XLOOKUP(TableHandbook[[#This Row],[UDC]],INDIRECT("Table"&amp;SUBSTITUTE(N$2,"-","")&amp;"[UDC]",TRUE),INDIRECT("Table"&amp;SUBSTITUTE(N$2,"-","")&amp;"[Component Type]",TRUE)),"")</f>
        <v/>
      </c>
      <c r="O141" s="152" t="str" cm="1">
        <f t="array" aca="1" ref="O141" ca="1">IFERROR(_xlfn.XLOOKUP(TableHandbook[[#This Row],[UDC]],INDIRECT("Table"&amp;SUBSTITUTE(O$2,"-","")&amp;"[UDC]",TRUE),INDIRECT("Table"&amp;SUBSTITUTE(O$2,"-","")&amp;"[Component Type]",TRUE)),"")</f>
        <v/>
      </c>
      <c r="P141" s="152" t="str" cm="1">
        <f t="array" aca="1" ref="P141" ca="1">IFERROR(_xlfn.XLOOKUP(TableHandbook[[#This Row],[UDC]],INDIRECT("Table"&amp;SUBSTITUTE(P$2,"-","")&amp;"[UDC]",TRUE),INDIRECT("Table"&amp;SUBSTITUTE(P$2,"-","")&amp;"[Component Type]",TRUE)),"")</f>
        <v/>
      </c>
      <c r="Q141" s="152" t="str" cm="1">
        <f t="array" aca="1" ref="Q141" ca="1">IFERROR(_xlfn.XLOOKUP(TableHandbook[[#This Row],[UDC]],INDIRECT("Table"&amp;SUBSTITUTE(Q$2,"-","")&amp;"[UDC]",TRUE),INDIRECT("Table"&amp;SUBSTITUTE(Q$2,"-","")&amp;"[Component Type]",TRUE)),"")</f>
        <v/>
      </c>
      <c r="R141" s="152" t="str" cm="1">
        <f t="array" aca="1" ref="R141" ca="1">IFERROR(_xlfn.XLOOKUP(TableHandbook[[#This Row],[UDC]],INDIRECT("Table"&amp;SUBSTITUTE(R$2,"-","")&amp;"[UDC]",TRUE),INDIRECT("Table"&amp;SUBSTITUTE(R$2,"-","")&amp;"[Component Type]",TRUE)),"")</f>
        <v/>
      </c>
      <c r="S141" s="152" t="str" cm="1">
        <f t="array" aca="1" ref="S141" ca="1">IFERROR(_xlfn.XLOOKUP(TableHandbook[[#This Row],[UDC]],INDIRECT("Table"&amp;SUBSTITUTE(S$2,"-","")&amp;"[UDC]",TRUE),INDIRECT("Table"&amp;SUBSTITUTE(S$2,"-","")&amp;"[Component Type]",TRUE)),"")</f>
        <v/>
      </c>
      <c r="T141" s="152" t="str" cm="1">
        <f t="array" aca="1" ref="T141" ca="1">IFERROR(_xlfn.XLOOKUP(TableHandbook[[#This Row],[UDC]],INDIRECT("Table"&amp;SUBSTITUTE(T$2,"-","")&amp;"[UDC]",TRUE),INDIRECT("Table"&amp;SUBSTITUTE(T$2,"-","")&amp;"[Component Type]",TRUE)),"")</f>
        <v/>
      </c>
      <c r="U141" s="152" t="str" cm="1">
        <f t="array" aca="1" ref="U141" ca="1">IFERROR(_xlfn.XLOOKUP(TableHandbook[[#This Row],[UDC]],INDIRECT("Table"&amp;SUBSTITUTE(U$2,"-","")&amp;"[UDC]",TRUE),INDIRECT("Table"&amp;SUBSTITUTE(U$2,"-","")&amp;"[Component Type]",TRUE)),"")</f>
        <v/>
      </c>
      <c r="V141" s="154" t="str" cm="1">
        <f t="array" aca="1" ref="V141" ca="1">IFERROR(_xlfn.XLOOKUP(TableHandbook[[#This Row],[UDC]],INDIRECT("Table"&amp;SUBSTITUTE(V$2,"-","")&amp;"[UDC]",TRUE),INDIRECT("Table"&amp;SUBSTITUTE(V$2,"-","")&amp;"[Component Type]",TRUE)),"")</f>
        <v/>
      </c>
      <c r="W141" s="152" t="str" cm="1">
        <f t="array" aca="1" ref="W141" ca="1">IFERROR(_xlfn.XLOOKUP(TableHandbook[[#This Row],[UDC]],INDIRECT("Table"&amp;SUBSTITUTE(W$2,"-","")&amp;"[UDC]",TRUE),INDIRECT("Table"&amp;SUBSTITUTE(W$2,"-","")&amp;"[Component Type]",TRUE)),"")</f>
        <v/>
      </c>
      <c r="X141" s="152" t="str" cm="1">
        <f t="array" aca="1" ref="X141" ca="1">IFERROR(_xlfn.XLOOKUP(TableHandbook[[#This Row],[UDC]],INDIRECT("Table"&amp;SUBSTITUTE(X$2,"-","")&amp;"[UDC]",TRUE),INDIRECT("Table"&amp;SUBSTITUTE(X$2,"-","")&amp;"[Component Type]",TRUE)),"")</f>
        <v>Core</v>
      </c>
      <c r="Y141" s="152" t="str" cm="1">
        <f t="array" aca="1" ref="Y141" ca="1">IFERROR(_xlfn.XLOOKUP(TableHandbook[[#This Row],[UDC]],INDIRECT("Table"&amp;SUBSTITUTE(Y$2,"-","")&amp;"[UDC]",TRUE),INDIRECT("Table"&amp;SUBSTITUTE(Y$2,"-","")&amp;"[Component Type]",TRUE)),"")</f>
        <v/>
      </c>
      <c r="Z141" s="152" t="str" cm="1">
        <f t="array" aca="1" ref="Z141" ca="1">IFERROR(_xlfn.XLOOKUP(TableHandbook[[#This Row],[UDC]],INDIRECT("Table"&amp;SUBSTITUTE(Z$2,"-","")&amp;"[UDC]",TRUE),INDIRECT("Table"&amp;SUBSTITUTE(Z$2,"-","")&amp;"[Component Type]",TRUE)),"")</f>
        <v/>
      </c>
    </row>
    <row r="142" spans="1:26" x14ac:dyDescent="0.25">
      <c r="A142" s="8" t="s">
        <v>185</v>
      </c>
      <c r="B142" s="9">
        <v>2</v>
      </c>
      <c r="C142" s="9" t="s">
        <v>445</v>
      </c>
      <c r="D142" s="8" t="s">
        <v>446</v>
      </c>
      <c r="E142" s="9">
        <v>25</v>
      </c>
      <c r="F142" s="266" t="s">
        <v>255</v>
      </c>
      <c r="G142" s="72" t="str">
        <f>IFERROR(IF(VLOOKUP(TableHandbook[[#This Row],[UDC]],TableAvailabilities[],2,FALSE)&gt;0,"Y",""),"")</f>
        <v>Y</v>
      </c>
      <c r="H142" s="72" t="str">
        <f>IFERROR(IF(VLOOKUP(TableHandbook[[#This Row],[UDC]],TableAvailabilities[],3,FALSE)&gt;0,"Y",""),"")</f>
        <v>Y</v>
      </c>
      <c r="I142" s="72" t="str">
        <f>IFERROR(IF(VLOOKUP(TableHandbook[[#This Row],[UDC]],TableAvailabilities[],4,FALSE)&gt;0,"Y",""),"")</f>
        <v/>
      </c>
      <c r="J142" s="72" t="str">
        <f>IFERROR(IF(VLOOKUP(TableHandbook[[#This Row],[UDC]],TableAvailabilities[],5,FALSE)&gt;0,"Y",""),"")</f>
        <v>Y</v>
      </c>
      <c r="K142" s="155"/>
      <c r="L142" s="152" t="str" cm="1">
        <f t="array" aca="1" ref="L142" ca="1">IFERROR(_xlfn.XLOOKUP(TableHandbook[[#This Row],[UDC]],INDIRECT("Table"&amp;SUBSTITUTE(L$2,"-","")&amp;"[UDC]",TRUE),INDIRECT("Table"&amp;SUBSTITUTE(L$2,"-","")&amp;"[Component Type]",TRUE)),"")</f>
        <v/>
      </c>
      <c r="M142" s="152" t="str" cm="1">
        <f t="array" aca="1" ref="M142" ca="1">IFERROR(_xlfn.XLOOKUP(TableHandbook[[#This Row],[UDC]],INDIRECT("Table"&amp;SUBSTITUTE(M$2,"-","")&amp;"[UDC]",TRUE),INDIRECT("Table"&amp;SUBSTITUTE(M$2,"-","")&amp;"[Component Type]",TRUE)),"")</f>
        <v/>
      </c>
      <c r="N142" s="154" t="str" cm="1">
        <f t="array" aca="1" ref="N142" ca="1">IFERROR(_xlfn.XLOOKUP(TableHandbook[[#This Row],[UDC]],INDIRECT("Table"&amp;SUBSTITUTE(N$2,"-","")&amp;"[UDC]",TRUE),INDIRECT("Table"&amp;SUBSTITUTE(N$2,"-","")&amp;"[Component Type]",TRUE)),"")</f>
        <v/>
      </c>
      <c r="O142" s="152" t="str" cm="1">
        <f t="array" aca="1" ref="O142" ca="1">IFERROR(_xlfn.XLOOKUP(TableHandbook[[#This Row],[UDC]],INDIRECT("Table"&amp;SUBSTITUTE(O$2,"-","")&amp;"[UDC]",TRUE),INDIRECT("Table"&amp;SUBSTITUTE(O$2,"-","")&amp;"[Component Type]",TRUE)),"")</f>
        <v/>
      </c>
      <c r="P142" s="152" t="str" cm="1">
        <f t="array" aca="1" ref="P142" ca="1">IFERROR(_xlfn.XLOOKUP(TableHandbook[[#This Row],[UDC]],INDIRECT("Table"&amp;SUBSTITUTE(P$2,"-","")&amp;"[UDC]",TRUE),INDIRECT("Table"&amp;SUBSTITUTE(P$2,"-","")&amp;"[Component Type]",TRUE)),"")</f>
        <v/>
      </c>
      <c r="Q142" s="152" t="str" cm="1">
        <f t="array" aca="1" ref="Q142" ca="1">IFERROR(_xlfn.XLOOKUP(TableHandbook[[#This Row],[UDC]],INDIRECT("Table"&amp;SUBSTITUTE(Q$2,"-","")&amp;"[UDC]",TRUE),INDIRECT("Table"&amp;SUBSTITUTE(Q$2,"-","")&amp;"[Component Type]",TRUE)),"")</f>
        <v/>
      </c>
      <c r="R142" s="152" t="str" cm="1">
        <f t="array" aca="1" ref="R142" ca="1">IFERROR(_xlfn.XLOOKUP(TableHandbook[[#This Row],[UDC]],INDIRECT("Table"&amp;SUBSTITUTE(R$2,"-","")&amp;"[UDC]",TRUE),INDIRECT("Table"&amp;SUBSTITUTE(R$2,"-","")&amp;"[Component Type]",TRUE)),"")</f>
        <v/>
      </c>
      <c r="S142" s="152" t="str" cm="1">
        <f t="array" aca="1" ref="S142" ca="1">IFERROR(_xlfn.XLOOKUP(TableHandbook[[#This Row],[UDC]],INDIRECT("Table"&amp;SUBSTITUTE(S$2,"-","")&amp;"[UDC]",TRUE),INDIRECT("Table"&amp;SUBSTITUTE(S$2,"-","")&amp;"[Component Type]",TRUE)),"")</f>
        <v/>
      </c>
      <c r="T142" s="152" t="str" cm="1">
        <f t="array" aca="1" ref="T142" ca="1">IFERROR(_xlfn.XLOOKUP(TableHandbook[[#This Row],[UDC]],INDIRECT("Table"&amp;SUBSTITUTE(T$2,"-","")&amp;"[UDC]",TRUE),INDIRECT("Table"&amp;SUBSTITUTE(T$2,"-","")&amp;"[Component Type]",TRUE)),"")</f>
        <v/>
      </c>
      <c r="U142" s="152" t="str" cm="1">
        <f t="array" aca="1" ref="U142" ca="1">IFERROR(_xlfn.XLOOKUP(TableHandbook[[#This Row],[UDC]],INDIRECT("Table"&amp;SUBSTITUTE(U$2,"-","")&amp;"[UDC]",TRUE),INDIRECT("Table"&amp;SUBSTITUTE(U$2,"-","")&amp;"[Component Type]",TRUE)),"")</f>
        <v/>
      </c>
      <c r="V142" s="154" t="str" cm="1">
        <f t="array" aca="1" ref="V142" ca="1">IFERROR(_xlfn.XLOOKUP(TableHandbook[[#This Row],[UDC]],INDIRECT("Table"&amp;SUBSTITUTE(V$2,"-","")&amp;"[UDC]",TRUE),INDIRECT("Table"&amp;SUBSTITUTE(V$2,"-","")&amp;"[Component Type]",TRUE)),"")</f>
        <v/>
      </c>
      <c r="W142" s="152" t="str" cm="1">
        <f t="array" aca="1" ref="W142" ca="1">IFERROR(_xlfn.XLOOKUP(TableHandbook[[#This Row],[UDC]],INDIRECT("Table"&amp;SUBSTITUTE(W$2,"-","")&amp;"[UDC]",TRUE),INDIRECT("Table"&amp;SUBSTITUTE(W$2,"-","")&amp;"[Component Type]",TRUE)),"")</f>
        <v/>
      </c>
      <c r="X142" s="152" t="str" cm="1">
        <f t="array" aca="1" ref="X142" ca="1">IFERROR(_xlfn.XLOOKUP(TableHandbook[[#This Row],[UDC]],INDIRECT("Table"&amp;SUBSTITUTE(X$2,"-","")&amp;"[UDC]",TRUE),INDIRECT("Table"&amp;SUBSTITUTE(X$2,"-","")&amp;"[Component Type]",TRUE)),"")</f>
        <v>Core</v>
      </c>
      <c r="Y142" s="152" t="str" cm="1">
        <f t="array" aca="1" ref="Y142" ca="1">IFERROR(_xlfn.XLOOKUP(TableHandbook[[#This Row],[UDC]],INDIRECT("Table"&amp;SUBSTITUTE(Y$2,"-","")&amp;"[UDC]",TRUE),INDIRECT("Table"&amp;SUBSTITUTE(Y$2,"-","")&amp;"[Component Type]",TRUE)),"")</f>
        <v/>
      </c>
      <c r="Z142" s="152" t="str" cm="1">
        <f t="array" aca="1" ref="Z142" ca="1">IFERROR(_xlfn.XLOOKUP(TableHandbook[[#This Row],[UDC]],INDIRECT("Table"&amp;SUBSTITUTE(Z$2,"-","")&amp;"[UDC]",TRUE),INDIRECT("Table"&amp;SUBSTITUTE(Z$2,"-","")&amp;"[Component Type]",TRUE)),"")</f>
        <v/>
      </c>
    </row>
    <row r="143" spans="1:26" x14ac:dyDescent="0.25">
      <c r="A143" s="8" t="s">
        <v>182</v>
      </c>
      <c r="B143" s="9">
        <v>2</v>
      </c>
      <c r="C143" s="9" t="s">
        <v>447</v>
      </c>
      <c r="D143" s="8" t="s">
        <v>448</v>
      </c>
      <c r="E143" s="9">
        <v>25</v>
      </c>
      <c r="F143" s="266" t="s">
        <v>255</v>
      </c>
      <c r="G143" s="72" t="str">
        <f>IFERROR(IF(VLOOKUP(TableHandbook[[#This Row],[UDC]],TableAvailabilities[],2,FALSE)&gt;0,"Y",""),"")</f>
        <v>Y</v>
      </c>
      <c r="H143" s="72" t="str">
        <f>IFERROR(IF(VLOOKUP(TableHandbook[[#This Row],[UDC]],TableAvailabilities[],3,FALSE)&gt;0,"Y",""),"")</f>
        <v/>
      </c>
      <c r="I143" s="72" t="str">
        <f>IFERROR(IF(VLOOKUP(TableHandbook[[#This Row],[UDC]],TableAvailabilities[],4,FALSE)&gt;0,"Y",""),"")</f>
        <v>Y</v>
      </c>
      <c r="J143" s="72" t="str">
        <f>IFERROR(IF(VLOOKUP(TableHandbook[[#This Row],[UDC]],TableAvailabilities[],5,FALSE)&gt;0,"Y",""),"")</f>
        <v/>
      </c>
      <c r="K143" s="155"/>
      <c r="L143" s="152" t="str" cm="1">
        <f t="array" aca="1" ref="L143" ca="1">IFERROR(_xlfn.XLOOKUP(TableHandbook[[#This Row],[UDC]],INDIRECT("Table"&amp;SUBSTITUTE(L$2,"-","")&amp;"[UDC]",TRUE),INDIRECT("Table"&amp;SUBSTITUTE(L$2,"-","")&amp;"[Component Type]",TRUE)),"")</f>
        <v/>
      </c>
      <c r="M143" s="152" t="str" cm="1">
        <f t="array" aca="1" ref="M143" ca="1">IFERROR(_xlfn.XLOOKUP(TableHandbook[[#This Row],[UDC]],INDIRECT("Table"&amp;SUBSTITUTE(M$2,"-","")&amp;"[UDC]",TRUE),INDIRECT("Table"&amp;SUBSTITUTE(M$2,"-","")&amp;"[Component Type]",TRUE)),"")</f>
        <v/>
      </c>
      <c r="N143" s="154" t="str" cm="1">
        <f t="array" aca="1" ref="N143" ca="1">IFERROR(_xlfn.XLOOKUP(TableHandbook[[#This Row],[UDC]],INDIRECT("Table"&amp;SUBSTITUTE(N$2,"-","")&amp;"[UDC]",TRUE),INDIRECT("Table"&amp;SUBSTITUTE(N$2,"-","")&amp;"[Component Type]",TRUE)),"")</f>
        <v/>
      </c>
      <c r="O143" s="152" t="str" cm="1">
        <f t="array" aca="1" ref="O143" ca="1">IFERROR(_xlfn.XLOOKUP(TableHandbook[[#This Row],[UDC]],INDIRECT("Table"&amp;SUBSTITUTE(O$2,"-","")&amp;"[UDC]",TRUE),INDIRECT("Table"&amp;SUBSTITUTE(O$2,"-","")&amp;"[Component Type]",TRUE)),"")</f>
        <v/>
      </c>
      <c r="P143" s="152" t="str" cm="1">
        <f t="array" aca="1" ref="P143" ca="1">IFERROR(_xlfn.XLOOKUP(TableHandbook[[#This Row],[UDC]],INDIRECT("Table"&amp;SUBSTITUTE(P$2,"-","")&amp;"[UDC]",TRUE),INDIRECT("Table"&amp;SUBSTITUTE(P$2,"-","")&amp;"[Component Type]",TRUE)),"")</f>
        <v/>
      </c>
      <c r="Q143" s="152" t="str" cm="1">
        <f t="array" aca="1" ref="Q143" ca="1">IFERROR(_xlfn.XLOOKUP(TableHandbook[[#This Row],[UDC]],INDIRECT("Table"&amp;SUBSTITUTE(Q$2,"-","")&amp;"[UDC]",TRUE),INDIRECT("Table"&amp;SUBSTITUTE(Q$2,"-","")&amp;"[Component Type]",TRUE)),"")</f>
        <v/>
      </c>
      <c r="R143" s="152" t="str" cm="1">
        <f t="array" aca="1" ref="R143" ca="1">IFERROR(_xlfn.XLOOKUP(TableHandbook[[#This Row],[UDC]],INDIRECT("Table"&amp;SUBSTITUTE(R$2,"-","")&amp;"[UDC]",TRUE),INDIRECT("Table"&amp;SUBSTITUTE(R$2,"-","")&amp;"[Component Type]",TRUE)),"")</f>
        <v/>
      </c>
      <c r="S143" s="152" t="str" cm="1">
        <f t="array" aca="1" ref="S143" ca="1">IFERROR(_xlfn.XLOOKUP(TableHandbook[[#This Row],[UDC]],INDIRECT("Table"&amp;SUBSTITUTE(S$2,"-","")&amp;"[UDC]",TRUE),INDIRECT("Table"&amp;SUBSTITUTE(S$2,"-","")&amp;"[Component Type]",TRUE)),"")</f>
        <v/>
      </c>
      <c r="T143" s="152" t="str" cm="1">
        <f t="array" aca="1" ref="T143" ca="1">IFERROR(_xlfn.XLOOKUP(TableHandbook[[#This Row],[UDC]],INDIRECT("Table"&amp;SUBSTITUTE(T$2,"-","")&amp;"[UDC]",TRUE),INDIRECT("Table"&amp;SUBSTITUTE(T$2,"-","")&amp;"[Component Type]",TRUE)),"")</f>
        <v/>
      </c>
      <c r="U143" s="152" t="str" cm="1">
        <f t="array" aca="1" ref="U143" ca="1">IFERROR(_xlfn.XLOOKUP(TableHandbook[[#This Row],[UDC]],INDIRECT("Table"&amp;SUBSTITUTE(U$2,"-","")&amp;"[UDC]",TRUE),INDIRECT("Table"&amp;SUBSTITUTE(U$2,"-","")&amp;"[Component Type]",TRUE)),"")</f>
        <v/>
      </c>
      <c r="V143" s="154" t="str" cm="1">
        <f t="array" aca="1" ref="V143" ca="1">IFERROR(_xlfn.XLOOKUP(TableHandbook[[#This Row],[UDC]],INDIRECT("Table"&amp;SUBSTITUTE(V$2,"-","")&amp;"[UDC]",TRUE),INDIRECT("Table"&amp;SUBSTITUTE(V$2,"-","")&amp;"[Component Type]",TRUE)),"")</f>
        <v/>
      </c>
      <c r="W143" s="152" t="str" cm="1">
        <f t="array" aca="1" ref="W143" ca="1">IFERROR(_xlfn.XLOOKUP(TableHandbook[[#This Row],[UDC]],INDIRECT("Table"&amp;SUBSTITUTE(W$2,"-","")&amp;"[UDC]",TRUE),INDIRECT("Table"&amp;SUBSTITUTE(W$2,"-","")&amp;"[Component Type]",TRUE)),"")</f>
        <v/>
      </c>
      <c r="X143" s="152" t="str" cm="1">
        <f t="array" aca="1" ref="X143" ca="1">IFERROR(_xlfn.XLOOKUP(TableHandbook[[#This Row],[UDC]],INDIRECT("Table"&amp;SUBSTITUTE(X$2,"-","")&amp;"[UDC]",TRUE),INDIRECT("Table"&amp;SUBSTITUTE(X$2,"-","")&amp;"[Component Type]",TRUE)),"")</f>
        <v>Core</v>
      </c>
      <c r="Y143" s="152" t="str" cm="1">
        <f t="array" aca="1" ref="Y143" ca="1">IFERROR(_xlfn.XLOOKUP(TableHandbook[[#This Row],[UDC]],INDIRECT("Table"&amp;SUBSTITUTE(Y$2,"-","")&amp;"[UDC]",TRUE),INDIRECT("Table"&amp;SUBSTITUTE(Y$2,"-","")&amp;"[Component Type]",TRUE)),"")</f>
        <v/>
      </c>
      <c r="Z143" s="152" t="str" cm="1">
        <f t="array" aca="1" ref="Z143" ca="1">IFERROR(_xlfn.XLOOKUP(TableHandbook[[#This Row],[UDC]],INDIRECT("Table"&amp;SUBSTITUTE(Z$2,"-","")&amp;"[UDC]",TRUE),INDIRECT("Table"&amp;SUBSTITUTE(Z$2,"-","")&amp;"[Component Type]",TRUE)),"")</f>
        <v/>
      </c>
    </row>
    <row r="144" spans="1:26" x14ac:dyDescent="0.25">
      <c r="A144" s="8" t="s">
        <v>220</v>
      </c>
      <c r="B144" s="9">
        <v>3</v>
      </c>
      <c r="C144" s="9" t="s">
        <v>449</v>
      </c>
      <c r="D144" s="8" t="s">
        <v>450</v>
      </c>
      <c r="E144" s="9">
        <v>25</v>
      </c>
      <c r="F144" s="266" t="s">
        <v>369</v>
      </c>
      <c r="G144" s="72" t="str">
        <f>IFERROR(IF(VLOOKUP(TableHandbook[[#This Row],[UDC]],TableAvailabilities[],2,FALSE)&gt;0,"Y",""),"")</f>
        <v>Y</v>
      </c>
      <c r="H144" s="72" t="str">
        <f>IFERROR(IF(VLOOKUP(TableHandbook[[#This Row],[UDC]],TableAvailabilities[],3,FALSE)&gt;0,"Y",""),"")</f>
        <v/>
      </c>
      <c r="I144" s="72" t="str">
        <f>IFERROR(IF(VLOOKUP(TableHandbook[[#This Row],[UDC]],TableAvailabilities[],4,FALSE)&gt;0,"Y",""),"")</f>
        <v>Y</v>
      </c>
      <c r="J144" s="72" t="str">
        <f>IFERROR(IF(VLOOKUP(TableHandbook[[#This Row],[UDC]],TableAvailabilities[],5,FALSE)&gt;0,"Y",""),"")</f>
        <v/>
      </c>
      <c r="K144" s="155"/>
      <c r="L144" s="152" t="str" cm="1">
        <f t="array" aca="1" ref="L144" ca="1">IFERROR(_xlfn.XLOOKUP(TableHandbook[[#This Row],[UDC]],INDIRECT("Table"&amp;SUBSTITUTE(L$2,"-","")&amp;"[UDC]",TRUE),INDIRECT("Table"&amp;SUBSTITUTE(L$2,"-","")&amp;"[Component Type]",TRUE)),"")</f>
        <v/>
      </c>
      <c r="M144" s="152" t="str" cm="1">
        <f t="array" aca="1" ref="M144" ca="1">IFERROR(_xlfn.XLOOKUP(TableHandbook[[#This Row],[UDC]],INDIRECT("Table"&amp;SUBSTITUTE(M$2,"-","")&amp;"[UDC]",TRUE),INDIRECT("Table"&amp;SUBSTITUTE(M$2,"-","")&amp;"[Component Type]",TRUE)),"")</f>
        <v/>
      </c>
      <c r="N144" s="154" t="str" cm="1">
        <f t="array" aca="1" ref="N144" ca="1">IFERROR(_xlfn.XLOOKUP(TableHandbook[[#This Row],[UDC]],INDIRECT("Table"&amp;SUBSTITUTE(N$2,"-","")&amp;"[UDC]",TRUE),INDIRECT("Table"&amp;SUBSTITUTE(N$2,"-","")&amp;"[Component Type]",TRUE)),"")</f>
        <v/>
      </c>
      <c r="O144" s="152" t="str" cm="1">
        <f t="array" aca="1" ref="O144" ca="1">IFERROR(_xlfn.XLOOKUP(TableHandbook[[#This Row],[UDC]],INDIRECT("Table"&amp;SUBSTITUTE(O$2,"-","")&amp;"[UDC]",TRUE),INDIRECT("Table"&amp;SUBSTITUTE(O$2,"-","")&amp;"[Component Type]",TRUE)),"")</f>
        <v/>
      </c>
      <c r="P144" s="152" t="str" cm="1">
        <f t="array" aca="1" ref="P144" ca="1">IFERROR(_xlfn.XLOOKUP(TableHandbook[[#This Row],[UDC]],INDIRECT("Table"&amp;SUBSTITUTE(P$2,"-","")&amp;"[UDC]",TRUE),INDIRECT("Table"&amp;SUBSTITUTE(P$2,"-","")&amp;"[Component Type]",TRUE)),"")</f>
        <v/>
      </c>
      <c r="Q144" s="152" t="str" cm="1">
        <f t="array" aca="1" ref="Q144" ca="1">IFERROR(_xlfn.XLOOKUP(TableHandbook[[#This Row],[UDC]],INDIRECT("Table"&amp;SUBSTITUTE(Q$2,"-","")&amp;"[UDC]",TRUE),INDIRECT("Table"&amp;SUBSTITUTE(Q$2,"-","")&amp;"[Component Type]",TRUE)),"")</f>
        <v/>
      </c>
      <c r="R144" s="152" t="str" cm="1">
        <f t="array" aca="1" ref="R144" ca="1">IFERROR(_xlfn.XLOOKUP(TableHandbook[[#This Row],[UDC]],INDIRECT("Table"&amp;SUBSTITUTE(R$2,"-","")&amp;"[UDC]",TRUE),INDIRECT("Table"&amp;SUBSTITUTE(R$2,"-","")&amp;"[Component Type]",TRUE)),"")</f>
        <v/>
      </c>
      <c r="S144" s="152" t="str" cm="1">
        <f t="array" aca="1" ref="S144" ca="1">IFERROR(_xlfn.XLOOKUP(TableHandbook[[#This Row],[UDC]],INDIRECT("Table"&amp;SUBSTITUTE(S$2,"-","")&amp;"[UDC]",TRUE),INDIRECT("Table"&amp;SUBSTITUTE(S$2,"-","")&amp;"[Component Type]",TRUE)),"")</f>
        <v/>
      </c>
      <c r="T144" s="152" t="str" cm="1">
        <f t="array" aca="1" ref="T144" ca="1">IFERROR(_xlfn.XLOOKUP(TableHandbook[[#This Row],[UDC]],INDIRECT("Table"&amp;SUBSTITUTE(T$2,"-","")&amp;"[UDC]",TRUE),INDIRECT("Table"&amp;SUBSTITUTE(T$2,"-","")&amp;"[Component Type]",TRUE)),"")</f>
        <v/>
      </c>
      <c r="U144" s="152" t="str" cm="1">
        <f t="array" aca="1" ref="U144" ca="1">IFERROR(_xlfn.XLOOKUP(TableHandbook[[#This Row],[UDC]],INDIRECT("Table"&amp;SUBSTITUTE(U$2,"-","")&amp;"[UDC]",TRUE),INDIRECT("Table"&amp;SUBSTITUTE(U$2,"-","")&amp;"[Component Type]",TRUE)),"")</f>
        <v/>
      </c>
      <c r="V144" s="154" t="str" cm="1">
        <f t="array" aca="1" ref="V144" ca="1">IFERROR(_xlfn.XLOOKUP(TableHandbook[[#This Row],[UDC]],INDIRECT("Table"&amp;SUBSTITUTE(V$2,"-","")&amp;"[UDC]",TRUE),INDIRECT("Table"&amp;SUBSTITUTE(V$2,"-","")&amp;"[Component Type]",TRUE)),"")</f>
        <v/>
      </c>
      <c r="W144" s="152" t="str" cm="1">
        <f t="array" aca="1" ref="W144" ca="1">IFERROR(_xlfn.XLOOKUP(TableHandbook[[#This Row],[UDC]],INDIRECT("Table"&amp;SUBSTITUTE(W$2,"-","")&amp;"[UDC]",TRUE),INDIRECT("Table"&amp;SUBSTITUTE(W$2,"-","")&amp;"[Component Type]",TRUE)),"")</f>
        <v/>
      </c>
      <c r="X144" s="152" t="str" cm="1">
        <f t="array" aca="1" ref="X144" ca="1">IFERROR(_xlfn.XLOOKUP(TableHandbook[[#This Row],[UDC]],INDIRECT("Table"&amp;SUBSTITUTE(X$2,"-","")&amp;"[UDC]",TRUE),INDIRECT("Table"&amp;SUBSTITUTE(X$2,"-","")&amp;"[Component Type]",TRUE)),"")</f>
        <v>AltCore</v>
      </c>
      <c r="Y144" s="152" t="str" cm="1">
        <f t="array" aca="1" ref="Y144" ca="1">IFERROR(_xlfn.XLOOKUP(TableHandbook[[#This Row],[UDC]],INDIRECT("Table"&amp;SUBSTITUTE(Y$2,"-","")&amp;"[UDC]",TRUE),INDIRECT("Table"&amp;SUBSTITUTE(Y$2,"-","")&amp;"[Component Type]",TRUE)),"")</f>
        <v/>
      </c>
      <c r="Z144" s="152" t="str" cm="1">
        <f t="array" aca="1" ref="Z144" ca="1">IFERROR(_xlfn.XLOOKUP(TableHandbook[[#This Row],[UDC]],INDIRECT("Table"&amp;SUBSTITUTE(Z$2,"-","")&amp;"[UDC]",TRUE),INDIRECT("Table"&amp;SUBSTITUTE(Z$2,"-","")&amp;"[Component Type]",TRUE)),"")</f>
        <v/>
      </c>
    </row>
    <row r="145" spans="1:26" x14ac:dyDescent="0.25">
      <c r="A145" s="8" t="s">
        <v>222</v>
      </c>
      <c r="B145" s="9">
        <v>3</v>
      </c>
      <c r="C145" s="9" t="s">
        <v>451</v>
      </c>
      <c r="D145" s="8" t="s">
        <v>452</v>
      </c>
      <c r="E145" s="9">
        <v>25</v>
      </c>
      <c r="F145" s="266" t="s">
        <v>369</v>
      </c>
      <c r="G145" s="72" t="str">
        <f>IFERROR(IF(VLOOKUP(TableHandbook[[#This Row],[UDC]],TableAvailabilities[],2,FALSE)&gt;0,"Y",""),"")</f>
        <v>Y</v>
      </c>
      <c r="H145" s="72" t="str">
        <f>IFERROR(IF(VLOOKUP(TableHandbook[[#This Row],[UDC]],TableAvailabilities[],3,FALSE)&gt;0,"Y",""),"")</f>
        <v/>
      </c>
      <c r="I145" s="72" t="str">
        <f>IFERROR(IF(VLOOKUP(TableHandbook[[#This Row],[UDC]],TableAvailabilities[],4,FALSE)&gt;0,"Y",""),"")</f>
        <v>Y</v>
      </c>
      <c r="J145" s="72" t="str">
        <f>IFERROR(IF(VLOOKUP(TableHandbook[[#This Row],[UDC]],TableAvailabilities[],5,FALSE)&gt;0,"Y",""),"")</f>
        <v/>
      </c>
      <c r="K145" s="155"/>
      <c r="L145" s="152" t="str" cm="1">
        <f t="array" aca="1" ref="L145" ca="1">IFERROR(_xlfn.XLOOKUP(TableHandbook[[#This Row],[UDC]],INDIRECT("Table"&amp;SUBSTITUTE(L$2,"-","")&amp;"[UDC]",TRUE),INDIRECT("Table"&amp;SUBSTITUTE(L$2,"-","")&amp;"[Component Type]",TRUE)),"")</f>
        <v/>
      </c>
      <c r="M145" s="152" t="str" cm="1">
        <f t="array" aca="1" ref="M145" ca="1">IFERROR(_xlfn.XLOOKUP(TableHandbook[[#This Row],[UDC]],INDIRECT("Table"&amp;SUBSTITUTE(M$2,"-","")&amp;"[UDC]",TRUE),INDIRECT("Table"&amp;SUBSTITUTE(M$2,"-","")&amp;"[Component Type]",TRUE)),"")</f>
        <v/>
      </c>
      <c r="N145" s="154" t="str" cm="1">
        <f t="array" aca="1" ref="N145" ca="1">IFERROR(_xlfn.XLOOKUP(TableHandbook[[#This Row],[UDC]],INDIRECT("Table"&amp;SUBSTITUTE(N$2,"-","")&amp;"[UDC]",TRUE),INDIRECT("Table"&amp;SUBSTITUTE(N$2,"-","")&amp;"[Component Type]",TRUE)),"")</f>
        <v/>
      </c>
      <c r="O145" s="152" t="str" cm="1">
        <f t="array" aca="1" ref="O145" ca="1">IFERROR(_xlfn.XLOOKUP(TableHandbook[[#This Row],[UDC]],INDIRECT("Table"&amp;SUBSTITUTE(O$2,"-","")&amp;"[UDC]",TRUE),INDIRECT("Table"&amp;SUBSTITUTE(O$2,"-","")&amp;"[Component Type]",TRUE)),"")</f>
        <v/>
      </c>
      <c r="P145" s="152" t="str" cm="1">
        <f t="array" aca="1" ref="P145" ca="1">IFERROR(_xlfn.XLOOKUP(TableHandbook[[#This Row],[UDC]],INDIRECT("Table"&amp;SUBSTITUTE(P$2,"-","")&amp;"[UDC]",TRUE),INDIRECT("Table"&amp;SUBSTITUTE(P$2,"-","")&amp;"[Component Type]",TRUE)),"")</f>
        <v/>
      </c>
      <c r="Q145" s="152" t="str" cm="1">
        <f t="array" aca="1" ref="Q145" ca="1">IFERROR(_xlfn.XLOOKUP(TableHandbook[[#This Row],[UDC]],INDIRECT("Table"&amp;SUBSTITUTE(Q$2,"-","")&amp;"[UDC]",TRUE),INDIRECT("Table"&amp;SUBSTITUTE(Q$2,"-","")&amp;"[Component Type]",TRUE)),"")</f>
        <v/>
      </c>
      <c r="R145" s="152" t="str" cm="1">
        <f t="array" aca="1" ref="R145" ca="1">IFERROR(_xlfn.XLOOKUP(TableHandbook[[#This Row],[UDC]],INDIRECT("Table"&amp;SUBSTITUTE(R$2,"-","")&amp;"[UDC]",TRUE),INDIRECT("Table"&amp;SUBSTITUTE(R$2,"-","")&amp;"[Component Type]",TRUE)),"")</f>
        <v/>
      </c>
      <c r="S145" s="152" t="str" cm="1">
        <f t="array" aca="1" ref="S145" ca="1">IFERROR(_xlfn.XLOOKUP(TableHandbook[[#This Row],[UDC]],INDIRECT("Table"&amp;SUBSTITUTE(S$2,"-","")&amp;"[UDC]",TRUE),INDIRECT("Table"&amp;SUBSTITUTE(S$2,"-","")&amp;"[Component Type]",TRUE)),"")</f>
        <v/>
      </c>
      <c r="T145" s="152" t="str" cm="1">
        <f t="array" aca="1" ref="T145" ca="1">IFERROR(_xlfn.XLOOKUP(TableHandbook[[#This Row],[UDC]],INDIRECT("Table"&amp;SUBSTITUTE(T$2,"-","")&amp;"[UDC]",TRUE),INDIRECT("Table"&amp;SUBSTITUTE(T$2,"-","")&amp;"[Component Type]",TRUE)),"")</f>
        <v/>
      </c>
      <c r="U145" s="152" t="str" cm="1">
        <f t="array" aca="1" ref="U145" ca="1">IFERROR(_xlfn.XLOOKUP(TableHandbook[[#This Row],[UDC]],INDIRECT("Table"&amp;SUBSTITUTE(U$2,"-","")&amp;"[UDC]",TRUE),INDIRECT("Table"&amp;SUBSTITUTE(U$2,"-","")&amp;"[Component Type]",TRUE)),"")</f>
        <v/>
      </c>
      <c r="V145" s="154" t="str" cm="1">
        <f t="array" aca="1" ref="V145" ca="1">IFERROR(_xlfn.XLOOKUP(TableHandbook[[#This Row],[UDC]],INDIRECT("Table"&amp;SUBSTITUTE(V$2,"-","")&amp;"[UDC]",TRUE),INDIRECT("Table"&amp;SUBSTITUTE(V$2,"-","")&amp;"[Component Type]",TRUE)),"")</f>
        <v/>
      </c>
      <c r="W145" s="152" t="str" cm="1">
        <f t="array" aca="1" ref="W145" ca="1">IFERROR(_xlfn.XLOOKUP(TableHandbook[[#This Row],[UDC]],INDIRECT("Table"&amp;SUBSTITUTE(W$2,"-","")&amp;"[UDC]",TRUE),INDIRECT("Table"&amp;SUBSTITUTE(W$2,"-","")&amp;"[Component Type]",TRUE)),"")</f>
        <v/>
      </c>
      <c r="X145" s="152" t="str" cm="1">
        <f t="array" aca="1" ref="X145" ca="1">IFERROR(_xlfn.XLOOKUP(TableHandbook[[#This Row],[UDC]],INDIRECT("Table"&amp;SUBSTITUTE(X$2,"-","")&amp;"[UDC]",TRUE),INDIRECT("Table"&amp;SUBSTITUTE(X$2,"-","")&amp;"[Component Type]",TRUE)),"")</f>
        <v>AltCore</v>
      </c>
      <c r="Y145" s="152" t="str" cm="1">
        <f t="array" aca="1" ref="Y145" ca="1">IFERROR(_xlfn.XLOOKUP(TableHandbook[[#This Row],[UDC]],INDIRECT("Table"&amp;SUBSTITUTE(Y$2,"-","")&amp;"[UDC]",TRUE),INDIRECT("Table"&amp;SUBSTITUTE(Y$2,"-","")&amp;"[Component Type]",TRUE)),"")</f>
        <v/>
      </c>
      <c r="Z145" s="152" t="str" cm="1">
        <f t="array" aca="1" ref="Z145" ca="1">IFERROR(_xlfn.XLOOKUP(TableHandbook[[#This Row],[UDC]],INDIRECT("Table"&amp;SUBSTITUTE(Z$2,"-","")&amp;"[UDC]",TRUE),INDIRECT("Table"&amp;SUBSTITUTE(Z$2,"-","")&amp;"[Component Type]",TRUE)),"")</f>
        <v/>
      </c>
    </row>
    <row r="146" spans="1:26" x14ac:dyDescent="0.25">
      <c r="A146" s="8" t="s">
        <v>202</v>
      </c>
      <c r="B146" s="9">
        <v>3</v>
      </c>
      <c r="C146" s="9" t="s">
        <v>453</v>
      </c>
      <c r="D146" s="8" t="s">
        <v>454</v>
      </c>
      <c r="E146" s="9">
        <v>25</v>
      </c>
      <c r="F146" s="266" t="s">
        <v>455</v>
      </c>
      <c r="G146" s="72" t="str">
        <f>IFERROR(IF(VLOOKUP(TableHandbook[[#This Row],[UDC]],TableAvailabilities[],2,FALSE)&gt;0,"Y",""),"")</f>
        <v/>
      </c>
      <c r="H146" s="72" t="str">
        <f>IFERROR(IF(VLOOKUP(TableHandbook[[#This Row],[UDC]],TableAvailabilities[],3,FALSE)&gt;0,"Y",""),"")</f>
        <v>Y</v>
      </c>
      <c r="I146" s="72" t="str">
        <f>IFERROR(IF(VLOOKUP(TableHandbook[[#This Row],[UDC]],TableAvailabilities[],4,FALSE)&gt;0,"Y",""),"")</f>
        <v/>
      </c>
      <c r="J146" s="72" t="str">
        <f>IFERROR(IF(VLOOKUP(TableHandbook[[#This Row],[UDC]],TableAvailabilities[],5,FALSE)&gt;0,"Y",""),"")</f>
        <v>Y</v>
      </c>
      <c r="K146" s="155"/>
      <c r="L146" s="152" t="str" cm="1">
        <f t="array" aca="1" ref="L146" ca="1">IFERROR(_xlfn.XLOOKUP(TableHandbook[[#This Row],[UDC]],INDIRECT("Table"&amp;SUBSTITUTE(L$2,"-","")&amp;"[UDC]",TRUE),INDIRECT("Table"&amp;SUBSTITUTE(L$2,"-","")&amp;"[Component Type]",TRUE)),"")</f>
        <v/>
      </c>
      <c r="M146" s="152" t="str" cm="1">
        <f t="array" aca="1" ref="M146" ca="1">IFERROR(_xlfn.XLOOKUP(TableHandbook[[#This Row],[UDC]],INDIRECT("Table"&amp;SUBSTITUTE(M$2,"-","")&amp;"[UDC]",TRUE),INDIRECT("Table"&amp;SUBSTITUTE(M$2,"-","")&amp;"[Component Type]",TRUE)),"")</f>
        <v/>
      </c>
      <c r="N146" s="154" t="str" cm="1">
        <f t="array" aca="1" ref="N146" ca="1">IFERROR(_xlfn.XLOOKUP(TableHandbook[[#This Row],[UDC]],INDIRECT("Table"&amp;SUBSTITUTE(N$2,"-","")&amp;"[UDC]",TRUE),INDIRECT("Table"&amp;SUBSTITUTE(N$2,"-","")&amp;"[Component Type]",TRUE)),"")</f>
        <v/>
      </c>
      <c r="O146" s="152" t="str" cm="1">
        <f t="array" aca="1" ref="O146" ca="1">IFERROR(_xlfn.XLOOKUP(TableHandbook[[#This Row],[UDC]],INDIRECT("Table"&amp;SUBSTITUTE(O$2,"-","")&amp;"[UDC]",TRUE),INDIRECT("Table"&amp;SUBSTITUTE(O$2,"-","")&amp;"[Component Type]",TRUE)),"")</f>
        <v/>
      </c>
      <c r="P146" s="152" t="str" cm="1">
        <f t="array" aca="1" ref="P146" ca="1">IFERROR(_xlfn.XLOOKUP(TableHandbook[[#This Row],[UDC]],INDIRECT("Table"&amp;SUBSTITUTE(P$2,"-","")&amp;"[UDC]",TRUE),INDIRECT("Table"&amp;SUBSTITUTE(P$2,"-","")&amp;"[Component Type]",TRUE)),"")</f>
        <v/>
      </c>
      <c r="Q146" s="152" t="str" cm="1">
        <f t="array" aca="1" ref="Q146" ca="1">IFERROR(_xlfn.XLOOKUP(TableHandbook[[#This Row],[UDC]],INDIRECT("Table"&amp;SUBSTITUTE(Q$2,"-","")&amp;"[UDC]",TRUE),INDIRECT("Table"&amp;SUBSTITUTE(Q$2,"-","")&amp;"[Component Type]",TRUE)),"")</f>
        <v/>
      </c>
      <c r="R146" s="152" t="str" cm="1">
        <f t="array" aca="1" ref="R146" ca="1">IFERROR(_xlfn.XLOOKUP(TableHandbook[[#This Row],[UDC]],INDIRECT("Table"&amp;SUBSTITUTE(R$2,"-","")&amp;"[UDC]",TRUE),INDIRECT("Table"&amp;SUBSTITUTE(R$2,"-","")&amp;"[Component Type]",TRUE)),"")</f>
        <v/>
      </c>
      <c r="S146" s="152" t="str" cm="1">
        <f t="array" aca="1" ref="S146" ca="1">IFERROR(_xlfn.XLOOKUP(TableHandbook[[#This Row],[UDC]],INDIRECT("Table"&amp;SUBSTITUTE(S$2,"-","")&amp;"[UDC]",TRUE),INDIRECT("Table"&amp;SUBSTITUTE(S$2,"-","")&amp;"[Component Type]",TRUE)),"")</f>
        <v/>
      </c>
      <c r="T146" s="152" t="str" cm="1">
        <f t="array" aca="1" ref="T146" ca="1">IFERROR(_xlfn.XLOOKUP(TableHandbook[[#This Row],[UDC]],INDIRECT("Table"&amp;SUBSTITUTE(T$2,"-","")&amp;"[UDC]",TRUE),INDIRECT("Table"&amp;SUBSTITUTE(T$2,"-","")&amp;"[Component Type]",TRUE)),"")</f>
        <v/>
      </c>
      <c r="U146" s="152" t="str" cm="1">
        <f t="array" aca="1" ref="U146" ca="1">IFERROR(_xlfn.XLOOKUP(TableHandbook[[#This Row],[UDC]],INDIRECT("Table"&amp;SUBSTITUTE(U$2,"-","")&amp;"[UDC]",TRUE),INDIRECT("Table"&amp;SUBSTITUTE(U$2,"-","")&amp;"[Component Type]",TRUE)),"")</f>
        <v/>
      </c>
      <c r="V146" s="154" t="str" cm="1">
        <f t="array" aca="1" ref="V146" ca="1">IFERROR(_xlfn.XLOOKUP(TableHandbook[[#This Row],[UDC]],INDIRECT("Table"&amp;SUBSTITUTE(V$2,"-","")&amp;"[UDC]",TRUE),INDIRECT("Table"&amp;SUBSTITUTE(V$2,"-","")&amp;"[Component Type]",TRUE)),"")</f>
        <v/>
      </c>
      <c r="W146" s="152" t="str" cm="1">
        <f t="array" aca="1" ref="W146" ca="1">IFERROR(_xlfn.XLOOKUP(TableHandbook[[#This Row],[UDC]],INDIRECT("Table"&amp;SUBSTITUTE(W$2,"-","")&amp;"[UDC]",TRUE),INDIRECT("Table"&amp;SUBSTITUTE(W$2,"-","")&amp;"[Component Type]",TRUE)),"")</f>
        <v/>
      </c>
      <c r="X146" s="152" t="str" cm="1">
        <f t="array" aca="1" ref="X146" ca="1">IFERROR(_xlfn.XLOOKUP(TableHandbook[[#This Row],[UDC]],INDIRECT("Table"&amp;SUBSTITUTE(X$2,"-","")&amp;"[UDC]",TRUE),INDIRECT("Table"&amp;SUBSTITUTE(X$2,"-","")&amp;"[Component Type]",TRUE)),"")</f>
        <v>Core</v>
      </c>
      <c r="Y146" s="152" t="str" cm="1">
        <f t="array" aca="1" ref="Y146" ca="1">IFERROR(_xlfn.XLOOKUP(TableHandbook[[#This Row],[UDC]],INDIRECT("Table"&amp;SUBSTITUTE(Y$2,"-","")&amp;"[UDC]",TRUE),INDIRECT("Table"&amp;SUBSTITUTE(Y$2,"-","")&amp;"[Component Type]",TRUE)),"")</f>
        <v/>
      </c>
      <c r="Z146" s="152" t="str" cm="1">
        <f t="array" aca="1" ref="Z146" ca="1">IFERROR(_xlfn.XLOOKUP(TableHandbook[[#This Row],[UDC]],INDIRECT("Table"&amp;SUBSTITUTE(Z$2,"-","")&amp;"[UDC]",TRUE),INDIRECT("Table"&amp;SUBSTITUTE(Z$2,"-","")&amp;"[Component Type]",TRUE)),"")</f>
        <v/>
      </c>
    </row>
    <row r="147" spans="1:26" ht="26.25" x14ac:dyDescent="0.25">
      <c r="A147" s="8" t="s">
        <v>206</v>
      </c>
      <c r="B147" s="9">
        <v>1</v>
      </c>
      <c r="C147" s="9" t="s">
        <v>456</v>
      </c>
      <c r="D147" s="8" t="s">
        <v>457</v>
      </c>
      <c r="E147" s="9">
        <v>25</v>
      </c>
      <c r="F147" s="266" t="s">
        <v>255</v>
      </c>
      <c r="G147" s="72" t="str">
        <f>IFERROR(IF(VLOOKUP(TableHandbook[[#This Row],[UDC]],TableAvailabilities[],2,FALSE)&gt;0,"Y",""),"")</f>
        <v>Y</v>
      </c>
      <c r="H147" s="72" t="str">
        <f>IFERROR(IF(VLOOKUP(TableHandbook[[#This Row],[UDC]],TableAvailabilities[],3,FALSE)&gt;0,"Y",""),"")</f>
        <v/>
      </c>
      <c r="I147" s="72" t="str">
        <f>IFERROR(IF(VLOOKUP(TableHandbook[[#This Row],[UDC]],TableAvailabilities[],4,FALSE)&gt;0,"Y",""),"")</f>
        <v>Y</v>
      </c>
      <c r="J147" s="72" t="str">
        <f>IFERROR(IF(VLOOKUP(TableHandbook[[#This Row],[UDC]],TableAvailabilities[],5,FALSE)&gt;0,"Y",""),"")</f>
        <v/>
      </c>
      <c r="K147" s="155" t="s">
        <v>458</v>
      </c>
      <c r="L147" s="152" t="str" cm="1">
        <f t="array" aca="1" ref="L147" ca="1">IFERROR(_xlfn.XLOOKUP(TableHandbook[[#This Row],[UDC]],INDIRECT("Table"&amp;SUBSTITUTE(L$2,"-","")&amp;"[UDC]",TRUE),INDIRECT("Table"&amp;SUBSTITUTE(L$2,"-","")&amp;"[Component Type]",TRUE)),"")</f>
        <v/>
      </c>
      <c r="M147" s="152" t="str" cm="1">
        <f t="array" aca="1" ref="M147" ca="1">IFERROR(_xlfn.XLOOKUP(TableHandbook[[#This Row],[UDC]],INDIRECT("Table"&amp;SUBSTITUTE(M$2,"-","")&amp;"[UDC]",TRUE),INDIRECT("Table"&amp;SUBSTITUTE(M$2,"-","")&amp;"[Component Type]",TRUE)),"")</f>
        <v/>
      </c>
      <c r="N147" s="154" t="str" cm="1">
        <f t="array" aca="1" ref="N147" ca="1">IFERROR(_xlfn.XLOOKUP(TableHandbook[[#This Row],[UDC]],INDIRECT("Table"&amp;SUBSTITUTE(N$2,"-","")&amp;"[UDC]",TRUE),INDIRECT("Table"&amp;SUBSTITUTE(N$2,"-","")&amp;"[Component Type]",TRUE)),"")</f>
        <v/>
      </c>
      <c r="O147" s="152" t="str" cm="1">
        <f t="array" aca="1" ref="O147" ca="1">IFERROR(_xlfn.XLOOKUP(TableHandbook[[#This Row],[UDC]],INDIRECT("Table"&amp;SUBSTITUTE(O$2,"-","")&amp;"[UDC]",TRUE),INDIRECT("Table"&amp;SUBSTITUTE(O$2,"-","")&amp;"[Component Type]",TRUE)),"")</f>
        <v/>
      </c>
      <c r="P147" s="152" t="str" cm="1">
        <f t="array" aca="1" ref="P147" ca="1">IFERROR(_xlfn.XLOOKUP(TableHandbook[[#This Row],[UDC]],INDIRECT("Table"&amp;SUBSTITUTE(P$2,"-","")&amp;"[UDC]",TRUE),INDIRECT("Table"&amp;SUBSTITUTE(P$2,"-","")&amp;"[Component Type]",TRUE)),"")</f>
        <v/>
      </c>
      <c r="Q147" s="152" t="str" cm="1">
        <f t="array" aca="1" ref="Q147" ca="1">IFERROR(_xlfn.XLOOKUP(TableHandbook[[#This Row],[UDC]],INDIRECT("Table"&amp;SUBSTITUTE(Q$2,"-","")&amp;"[UDC]",TRUE),INDIRECT("Table"&amp;SUBSTITUTE(Q$2,"-","")&amp;"[Component Type]",TRUE)),"")</f>
        <v/>
      </c>
      <c r="R147" s="152" t="str" cm="1">
        <f t="array" aca="1" ref="R147" ca="1">IFERROR(_xlfn.XLOOKUP(TableHandbook[[#This Row],[UDC]],INDIRECT("Table"&amp;SUBSTITUTE(R$2,"-","")&amp;"[UDC]",TRUE),INDIRECT("Table"&amp;SUBSTITUTE(R$2,"-","")&amp;"[Component Type]",TRUE)),"")</f>
        <v/>
      </c>
      <c r="S147" s="152" t="str" cm="1">
        <f t="array" aca="1" ref="S147" ca="1">IFERROR(_xlfn.XLOOKUP(TableHandbook[[#This Row],[UDC]],INDIRECT("Table"&amp;SUBSTITUTE(S$2,"-","")&amp;"[UDC]",TRUE),INDIRECT("Table"&amp;SUBSTITUTE(S$2,"-","")&amp;"[Component Type]",TRUE)),"")</f>
        <v/>
      </c>
      <c r="T147" s="152" t="str" cm="1">
        <f t="array" aca="1" ref="T147" ca="1">IFERROR(_xlfn.XLOOKUP(TableHandbook[[#This Row],[UDC]],INDIRECT("Table"&amp;SUBSTITUTE(T$2,"-","")&amp;"[UDC]",TRUE),INDIRECT("Table"&amp;SUBSTITUTE(T$2,"-","")&amp;"[Component Type]",TRUE)),"")</f>
        <v/>
      </c>
      <c r="U147" s="152" t="str" cm="1">
        <f t="array" aca="1" ref="U147" ca="1">IFERROR(_xlfn.XLOOKUP(TableHandbook[[#This Row],[UDC]],INDIRECT("Table"&amp;SUBSTITUTE(U$2,"-","")&amp;"[UDC]",TRUE),INDIRECT("Table"&amp;SUBSTITUTE(U$2,"-","")&amp;"[Component Type]",TRUE)),"")</f>
        <v/>
      </c>
      <c r="V147" s="154" t="str" cm="1">
        <f t="array" aca="1" ref="V147" ca="1">IFERROR(_xlfn.XLOOKUP(TableHandbook[[#This Row],[UDC]],INDIRECT("Table"&amp;SUBSTITUTE(V$2,"-","")&amp;"[UDC]",TRUE),INDIRECT("Table"&amp;SUBSTITUTE(V$2,"-","")&amp;"[Component Type]",TRUE)),"")</f>
        <v/>
      </c>
      <c r="W147" s="152" t="str" cm="1">
        <f t="array" aca="1" ref="W147" ca="1">IFERROR(_xlfn.XLOOKUP(TableHandbook[[#This Row],[UDC]],INDIRECT("Table"&amp;SUBSTITUTE(W$2,"-","")&amp;"[UDC]",TRUE),INDIRECT("Table"&amp;SUBSTITUTE(W$2,"-","")&amp;"[Component Type]",TRUE)),"")</f>
        <v/>
      </c>
      <c r="X147" s="152" t="str" cm="1">
        <f t="array" aca="1" ref="X147" ca="1">IFERROR(_xlfn.XLOOKUP(TableHandbook[[#This Row],[UDC]],INDIRECT("Table"&amp;SUBSTITUTE(X$2,"-","")&amp;"[UDC]",TRUE),INDIRECT("Table"&amp;SUBSTITUTE(X$2,"-","")&amp;"[Component Type]",TRUE)),"")</f>
        <v>Core</v>
      </c>
      <c r="Y147" s="152" t="str" cm="1">
        <f t="array" aca="1" ref="Y147" ca="1">IFERROR(_xlfn.XLOOKUP(TableHandbook[[#This Row],[UDC]],INDIRECT("Table"&amp;SUBSTITUTE(Y$2,"-","")&amp;"[UDC]",TRUE),INDIRECT("Table"&amp;SUBSTITUTE(Y$2,"-","")&amp;"[Component Type]",TRUE)),"")</f>
        <v/>
      </c>
      <c r="Z147" s="152" t="str" cm="1">
        <f t="array" aca="1" ref="Z147" ca="1">IFERROR(_xlfn.XLOOKUP(TableHandbook[[#This Row],[UDC]],INDIRECT("Table"&amp;SUBSTITUTE(Z$2,"-","")&amp;"[UDC]",TRUE),INDIRECT("Table"&amp;SUBSTITUTE(Z$2,"-","")&amp;"[Component Type]",TRUE)),"")</f>
        <v/>
      </c>
    </row>
    <row r="148" spans="1:26" x14ac:dyDescent="0.25">
      <c r="A148" s="8" t="s">
        <v>214</v>
      </c>
      <c r="B148" s="9">
        <v>2</v>
      </c>
      <c r="C148" s="9" t="s">
        <v>459</v>
      </c>
      <c r="D148" s="8" t="s">
        <v>460</v>
      </c>
      <c r="E148" s="9">
        <v>25</v>
      </c>
      <c r="F148" s="266" t="s">
        <v>453</v>
      </c>
      <c r="G148" s="72" t="str">
        <f>IFERROR(IF(VLOOKUP(TableHandbook[[#This Row],[UDC]],TableAvailabilities[],2,FALSE)&gt;0,"Y",""),"")</f>
        <v>Y</v>
      </c>
      <c r="H148" s="72" t="str">
        <f>IFERROR(IF(VLOOKUP(TableHandbook[[#This Row],[UDC]],TableAvailabilities[],3,FALSE)&gt;0,"Y",""),"")</f>
        <v/>
      </c>
      <c r="I148" s="72" t="str">
        <f>IFERROR(IF(VLOOKUP(TableHandbook[[#This Row],[UDC]],TableAvailabilities[],4,FALSE)&gt;0,"Y",""),"")</f>
        <v>Y</v>
      </c>
      <c r="J148" s="72" t="str">
        <f>IFERROR(IF(VLOOKUP(TableHandbook[[#This Row],[UDC]],TableAvailabilities[],5,FALSE)&gt;0,"Y",""),"")</f>
        <v/>
      </c>
      <c r="K148" s="155"/>
      <c r="L148" s="152" t="str" cm="1">
        <f t="array" aca="1" ref="L148" ca="1">IFERROR(_xlfn.XLOOKUP(TableHandbook[[#This Row],[UDC]],INDIRECT("Table"&amp;SUBSTITUTE(L$2,"-","")&amp;"[UDC]",TRUE),INDIRECT("Table"&amp;SUBSTITUTE(L$2,"-","")&amp;"[Component Type]",TRUE)),"")</f>
        <v/>
      </c>
      <c r="M148" s="152" t="str" cm="1">
        <f t="array" aca="1" ref="M148" ca="1">IFERROR(_xlfn.XLOOKUP(TableHandbook[[#This Row],[UDC]],INDIRECT("Table"&amp;SUBSTITUTE(M$2,"-","")&amp;"[UDC]",TRUE),INDIRECT("Table"&amp;SUBSTITUTE(M$2,"-","")&amp;"[Component Type]",TRUE)),"")</f>
        <v/>
      </c>
      <c r="N148" s="154" t="str" cm="1">
        <f t="array" aca="1" ref="N148" ca="1">IFERROR(_xlfn.XLOOKUP(TableHandbook[[#This Row],[UDC]],INDIRECT("Table"&amp;SUBSTITUTE(N$2,"-","")&amp;"[UDC]",TRUE),INDIRECT("Table"&amp;SUBSTITUTE(N$2,"-","")&amp;"[Component Type]",TRUE)),"")</f>
        <v/>
      </c>
      <c r="O148" s="152" t="str" cm="1">
        <f t="array" aca="1" ref="O148" ca="1">IFERROR(_xlfn.XLOOKUP(TableHandbook[[#This Row],[UDC]],INDIRECT("Table"&amp;SUBSTITUTE(O$2,"-","")&amp;"[UDC]",TRUE),INDIRECT("Table"&amp;SUBSTITUTE(O$2,"-","")&amp;"[Component Type]",TRUE)),"")</f>
        <v/>
      </c>
      <c r="P148" s="152" t="str" cm="1">
        <f t="array" aca="1" ref="P148" ca="1">IFERROR(_xlfn.XLOOKUP(TableHandbook[[#This Row],[UDC]],INDIRECT("Table"&amp;SUBSTITUTE(P$2,"-","")&amp;"[UDC]",TRUE),INDIRECT("Table"&amp;SUBSTITUTE(P$2,"-","")&amp;"[Component Type]",TRUE)),"")</f>
        <v/>
      </c>
      <c r="Q148" s="152" t="str" cm="1">
        <f t="array" aca="1" ref="Q148" ca="1">IFERROR(_xlfn.XLOOKUP(TableHandbook[[#This Row],[UDC]],INDIRECT("Table"&amp;SUBSTITUTE(Q$2,"-","")&amp;"[UDC]",TRUE),INDIRECT("Table"&amp;SUBSTITUTE(Q$2,"-","")&amp;"[Component Type]",TRUE)),"")</f>
        <v/>
      </c>
      <c r="R148" s="152" t="str" cm="1">
        <f t="array" aca="1" ref="R148" ca="1">IFERROR(_xlfn.XLOOKUP(TableHandbook[[#This Row],[UDC]],INDIRECT("Table"&amp;SUBSTITUTE(R$2,"-","")&amp;"[UDC]",TRUE),INDIRECT("Table"&amp;SUBSTITUTE(R$2,"-","")&amp;"[Component Type]",TRUE)),"")</f>
        <v/>
      </c>
      <c r="S148" s="152" t="str" cm="1">
        <f t="array" aca="1" ref="S148" ca="1">IFERROR(_xlfn.XLOOKUP(TableHandbook[[#This Row],[UDC]],INDIRECT("Table"&amp;SUBSTITUTE(S$2,"-","")&amp;"[UDC]",TRUE),INDIRECT("Table"&amp;SUBSTITUTE(S$2,"-","")&amp;"[Component Type]",TRUE)),"")</f>
        <v/>
      </c>
      <c r="T148" s="152" t="str" cm="1">
        <f t="array" aca="1" ref="T148" ca="1">IFERROR(_xlfn.XLOOKUP(TableHandbook[[#This Row],[UDC]],INDIRECT("Table"&amp;SUBSTITUTE(T$2,"-","")&amp;"[UDC]",TRUE),INDIRECT("Table"&amp;SUBSTITUTE(T$2,"-","")&amp;"[Component Type]",TRUE)),"")</f>
        <v/>
      </c>
      <c r="U148" s="152" t="str" cm="1">
        <f t="array" aca="1" ref="U148" ca="1">IFERROR(_xlfn.XLOOKUP(TableHandbook[[#This Row],[UDC]],INDIRECT("Table"&amp;SUBSTITUTE(U$2,"-","")&amp;"[UDC]",TRUE),INDIRECT("Table"&amp;SUBSTITUTE(U$2,"-","")&amp;"[Component Type]",TRUE)),"")</f>
        <v/>
      </c>
      <c r="V148" s="154" t="str" cm="1">
        <f t="array" aca="1" ref="V148" ca="1">IFERROR(_xlfn.XLOOKUP(TableHandbook[[#This Row],[UDC]],INDIRECT("Table"&amp;SUBSTITUTE(V$2,"-","")&amp;"[UDC]",TRUE),INDIRECT("Table"&amp;SUBSTITUTE(V$2,"-","")&amp;"[Component Type]",TRUE)),"")</f>
        <v/>
      </c>
      <c r="W148" s="152" t="str" cm="1">
        <f t="array" aca="1" ref="W148" ca="1">IFERROR(_xlfn.XLOOKUP(TableHandbook[[#This Row],[UDC]],INDIRECT("Table"&amp;SUBSTITUTE(W$2,"-","")&amp;"[UDC]",TRUE),INDIRECT("Table"&amp;SUBSTITUTE(W$2,"-","")&amp;"[Component Type]",TRUE)),"")</f>
        <v/>
      </c>
      <c r="X148" s="152" t="str" cm="1">
        <f t="array" aca="1" ref="X148" ca="1">IFERROR(_xlfn.XLOOKUP(TableHandbook[[#This Row],[UDC]],INDIRECT("Table"&amp;SUBSTITUTE(X$2,"-","")&amp;"[UDC]",TRUE),INDIRECT("Table"&amp;SUBSTITUTE(X$2,"-","")&amp;"[Component Type]",TRUE)),"")</f>
        <v>Core</v>
      </c>
      <c r="Y148" s="152" t="str" cm="1">
        <f t="array" aca="1" ref="Y148" ca="1">IFERROR(_xlfn.XLOOKUP(TableHandbook[[#This Row],[UDC]],INDIRECT("Table"&amp;SUBSTITUTE(Y$2,"-","")&amp;"[UDC]",TRUE),INDIRECT("Table"&amp;SUBSTITUTE(Y$2,"-","")&amp;"[Component Type]",TRUE)),"")</f>
        <v/>
      </c>
      <c r="Z148" s="152" t="str" cm="1">
        <f t="array" aca="1" ref="Z148" ca="1">IFERROR(_xlfn.XLOOKUP(TableHandbook[[#This Row],[UDC]],INDIRECT("Table"&amp;SUBSTITUTE(Z$2,"-","")&amp;"[UDC]",TRUE),INDIRECT("Table"&amp;SUBSTITUTE(Z$2,"-","")&amp;"[Component Type]",TRUE)),"")</f>
        <v/>
      </c>
    </row>
    <row r="149" spans="1:26" x14ac:dyDescent="0.25">
      <c r="A149" s="8" t="s">
        <v>217</v>
      </c>
      <c r="B149" s="9">
        <v>3</v>
      </c>
      <c r="C149" s="9" t="s">
        <v>461</v>
      </c>
      <c r="D149" s="8" t="s">
        <v>462</v>
      </c>
      <c r="E149" s="9">
        <v>25</v>
      </c>
      <c r="F149" s="266" t="s">
        <v>463</v>
      </c>
      <c r="G149" s="72" t="str">
        <f>IFERROR(IF(VLOOKUP(TableHandbook[[#This Row],[UDC]],TableAvailabilities[],2,FALSE)&gt;0,"Y",""),"")</f>
        <v>Y</v>
      </c>
      <c r="H149" s="72" t="str">
        <f>IFERROR(IF(VLOOKUP(TableHandbook[[#This Row],[UDC]],TableAvailabilities[],3,FALSE)&gt;0,"Y",""),"")</f>
        <v/>
      </c>
      <c r="I149" s="72" t="str">
        <f>IFERROR(IF(VLOOKUP(TableHandbook[[#This Row],[UDC]],TableAvailabilities[],4,FALSE)&gt;0,"Y",""),"")</f>
        <v>Y</v>
      </c>
      <c r="J149" s="72" t="str">
        <f>IFERROR(IF(VLOOKUP(TableHandbook[[#This Row],[UDC]],TableAvailabilities[],5,FALSE)&gt;0,"Y",""),"")</f>
        <v/>
      </c>
      <c r="K149" s="155"/>
      <c r="L149" s="152" t="str" cm="1">
        <f t="array" aca="1" ref="L149" ca="1">IFERROR(_xlfn.XLOOKUP(TableHandbook[[#This Row],[UDC]],INDIRECT("Table"&amp;SUBSTITUTE(L$2,"-","")&amp;"[UDC]",TRUE),INDIRECT("Table"&amp;SUBSTITUTE(L$2,"-","")&amp;"[Component Type]",TRUE)),"")</f>
        <v/>
      </c>
      <c r="M149" s="152" t="str" cm="1">
        <f t="array" aca="1" ref="M149" ca="1">IFERROR(_xlfn.XLOOKUP(TableHandbook[[#This Row],[UDC]],INDIRECT("Table"&amp;SUBSTITUTE(M$2,"-","")&amp;"[UDC]",TRUE),INDIRECT("Table"&amp;SUBSTITUTE(M$2,"-","")&amp;"[Component Type]",TRUE)),"")</f>
        <v/>
      </c>
      <c r="N149" s="154" t="str" cm="1">
        <f t="array" aca="1" ref="N149" ca="1">IFERROR(_xlfn.XLOOKUP(TableHandbook[[#This Row],[UDC]],INDIRECT("Table"&amp;SUBSTITUTE(N$2,"-","")&amp;"[UDC]",TRUE),INDIRECT("Table"&amp;SUBSTITUTE(N$2,"-","")&amp;"[Component Type]",TRUE)),"")</f>
        <v/>
      </c>
      <c r="O149" s="152" t="str" cm="1">
        <f t="array" aca="1" ref="O149" ca="1">IFERROR(_xlfn.XLOOKUP(TableHandbook[[#This Row],[UDC]],INDIRECT("Table"&amp;SUBSTITUTE(O$2,"-","")&amp;"[UDC]",TRUE),INDIRECT("Table"&amp;SUBSTITUTE(O$2,"-","")&amp;"[Component Type]",TRUE)),"")</f>
        <v/>
      </c>
      <c r="P149" s="152" t="str" cm="1">
        <f t="array" aca="1" ref="P149" ca="1">IFERROR(_xlfn.XLOOKUP(TableHandbook[[#This Row],[UDC]],INDIRECT("Table"&amp;SUBSTITUTE(P$2,"-","")&amp;"[UDC]",TRUE),INDIRECT("Table"&amp;SUBSTITUTE(P$2,"-","")&amp;"[Component Type]",TRUE)),"")</f>
        <v/>
      </c>
      <c r="Q149" s="152" t="str" cm="1">
        <f t="array" aca="1" ref="Q149" ca="1">IFERROR(_xlfn.XLOOKUP(TableHandbook[[#This Row],[UDC]],INDIRECT("Table"&amp;SUBSTITUTE(Q$2,"-","")&amp;"[UDC]",TRUE),INDIRECT("Table"&amp;SUBSTITUTE(Q$2,"-","")&amp;"[Component Type]",TRUE)),"")</f>
        <v/>
      </c>
      <c r="R149" s="152" t="str" cm="1">
        <f t="array" aca="1" ref="R149" ca="1">IFERROR(_xlfn.XLOOKUP(TableHandbook[[#This Row],[UDC]],INDIRECT("Table"&amp;SUBSTITUTE(R$2,"-","")&amp;"[UDC]",TRUE),INDIRECT("Table"&amp;SUBSTITUTE(R$2,"-","")&amp;"[Component Type]",TRUE)),"")</f>
        <v/>
      </c>
      <c r="S149" s="152" t="str" cm="1">
        <f t="array" aca="1" ref="S149" ca="1">IFERROR(_xlfn.XLOOKUP(TableHandbook[[#This Row],[UDC]],INDIRECT("Table"&amp;SUBSTITUTE(S$2,"-","")&amp;"[UDC]",TRUE),INDIRECT("Table"&amp;SUBSTITUTE(S$2,"-","")&amp;"[Component Type]",TRUE)),"")</f>
        <v/>
      </c>
      <c r="T149" s="152" t="str" cm="1">
        <f t="array" aca="1" ref="T149" ca="1">IFERROR(_xlfn.XLOOKUP(TableHandbook[[#This Row],[UDC]],INDIRECT("Table"&amp;SUBSTITUTE(T$2,"-","")&amp;"[UDC]",TRUE),INDIRECT("Table"&amp;SUBSTITUTE(T$2,"-","")&amp;"[Component Type]",TRUE)),"")</f>
        <v/>
      </c>
      <c r="U149" s="152" t="str" cm="1">
        <f t="array" aca="1" ref="U149" ca="1">IFERROR(_xlfn.XLOOKUP(TableHandbook[[#This Row],[UDC]],INDIRECT("Table"&amp;SUBSTITUTE(U$2,"-","")&amp;"[UDC]",TRUE),INDIRECT("Table"&amp;SUBSTITUTE(U$2,"-","")&amp;"[Component Type]",TRUE)),"")</f>
        <v/>
      </c>
      <c r="V149" s="154" t="str" cm="1">
        <f t="array" aca="1" ref="V149" ca="1">IFERROR(_xlfn.XLOOKUP(TableHandbook[[#This Row],[UDC]],INDIRECT("Table"&amp;SUBSTITUTE(V$2,"-","")&amp;"[UDC]",TRUE),INDIRECT("Table"&amp;SUBSTITUTE(V$2,"-","")&amp;"[Component Type]",TRUE)),"")</f>
        <v/>
      </c>
      <c r="W149" s="152" t="str" cm="1">
        <f t="array" aca="1" ref="W149" ca="1">IFERROR(_xlfn.XLOOKUP(TableHandbook[[#This Row],[UDC]],INDIRECT("Table"&amp;SUBSTITUTE(W$2,"-","")&amp;"[UDC]",TRUE),INDIRECT("Table"&amp;SUBSTITUTE(W$2,"-","")&amp;"[Component Type]",TRUE)),"")</f>
        <v/>
      </c>
      <c r="X149" s="152" t="str" cm="1">
        <f t="array" aca="1" ref="X149" ca="1">IFERROR(_xlfn.XLOOKUP(TableHandbook[[#This Row],[UDC]],INDIRECT("Table"&amp;SUBSTITUTE(X$2,"-","")&amp;"[UDC]",TRUE),INDIRECT("Table"&amp;SUBSTITUTE(X$2,"-","")&amp;"[Component Type]",TRUE)),"")</f>
        <v>Core</v>
      </c>
      <c r="Y149" s="152" t="str" cm="1">
        <f t="array" aca="1" ref="Y149" ca="1">IFERROR(_xlfn.XLOOKUP(TableHandbook[[#This Row],[UDC]],INDIRECT("Table"&amp;SUBSTITUTE(Y$2,"-","")&amp;"[UDC]",TRUE),INDIRECT("Table"&amp;SUBSTITUTE(Y$2,"-","")&amp;"[Component Type]",TRUE)),"")</f>
        <v/>
      </c>
      <c r="Z149" s="152" t="str" cm="1">
        <f t="array" aca="1" ref="Z149" ca="1">IFERROR(_xlfn.XLOOKUP(TableHandbook[[#This Row],[UDC]],INDIRECT("Table"&amp;SUBSTITUTE(Z$2,"-","")&amp;"[UDC]",TRUE),INDIRECT("Table"&amp;SUBSTITUTE(Z$2,"-","")&amp;"[Component Type]",TRUE)),"")</f>
        <v/>
      </c>
    </row>
  </sheetData>
  <sortState xmlns:xlrd2="http://schemas.microsoft.com/office/spreadsheetml/2017/richdata2" ref="A19:D28">
    <sortCondition ref="A19"/>
  </sortState>
  <phoneticPr fontId="70" type="noConversion"/>
  <conditionalFormatting sqref="A3:A149">
    <cfRule type="duplicateValues" dxfId="66" priority="312"/>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R356"/>
  <sheetViews>
    <sheetView zoomScale="70" zoomScaleNormal="70" workbookViewId="0">
      <selection activeCell="B49" sqref="B49"/>
    </sheetView>
  </sheetViews>
  <sheetFormatPr defaultRowHeight="15.75" x14ac:dyDescent="0.25"/>
  <cols>
    <col min="1" max="1" width="14.25" bestFit="1" customWidth="1"/>
    <col min="2" max="2" width="9.75" style="5" customWidth="1"/>
    <col min="3" max="3" width="12.5" bestFit="1" customWidth="1"/>
    <col min="4" max="4" width="66.875" customWidth="1"/>
    <col min="5" max="5" width="8.625" style="5" bestFit="1" customWidth="1"/>
    <col min="6" max="6" width="6.5" bestFit="1" customWidth="1"/>
    <col min="7" max="7" width="13.625" bestFit="1" customWidth="1"/>
    <col min="8" max="8" width="12.625" bestFit="1" customWidth="1"/>
    <col min="9" max="9" width="14.5" bestFit="1" customWidth="1"/>
    <col min="10" max="10" width="21.125" bestFit="1" customWidth="1"/>
    <col min="11" max="11" width="6.25" customWidth="1"/>
    <col min="12" max="12" width="75.625" customWidth="1"/>
    <col min="13" max="13" width="8.75" bestFit="1" customWidth="1"/>
    <col min="14" max="14" width="12.5" bestFit="1" customWidth="1"/>
    <col min="15" max="15" width="10.875" bestFit="1" customWidth="1"/>
    <col min="16" max="16" width="10.875" customWidth="1"/>
    <col min="17" max="17" width="12.625" bestFit="1" customWidth="1"/>
    <col min="18" max="18" width="11.5" bestFit="1" customWidth="1"/>
  </cols>
  <sheetData>
    <row r="1" spans="1:18" x14ac:dyDescent="0.25">
      <c r="A1" s="42"/>
      <c r="B1" s="43"/>
      <c r="C1" s="42"/>
      <c r="F1" s="235"/>
      <c r="G1" s="236" t="s">
        <v>464</v>
      </c>
      <c r="H1" s="262">
        <v>46031</v>
      </c>
      <c r="I1" s="235"/>
      <c r="J1" s="232" t="s">
        <v>66</v>
      </c>
      <c r="K1" s="230">
        <v>4</v>
      </c>
      <c r="L1" s="232" t="s">
        <v>10</v>
      </c>
      <c r="M1" s="232"/>
      <c r="N1" s="247">
        <v>46023</v>
      </c>
      <c r="O1" s="237"/>
      <c r="P1" s="182">
        <v>45658</v>
      </c>
      <c r="Q1" s="156" t="s">
        <v>465</v>
      </c>
    </row>
    <row r="2" spans="1:18" ht="31.5" x14ac:dyDescent="0.25">
      <c r="A2" s="49" t="s">
        <v>0</v>
      </c>
      <c r="B2" s="50" t="s">
        <v>466</v>
      </c>
      <c r="C2" s="49" t="s">
        <v>16</v>
      </c>
      <c r="D2" s="49" t="s">
        <v>3</v>
      </c>
      <c r="E2" s="51" t="s">
        <v>467</v>
      </c>
      <c r="F2" s="49" t="s">
        <v>468</v>
      </c>
      <c r="G2" s="49" t="s">
        <v>469</v>
      </c>
      <c r="H2" s="50" t="s">
        <v>470</v>
      </c>
      <c r="I2" s="49" t="s">
        <v>17</v>
      </c>
      <c r="J2" s="49" t="s">
        <v>471</v>
      </c>
      <c r="K2" s="49" t="s">
        <v>1</v>
      </c>
      <c r="L2" s="49" t="s">
        <v>472</v>
      </c>
      <c r="M2" s="49" t="s">
        <v>59</v>
      </c>
      <c r="N2" s="49" t="s">
        <v>473</v>
      </c>
      <c r="O2" s="49" t="s">
        <v>474</v>
      </c>
      <c r="P2" s="49"/>
      <c r="Q2" t="s">
        <v>475</v>
      </c>
      <c r="R2" t="s">
        <v>476</v>
      </c>
    </row>
    <row r="3" spans="1:18" x14ac:dyDescent="0.25">
      <c r="A3" t="str">
        <f>TableOBEDEC[[#This Row],[Study Package Code]]</f>
        <v>EDUC1020</v>
      </c>
      <c r="B3" s="5">
        <f>TableOBEDEC[[#This Row],[Ver]]</f>
        <v>1</v>
      </c>
      <c r="C3" t="str">
        <f>IF(TableOBEDEC[[#This Row],[Ver]]&gt;0,_xlfn.TEXTBEFORE(TableOBEDEC[[#This Row],[Structure Line]]," "),"")</f>
        <v>EDC105</v>
      </c>
      <c r="D3" t="str">
        <f>IF(TableOBEDEC[[#This Row],[OUA Code]]&lt;&gt;"",_xlfn.TEXTAFTER(TableOBEDEC[[#This Row],[Structure Line]]," "),TableOBEDEC[[#This Row],[Structure Line]])</f>
        <v>Teaching and Learning in the Digital World</v>
      </c>
      <c r="E3" s="44">
        <f>TableOBEDEC[[#This Row],[Credit Points]]</f>
        <v>25</v>
      </c>
      <c r="F3" s="64">
        <v>1</v>
      </c>
      <c r="G3" s="64" t="s">
        <v>477</v>
      </c>
      <c r="H3" s="241">
        <v>1</v>
      </c>
      <c r="I3" s="64" t="s">
        <v>478</v>
      </c>
      <c r="J3" s="64" t="s">
        <v>46</v>
      </c>
      <c r="K3" s="64">
        <v>1</v>
      </c>
      <c r="L3" s="64" t="s">
        <v>479</v>
      </c>
      <c r="M3" s="64">
        <v>25</v>
      </c>
      <c r="N3" s="62">
        <v>43466</v>
      </c>
      <c r="O3" s="62"/>
      <c r="P3" s="62"/>
      <c r="Q3" t="s">
        <v>46</v>
      </c>
      <c r="R3">
        <v>1</v>
      </c>
    </row>
    <row r="4" spans="1:18" x14ac:dyDescent="0.25">
      <c r="A4" t="str">
        <f>TableOBEDEC[[#This Row],[Study Package Code]]</f>
        <v>EDUC1022</v>
      </c>
      <c r="B4" s="5">
        <f>TableOBEDEC[[#This Row],[Ver]]</f>
        <v>1</v>
      </c>
      <c r="C4" t="str">
        <f>IF(TableOBEDEC[[#This Row],[Ver]]&gt;0,_xlfn.TEXTBEFORE(TableOBEDEC[[#This Row],[Structure Line]]," "),"")</f>
        <v>EDC135</v>
      </c>
      <c r="D4" t="str">
        <f>IF(TableOBEDEC[[#This Row],[OUA Code]]&lt;&gt;"",_xlfn.TEXTAFTER(TableOBEDEC[[#This Row],[Structure Line]]," "),TableOBEDEC[[#This Row],[Structure Line]])</f>
        <v>Child Development for Educators</v>
      </c>
      <c r="E4" s="44">
        <f>TableOBEDEC[[#This Row],[Credit Points]]</f>
        <v>25</v>
      </c>
      <c r="F4" s="64">
        <v>2</v>
      </c>
      <c r="G4" s="64" t="s">
        <v>477</v>
      </c>
      <c r="H4" s="241">
        <v>1</v>
      </c>
      <c r="I4" s="64" t="s">
        <v>478</v>
      </c>
      <c r="J4" s="64" t="s">
        <v>51</v>
      </c>
      <c r="K4" s="64">
        <v>1</v>
      </c>
      <c r="L4" s="64" t="s">
        <v>480</v>
      </c>
      <c r="M4" s="64">
        <v>25</v>
      </c>
      <c r="N4" s="62">
        <v>43466</v>
      </c>
      <c r="O4" s="62"/>
      <c r="P4" s="62"/>
      <c r="Q4" t="s">
        <v>48</v>
      </c>
      <c r="R4">
        <v>1</v>
      </c>
    </row>
    <row r="5" spans="1:18" x14ac:dyDescent="0.25">
      <c r="A5" t="str">
        <f>TableOBEDEC[[#This Row],[Study Package Code]]</f>
        <v>EDUC1026</v>
      </c>
      <c r="B5" s="5">
        <f>TableOBEDEC[[#This Row],[Ver]]</f>
        <v>1</v>
      </c>
      <c r="C5" t="str">
        <f>IF(TableOBEDEC[[#This Row],[Ver]]&gt;0,_xlfn.TEXTBEFORE(TableOBEDEC[[#This Row],[Structure Line]]," "),"")</f>
        <v>EDC140</v>
      </c>
      <c r="D5" t="str">
        <f>IF(TableOBEDEC[[#This Row],[OUA Code]]&lt;&gt;"",_xlfn.TEXTAFTER(TableOBEDEC[[#This Row],[Structure Line]]," "),TableOBEDEC[[#This Row],[Structure Line]])</f>
        <v>Exploring and Contesting Curriculum</v>
      </c>
      <c r="E5" s="44">
        <f>TableOBEDEC[[#This Row],[Credit Points]]</f>
        <v>25</v>
      </c>
      <c r="F5" s="64">
        <v>3</v>
      </c>
      <c r="G5" s="64" t="s">
        <v>477</v>
      </c>
      <c r="H5" s="241">
        <v>1</v>
      </c>
      <c r="I5" s="64" t="s">
        <v>478</v>
      </c>
      <c r="J5" s="64" t="s">
        <v>53</v>
      </c>
      <c r="K5" s="64">
        <v>1</v>
      </c>
      <c r="L5" s="64" t="s">
        <v>481</v>
      </c>
      <c r="M5" s="64">
        <v>25</v>
      </c>
      <c r="N5" s="62">
        <v>43466</v>
      </c>
      <c r="O5" s="62"/>
      <c r="P5" s="62"/>
      <c r="Q5" t="s">
        <v>51</v>
      </c>
      <c r="R5">
        <v>1</v>
      </c>
    </row>
    <row r="6" spans="1:18" x14ac:dyDescent="0.25">
      <c r="A6" t="str">
        <f>TableOBEDEC[[#This Row],[Study Package Code]]</f>
        <v>EDUC1032</v>
      </c>
      <c r="B6" s="5">
        <f>TableOBEDEC[[#This Row],[Ver]]</f>
        <v>1</v>
      </c>
      <c r="C6" t="str">
        <f>IF(TableOBEDEC[[#This Row],[Ver]]&gt;0,_xlfn.TEXTBEFORE(TableOBEDEC[[#This Row],[Structure Line]]," "),"")</f>
        <v>EDC145</v>
      </c>
      <c r="D6" t="str">
        <f>IF(TableOBEDEC[[#This Row],[OUA Code]]&lt;&gt;"",_xlfn.TEXTAFTER(TableOBEDEC[[#This Row],[Structure Line]]," "),TableOBEDEC[[#This Row],[Structure Line]])</f>
        <v>The Numerate Educator</v>
      </c>
      <c r="E6" s="44">
        <f>TableOBEDEC[[#This Row],[Credit Points]]</f>
        <v>25</v>
      </c>
      <c r="F6" s="64">
        <v>4</v>
      </c>
      <c r="G6" s="64" t="s">
        <v>477</v>
      </c>
      <c r="H6" s="241">
        <v>1</v>
      </c>
      <c r="I6" s="64" t="s">
        <v>478</v>
      </c>
      <c r="J6" s="64" t="s">
        <v>65</v>
      </c>
      <c r="K6" s="64">
        <v>1</v>
      </c>
      <c r="L6" s="64" t="s">
        <v>482</v>
      </c>
      <c r="M6" s="64">
        <v>25</v>
      </c>
      <c r="N6" s="62">
        <v>43466</v>
      </c>
      <c r="O6" s="62"/>
      <c r="P6" s="62"/>
      <c r="Q6" t="s">
        <v>53</v>
      </c>
      <c r="R6">
        <v>1</v>
      </c>
    </row>
    <row r="7" spans="1:18" x14ac:dyDescent="0.25">
      <c r="A7" t="str">
        <f>TableOBEDEC[[#This Row],[Study Package Code]]</f>
        <v>EDUC1030</v>
      </c>
      <c r="B7" s="5">
        <f>TableOBEDEC[[#This Row],[Ver]]</f>
        <v>1</v>
      </c>
      <c r="C7" t="str">
        <f>IF(TableOBEDEC[[#This Row],[Ver]]&gt;0,_xlfn.TEXTBEFORE(TableOBEDEC[[#This Row],[Structure Line]]," "),"")</f>
        <v>EDC153</v>
      </c>
      <c r="D7" t="str">
        <f>IF(TableOBEDEC[[#This Row],[OUA Code]]&lt;&gt;"",_xlfn.TEXTAFTER(TableOBEDEC[[#This Row],[Structure Line]]," "),TableOBEDEC[[#This Row],[Structure Line]])</f>
        <v>Performing Arts for Educators</v>
      </c>
      <c r="E7" s="44">
        <f>TableOBEDEC[[#This Row],[Credit Points]]</f>
        <v>25</v>
      </c>
      <c r="F7" s="64">
        <v>5</v>
      </c>
      <c r="G7" s="64" t="s">
        <v>477</v>
      </c>
      <c r="H7" s="241">
        <v>1</v>
      </c>
      <c r="I7" s="64" t="s">
        <v>478</v>
      </c>
      <c r="J7" s="64" t="s">
        <v>70</v>
      </c>
      <c r="K7" s="64">
        <v>1</v>
      </c>
      <c r="L7" s="64" t="s">
        <v>483</v>
      </c>
      <c r="M7" s="64">
        <v>25</v>
      </c>
      <c r="N7" s="62">
        <v>43466</v>
      </c>
      <c r="O7" s="62"/>
      <c r="P7" s="62"/>
      <c r="Q7" t="s">
        <v>65</v>
      </c>
      <c r="R7">
        <v>1</v>
      </c>
    </row>
    <row r="8" spans="1:18" x14ac:dyDescent="0.25">
      <c r="A8" t="str">
        <f>TableOBEDEC[[#This Row],[Study Package Code]]</f>
        <v>EDUC1028</v>
      </c>
      <c r="B8" s="5">
        <f>TableOBEDEC[[#This Row],[Ver]]</f>
        <v>1</v>
      </c>
      <c r="C8" t="str">
        <f>IF(TableOBEDEC[[#This Row],[Ver]]&gt;0,_xlfn.TEXTBEFORE(TableOBEDEC[[#This Row],[Structure Line]]," "),"")</f>
        <v>EDC175</v>
      </c>
      <c r="D8" t="str">
        <f>IF(TableOBEDEC[[#This Row],[OUA Code]]&lt;&gt;"",_xlfn.TEXTAFTER(TableOBEDEC[[#This Row],[Structure Line]]," "),TableOBEDEC[[#This Row],[Structure Line]])</f>
        <v>Educators Inquiring About the World</v>
      </c>
      <c r="E8" s="44">
        <f>TableOBEDEC[[#This Row],[Credit Points]]</f>
        <v>25</v>
      </c>
      <c r="F8" s="64">
        <v>6</v>
      </c>
      <c r="G8" s="64" t="s">
        <v>477</v>
      </c>
      <c r="H8" s="241">
        <v>1</v>
      </c>
      <c r="I8" s="64" t="s">
        <v>478</v>
      </c>
      <c r="J8" s="64" t="s">
        <v>67</v>
      </c>
      <c r="K8" s="64">
        <v>1</v>
      </c>
      <c r="L8" s="64" t="s">
        <v>485</v>
      </c>
      <c r="M8" s="64">
        <v>25</v>
      </c>
      <c r="N8" s="62">
        <v>43466</v>
      </c>
      <c r="O8" s="62"/>
      <c r="P8" s="62"/>
      <c r="Q8" t="s">
        <v>70</v>
      </c>
      <c r="R8">
        <v>1</v>
      </c>
    </row>
    <row r="9" spans="1:18" x14ac:dyDescent="0.25">
      <c r="A9" t="str">
        <f>TableOBEDEC[[#This Row],[Study Package Code]]</f>
        <v>EDUC1038</v>
      </c>
      <c r="B9" s="5">
        <f>TableOBEDEC[[#This Row],[Ver]]</f>
        <v>1</v>
      </c>
      <c r="C9" t="str">
        <f>IF(TableOBEDEC[[#This Row],[Ver]]&gt;0,_xlfn.TEXTBEFORE(TableOBEDEC[[#This Row],[Structure Line]]," "),"")</f>
        <v>EDC181</v>
      </c>
      <c r="D9" t="str">
        <f>IF(TableOBEDEC[[#This Row],[OUA Code]]&lt;&gt;"",_xlfn.TEXTAFTER(TableOBEDEC[[#This Row],[Structure Line]]," "),TableOBEDEC[[#This Row],[Structure Line]])</f>
        <v>Communication Skills for Educators</v>
      </c>
      <c r="E9" s="44">
        <f>TableOBEDEC[[#This Row],[Credit Points]]</f>
        <v>25</v>
      </c>
      <c r="F9" s="64">
        <v>7</v>
      </c>
      <c r="G9" s="64" t="s">
        <v>477</v>
      </c>
      <c r="H9" s="241">
        <v>1</v>
      </c>
      <c r="I9" s="64" t="s">
        <v>478</v>
      </c>
      <c r="J9" s="64" t="s">
        <v>71</v>
      </c>
      <c r="K9" s="64">
        <v>1</v>
      </c>
      <c r="L9" s="64" t="s">
        <v>484</v>
      </c>
      <c r="M9" s="64">
        <v>25</v>
      </c>
      <c r="N9" s="62">
        <v>45658</v>
      </c>
      <c r="O9" s="62"/>
      <c r="P9" s="62"/>
      <c r="Q9" t="s">
        <v>71</v>
      </c>
      <c r="R9">
        <v>1</v>
      </c>
    </row>
    <row r="10" spans="1:18" x14ac:dyDescent="0.25">
      <c r="A10" t="str">
        <f>TableOBEDEC[[#This Row],[Study Package Code]]</f>
        <v>EDUC1040</v>
      </c>
      <c r="B10" s="5">
        <f>TableOBEDEC[[#This Row],[Ver]]</f>
        <v>1</v>
      </c>
      <c r="C10" t="str">
        <f>IF(TableOBEDEC[[#This Row],[Ver]]&gt;0,_xlfn.TEXTBEFORE(TableOBEDEC[[#This Row],[Structure Line]]," "),"")</f>
        <v>EDUC1040</v>
      </c>
      <c r="D10" t="str">
        <f>IF(TableOBEDEC[[#This Row],[OUA Code]]&lt;&gt;"",_xlfn.TEXTAFTER(TableOBEDEC[[#This Row],[Structure Line]]," "),TableOBEDEC[[#This Row],[Structure Line]])</f>
        <v>English: The Early Years</v>
      </c>
      <c r="E10" s="44">
        <f>TableOBEDEC[[#This Row],[Credit Points]]</f>
        <v>25</v>
      </c>
      <c r="F10" s="64">
        <v>8</v>
      </c>
      <c r="G10" s="64" t="s">
        <v>477</v>
      </c>
      <c r="H10" s="241">
        <v>1</v>
      </c>
      <c r="I10" s="64" t="s">
        <v>478</v>
      </c>
      <c r="J10" s="64" t="s">
        <v>589</v>
      </c>
      <c r="K10" s="64">
        <v>1</v>
      </c>
      <c r="L10" s="64" t="s">
        <v>590</v>
      </c>
      <c r="M10" s="64">
        <v>25</v>
      </c>
      <c r="N10" s="62">
        <v>46023</v>
      </c>
      <c r="O10" s="62"/>
      <c r="P10" s="62"/>
      <c r="Q10" t="s">
        <v>67</v>
      </c>
      <c r="R10">
        <v>1</v>
      </c>
    </row>
    <row r="11" spans="1:18" x14ac:dyDescent="0.25">
      <c r="A11" t="str">
        <f>TableOBEDEC[[#This Row],[Study Package Code]]</f>
        <v>EDEC2024</v>
      </c>
      <c r="B11" s="5">
        <f>TableOBEDEC[[#This Row],[Ver]]</f>
        <v>1</v>
      </c>
      <c r="C11" t="str">
        <f>IF(TableOBEDEC[[#This Row],[Ver]]&gt;0,_xlfn.TEXTBEFORE(TableOBEDEC[[#This Row],[Structure Line]]," "),"")</f>
        <v>EDE252</v>
      </c>
      <c r="D11" t="str">
        <f>IF(TableOBEDEC[[#This Row],[OUA Code]]&lt;&gt;"",_xlfn.TEXTAFTER(TableOBEDEC[[#This Row],[Structure Line]]," "),TableOBEDEC[[#This Row],[Structure Line]])</f>
        <v>Visual and Media Arts for Early Childhood</v>
      </c>
      <c r="E11" s="44">
        <f>TableOBEDEC[[#This Row],[Credit Points]]</f>
        <v>25</v>
      </c>
      <c r="F11" s="64">
        <v>9</v>
      </c>
      <c r="G11" s="64" t="s">
        <v>477</v>
      </c>
      <c r="H11" s="241">
        <v>2</v>
      </c>
      <c r="I11" s="64" t="s">
        <v>478</v>
      </c>
      <c r="J11" s="64" t="s">
        <v>100</v>
      </c>
      <c r="K11" s="64">
        <v>1</v>
      </c>
      <c r="L11" s="64" t="s">
        <v>486</v>
      </c>
      <c r="M11" s="64">
        <v>25</v>
      </c>
      <c r="N11" s="62">
        <v>43466</v>
      </c>
      <c r="O11" s="62"/>
      <c r="P11" s="62"/>
      <c r="Q11" t="s">
        <v>85</v>
      </c>
      <c r="R11">
        <v>1</v>
      </c>
    </row>
    <row r="12" spans="1:18" x14ac:dyDescent="0.25">
      <c r="A12" t="str">
        <f>TableOBEDEC[[#This Row],[Study Package Code]]</f>
        <v>EDEC2022</v>
      </c>
      <c r="B12" s="5">
        <f>TableOBEDEC[[#This Row],[Ver]]</f>
        <v>1</v>
      </c>
      <c r="C12" t="str">
        <f>IF(TableOBEDEC[[#This Row],[Ver]]&gt;0,_xlfn.TEXTBEFORE(TableOBEDEC[[#This Row],[Structure Line]]," "),"")</f>
        <v>EDE255</v>
      </c>
      <c r="D12" t="str">
        <f>IF(TableOBEDEC[[#This Row],[OUA Code]]&lt;&gt;"",_xlfn.TEXTAFTER(TableOBEDEC[[#This Row],[Structure Line]]," "),TableOBEDEC[[#This Row],[Structure Line]])</f>
        <v>Engaging Children in Science</v>
      </c>
      <c r="E12" s="44">
        <f>TableOBEDEC[[#This Row],[Credit Points]]</f>
        <v>25</v>
      </c>
      <c r="F12" s="64">
        <v>10</v>
      </c>
      <c r="G12" s="64" t="s">
        <v>477</v>
      </c>
      <c r="H12" s="241">
        <v>2</v>
      </c>
      <c r="I12" s="64" t="s">
        <v>478</v>
      </c>
      <c r="J12" s="64" t="s">
        <v>88</v>
      </c>
      <c r="K12" s="64">
        <v>1</v>
      </c>
      <c r="L12" s="64" t="s">
        <v>487</v>
      </c>
      <c r="M12" s="64">
        <v>25</v>
      </c>
      <c r="N12" s="62">
        <v>43466</v>
      </c>
      <c r="O12" s="62"/>
      <c r="P12" s="62"/>
      <c r="Q12" t="s">
        <v>80</v>
      </c>
      <c r="R12">
        <v>1</v>
      </c>
    </row>
    <row r="13" spans="1:18" x14ac:dyDescent="0.25">
      <c r="A13" t="str">
        <f>TableOBEDEC[[#This Row],[Study Package Code]]</f>
        <v>EDEC2028</v>
      </c>
      <c r="B13" s="5">
        <f>TableOBEDEC[[#This Row],[Ver]]</f>
        <v>1</v>
      </c>
      <c r="C13" t="str">
        <f>IF(TableOBEDEC[[#This Row],[Ver]]&gt;0,_xlfn.TEXTBEFORE(TableOBEDEC[[#This Row],[Structure Line]]," "),"")</f>
        <v>EDE260</v>
      </c>
      <c r="D13" t="str">
        <f>IF(TableOBEDEC[[#This Row],[OUA Code]]&lt;&gt;"",_xlfn.TEXTAFTER(TableOBEDEC[[#This Row],[Structure Line]]," "),TableOBEDEC[[#This Row],[Structure Line]])</f>
        <v>Health and Physical Education in Early Childhood</v>
      </c>
      <c r="E13" s="44">
        <f>TableOBEDEC[[#This Row],[Credit Points]]</f>
        <v>25</v>
      </c>
      <c r="F13" s="64">
        <v>11</v>
      </c>
      <c r="G13" s="64" t="s">
        <v>477</v>
      </c>
      <c r="H13" s="241">
        <v>2</v>
      </c>
      <c r="I13" s="64" t="s">
        <v>478</v>
      </c>
      <c r="J13" s="64" t="s">
        <v>102</v>
      </c>
      <c r="K13" s="64">
        <v>1</v>
      </c>
      <c r="L13" s="64" t="s">
        <v>488</v>
      </c>
      <c r="M13" s="64">
        <v>25</v>
      </c>
      <c r="N13" s="62">
        <v>43466</v>
      </c>
      <c r="O13" s="62"/>
      <c r="P13" s="62"/>
      <c r="Q13" t="s">
        <v>98</v>
      </c>
      <c r="R13">
        <v>1</v>
      </c>
    </row>
    <row r="14" spans="1:18" x14ac:dyDescent="0.25">
      <c r="A14" t="str">
        <f>TableOBEDEC[[#This Row],[Study Package Code]]</f>
        <v>EDEC2018</v>
      </c>
      <c r="B14" s="5">
        <f>TableOBEDEC[[#This Row],[Ver]]</f>
        <v>2</v>
      </c>
      <c r="C14" t="str">
        <f>IF(TableOBEDEC[[#This Row],[Ver]]&gt;0,_xlfn.TEXTBEFORE(TableOBEDEC[[#This Row],[Structure Line]]," "),"")</f>
        <v>EDE292</v>
      </c>
      <c r="D14" t="str">
        <f>IF(TableOBEDEC[[#This Row],[OUA Code]]&lt;&gt;"",_xlfn.TEXTAFTER(TableOBEDEC[[#This Row],[Structure Line]]," "),TableOBEDEC[[#This Row],[Structure Line]])</f>
        <v>Early Learning Through the Humanities and Social Sciences</v>
      </c>
      <c r="E14" s="44">
        <f>TableOBEDEC[[#This Row],[Credit Points]]</f>
        <v>25</v>
      </c>
      <c r="F14" s="64">
        <v>12</v>
      </c>
      <c r="G14" s="64" t="s">
        <v>477</v>
      </c>
      <c r="H14" s="241">
        <v>2</v>
      </c>
      <c r="I14" s="64" t="s">
        <v>478</v>
      </c>
      <c r="J14" s="64" t="s">
        <v>82</v>
      </c>
      <c r="K14" s="64">
        <v>2</v>
      </c>
      <c r="L14" s="64" t="s">
        <v>489</v>
      </c>
      <c r="M14" s="64">
        <v>25</v>
      </c>
      <c r="N14" s="62">
        <v>43466</v>
      </c>
      <c r="O14" s="62"/>
      <c r="P14" s="62"/>
      <c r="Q14" t="s">
        <v>99</v>
      </c>
      <c r="R14">
        <v>1</v>
      </c>
    </row>
    <row r="15" spans="1:18" x14ac:dyDescent="0.25">
      <c r="A15" t="str">
        <f>TableOBEDEC[[#This Row],[Study Package Code]]</f>
        <v>EDEC2030</v>
      </c>
      <c r="B15" s="5">
        <f>TableOBEDEC[[#This Row],[Ver]]</f>
        <v>1</v>
      </c>
      <c r="C15" t="str">
        <f>IF(TableOBEDEC[[#This Row],[Ver]]&gt;0,_xlfn.TEXTBEFORE(TableOBEDEC[[#This Row],[Structure Line]]," "),"")</f>
        <v>EDEC2030</v>
      </c>
      <c r="D15" t="str">
        <f>IF(TableOBEDEC[[#This Row],[OUA Code]]&lt;&gt;"",_xlfn.TEXTAFTER(TableOBEDEC[[#This Row],[Structure Line]]," "),TableOBEDEC[[#This Row],[Structure Line]])</f>
        <v>Literacies for Young Children: Birth to 4-Year-Olds</v>
      </c>
      <c r="E15" s="44">
        <f>TableOBEDEC[[#This Row],[Credit Points]]</f>
        <v>25</v>
      </c>
      <c r="F15" s="64">
        <v>13</v>
      </c>
      <c r="G15" s="64" t="s">
        <v>477</v>
      </c>
      <c r="H15" s="241">
        <v>2</v>
      </c>
      <c r="I15" s="64" t="s">
        <v>478</v>
      </c>
      <c r="J15" s="64" t="s">
        <v>591</v>
      </c>
      <c r="K15" s="64">
        <v>1</v>
      </c>
      <c r="L15" s="64" t="s">
        <v>592</v>
      </c>
      <c r="M15" s="64">
        <v>25</v>
      </c>
      <c r="N15" s="62">
        <v>46023</v>
      </c>
      <c r="O15" s="62"/>
      <c r="P15" s="62"/>
      <c r="Q15" t="s">
        <v>100</v>
      </c>
      <c r="R15">
        <v>1</v>
      </c>
    </row>
    <row r="16" spans="1:18" x14ac:dyDescent="0.25">
      <c r="A16" t="str">
        <f>TableOBEDEC[[#This Row],[Study Package Code]]</f>
        <v>EDEC2032</v>
      </c>
      <c r="B16" s="5">
        <f>TableOBEDEC[[#This Row],[Ver]]</f>
        <v>1</v>
      </c>
      <c r="C16" t="str">
        <f>IF(TableOBEDEC[[#This Row],[Ver]]&gt;0,_xlfn.TEXTBEFORE(TableOBEDEC[[#This Row],[Structure Line]]," "),"")</f>
        <v>EDEC2032</v>
      </c>
      <c r="D16" t="str">
        <f>IF(TableOBEDEC[[#This Row],[OUA Code]]&lt;&gt;"",_xlfn.TEXTAFTER(TableOBEDEC[[#This Row],[Structure Line]]," "),TableOBEDEC[[#This Row],[Structure Line]])</f>
        <v>Mathematics during the First Five Years of Life</v>
      </c>
      <c r="E16" s="44">
        <f>TableOBEDEC[[#This Row],[Credit Points]]</f>
        <v>25</v>
      </c>
      <c r="F16" s="64">
        <v>14</v>
      </c>
      <c r="G16" s="64" t="s">
        <v>477</v>
      </c>
      <c r="H16" s="241">
        <v>2</v>
      </c>
      <c r="I16" s="64" t="s">
        <v>478</v>
      </c>
      <c r="J16" s="64" t="s">
        <v>593</v>
      </c>
      <c r="K16" s="64">
        <v>1</v>
      </c>
      <c r="L16" s="64" t="s">
        <v>594</v>
      </c>
      <c r="M16" s="64">
        <v>25</v>
      </c>
      <c r="N16" s="62">
        <v>46023</v>
      </c>
      <c r="O16" s="62"/>
      <c r="P16" s="62"/>
      <c r="Q16" t="s">
        <v>88</v>
      </c>
      <c r="R16">
        <v>1</v>
      </c>
    </row>
    <row r="17" spans="1:18" x14ac:dyDescent="0.25">
      <c r="A17" t="str">
        <f>TableOBEDEC[[#This Row],[Study Package Code]]</f>
        <v>EDEC2034</v>
      </c>
      <c r="B17" s="5">
        <f>TableOBEDEC[[#This Row],[Ver]]</f>
        <v>1</v>
      </c>
      <c r="C17" t="str">
        <f>IF(TableOBEDEC[[#This Row],[Ver]]&gt;0,_xlfn.TEXTBEFORE(TableOBEDEC[[#This Row],[Structure Line]]," "),"")</f>
        <v>EDEC2034</v>
      </c>
      <c r="D17" t="str">
        <f>IF(TableOBEDEC[[#This Row],[OUA Code]]&lt;&gt;"",_xlfn.TEXTAFTER(TableOBEDEC[[#This Row],[Structure Line]]," "),TableOBEDEC[[#This Row],[Structure Line]])</f>
        <v>Early Childhood Professional Experience: Learning Environments for Birth to 4-year-olds</v>
      </c>
      <c r="E17" s="44">
        <f>TableOBEDEC[[#This Row],[Credit Points]]</f>
        <v>25</v>
      </c>
      <c r="F17" s="64">
        <v>15</v>
      </c>
      <c r="G17" s="64" t="s">
        <v>477</v>
      </c>
      <c r="H17" s="241">
        <v>2</v>
      </c>
      <c r="I17" s="64" t="s">
        <v>478</v>
      </c>
      <c r="J17" s="64" t="s">
        <v>595</v>
      </c>
      <c r="K17" s="64">
        <v>1</v>
      </c>
      <c r="L17" s="64" t="s">
        <v>596</v>
      </c>
      <c r="M17" s="64">
        <v>25</v>
      </c>
      <c r="N17" s="62">
        <v>46023</v>
      </c>
      <c r="O17" s="62"/>
      <c r="P17" s="62"/>
      <c r="Q17" t="s">
        <v>102</v>
      </c>
      <c r="R17">
        <v>1</v>
      </c>
    </row>
    <row r="18" spans="1:18" x14ac:dyDescent="0.25">
      <c r="A18" t="str">
        <f>TableOBEDEC[[#This Row],[Study Package Code]]</f>
        <v/>
      </c>
      <c r="B18" s="5">
        <f>TableOBEDEC[[#This Row],[Ver]]</f>
        <v>0</v>
      </c>
      <c r="C18" t="str">
        <f>IF(TableOBEDEC[[#This Row],[Ver]]&gt;0,_xlfn.TEXTBEFORE(TableOBEDEC[[#This Row],[Structure Line]]," "),"")</f>
        <v/>
      </c>
      <c r="D18" t="str">
        <f>IF(TableOBEDEC[[#This Row],[OUA Code]]&lt;&gt;"",_xlfn.TEXTAFTER(TableOBEDEC[[#This Row],[Structure Line]]," "),TableOBEDEC[[#This Row],[Structure Line]])</f>
        <v>Choose an Option for Level 2</v>
      </c>
      <c r="E18" s="44">
        <f>TableOBEDEC[[#This Row],[Credit Points]]</f>
        <v>0</v>
      </c>
      <c r="F18" s="64">
        <v>16</v>
      </c>
      <c r="G18" s="64" t="s">
        <v>492</v>
      </c>
      <c r="H18" s="241">
        <v>2</v>
      </c>
      <c r="I18" s="64" t="s">
        <v>478</v>
      </c>
      <c r="J18" s="64" t="s">
        <v>534</v>
      </c>
      <c r="K18" s="64">
        <v>0</v>
      </c>
      <c r="L18" s="64" t="s">
        <v>597</v>
      </c>
      <c r="M18" s="64"/>
      <c r="N18" s="62"/>
      <c r="O18" s="62"/>
      <c r="P18" s="62"/>
      <c r="Q18" t="s">
        <v>82</v>
      </c>
      <c r="R18">
        <v>2</v>
      </c>
    </row>
    <row r="19" spans="1:18" x14ac:dyDescent="0.25">
      <c r="A19" t="str">
        <f>TableOBEDEC[[#This Row],[Study Package Code]]</f>
        <v>EDEC3032</v>
      </c>
      <c r="B19" s="5">
        <f>TableOBEDEC[[#This Row],[Ver]]</f>
        <v>1</v>
      </c>
      <c r="C19" t="str">
        <f>IF(TableOBEDEC[[#This Row],[Ver]]&gt;0,_xlfn.TEXTBEFORE(TableOBEDEC[[#This Row],[Structure Line]]," "),"")</f>
        <v>EDEC3032</v>
      </c>
      <c r="D19" t="str">
        <f>IF(TableOBEDEC[[#This Row],[OUA Code]]&lt;&gt;"",_xlfn.TEXTAFTER(TableOBEDEC[[#This Row],[Structure Line]]," "),TableOBEDEC[[#This Row],[Structure Line]])</f>
        <v>Early Childhood Professional Experience: Formal Learning Environments for 5 to 8-year-olds</v>
      </c>
      <c r="E19" s="44">
        <f>TableOBEDEC[[#This Row],[Credit Points]]</f>
        <v>25</v>
      </c>
      <c r="F19" s="64">
        <v>17</v>
      </c>
      <c r="G19" s="64" t="s">
        <v>477</v>
      </c>
      <c r="H19" s="241">
        <v>3</v>
      </c>
      <c r="I19" s="64" t="s">
        <v>478</v>
      </c>
      <c r="J19" s="64" t="s">
        <v>598</v>
      </c>
      <c r="K19" s="64">
        <v>1</v>
      </c>
      <c r="L19" s="64" t="s">
        <v>599</v>
      </c>
      <c r="M19" s="64">
        <v>25</v>
      </c>
      <c r="N19" s="62">
        <v>46023</v>
      </c>
      <c r="O19" s="62"/>
      <c r="P19" s="62"/>
      <c r="Q19" t="s">
        <v>415</v>
      </c>
      <c r="R19">
        <v>2</v>
      </c>
    </row>
    <row r="20" spans="1:18" x14ac:dyDescent="0.25">
      <c r="A20" t="str">
        <f>TableOBEDEC[[#This Row],[Study Package Code]]</f>
        <v>EDEC3019</v>
      </c>
      <c r="B20" s="5">
        <f>TableOBEDEC[[#This Row],[Ver]]</f>
        <v>2</v>
      </c>
      <c r="C20" t="str">
        <f>IF(TableOBEDEC[[#This Row],[Ver]]&gt;0,_xlfn.TEXTBEFORE(TableOBEDEC[[#This Row],[Structure Line]]," "),"")</f>
        <v>EDE310</v>
      </c>
      <c r="D20" t="str">
        <f>IF(TableOBEDEC[[#This Row],[OUA Code]]&lt;&gt;"",_xlfn.TEXTAFTER(TableOBEDEC[[#This Row],[Structure Line]]," "),TableOBEDEC[[#This Row],[Structure Line]])</f>
        <v>Early Childhood Professional Experience: Learning Environments for 3 to 5-year-olds</v>
      </c>
      <c r="E20" s="44">
        <f>TableOBEDEC[[#This Row],[Credit Points]]</f>
        <v>25</v>
      </c>
      <c r="F20" s="64">
        <v>18</v>
      </c>
      <c r="G20" s="64" t="s">
        <v>477</v>
      </c>
      <c r="H20" s="241">
        <v>3</v>
      </c>
      <c r="I20" s="64" t="s">
        <v>478</v>
      </c>
      <c r="J20" s="64" t="s">
        <v>117</v>
      </c>
      <c r="K20" s="64">
        <v>2</v>
      </c>
      <c r="L20" s="64" t="s">
        <v>634</v>
      </c>
      <c r="M20" s="64">
        <v>25</v>
      </c>
      <c r="N20" s="62">
        <v>46023</v>
      </c>
      <c r="O20" s="62"/>
      <c r="P20" s="62"/>
      <c r="Q20" t="s">
        <v>117</v>
      </c>
      <c r="R20">
        <v>1</v>
      </c>
    </row>
    <row r="21" spans="1:18" x14ac:dyDescent="0.25">
      <c r="A21" t="str">
        <f>TableOBEDEC[[#This Row],[Study Package Code]]</f>
        <v>EDEC3021</v>
      </c>
      <c r="B21" s="5">
        <f>TableOBEDEC[[#This Row],[Ver]]</f>
        <v>1</v>
      </c>
      <c r="C21" t="str">
        <f>IF(TableOBEDEC[[#This Row],[Ver]]&gt;0,_xlfn.TEXTBEFORE(TableOBEDEC[[#This Row],[Structure Line]]," "),"")</f>
        <v>EDE345</v>
      </c>
      <c r="D21" t="str">
        <f>IF(TableOBEDEC[[#This Row],[OUA Code]]&lt;&gt;"",_xlfn.TEXTAFTER(TableOBEDEC[[#This Row],[Structure Line]]," "),TableOBEDEC[[#This Row],[Structure Line]])</f>
        <v>Leadership in Early Childhood Education</v>
      </c>
      <c r="E21" s="44">
        <f>TableOBEDEC[[#This Row],[Credit Points]]</f>
        <v>25</v>
      </c>
      <c r="F21" s="64">
        <v>19</v>
      </c>
      <c r="G21" s="64" t="s">
        <v>477</v>
      </c>
      <c r="H21" s="241">
        <v>3</v>
      </c>
      <c r="I21" s="64" t="s">
        <v>478</v>
      </c>
      <c r="J21" s="64" t="s">
        <v>119</v>
      </c>
      <c r="K21" s="64">
        <v>1</v>
      </c>
      <c r="L21" s="64" t="s">
        <v>490</v>
      </c>
      <c r="M21" s="64">
        <v>25</v>
      </c>
      <c r="N21" s="62">
        <v>43466</v>
      </c>
      <c r="O21" s="62"/>
      <c r="P21" s="62"/>
      <c r="Q21" t="s">
        <v>106</v>
      </c>
      <c r="R21">
        <v>1</v>
      </c>
    </row>
    <row r="22" spans="1:18" x14ac:dyDescent="0.25">
      <c r="A22" t="str">
        <f>TableOBEDEC[[#This Row],[Study Package Code]]</f>
        <v>EDEC3006</v>
      </c>
      <c r="B22" s="5">
        <f>TableOBEDEC[[#This Row],[Ver]]</f>
        <v>1</v>
      </c>
      <c r="C22" t="str">
        <f>IF(TableOBEDEC[[#This Row],[Ver]]&gt;0,_xlfn.TEXTBEFORE(TableOBEDEC[[#This Row],[Structure Line]]," "),"")</f>
        <v>EDE392</v>
      </c>
      <c r="D22" t="str">
        <f>IF(TableOBEDEC[[#This Row],[OUA Code]]&lt;&gt;"",_xlfn.TEXTAFTER(TableOBEDEC[[#This Row],[Structure Line]]," "),TableOBEDEC[[#This Row],[Structure Line]])</f>
        <v>Pedagogical Contexts for Play</v>
      </c>
      <c r="E22" s="44">
        <f>TableOBEDEC[[#This Row],[Credit Points]]</f>
        <v>25</v>
      </c>
      <c r="F22" s="64">
        <v>20</v>
      </c>
      <c r="G22" s="64" t="s">
        <v>477</v>
      </c>
      <c r="H22" s="241">
        <v>3</v>
      </c>
      <c r="I22" s="64" t="s">
        <v>478</v>
      </c>
      <c r="J22" s="64" t="s">
        <v>120</v>
      </c>
      <c r="K22" s="64">
        <v>1</v>
      </c>
      <c r="L22" s="64" t="s">
        <v>491</v>
      </c>
      <c r="M22" s="64">
        <v>25</v>
      </c>
      <c r="N22" s="62">
        <v>42370</v>
      </c>
      <c r="O22" s="62"/>
      <c r="P22" s="62"/>
      <c r="Q22" t="s">
        <v>119</v>
      </c>
      <c r="R22">
        <v>1</v>
      </c>
    </row>
    <row r="23" spans="1:18" x14ac:dyDescent="0.25">
      <c r="A23" t="str">
        <f>TableOBEDEC[[#This Row],[Study Package Code]]</f>
        <v>EDEC3028</v>
      </c>
      <c r="B23" s="5">
        <f>TableOBEDEC[[#This Row],[Ver]]</f>
        <v>1</v>
      </c>
      <c r="C23" t="str">
        <f>IF(TableOBEDEC[[#This Row],[Ver]]&gt;0,_xlfn.TEXTBEFORE(TableOBEDEC[[#This Row],[Structure Line]]," "),"")</f>
        <v>EDEC3028</v>
      </c>
      <c r="D23" t="str">
        <f>IF(TableOBEDEC[[#This Row],[OUA Code]]&lt;&gt;"",_xlfn.TEXTAFTER(TableOBEDEC[[#This Row],[Structure Line]]," "),TableOBEDEC[[#This Row],[Structure Line]])</f>
        <v>Mathematics for the Early Years</v>
      </c>
      <c r="E23" s="44">
        <f>TableOBEDEC[[#This Row],[Credit Points]]</f>
        <v>25</v>
      </c>
      <c r="F23" s="64">
        <v>21</v>
      </c>
      <c r="G23" s="64" t="s">
        <v>477</v>
      </c>
      <c r="H23" s="241">
        <v>3</v>
      </c>
      <c r="I23" s="64" t="s">
        <v>478</v>
      </c>
      <c r="J23" s="64" t="s">
        <v>600</v>
      </c>
      <c r="K23" s="64">
        <v>1</v>
      </c>
      <c r="L23" s="64" t="s">
        <v>601</v>
      </c>
      <c r="M23" s="64">
        <v>25</v>
      </c>
      <c r="N23" s="62">
        <v>46023</v>
      </c>
      <c r="O23" s="62"/>
      <c r="P23" s="62"/>
      <c r="Q23" t="s">
        <v>108</v>
      </c>
      <c r="R23">
        <v>1</v>
      </c>
    </row>
    <row r="24" spans="1:18" x14ac:dyDescent="0.25">
      <c r="A24" t="str">
        <f>TableOBEDEC[[#This Row],[Study Package Code]]</f>
        <v>EDEC3030</v>
      </c>
      <c r="B24" s="5">
        <f>TableOBEDEC[[#This Row],[Ver]]</f>
        <v>1</v>
      </c>
      <c r="C24" t="str">
        <f>IF(TableOBEDEC[[#This Row],[Ver]]&gt;0,_xlfn.TEXTBEFORE(TableOBEDEC[[#This Row],[Structure Line]]," "),"")</f>
        <v>EDEC3030</v>
      </c>
      <c r="D24" t="str">
        <f>IF(TableOBEDEC[[#This Row],[OUA Code]]&lt;&gt;"",_xlfn.TEXTAFTER(TableOBEDEC[[#This Row],[Structure Line]]," "),TableOBEDEC[[#This Row],[Structure Line]])</f>
        <v>Language, Literacy and Literature for 3 to 5-Year-Olds</v>
      </c>
      <c r="E24" s="44">
        <f>TableOBEDEC[[#This Row],[Credit Points]]</f>
        <v>25</v>
      </c>
      <c r="F24" s="64">
        <v>22</v>
      </c>
      <c r="G24" s="64" t="s">
        <v>477</v>
      </c>
      <c r="H24" s="241">
        <v>3</v>
      </c>
      <c r="I24" s="64" t="s">
        <v>478</v>
      </c>
      <c r="J24" s="64" t="s">
        <v>602</v>
      </c>
      <c r="K24" s="64">
        <v>1</v>
      </c>
      <c r="L24" s="64" t="s">
        <v>603</v>
      </c>
      <c r="M24" s="64">
        <v>25</v>
      </c>
      <c r="N24" s="62">
        <v>46023</v>
      </c>
      <c r="O24" s="62"/>
      <c r="P24" s="62"/>
      <c r="Q24" t="s">
        <v>114</v>
      </c>
      <c r="R24">
        <v>1</v>
      </c>
    </row>
    <row r="25" spans="1:18" x14ac:dyDescent="0.25">
      <c r="A25" t="str">
        <f>TableOBEDEC[[#This Row],[Study Package Code]]</f>
        <v>EDUC2002</v>
      </c>
      <c r="B25" s="5">
        <f>TableOBEDEC[[#This Row],[Ver]]</f>
        <v>1</v>
      </c>
      <c r="C25" t="str">
        <f>IF(TableOBEDEC[[#This Row],[Ver]]&gt;0,_xlfn.TEXTBEFORE(TableOBEDEC[[#This Row],[Structure Line]]," "),"")</f>
        <v>EDUC2002</v>
      </c>
      <c r="D25" t="str">
        <f>IF(TableOBEDEC[[#This Row],[OUA Code]]&lt;&gt;"",_xlfn.TEXTAFTER(TableOBEDEC[[#This Row],[Structure Line]]," "),TableOBEDEC[[#This Row],[Structure Line]])</f>
        <v>English: Teaching Reading and Writing</v>
      </c>
      <c r="E25" s="44">
        <f>TableOBEDEC[[#This Row],[Credit Points]]</f>
        <v>25</v>
      </c>
      <c r="F25" s="64">
        <v>23</v>
      </c>
      <c r="G25" s="64" t="s">
        <v>477</v>
      </c>
      <c r="H25" s="241">
        <v>3</v>
      </c>
      <c r="I25" s="64" t="s">
        <v>478</v>
      </c>
      <c r="J25" s="64" t="s">
        <v>604</v>
      </c>
      <c r="K25" s="64">
        <v>1</v>
      </c>
      <c r="L25" s="64" t="s">
        <v>605</v>
      </c>
      <c r="M25" s="64">
        <v>25</v>
      </c>
      <c r="N25" s="62">
        <v>46023</v>
      </c>
      <c r="O25" s="62"/>
      <c r="P25" s="62"/>
      <c r="Q25" t="s">
        <v>120</v>
      </c>
      <c r="R25">
        <v>1</v>
      </c>
    </row>
    <row r="26" spans="1:18" x14ac:dyDescent="0.25">
      <c r="A26" t="str">
        <f>TableOBEDEC[[#This Row],[Study Package Code]]</f>
        <v>INED3001</v>
      </c>
      <c r="B26" s="5">
        <f>TableOBEDEC[[#This Row],[Ver]]</f>
        <v>1</v>
      </c>
      <c r="C26" t="s">
        <v>113</v>
      </c>
      <c r="D26" t="str">
        <f>TableOBEDEC[[#This Row],[Structure Line]]</f>
        <v>Indigenous Australian Education</v>
      </c>
      <c r="E26" s="44">
        <f>TableOBEDEC[[#This Row],[Credit Points]]</f>
        <v>25</v>
      </c>
      <c r="F26" s="64">
        <v>24</v>
      </c>
      <c r="G26" s="64" t="s">
        <v>477</v>
      </c>
      <c r="H26" s="241">
        <v>3</v>
      </c>
      <c r="I26" s="64" t="s">
        <v>478</v>
      </c>
      <c r="J26" s="64" t="s">
        <v>113</v>
      </c>
      <c r="K26" s="64">
        <v>1</v>
      </c>
      <c r="L26" s="64" t="s">
        <v>414</v>
      </c>
      <c r="M26" s="64">
        <v>25</v>
      </c>
      <c r="N26" s="62">
        <v>42005</v>
      </c>
      <c r="O26" s="62"/>
      <c r="P26" s="62"/>
      <c r="Q26" t="s">
        <v>492</v>
      </c>
      <c r="R26">
        <v>0</v>
      </c>
    </row>
    <row r="27" spans="1:18" x14ac:dyDescent="0.25">
      <c r="A27" t="str">
        <f>TableOBEDEC[[#This Row],[Study Package Code]]</f>
        <v>EDUC4050</v>
      </c>
      <c r="B27" s="5">
        <f>TableOBEDEC[[#This Row],[Ver]]</f>
        <v>1</v>
      </c>
      <c r="C27" t="str">
        <f>IF(TableOBEDEC[[#This Row],[Ver]]&gt;0,_xlfn.TEXTBEFORE(TableOBEDEC[[#This Row],[Structure Line]]," "),"")</f>
        <v>EDC445</v>
      </c>
      <c r="D27" t="str">
        <f>IF(TableOBEDEC[[#This Row],[OUA Code]]&lt;&gt;"",_xlfn.TEXTAFTER(TableOBEDEC[[#This Row],[Structure Line]]," "),TableOBEDEC[[#This Row],[Structure Line]])</f>
        <v>The Professional Educator: Transition to the Profession</v>
      </c>
      <c r="E27" s="44">
        <f>TableOBEDEC[[#This Row],[Credit Points]]</f>
        <v>25</v>
      </c>
      <c r="F27" s="64">
        <v>25</v>
      </c>
      <c r="G27" s="64" t="s">
        <v>477</v>
      </c>
      <c r="H27" s="241">
        <v>4</v>
      </c>
      <c r="I27" s="64" t="s">
        <v>478</v>
      </c>
      <c r="J27" s="64" t="s">
        <v>126</v>
      </c>
      <c r="K27" s="64">
        <v>1</v>
      </c>
      <c r="L27" s="64" t="s">
        <v>493</v>
      </c>
      <c r="M27" s="64">
        <v>25</v>
      </c>
      <c r="N27" s="62">
        <v>43466</v>
      </c>
      <c r="O27" s="62"/>
      <c r="P27" s="62"/>
      <c r="Q27" t="s">
        <v>126</v>
      </c>
      <c r="R27">
        <v>1</v>
      </c>
    </row>
    <row r="28" spans="1:18" x14ac:dyDescent="0.25">
      <c r="A28" t="str">
        <f>TableOBEDEC[[#This Row],[Study Package Code]]</f>
        <v>EDUC4041</v>
      </c>
      <c r="B28" s="5">
        <f>TableOBEDEC[[#This Row],[Ver]]</f>
        <v>1</v>
      </c>
      <c r="C28" t="str">
        <f>IF(TableOBEDEC[[#This Row],[Ver]]&gt;0,_xlfn.TEXTBEFORE(TableOBEDEC[[#This Row],[Structure Line]]," "),"")</f>
        <v>EDC450</v>
      </c>
      <c r="D28" t="str">
        <f>IF(TableOBEDEC[[#This Row],[OUA Code]]&lt;&gt;"",_xlfn.TEXTAFTER(TableOBEDEC[[#This Row],[Structure Line]]," "),TableOBEDEC[[#This Row],[Structure Line]])</f>
        <v>Professional Experience 4: The Internship</v>
      </c>
      <c r="E28" s="44">
        <f>TableOBEDEC[[#This Row],[Credit Points]]</f>
        <v>100</v>
      </c>
      <c r="F28" s="64">
        <v>26</v>
      </c>
      <c r="G28" s="64" t="s">
        <v>477</v>
      </c>
      <c r="H28" s="241">
        <v>4</v>
      </c>
      <c r="I28" s="64" t="s">
        <v>478</v>
      </c>
      <c r="J28" s="64" t="s">
        <v>132</v>
      </c>
      <c r="K28" s="64">
        <v>1</v>
      </c>
      <c r="L28" s="64" t="s">
        <v>496</v>
      </c>
      <c r="M28" s="64">
        <v>100</v>
      </c>
      <c r="N28" s="62">
        <v>43466</v>
      </c>
      <c r="O28" s="62"/>
      <c r="P28" s="62"/>
      <c r="Q28" t="s">
        <v>124</v>
      </c>
      <c r="R28">
        <v>1</v>
      </c>
    </row>
    <row r="29" spans="1:18" x14ac:dyDescent="0.25">
      <c r="A29" t="str">
        <f>TableOBEDEC[[#This Row],[Study Package Code]]</f>
        <v>EDEC4007</v>
      </c>
      <c r="B29" s="5">
        <f>TableOBEDEC[[#This Row],[Ver]]</f>
        <v>1</v>
      </c>
      <c r="C29" t="str">
        <f>IF(TableOBEDEC[[#This Row],[Ver]]&gt;0,_xlfn.TEXTBEFORE(TableOBEDEC[[#This Row],[Structure Line]]," "),"")</f>
        <v>EDE413</v>
      </c>
      <c r="D29" t="str">
        <f>IF(TableOBEDEC[[#This Row],[OUA Code]]&lt;&gt;"",_xlfn.TEXTAFTER(TableOBEDEC[[#This Row],[Structure Line]]," "),TableOBEDEC[[#This Row],[Structure Line]])</f>
        <v>Social Justice and Diversity in Early Childhood</v>
      </c>
      <c r="E29" s="44">
        <f>TableOBEDEC[[#This Row],[Credit Points]]</f>
        <v>25</v>
      </c>
      <c r="F29" s="64">
        <v>27</v>
      </c>
      <c r="G29" s="64" t="s">
        <v>477</v>
      </c>
      <c r="H29" s="241">
        <v>4</v>
      </c>
      <c r="I29" s="64" t="s">
        <v>478</v>
      </c>
      <c r="J29" s="64" t="s">
        <v>124</v>
      </c>
      <c r="K29" s="64">
        <v>1</v>
      </c>
      <c r="L29" s="64" t="s">
        <v>494</v>
      </c>
      <c r="M29" s="64">
        <v>25</v>
      </c>
      <c r="N29" s="62">
        <v>43466</v>
      </c>
      <c r="O29" s="62"/>
      <c r="P29" s="62"/>
      <c r="Q29" t="s">
        <v>130</v>
      </c>
      <c r="R29">
        <v>1</v>
      </c>
    </row>
    <row r="30" spans="1:18" x14ac:dyDescent="0.25">
      <c r="A30" t="str">
        <f>TableOBEDEC[[#This Row],[Study Package Code]]</f>
        <v>EDEC4005</v>
      </c>
      <c r="B30" s="5">
        <f>TableOBEDEC[[#This Row],[Ver]]</f>
        <v>1</v>
      </c>
      <c r="C30" t="str">
        <f>IF(TableOBEDEC[[#This Row],[Ver]]&gt;0,_xlfn.TEXTBEFORE(TableOBEDEC[[#This Row],[Structure Line]]," "),"")</f>
        <v>EDE425</v>
      </c>
      <c r="D30" t="str">
        <f>IF(TableOBEDEC[[#This Row],[OUA Code]]&lt;&gt;"",_xlfn.TEXTAFTER(TableOBEDEC[[#This Row],[Structure Line]]," "),TableOBEDEC[[#This Row],[Structure Line]])</f>
        <v>Curriculum Integration and Differentiation</v>
      </c>
      <c r="E30" s="44">
        <f>TableOBEDEC[[#This Row],[Credit Points]]</f>
        <v>25</v>
      </c>
      <c r="F30" s="64">
        <v>28</v>
      </c>
      <c r="G30" s="64" t="s">
        <v>477</v>
      </c>
      <c r="H30" s="241">
        <v>4</v>
      </c>
      <c r="I30" s="64" t="s">
        <v>478</v>
      </c>
      <c r="J30" s="64" t="s">
        <v>130</v>
      </c>
      <c r="K30" s="64">
        <v>1</v>
      </c>
      <c r="L30" s="64" t="s">
        <v>495</v>
      </c>
      <c r="M30" s="64">
        <v>25</v>
      </c>
      <c r="N30" s="62">
        <v>43466</v>
      </c>
      <c r="O30" s="62"/>
      <c r="P30" s="62"/>
      <c r="Q30" t="s">
        <v>492</v>
      </c>
      <c r="R30">
        <v>0</v>
      </c>
    </row>
    <row r="31" spans="1:18" x14ac:dyDescent="0.25">
      <c r="A31" t="str">
        <f>TableOBEDEC[[#This Row],[Study Package Code]]</f>
        <v/>
      </c>
      <c r="B31" s="5">
        <f>TableOBEDEC[[#This Row],[Ver]]</f>
        <v>0</v>
      </c>
      <c r="C31" t="str">
        <f>IF(TableOBEDEC[[#This Row],[Ver]]&gt;0,_xlfn.TEXTBEFORE(TableOBEDEC[[#This Row],[Structure Line]]," "),"")</f>
        <v/>
      </c>
      <c r="D31" t="str">
        <f>IF(TableOBEDEC[[#This Row],[OUA Code]]&lt;&gt;"",_xlfn.TEXTAFTER(TableOBEDEC[[#This Row],[Structure Line]]," "),TableOBEDEC[[#This Row],[Structure Line]])</f>
        <v>Choose an Option for Level 4</v>
      </c>
      <c r="E31" s="44">
        <f>TableOBEDEC[[#This Row],[Credit Points]]</f>
        <v>0</v>
      </c>
      <c r="F31" s="64">
        <v>29</v>
      </c>
      <c r="G31" s="64" t="s">
        <v>492</v>
      </c>
      <c r="H31" s="241">
        <v>4</v>
      </c>
      <c r="I31" s="64" t="s">
        <v>478</v>
      </c>
      <c r="J31" s="64" t="s">
        <v>534</v>
      </c>
      <c r="K31" s="64">
        <v>0</v>
      </c>
      <c r="L31" s="64" t="s">
        <v>606</v>
      </c>
      <c r="M31" s="64"/>
      <c r="N31" s="62"/>
      <c r="O31" s="62"/>
      <c r="P31" s="62"/>
      <c r="Q31" t="s">
        <v>132</v>
      </c>
      <c r="R31">
        <v>1</v>
      </c>
    </row>
    <row r="32" spans="1:18" x14ac:dyDescent="0.25">
      <c r="A32" t="str">
        <f>TableOBEDEC[[#This Row],[Study Package Code]]</f>
        <v>CTED4004</v>
      </c>
      <c r="B32" s="5">
        <f>TableOBEDEC[[#This Row],[Ver]]</f>
        <v>2</v>
      </c>
      <c r="C32" t="str">
        <f>IF(TableOBEDEC[[#This Row],[Ver]]&gt;0,_xlfn.TEXTBEFORE(TableOBEDEC[[#This Row],[Structure Line]]," "),"")</f>
        <v>EDC484</v>
      </c>
      <c r="D32" t="str">
        <f>IF(TableOBEDEC[[#This Row],[OUA Code]]&lt;&gt;"",_xlfn.TEXTAFTER(TableOBEDEC[[#This Row],[Structure Line]]," "),TableOBEDEC[[#This Row],[Structure Line]])</f>
        <v>Teaching About Sacraments in Catholic Schools</v>
      </c>
      <c r="E32" s="44">
        <f>TableOBEDEC[[#This Row],[Credit Points]]</f>
        <v>25</v>
      </c>
      <c r="F32" s="64"/>
      <c r="G32" s="64" t="s">
        <v>492</v>
      </c>
      <c r="H32" s="241">
        <v>2</v>
      </c>
      <c r="I32" s="64" t="s">
        <v>478</v>
      </c>
      <c r="J32" s="64" t="s">
        <v>152</v>
      </c>
      <c r="K32" s="64">
        <v>2</v>
      </c>
      <c r="L32" s="64" t="s">
        <v>497</v>
      </c>
      <c r="M32" s="64">
        <v>25</v>
      </c>
      <c r="N32" s="62">
        <v>45292</v>
      </c>
      <c r="O32" s="62"/>
      <c r="P32" s="62"/>
      <c r="Q32" t="s">
        <v>152</v>
      </c>
      <c r="R32">
        <v>2</v>
      </c>
    </row>
    <row r="33" spans="1:18" x14ac:dyDescent="0.25">
      <c r="A33" t="str">
        <f>TableOBEDEC[[#This Row],[Study Package Code]]</f>
        <v>CTED4007</v>
      </c>
      <c r="B33" s="5">
        <f>TableOBEDEC[[#This Row],[Ver]]</f>
        <v>1</v>
      </c>
      <c r="C33" t="str">
        <f>IF(TableOBEDEC[[#This Row],[Ver]]&gt;0,_xlfn.TEXTBEFORE(TableOBEDEC[[#This Row],[Structure Line]]," "),"")</f>
        <v>EDC430</v>
      </c>
      <c r="D33" t="str">
        <f>IF(TableOBEDEC[[#This Row],[OUA Code]]&lt;&gt;"",_xlfn.TEXTAFTER(TableOBEDEC[[#This Row],[Structure Line]]," "),TableOBEDEC[[#This Row],[Structure Line]])</f>
        <v>Teaching About Jesus in Catholic Schools</v>
      </c>
      <c r="E33" s="44">
        <f>TableOBEDEC[[#This Row],[Credit Points]]</f>
        <v>25</v>
      </c>
      <c r="F33" s="64"/>
      <c r="G33" s="64" t="s">
        <v>492</v>
      </c>
      <c r="H33" s="241">
        <v>2</v>
      </c>
      <c r="I33" s="64" t="s">
        <v>478</v>
      </c>
      <c r="J33" s="64" t="s">
        <v>153</v>
      </c>
      <c r="K33" s="64">
        <v>1</v>
      </c>
      <c r="L33" s="64" t="s">
        <v>498</v>
      </c>
      <c r="M33" s="64">
        <v>25</v>
      </c>
      <c r="N33" s="62">
        <v>45292</v>
      </c>
      <c r="O33" s="62"/>
      <c r="P33" s="62"/>
      <c r="Q33" t="s">
        <v>153</v>
      </c>
      <c r="R33">
        <v>1</v>
      </c>
    </row>
    <row r="34" spans="1:18" x14ac:dyDescent="0.25">
      <c r="A34" t="str">
        <f>TableOBEDEC[[#This Row],[Study Package Code]]</f>
        <v>CTED4009</v>
      </c>
      <c r="B34" s="5">
        <f>TableOBEDEC[[#This Row],[Ver]]</f>
        <v>1</v>
      </c>
      <c r="C34" t="str">
        <f>IF(TableOBEDEC[[#This Row],[Ver]]&gt;0,_xlfn.TEXTBEFORE(TableOBEDEC[[#This Row],[Structure Line]]," "),"")</f>
        <v>EDC435</v>
      </c>
      <c r="D34" t="str">
        <f>IF(TableOBEDEC[[#This Row],[OUA Code]]&lt;&gt;"",_xlfn.TEXTAFTER(TableOBEDEC[[#This Row],[Structure Line]]," "),TableOBEDEC[[#This Row],[Structure Line]])</f>
        <v>Teaching About the Gospels in Catholic Schools</v>
      </c>
      <c r="E34" s="44">
        <f>TableOBEDEC[[#This Row],[Credit Points]]</f>
        <v>25</v>
      </c>
      <c r="F34" s="64"/>
      <c r="G34" s="64" t="s">
        <v>492</v>
      </c>
      <c r="H34" s="241">
        <v>2</v>
      </c>
      <c r="I34" s="64" t="s">
        <v>478</v>
      </c>
      <c r="J34" s="64" t="s">
        <v>154</v>
      </c>
      <c r="K34" s="64">
        <v>1</v>
      </c>
      <c r="L34" s="64" t="s">
        <v>499</v>
      </c>
      <c r="M34" s="64">
        <v>25</v>
      </c>
      <c r="N34" s="62">
        <v>45292</v>
      </c>
      <c r="O34" s="62"/>
      <c r="P34" s="62"/>
      <c r="Q34" t="s">
        <v>154</v>
      </c>
      <c r="R34">
        <v>1</v>
      </c>
    </row>
    <row r="35" spans="1:18" x14ac:dyDescent="0.25">
      <c r="A35" t="str">
        <f>TableOBEDEC[[#This Row],[Study Package Code]]</f>
        <v>EDUC4024</v>
      </c>
      <c r="B35" s="5">
        <f>TableOBEDEC[[#This Row],[Ver]]</f>
        <v>1</v>
      </c>
      <c r="C35" t="str">
        <f>IF(TableOBEDEC[[#This Row],[Ver]]&gt;0,_xlfn.TEXTBEFORE(TableOBEDEC[[#This Row],[Structure Line]]," "),"")</f>
        <v>EDC486</v>
      </c>
      <c r="D35" t="str">
        <f>IF(TableOBEDEC[[#This Row],[OUA Code]]&lt;&gt;"",_xlfn.TEXTAFTER(TableOBEDEC[[#This Row],[Structure Line]]," "),TableOBEDEC[[#This Row],[Structure Line]])</f>
        <v>Creating and Responding to Literature</v>
      </c>
      <c r="E35" s="44">
        <f>TableOBEDEC[[#This Row],[Credit Points]]</f>
        <v>25</v>
      </c>
      <c r="F35" s="64"/>
      <c r="G35" s="64" t="s">
        <v>492</v>
      </c>
      <c r="H35" s="241">
        <v>2</v>
      </c>
      <c r="I35" s="64" t="s">
        <v>478</v>
      </c>
      <c r="J35" s="64" t="s">
        <v>140</v>
      </c>
      <c r="K35" s="64">
        <v>1</v>
      </c>
      <c r="L35" s="64" t="s">
        <v>500</v>
      </c>
      <c r="M35" s="64">
        <v>25</v>
      </c>
      <c r="N35" s="87">
        <v>43282</v>
      </c>
      <c r="O35" s="87"/>
      <c r="P35" s="62"/>
      <c r="Q35" t="s">
        <v>140</v>
      </c>
      <c r="R35">
        <v>1</v>
      </c>
    </row>
    <row r="36" spans="1:18" x14ac:dyDescent="0.25">
      <c r="A36" t="str">
        <f>TableOBEDEC[[#This Row],[Study Package Code]]</f>
        <v>EDUC4025</v>
      </c>
      <c r="B36" s="5">
        <f>TableOBEDEC[[#This Row],[Ver]]</f>
        <v>1</v>
      </c>
      <c r="C36" t="str">
        <f>IF(TableOBEDEC[[#This Row],[Ver]]&gt;0,_xlfn.TEXTBEFORE(TableOBEDEC[[#This Row],[Structure Line]]," "),"")</f>
        <v>EDC487</v>
      </c>
      <c r="D36" t="str">
        <f>IF(TableOBEDEC[[#This Row],[OUA Code]]&lt;&gt;"",_xlfn.TEXTAFTER(TableOBEDEC[[#This Row],[Structure Line]]," "),TableOBEDEC[[#This Row],[Structure Line]])</f>
        <v>Creative Literacies</v>
      </c>
      <c r="E36" s="44">
        <f>TableOBEDEC[[#This Row],[Credit Points]]</f>
        <v>25</v>
      </c>
      <c r="F36" s="64"/>
      <c r="G36" s="64" t="s">
        <v>492</v>
      </c>
      <c r="H36" s="241">
        <v>2</v>
      </c>
      <c r="I36" s="64" t="s">
        <v>478</v>
      </c>
      <c r="J36" s="64" t="s">
        <v>141</v>
      </c>
      <c r="K36" s="64">
        <v>1</v>
      </c>
      <c r="L36" s="64" t="s">
        <v>501</v>
      </c>
      <c r="M36" s="64">
        <v>25</v>
      </c>
      <c r="N36" s="87">
        <v>43282</v>
      </c>
      <c r="O36" s="87"/>
      <c r="P36" s="62"/>
      <c r="Q36" t="s">
        <v>141</v>
      </c>
      <c r="R36">
        <v>1</v>
      </c>
    </row>
    <row r="37" spans="1:18" x14ac:dyDescent="0.25">
      <c r="A37" t="str">
        <f>TableOBEDEC[[#This Row],[Study Package Code]]</f>
        <v>EDUC4026</v>
      </c>
      <c r="B37" s="5">
        <f>TableOBEDEC[[#This Row],[Ver]]</f>
        <v>1</v>
      </c>
      <c r="C37" t="str">
        <f>IF(TableOBEDEC[[#This Row],[Ver]]&gt;0,_xlfn.TEXTBEFORE(TableOBEDEC[[#This Row],[Structure Line]]," "),"")</f>
        <v>EDC488</v>
      </c>
      <c r="D37" t="str">
        <f>IF(TableOBEDEC[[#This Row],[OUA Code]]&lt;&gt;"",_xlfn.TEXTAFTER(TableOBEDEC[[#This Row],[Structure Line]]," "),TableOBEDEC[[#This Row],[Structure Line]])</f>
        <v>Project-based iSTEM Education</v>
      </c>
      <c r="E37" s="44">
        <f>TableOBEDEC[[#This Row],[Credit Points]]</f>
        <v>25</v>
      </c>
      <c r="F37" s="64"/>
      <c r="G37" s="64" t="s">
        <v>492</v>
      </c>
      <c r="H37" s="241">
        <v>2</v>
      </c>
      <c r="I37" s="64" t="s">
        <v>478</v>
      </c>
      <c r="J37" s="64" t="s">
        <v>136</v>
      </c>
      <c r="K37" s="64">
        <v>1</v>
      </c>
      <c r="L37" s="64" t="s">
        <v>502</v>
      </c>
      <c r="M37" s="64">
        <v>25</v>
      </c>
      <c r="N37" s="62">
        <v>43282</v>
      </c>
      <c r="O37" s="62"/>
      <c r="P37" s="62"/>
      <c r="Q37" t="s">
        <v>136</v>
      </c>
      <c r="R37">
        <v>1</v>
      </c>
    </row>
    <row r="38" spans="1:18" x14ac:dyDescent="0.25">
      <c r="A38" t="str">
        <f>TableOBEDEC[[#This Row],[Study Package Code]]</f>
        <v>EDUC4028</v>
      </c>
      <c r="B38" s="5">
        <f>TableOBEDEC[[#This Row],[Ver]]</f>
        <v>1</v>
      </c>
      <c r="C38" t="str">
        <f>IF(TableOBEDEC[[#This Row],[Ver]]&gt;0,_xlfn.TEXTBEFORE(TableOBEDEC[[#This Row],[Structure Line]]," "),"")</f>
        <v>EDC490</v>
      </c>
      <c r="D38" t="str">
        <f>IF(TableOBEDEC[[#This Row],[OUA Code]]&lt;&gt;"",_xlfn.TEXTAFTER(TableOBEDEC[[#This Row],[Structure Line]]," "),TableOBEDEC[[#This Row],[Structure Line]])</f>
        <v>Supporting Literacy and Numeracy Development for Diverse Learners</v>
      </c>
      <c r="E38" s="44">
        <f>TableOBEDEC[[#This Row],[Credit Points]]</f>
        <v>25</v>
      </c>
      <c r="F38" s="64"/>
      <c r="G38" s="64" t="s">
        <v>492</v>
      </c>
      <c r="H38" s="241">
        <v>2</v>
      </c>
      <c r="I38" s="64" t="s">
        <v>478</v>
      </c>
      <c r="J38" s="64" t="s">
        <v>144</v>
      </c>
      <c r="K38" s="64">
        <v>1</v>
      </c>
      <c r="L38" s="64" t="s">
        <v>503</v>
      </c>
      <c r="M38" s="64">
        <v>25</v>
      </c>
      <c r="N38" s="62">
        <v>43282</v>
      </c>
      <c r="O38" s="62"/>
      <c r="P38" s="62"/>
      <c r="Q38" t="s">
        <v>144</v>
      </c>
      <c r="R38">
        <v>1</v>
      </c>
    </row>
    <row r="39" spans="1:18" x14ac:dyDescent="0.25">
      <c r="A39" t="str">
        <f>TableOBEDEC[[#This Row],[Study Package Code]]</f>
        <v>EDUC4030</v>
      </c>
      <c r="B39" s="5">
        <f>TableOBEDEC[[#This Row],[Ver]]</f>
        <v>1</v>
      </c>
      <c r="C39" t="str">
        <f>IF(TableOBEDEC[[#This Row],[Ver]]&gt;0,_xlfn.TEXTBEFORE(TableOBEDEC[[#This Row],[Structure Line]]," "),"")</f>
        <v>EDC491</v>
      </c>
      <c r="D39" t="str">
        <f>IF(TableOBEDEC[[#This Row],[OUA Code]]&lt;&gt;"",_xlfn.TEXTAFTER(TableOBEDEC[[#This Row],[Structure Line]]," "),TableOBEDEC[[#This Row],[Structure Line]])</f>
        <v>Technologies: Coding for Teachers</v>
      </c>
      <c r="E39" s="44">
        <f>TableOBEDEC[[#This Row],[Credit Points]]</f>
        <v>25</v>
      </c>
      <c r="F39" s="64"/>
      <c r="G39" s="64" t="s">
        <v>492</v>
      </c>
      <c r="H39" s="241">
        <v>2</v>
      </c>
      <c r="I39" s="64" t="s">
        <v>478</v>
      </c>
      <c r="J39" s="64" t="s">
        <v>148</v>
      </c>
      <c r="K39" s="64">
        <v>1</v>
      </c>
      <c r="L39" s="64" t="s">
        <v>504</v>
      </c>
      <c r="M39" s="64">
        <v>25</v>
      </c>
      <c r="N39" s="62">
        <v>43282</v>
      </c>
      <c r="O39" s="62"/>
      <c r="P39" s="62"/>
      <c r="Q39" t="s">
        <v>148</v>
      </c>
      <c r="R39">
        <v>1</v>
      </c>
    </row>
    <row r="40" spans="1:18" x14ac:dyDescent="0.25">
      <c r="A40" t="str">
        <f>TableOBEDEC[[#This Row],[Study Package Code]]</f>
        <v>EDUC4033</v>
      </c>
      <c r="B40" s="5">
        <f>TableOBEDEC[[#This Row],[Ver]]</f>
        <v>1</v>
      </c>
      <c r="C40" t="str">
        <f>IF(TableOBEDEC[[#This Row],[Ver]]&gt;0,_xlfn.TEXTBEFORE(TableOBEDEC[[#This Row],[Structure Line]]," "),"")</f>
        <v>EDC492</v>
      </c>
      <c r="D40" t="str">
        <f>IF(TableOBEDEC[[#This Row],[OUA Code]]&lt;&gt;"",_xlfn.TEXTAFTER(TableOBEDEC[[#This Row],[Structure Line]]," "),TableOBEDEC[[#This Row],[Structure Line]])</f>
        <v>iSTEM Education through Digital Stories</v>
      </c>
      <c r="E40" s="44">
        <f>TableOBEDEC[[#This Row],[Credit Points]]</f>
        <v>25</v>
      </c>
      <c r="F40" s="64"/>
      <c r="G40" s="64" t="s">
        <v>492</v>
      </c>
      <c r="H40" s="241">
        <v>2</v>
      </c>
      <c r="I40" s="64" t="s">
        <v>478</v>
      </c>
      <c r="J40" s="64" t="s">
        <v>137</v>
      </c>
      <c r="K40" s="64">
        <v>1</v>
      </c>
      <c r="L40" s="64" t="s">
        <v>505</v>
      </c>
      <c r="M40" s="64">
        <v>25</v>
      </c>
      <c r="N40" s="62">
        <v>43466</v>
      </c>
      <c r="O40" s="62"/>
      <c r="P40" s="62"/>
      <c r="Q40" t="s">
        <v>137</v>
      </c>
      <c r="R40">
        <v>1</v>
      </c>
    </row>
    <row r="41" spans="1:18" x14ac:dyDescent="0.25">
      <c r="A41" t="str">
        <f>TableOBEDEC[[#This Row],[Study Package Code]]</f>
        <v>EDUC4035</v>
      </c>
      <c r="B41" s="5">
        <f>TableOBEDEC[[#This Row],[Ver]]</f>
        <v>1</v>
      </c>
      <c r="C41" t="str">
        <f>IF(TableOBEDEC[[#This Row],[Ver]]&gt;0,_xlfn.TEXTBEFORE(TableOBEDEC[[#This Row],[Structure Line]]," "),"")</f>
        <v>EDC493</v>
      </c>
      <c r="D41" t="str">
        <f>IF(TableOBEDEC[[#This Row],[OUA Code]]&lt;&gt;"",_xlfn.TEXTAFTER(TableOBEDEC[[#This Row],[Structure Line]]," "),TableOBEDEC[[#This Row],[Structure Line]])</f>
        <v>iSTEM: Social Issues</v>
      </c>
      <c r="E41" s="44">
        <f>TableOBEDEC[[#This Row],[Credit Points]]</f>
        <v>25</v>
      </c>
      <c r="F41" s="64"/>
      <c r="G41" s="64" t="s">
        <v>492</v>
      </c>
      <c r="H41" s="241">
        <v>2</v>
      </c>
      <c r="I41" s="64" t="s">
        <v>478</v>
      </c>
      <c r="J41" s="64" t="s">
        <v>138</v>
      </c>
      <c r="K41" s="64">
        <v>1</v>
      </c>
      <c r="L41" s="64" t="s">
        <v>506</v>
      </c>
      <c r="M41" s="64">
        <v>25</v>
      </c>
      <c r="N41" s="62">
        <v>43466</v>
      </c>
      <c r="O41" s="62"/>
      <c r="P41" s="62"/>
      <c r="Q41" t="s">
        <v>138</v>
      </c>
      <c r="R41">
        <v>1</v>
      </c>
    </row>
    <row r="42" spans="1:18" x14ac:dyDescent="0.25">
      <c r="A42" t="str">
        <f>TableOBEDEC[[#This Row],[Study Package Code]]</f>
        <v>EDUC4037</v>
      </c>
      <c r="B42" s="5">
        <f>TableOBEDEC[[#This Row],[Ver]]</f>
        <v>1</v>
      </c>
      <c r="C42" t="str">
        <f>IF(TableOBEDEC[[#This Row],[Ver]]&gt;0,_xlfn.TEXTBEFORE(TableOBEDEC[[#This Row],[Structure Line]]," "),"")</f>
        <v>EDC494</v>
      </c>
      <c r="D42" t="str">
        <f>IF(TableOBEDEC[[#This Row],[OUA Code]]&lt;&gt;"",_xlfn.TEXTAFTER(TableOBEDEC[[#This Row],[Structure Line]]," "),TableOBEDEC[[#This Row],[Structure Line]])</f>
        <v>Language and Diversity</v>
      </c>
      <c r="E42" s="44">
        <f>TableOBEDEC[[#This Row],[Credit Points]]</f>
        <v>25</v>
      </c>
      <c r="F42" s="64"/>
      <c r="G42" s="64" t="s">
        <v>492</v>
      </c>
      <c r="H42" s="241">
        <v>2</v>
      </c>
      <c r="I42" s="64" t="s">
        <v>478</v>
      </c>
      <c r="J42" s="64" t="s">
        <v>142</v>
      </c>
      <c r="K42" s="64">
        <v>1</v>
      </c>
      <c r="L42" s="64" t="s">
        <v>507</v>
      </c>
      <c r="M42" s="64">
        <v>25</v>
      </c>
      <c r="N42" s="62">
        <v>43466</v>
      </c>
      <c r="O42" s="62"/>
      <c r="P42" s="62"/>
      <c r="Q42" t="s">
        <v>142</v>
      </c>
      <c r="R42">
        <v>1</v>
      </c>
    </row>
    <row r="43" spans="1:18" x14ac:dyDescent="0.25">
      <c r="A43" t="str">
        <f>TableOBEDEC[[#This Row],[Study Package Code]]</f>
        <v>EDUC4039</v>
      </c>
      <c r="B43" s="5">
        <f>TableOBEDEC[[#This Row],[Ver]]</f>
        <v>1</v>
      </c>
      <c r="C43" t="str">
        <f>IF(TableOBEDEC[[#This Row],[Ver]]&gt;0,_xlfn.TEXTBEFORE(TableOBEDEC[[#This Row],[Structure Line]]," "),"")</f>
        <v>EDC495</v>
      </c>
      <c r="D43" t="str">
        <f>IF(TableOBEDEC[[#This Row],[OUA Code]]&lt;&gt;"",_xlfn.TEXTAFTER(TableOBEDEC[[#This Row],[Structure Line]]," "),TableOBEDEC[[#This Row],[Structure Line]])</f>
        <v>Technologies: Design Solutions</v>
      </c>
      <c r="E43" s="44">
        <f>TableOBEDEC[[#This Row],[Credit Points]]</f>
        <v>25</v>
      </c>
      <c r="F43" s="64"/>
      <c r="G43" s="64" t="s">
        <v>492</v>
      </c>
      <c r="H43" s="241">
        <v>2</v>
      </c>
      <c r="I43" s="64" t="s">
        <v>478</v>
      </c>
      <c r="J43" s="64" t="s">
        <v>149</v>
      </c>
      <c r="K43" s="64">
        <v>1</v>
      </c>
      <c r="L43" s="64" t="s">
        <v>508</v>
      </c>
      <c r="M43" s="64">
        <v>25</v>
      </c>
      <c r="N43" s="62">
        <v>43466</v>
      </c>
      <c r="O43" s="62"/>
      <c r="P43" s="62"/>
      <c r="Q43" t="s">
        <v>149</v>
      </c>
      <c r="R43">
        <v>1</v>
      </c>
    </row>
    <row r="44" spans="1:18" x14ac:dyDescent="0.25">
      <c r="A44" t="str">
        <f>TableOBEDEC[[#This Row],[Study Package Code]]</f>
        <v>EDUC4043</v>
      </c>
      <c r="B44" s="5">
        <f>TableOBEDEC[[#This Row],[Ver]]</f>
        <v>1</v>
      </c>
      <c r="C44" t="str">
        <f>IF(TableOBEDEC[[#This Row],[Ver]]&gt;0,_xlfn.TEXTBEFORE(TableOBEDEC[[#This Row],[Structure Line]]," "),"")</f>
        <v>EDC465</v>
      </c>
      <c r="D44" t="str">
        <f>IF(TableOBEDEC[[#This Row],[OUA Code]]&lt;&gt;"",_xlfn.TEXTAFTER(TableOBEDEC[[#This Row],[Structure Line]]," "),TableOBEDEC[[#This Row],[Structure Line]])</f>
        <v>Alternative Approaches to Teaching Literacy and Numeracy</v>
      </c>
      <c r="E44" s="44">
        <f>TableOBEDEC[[#This Row],[Credit Points]]</f>
        <v>25</v>
      </c>
      <c r="F44" s="64"/>
      <c r="G44" s="64" t="s">
        <v>492</v>
      </c>
      <c r="H44" s="241">
        <v>2</v>
      </c>
      <c r="I44" s="64" t="s">
        <v>478</v>
      </c>
      <c r="J44" s="64" t="s">
        <v>145</v>
      </c>
      <c r="K44" s="64">
        <v>1</v>
      </c>
      <c r="L44" s="64" t="s">
        <v>509</v>
      </c>
      <c r="M44" s="64">
        <v>25</v>
      </c>
      <c r="N44" s="62">
        <v>43466</v>
      </c>
      <c r="O44" s="62"/>
      <c r="P44" s="62"/>
      <c r="Q44" t="s">
        <v>145</v>
      </c>
      <c r="R44">
        <v>1</v>
      </c>
    </row>
    <row r="45" spans="1:18" x14ac:dyDescent="0.25">
      <c r="A45" t="str">
        <f>TableOBEDEC[[#This Row],[Study Package Code]]</f>
        <v>EDUC4045</v>
      </c>
      <c r="B45" s="5">
        <f>TableOBEDEC[[#This Row],[Ver]]</f>
        <v>2</v>
      </c>
      <c r="C45" t="str">
        <f>IF(TableOBEDEC[[#This Row],[Ver]]&gt;0,_xlfn.TEXTBEFORE(TableOBEDEC[[#This Row],[Structure Line]]," "),"")</f>
        <v>EDC460</v>
      </c>
      <c r="D45" t="str">
        <f>IF(TableOBEDEC[[#This Row],[OUA Code]]&lt;&gt;"",_xlfn.TEXTAFTER(TableOBEDEC[[#This Row],[Structure Line]]," "),TableOBEDEC[[#This Row],[Structure Line]])</f>
        <v>Literacy and Numeracy for First Nations Peoples of Australia</v>
      </c>
      <c r="E45" s="44">
        <f>TableOBEDEC[[#This Row],[Credit Points]]</f>
        <v>25</v>
      </c>
      <c r="F45" s="64"/>
      <c r="G45" s="64" t="s">
        <v>492</v>
      </c>
      <c r="H45" s="241">
        <v>2</v>
      </c>
      <c r="I45" s="64" t="s">
        <v>478</v>
      </c>
      <c r="J45" s="64" t="s">
        <v>146</v>
      </c>
      <c r="K45" s="64">
        <v>2</v>
      </c>
      <c r="L45" s="64" t="s">
        <v>510</v>
      </c>
      <c r="M45" s="64">
        <v>25</v>
      </c>
      <c r="N45" s="62">
        <v>44927</v>
      </c>
      <c r="O45" s="62"/>
      <c r="P45" s="62"/>
      <c r="Q45" t="s">
        <v>146</v>
      </c>
      <c r="R45">
        <v>2</v>
      </c>
    </row>
    <row r="46" spans="1:18" x14ac:dyDescent="0.25">
      <c r="A46" t="str">
        <f>TableOBEDEC[[#This Row],[Study Package Code]]</f>
        <v>EDUC4047</v>
      </c>
      <c r="B46" s="5">
        <f>TableOBEDEC[[#This Row],[Ver]]</f>
        <v>1</v>
      </c>
      <c r="C46" t="str">
        <f>IF(TableOBEDEC[[#This Row],[Ver]]&gt;0,_xlfn.TEXTBEFORE(TableOBEDEC[[#This Row],[Structure Line]]," "),"")</f>
        <v>EDC470</v>
      </c>
      <c r="D46" t="str">
        <f>IF(TableOBEDEC[[#This Row],[OUA Code]]&lt;&gt;"",_xlfn.TEXTAFTER(TableOBEDEC[[#This Row],[Structure Line]]," "),TableOBEDEC[[#This Row],[Structure Line]])</f>
        <v>Technologies: Digital Solutions</v>
      </c>
      <c r="E46" s="44">
        <f>TableOBEDEC[[#This Row],[Credit Points]]</f>
        <v>25</v>
      </c>
      <c r="F46" s="64"/>
      <c r="G46" s="64" t="s">
        <v>492</v>
      </c>
      <c r="H46" s="241">
        <v>2</v>
      </c>
      <c r="I46" s="64" t="s">
        <v>478</v>
      </c>
      <c r="J46" s="64" t="s">
        <v>150</v>
      </c>
      <c r="K46" s="64">
        <v>1</v>
      </c>
      <c r="L46" s="64" t="s">
        <v>511</v>
      </c>
      <c r="M46" s="64">
        <v>25</v>
      </c>
      <c r="N46" s="62">
        <v>43466</v>
      </c>
      <c r="O46" s="62"/>
      <c r="P46" s="62"/>
      <c r="Q46" t="s">
        <v>150</v>
      </c>
      <c r="R46">
        <v>1</v>
      </c>
    </row>
    <row r="47" spans="1:18" x14ac:dyDescent="0.25">
      <c r="A47" s="42"/>
      <c r="B47" s="43"/>
      <c r="C47" s="42"/>
      <c r="F47" s="235"/>
      <c r="G47" s="236" t="s">
        <v>464</v>
      </c>
      <c r="H47" s="240">
        <v>46031</v>
      </c>
      <c r="I47" s="235"/>
      <c r="J47" s="232" t="s">
        <v>62</v>
      </c>
      <c r="K47" s="230">
        <v>4</v>
      </c>
      <c r="L47" s="232" t="s">
        <v>61</v>
      </c>
      <c r="M47" s="232"/>
      <c r="N47" s="231">
        <v>46023</v>
      </c>
      <c r="O47" s="237"/>
      <c r="P47" s="62"/>
    </row>
    <row r="48" spans="1:18" ht="31.5" x14ac:dyDescent="0.25">
      <c r="A48" s="49" t="s">
        <v>0</v>
      </c>
      <c r="B48" s="50" t="s">
        <v>466</v>
      </c>
      <c r="C48" s="49" t="s">
        <v>16</v>
      </c>
      <c r="D48" s="49" t="s">
        <v>3</v>
      </c>
      <c r="E48" s="51" t="s">
        <v>467</v>
      </c>
      <c r="F48" s="49" t="s">
        <v>468</v>
      </c>
      <c r="G48" s="49" t="s">
        <v>469</v>
      </c>
      <c r="H48" s="50" t="s">
        <v>470</v>
      </c>
      <c r="I48" s="49" t="s">
        <v>17</v>
      </c>
      <c r="J48" s="49" t="s">
        <v>471</v>
      </c>
      <c r="K48" s="49" t="s">
        <v>1</v>
      </c>
      <c r="L48" s="49" t="s">
        <v>472</v>
      </c>
      <c r="M48" s="49" t="s">
        <v>59</v>
      </c>
      <c r="N48" s="49" t="s">
        <v>473</v>
      </c>
      <c r="O48" s="49" t="s">
        <v>474</v>
      </c>
      <c r="P48" s="62"/>
      <c r="Q48" t="s">
        <v>475</v>
      </c>
      <c r="R48" t="s">
        <v>476</v>
      </c>
    </row>
    <row r="49" spans="1:16" x14ac:dyDescent="0.25">
      <c r="A49" t="str">
        <f>TableOUEDEC[[#This Row],[Study Package Code]]</f>
        <v>EDUC1020</v>
      </c>
      <c r="B49" s="5">
        <f>TableOUEDEC[[#This Row],[Ver]]</f>
        <v>1</v>
      </c>
      <c r="C49" t="str">
        <f>IF(TableOUEDEC[[#This Row],[Ver]]&gt;0,_xlfn.TEXTBEFORE(TableOUEDEC[[#This Row],[Structure Line]]," "),"")</f>
        <v>EDC105</v>
      </c>
      <c r="D49" t="str">
        <f>IF(TableOUEDEC[[#This Row],[OUA Code]]&lt;&gt;"",_xlfn.TEXTAFTER(TableOUEDEC[[#This Row],[Structure Line]]," "),TableOUEDEC[[#This Row],[Structure Line]])</f>
        <v>Teaching and Learning in the Digital World</v>
      </c>
      <c r="E49" s="44">
        <f>TableOUEDEC[[#This Row],[Credit Points]]</f>
        <v>25</v>
      </c>
      <c r="F49" s="64">
        <v>1</v>
      </c>
      <c r="G49" s="64" t="s">
        <v>477</v>
      </c>
      <c r="H49" s="241">
        <v>1</v>
      </c>
      <c r="I49" s="64" t="s">
        <v>478</v>
      </c>
      <c r="J49" s="64" t="s">
        <v>46</v>
      </c>
      <c r="K49" s="64">
        <v>1</v>
      </c>
      <c r="L49" s="64" t="s">
        <v>479</v>
      </c>
      <c r="M49" s="64">
        <v>25</v>
      </c>
      <c r="N49" s="62">
        <v>43466</v>
      </c>
      <c r="O49" s="62"/>
      <c r="P49" s="62"/>
    </row>
    <row r="50" spans="1:16" x14ac:dyDescent="0.25">
      <c r="A50" t="str">
        <f>TableOUEDEC[[#This Row],[Study Package Code]]</f>
        <v>EDUC1040</v>
      </c>
      <c r="B50" s="5">
        <f>TableOUEDEC[[#This Row],[Ver]]</f>
        <v>1</v>
      </c>
      <c r="C50" t="str">
        <f>IF(TableOUEDEC[[#This Row],[Ver]]&gt;0,_xlfn.TEXTBEFORE(TableOUEDEC[[#This Row],[Structure Line]]," "),"")</f>
        <v>EDUC1040</v>
      </c>
      <c r="D50" t="str">
        <f>IF(TableOUEDEC[[#This Row],[OUA Code]]&lt;&gt;"",_xlfn.TEXTAFTER(TableOUEDEC[[#This Row],[Structure Line]]," "),TableOUEDEC[[#This Row],[Structure Line]])</f>
        <v>English: The Early Years</v>
      </c>
      <c r="E50" s="44">
        <f>TableOUEDEC[[#This Row],[Credit Points]]</f>
        <v>25</v>
      </c>
      <c r="F50" s="64">
        <v>2</v>
      </c>
      <c r="G50" s="64" t="s">
        <v>477</v>
      </c>
      <c r="H50" s="241">
        <v>1</v>
      </c>
      <c r="I50" s="64" t="s">
        <v>478</v>
      </c>
      <c r="J50" s="64" t="s">
        <v>589</v>
      </c>
      <c r="K50" s="64">
        <v>1</v>
      </c>
      <c r="L50" s="64" t="s">
        <v>590</v>
      </c>
      <c r="M50" s="64">
        <v>25</v>
      </c>
      <c r="N50" s="62">
        <v>46023</v>
      </c>
      <c r="O50" s="62"/>
      <c r="P50" s="62"/>
    </row>
    <row r="51" spans="1:16" x14ac:dyDescent="0.25">
      <c r="A51" t="str">
        <f>TableOUEDEC[[#This Row],[Study Package Code]]</f>
        <v>EDUC1022</v>
      </c>
      <c r="B51" s="5">
        <f>TableOUEDEC[[#This Row],[Ver]]</f>
        <v>1</v>
      </c>
      <c r="C51" t="str">
        <f>IF(TableOUEDEC[[#This Row],[Ver]]&gt;0,_xlfn.TEXTBEFORE(TableOUEDEC[[#This Row],[Structure Line]]," "),"")</f>
        <v>EDC135</v>
      </c>
      <c r="D51" t="str">
        <f>IF(TableOUEDEC[[#This Row],[OUA Code]]&lt;&gt;"",_xlfn.TEXTAFTER(TableOUEDEC[[#This Row],[Structure Line]]," "),TableOUEDEC[[#This Row],[Structure Line]])</f>
        <v>Child Development for Educators</v>
      </c>
      <c r="E51" s="44">
        <f>TableOUEDEC[[#This Row],[Credit Points]]</f>
        <v>25</v>
      </c>
      <c r="F51" s="64">
        <v>3</v>
      </c>
      <c r="G51" s="64" t="s">
        <v>477</v>
      </c>
      <c r="H51" s="241">
        <v>1</v>
      </c>
      <c r="I51" s="64" t="s">
        <v>478</v>
      </c>
      <c r="J51" s="64" t="s">
        <v>51</v>
      </c>
      <c r="K51" s="64">
        <v>1</v>
      </c>
      <c r="L51" s="64" t="s">
        <v>480</v>
      </c>
      <c r="M51" s="64">
        <v>25</v>
      </c>
      <c r="N51" s="62">
        <v>43466</v>
      </c>
      <c r="O51" s="62"/>
      <c r="P51" s="62"/>
    </row>
    <row r="52" spans="1:16" x14ac:dyDescent="0.25">
      <c r="A52" t="str">
        <f>TableOUEDEC[[#This Row],[Study Package Code]]</f>
        <v>EDUC1026</v>
      </c>
      <c r="B52" s="5">
        <f>TableOUEDEC[[#This Row],[Ver]]</f>
        <v>1</v>
      </c>
      <c r="C52" t="str">
        <f>IF(TableOUEDEC[[#This Row],[Ver]]&gt;0,_xlfn.TEXTBEFORE(TableOUEDEC[[#This Row],[Structure Line]]," "),"")</f>
        <v>EDC140</v>
      </c>
      <c r="D52" t="str">
        <f>IF(TableOUEDEC[[#This Row],[OUA Code]]&lt;&gt;"",_xlfn.TEXTAFTER(TableOUEDEC[[#This Row],[Structure Line]]," "),TableOUEDEC[[#This Row],[Structure Line]])</f>
        <v>Exploring and Contesting Curriculum</v>
      </c>
      <c r="E52" s="44">
        <f>TableOUEDEC[[#This Row],[Credit Points]]</f>
        <v>25</v>
      </c>
      <c r="F52" s="64">
        <v>4</v>
      </c>
      <c r="G52" s="64" t="s">
        <v>477</v>
      </c>
      <c r="H52" s="241">
        <v>1</v>
      </c>
      <c r="I52" s="64" t="s">
        <v>478</v>
      </c>
      <c r="J52" s="64" t="s">
        <v>53</v>
      </c>
      <c r="K52" s="64">
        <v>1</v>
      </c>
      <c r="L52" s="64" t="s">
        <v>481</v>
      </c>
      <c r="M52" s="64">
        <v>25</v>
      </c>
      <c r="N52" s="62">
        <v>43466</v>
      </c>
      <c r="O52" s="62"/>
      <c r="P52" s="62"/>
    </row>
    <row r="53" spans="1:16" x14ac:dyDescent="0.25">
      <c r="A53" t="str">
        <f>TableOUEDEC[[#This Row],[Study Package Code]]</f>
        <v>EDUC1032</v>
      </c>
      <c r="B53" s="5">
        <f>TableOUEDEC[[#This Row],[Ver]]</f>
        <v>1</v>
      </c>
      <c r="C53" t="str">
        <f>IF(TableOUEDEC[[#This Row],[Ver]]&gt;0,_xlfn.TEXTBEFORE(TableOUEDEC[[#This Row],[Structure Line]]," "),"")</f>
        <v>EDC145</v>
      </c>
      <c r="D53" t="str">
        <f>IF(TableOUEDEC[[#This Row],[OUA Code]]&lt;&gt;"",_xlfn.TEXTAFTER(TableOUEDEC[[#This Row],[Structure Line]]," "),TableOUEDEC[[#This Row],[Structure Line]])</f>
        <v>The Numerate Educator</v>
      </c>
      <c r="E53" s="44">
        <f>TableOUEDEC[[#This Row],[Credit Points]]</f>
        <v>25</v>
      </c>
      <c r="F53" s="64">
        <v>5</v>
      </c>
      <c r="G53" s="64" t="s">
        <v>477</v>
      </c>
      <c r="H53" s="241">
        <v>1</v>
      </c>
      <c r="I53" s="64" t="s">
        <v>478</v>
      </c>
      <c r="J53" s="64" t="s">
        <v>65</v>
      </c>
      <c r="K53" s="64">
        <v>1</v>
      </c>
      <c r="L53" s="64" t="s">
        <v>482</v>
      </c>
      <c r="M53" s="64">
        <v>25</v>
      </c>
      <c r="N53" s="62">
        <v>43466</v>
      </c>
      <c r="O53" s="62"/>
      <c r="P53" s="62"/>
    </row>
    <row r="54" spans="1:16" x14ac:dyDescent="0.25">
      <c r="A54" t="str">
        <f>TableOUEDEC[[#This Row],[Study Package Code]]</f>
        <v>EDUC1030</v>
      </c>
      <c r="B54" s="5">
        <f>TableOUEDEC[[#This Row],[Ver]]</f>
        <v>1</v>
      </c>
      <c r="C54" t="str">
        <f>IF(TableOUEDEC[[#This Row],[Ver]]&gt;0,_xlfn.TEXTBEFORE(TableOUEDEC[[#This Row],[Structure Line]]," "),"")</f>
        <v>EDC153</v>
      </c>
      <c r="D54" t="str">
        <f>IF(TableOUEDEC[[#This Row],[OUA Code]]&lt;&gt;"",_xlfn.TEXTAFTER(TableOUEDEC[[#This Row],[Structure Line]]," "),TableOUEDEC[[#This Row],[Structure Line]])</f>
        <v>Performing Arts for Educators</v>
      </c>
      <c r="E54" s="44">
        <f>TableOUEDEC[[#This Row],[Credit Points]]</f>
        <v>25</v>
      </c>
      <c r="F54" s="64">
        <v>6</v>
      </c>
      <c r="G54" s="64" t="s">
        <v>477</v>
      </c>
      <c r="H54" s="241">
        <v>1</v>
      </c>
      <c r="I54" s="64" t="s">
        <v>478</v>
      </c>
      <c r="J54" s="64" t="s">
        <v>70</v>
      </c>
      <c r="K54" s="64">
        <v>1</v>
      </c>
      <c r="L54" s="64" t="s">
        <v>483</v>
      </c>
      <c r="M54" s="64">
        <v>25</v>
      </c>
      <c r="N54" s="62">
        <v>43466</v>
      </c>
      <c r="O54" s="62"/>
      <c r="P54" s="62"/>
    </row>
    <row r="55" spans="1:16" x14ac:dyDescent="0.25">
      <c r="A55" t="str">
        <f>TableOUEDEC[[#This Row],[Study Package Code]]</f>
        <v>EDUC1038</v>
      </c>
      <c r="B55" s="5">
        <f>TableOUEDEC[[#This Row],[Ver]]</f>
        <v>1</v>
      </c>
      <c r="C55" t="str">
        <f>IF(TableOUEDEC[[#This Row],[Ver]]&gt;0,_xlfn.TEXTBEFORE(TableOUEDEC[[#This Row],[Structure Line]]," "),"")</f>
        <v>EDC181</v>
      </c>
      <c r="D55" t="str">
        <f>IF(TableOUEDEC[[#This Row],[OUA Code]]&lt;&gt;"",_xlfn.TEXTAFTER(TableOUEDEC[[#This Row],[Structure Line]]," "),TableOUEDEC[[#This Row],[Structure Line]])</f>
        <v>Communication Skills for Educators</v>
      </c>
      <c r="E55" s="44">
        <f>TableOUEDEC[[#This Row],[Credit Points]]</f>
        <v>25</v>
      </c>
      <c r="F55" s="64">
        <v>7</v>
      </c>
      <c r="G55" s="64" t="s">
        <v>477</v>
      </c>
      <c r="H55" s="241">
        <v>1</v>
      </c>
      <c r="I55" s="64" t="s">
        <v>478</v>
      </c>
      <c r="J55" s="64" t="s">
        <v>71</v>
      </c>
      <c r="K55" s="64">
        <v>1</v>
      </c>
      <c r="L55" s="64" t="s">
        <v>484</v>
      </c>
      <c r="M55" s="64">
        <v>25</v>
      </c>
      <c r="N55" s="62">
        <v>45658</v>
      </c>
      <c r="O55" s="62"/>
      <c r="P55" s="62"/>
    </row>
    <row r="56" spans="1:16" x14ac:dyDescent="0.25">
      <c r="A56" t="str">
        <f>TableOUEDEC[[#This Row],[Study Package Code]]</f>
        <v>EDUC1028</v>
      </c>
      <c r="B56" s="5">
        <f>TableOUEDEC[[#This Row],[Ver]]</f>
        <v>1</v>
      </c>
      <c r="C56" t="str">
        <f>IF(TableOUEDEC[[#This Row],[Ver]]&gt;0,_xlfn.TEXTBEFORE(TableOUEDEC[[#This Row],[Structure Line]]," "),"")</f>
        <v>EDC175</v>
      </c>
      <c r="D56" t="str">
        <f>IF(TableOUEDEC[[#This Row],[OUA Code]]&lt;&gt;"",_xlfn.TEXTAFTER(TableOUEDEC[[#This Row],[Structure Line]]," "),TableOUEDEC[[#This Row],[Structure Line]])</f>
        <v>Educators Inquiring About the World</v>
      </c>
      <c r="E56" s="44">
        <f>TableOUEDEC[[#This Row],[Credit Points]]</f>
        <v>25</v>
      </c>
      <c r="F56" s="64">
        <v>8</v>
      </c>
      <c r="G56" s="64" t="s">
        <v>477</v>
      </c>
      <c r="H56" s="241">
        <v>1</v>
      </c>
      <c r="I56" s="64" t="s">
        <v>478</v>
      </c>
      <c r="J56" s="64" t="s">
        <v>67</v>
      </c>
      <c r="K56" s="64">
        <v>1</v>
      </c>
      <c r="L56" s="64" t="s">
        <v>485</v>
      </c>
      <c r="M56" s="64">
        <v>25</v>
      </c>
      <c r="N56" s="62">
        <v>43466</v>
      </c>
      <c r="O56" s="62"/>
      <c r="P56" s="62"/>
    </row>
    <row r="57" spans="1:16" x14ac:dyDescent="0.25">
      <c r="A57" t="str">
        <f>TableOUEDEC[[#This Row],[Study Package Code]]</f>
        <v>EDEC2024</v>
      </c>
      <c r="B57" s="5">
        <f>TableOUEDEC[[#This Row],[Ver]]</f>
        <v>1</v>
      </c>
      <c r="C57" t="str">
        <f>IF(TableOUEDEC[[#This Row],[Ver]]&gt;0,_xlfn.TEXTBEFORE(TableOUEDEC[[#This Row],[Structure Line]]," "),"")</f>
        <v>EDE252</v>
      </c>
      <c r="D57" t="str">
        <f>IF(TableOUEDEC[[#This Row],[OUA Code]]&lt;&gt;"",_xlfn.TEXTAFTER(TableOUEDEC[[#This Row],[Structure Line]]," "),TableOUEDEC[[#This Row],[Structure Line]])</f>
        <v>Visual and Media Arts for Early Childhood</v>
      </c>
      <c r="E57" s="44">
        <f>TableOUEDEC[[#This Row],[Credit Points]]</f>
        <v>25</v>
      </c>
      <c r="F57" s="64">
        <v>9</v>
      </c>
      <c r="G57" s="64" t="s">
        <v>477</v>
      </c>
      <c r="H57" s="241">
        <v>2</v>
      </c>
      <c r="I57" s="64" t="s">
        <v>478</v>
      </c>
      <c r="J57" s="64" t="s">
        <v>100</v>
      </c>
      <c r="K57" s="64">
        <v>1</v>
      </c>
      <c r="L57" s="64" t="s">
        <v>486</v>
      </c>
      <c r="M57" s="64">
        <v>25</v>
      </c>
      <c r="N57" s="62">
        <v>43466</v>
      </c>
      <c r="O57" s="62"/>
      <c r="P57" s="62"/>
    </row>
    <row r="58" spans="1:16" x14ac:dyDescent="0.25">
      <c r="A58" t="str">
        <f>TableOUEDEC[[#This Row],[Study Package Code]]</f>
        <v>EDEC2022</v>
      </c>
      <c r="B58" s="5">
        <f>TableOUEDEC[[#This Row],[Ver]]</f>
        <v>1</v>
      </c>
      <c r="C58" t="str">
        <f>IF(TableOUEDEC[[#This Row],[Ver]]&gt;0,_xlfn.TEXTBEFORE(TableOUEDEC[[#This Row],[Structure Line]]," "),"")</f>
        <v>EDE255</v>
      </c>
      <c r="D58" t="str">
        <f>IF(TableOUEDEC[[#This Row],[OUA Code]]&lt;&gt;"",_xlfn.TEXTAFTER(TableOUEDEC[[#This Row],[Structure Line]]," "),TableOUEDEC[[#This Row],[Structure Line]])</f>
        <v>Engaging Children in Science</v>
      </c>
      <c r="E58" s="44">
        <f>TableOUEDEC[[#This Row],[Credit Points]]</f>
        <v>25</v>
      </c>
      <c r="F58" s="64">
        <v>10</v>
      </c>
      <c r="G58" s="64" t="s">
        <v>477</v>
      </c>
      <c r="H58" s="241">
        <v>2</v>
      </c>
      <c r="I58" s="64" t="s">
        <v>478</v>
      </c>
      <c r="J58" s="64" t="s">
        <v>88</v>
      </c>
      <c r="K58" s="64">
        <v>1</v>
      </c>
      <c r="L58" s="64" t="s">
        <v>487</v>
      </c>
      <c r="M58" s="64">
        <v>25</v>
      </c>
      <c r="N58" s="62">
        <v>43466</v>
      </c>
      <c r="O58" s="62"/>
      <c r="P58" s="62"/>
    </row>
    <row r="59" spans="1:16" x14ac:dyDescent="0.25">
      <c r="A59" t="str">
        <f>TableOUEDEC[[#This Row],[Study Package Code]]</f>
        <v>EDEC2028</v>
      </c>
      <c r="B59" s="5">
        <f>TableOUEDEC[[#This Row],[Ver]]</f>
        <v>1</v>
      </c>
      <c r="C59" t="str">
        <f>IF(TableOUEDEC[[#This Row],[Ver]]&gt;0,_xlfn.TEXTBEFORE(TableOUEDEC[[#This Row],[Structure Line]]," "),"")</f>
        <v>EDE260</v>
      </c>
      <c r="D59" t="str">
        <f>IF(TableOUEDEC[[#This Row],[OUA Code]]&lt;&gt;"",_xlfn.TEXTAFTER(TableOUEDEC[[#This Row],[Structure Line]]," "),TableOUEDEC[[#This Row],[Structure Line]])</f>
        <v>Health and Physical Education in Early Childhood</v>
      </c>
      <c r="E59" s="44">
        <f>TableOUEDEC[[#This Row],[Credit Points]]</f>
        <v>25</v>
      </c>
      <c r="F59" s="64">
        <v>11</v>
      </c>
      <c r="G59" s="64" t="s">
        <v>477</v>
      </c>
      <c r="H59" s="241">
        <v>2</v>
      </c>
      <c r="I59" s="64" t="s">
        <v>478</v>
      </c>
      <c r="J59" s="64" t="s">
        <v>102</v>
      </c>
      <c r="K59" s="64">
        <v>1</v>
      </c>
      <c r="L59" s="64" t="s">
        <v>488</v>
      </c>
      <c r="M59" s="64">
        <v>25</v>
      </c>
      <c r="N59" s="62">
        <v>43466</v>
      </c>
      <c r="O59" s="62"/>
      <c r="P59" s="62"/>
    </row>
    <row r="60" spans="1:16" x14ac:dyDescent="0.25">
      <c r="A60" t="str">
        <f>TableOUEDEC[[#This Row],[Study Package Code]]</f>
        <v>EDEC2018</v>
      </c>
      <c r="B60" s="5">
        <f>TableOUEDEC[[#This Row],[Ver]]</f>
        <v>2</v>
      </c>
      <c r="C60" t="str">
        <f>IF(TableOUEDEC[[#This Row],[Ver]]&gt;0,_xlfn.TEXTBEFORE(TableOUEDEC[[#This Row],[Structure Line]]," "),"")</f>
        <v>EDE292</v>
      </c>
      <c r="D60" t="str">
        <f>IF(TableOUEDEC[[#This Row],[OUA Code]]&lt;&gt;"",_xlfn.TEXTAFTER(TableOUEDEC[[#This Row],[Structure Line]]," "),TableOUEDEC[[#This Row],[Structure Line]])</f>
        <v>Early Learning Through the Humanities and Social Sciences</v>
      </c>
      <c r="E60" s="44">
        <f>TableOUEDEC[[#This Row],[Credit Points]]</f>
        <v>25</v>
      </c>
      <c r="F60" s="64">
        <v>12</v>
      </c>
      <c r="G60" s="64" t="s">
        <v>477</v>
      </c>
      <c r="H60" s="241">
        <v>2</v>
      </c>
      <c r="I60" s="64" t="s">
        <v>478</v>
      </c>
      <c r="J60" s="64" t="s">
        <v>82</v>
      </c>
      <c r="K60" s="64">
        <v>2</v>
      </c>
      <c r="L60" s="64" t="s">
        <v>489</v>
      </c>
      <c r="M60" s="64">
        <v>25</v>
      </c>
      <c r="N60" s="62">
        <v>43466</v>
      </c>
      <c r="O60" s="62"/>
      <c r="P60" s="62"/>
    </row>
    <row r="61" spans="1:16" x14ac:dyDescent="0.25">
      <c r="A61" t="str">
        <f>TableOUEDEC[[#This Row],[Study Package Code]]</f>
        <v>EDEC2030</v>
      </c>
      <c r="B61" s="5">
        <f>TableOUEDEC[[#This Row],[Ver]]</f>
        <v>1</v>
      </c>
      <c r="C61" t="str">
        <f>IF(TableOUEDEC[[#This Row],[Ver]]&gt;0,_xlfn.TEXTBEFORE(TableOUEDEC[[#This Row],[Structure Line]]," "),"")</f>
        <v>EDEC2030</v>
      </c>
      <c r="D61" t="str">
        <f>IF(TableOUEDEC[[#This Row],[OUA Code]]&lt;&gt;"",_xlfn.TEXTAFTER(TableOUEDEC[[#This Row],[Structure Line]]," "),TableOUEDEC[[#This Row],[Structure Line]])</f>
        <v>Literacies for Young Children: Birth to 4-Year-Olds</v>
      </c>
      <c r="E61" s="44">
        <f>TableOUEDEC[[#This Row],[Credit Points]]</f>
        <v>25</v>
      </c>
      <c r="F61" s="64">
        <v>13</v>
      </c>
      <c r="G61" s="64" t="s">
        <v>477</v>
      </c>
      <c r="H61" s="241">
        <v>2</v>
      </c>
      <c r="I61" s="64" t="s">
        <v>478</v>
      </c>
      <c r="J61" s="64" t="s">
        <v>591</v>
      </c>
      <c r="K61" s="64">
        <v>1</v>
      </c>
      <c r="L61" s="64" t="s">
        <v>592</v>
      </c>
      <c r="M61" s="64">
        <v>25</v>
      </c>
      <c r="N61" s="62">
        <v>46023</v>
      </c>
      <c r="O61" s="62"/>
      <c r="P61" s="62"/>
    </row>
    <row r="62" spans="1:16" x14ac:dyDescent="0.25">
      <c r="A62" t="str">
        <f>TableOUEDEC[[#This Row],[Study Package Code]]</f>
        <v>EDEC2032</v>
      </c>
      <c r="B62" s="5">
        <f>TableOUEDEC[[#This Row],[Ver]]</f>
        <v>1</v>
      </c>
      <c r="C62" t="str">
        <f>IF(TableOUEDEC[[#This Row],[Ver]]&gt;0,_xlfn.TEXTBEFORE(TableOUEDEC[[#This Row],[Structure Line]]," "),"")</f>
        <v>EDEC2032</v>
      </c>
      <c r="D62" t="str">
        <f>IF(TableOUEDEC[[#This Row],[OUA Code]]&lt;&gt;"",_xlfn.TEXTAFTER(TableOUEDEC[[#This Row],[Structure Line]]," "),TableOUEDEC[[#This Row],[Structure Line]])</f>
        <v>Mathematics during the First Five Years of Life</v>
      </c>
      <c r="E62" s="44">
        <f>TableOUEDEC[[#This Row],[Credit Points]]</f>
        <v>25</v>
      </c>
      <c r="F62" s="64">
        <v>14</v>
      </c>
      <c r="G62" s="64" t="s">
        <v>477</v>
      </c>
      <c r="H62" s="241">
        <v>2</v>
      </c>
      <c r="I62" s="64" t="s">
        <v>478</v>
      </c>
      <c r="J62" s="64" t="s">
        <v>593</v>
      </c>
      <c r="K62" s="64">
        <v>1</v>
      </c>
      <c r="L62" s="64" t="s">
        <v>594</v>
      </c>
      <c r="M62" s="64">
        <v>25</v>
      </c>
      <c r="N62" s="62">
        <v>46023</v>
      </c>
      <c r="O62" s="62"/>
      <c r="P62" s="62"/>
    </row>
    <row r="63" spans="1:16" x14ac:dyDescent="0.25">
      <c r="A63" t="str">
        <f>TableOUEDEC[[#This Row],[Study Package Code]]</f>
        <v>EDEC2034</v>
      </c>
      <c r="B63" s="5">
        <f>TableOUEDEC[[#This Row],[Ver]]</f>
        <v>1</v>
      </c>
      <c r="C63" t="str">
        <f>IF(TableOUEDEC[[#This Row],[Ver]]&gt;0,_xlfn.TEXTBEFORE(TableOUEDEC[[#This Row],[Structure Line]]," "),"")</f>
        <v>EDEC2034</v>
      </c>
      <c r="D63" t="str">
        <f>IF(TableOUEDEC[[#This Row],[OUA Code]]&lt;&gt;"",_xlfn.TEXTAFTER(TableOUEDEC[[#This Row],[Structure Line]]," "),TableOUEDEC[[#This Row],[Structure Line]])</f>
        <v>Early Childhood Professional Experience: Learning Environments for Birth to 4-year-olds</v>
      </c>
      <c r="E63" s="44">
        <f>TableOUEDEC[[#This Row],[Credit Points]]</f>
        <v>25</v>
      </c>
      <c r="F63" s="64">
        <v>15</v>
      </c>
      <c r="G63" s="64" t="s">
        <v>477</v>
      </c>
      <c r="H63" s="241">
        <v>2</v>
      </c>
      <c r="I63" s="64" t="s">
        <v>478</v>
      </c>
      <c r="J63" s="64" t="s">
        <v>595</v>
      </c>
      <c r="K63" s="64">
        <v>1</v>
      </c>
      <c r="L63" s="64" t="s">
        <v>596</v>
      </c>
      <c r="M63" s="64">
        <v>25</v>
      </c>
      <c r="N63" s="62">
        <v>46023</v>
      </c>
      <c r="O63" s="62"/>
      <c r="P63" s="62"/>
    </row>
    <row r="64" spans="1:16" x14ac:dyDescent="0.25">
      <c r="A64" t="str">
        <f>TableOUEDEC[[#This Row],[Study Package Code]]</f>
        <v>Option</v>
      </c>
      <c r="B64" s="5">
        <f>TableOUEDEC[[#This Row],[Ver]]</f>
        <v>0</v>
      </c>
      <c r="C64" t="str">
        <f>IF(TableOUEDEC[[#This Row],[Ver]]&gt;0,_xlfn.TEXTBEFORE(TableOUEDEC[[#This Row],[Structure Line]]," "),"")</f>
        <v/>
      </c>
      <c r="D64" t="str">
        <f>IF(TableOUEDEC[[#This Row],[OUA Code]]&lt;&gt;"",_xlfn.TEXTAFTER(TableOUEDEC[[#This Row],[Structure Line]]," "),TableOUEDEC[[#This Row],[Structure Line]])</f>
        <v>Choose an Option</v>
      </c>
      <c r="E64" s="44">
        <f>TableOUEDEC[[#This Row],[Credit Points]]</f>
        <v>25</v>
      </c>
      <c r="F64" s="64">
        <v>16</v>
      </c>
      <c r="G64" s="64" t="s">
        <v>492</v>
      </c>
      <c r="H64" s="241">
        <v>2</v>
      </c>
      <c r="I64" s="64" t="s">
        <v>478</v>
      </c>
      <c r="J64" s="64" t="s">
        <v>492</v>
      </c>
      <c r="K64" s="64">
        <v>0</v>
      </c>
      <c r="L64" s="64" t="s">
        <v>696</v>
      </c>
      <c r="M64" s="64">
        <v>25</v>
      </c>
      <c r="N64" s="62"/>
      <c r="O64" s="62"/>
      <c r="P64" s="62"/>
    </row>
    <row r="65" spans="1:16" x14ac:dyDescent="0.25">
      <c r="A65" t="str">
        <f>TableOUEDEC[[#This Row],[Study Package Code]]</f>
        <v>EDEC3006</v>
      </c>
      <c r="B65" s="5">
        <f>TableOUEDEC[[#This Row],[Ver]]</f>
        <v>1</v>
      </c>
      <c r="C65" t="str">
        <f>IF(TableOUEDEC[[#This Row],[Ver]]&gt;0,_xlfn.TEXTBEFORE(TableOUEDEC[[#This Row],[Structure Line]]," "),"")</f>
        <v>EDE392</v>
      </c>
      <c r="D65" t="str">
        <f>IF(TableOUEDEC[[#This Row],[OUA Code]]&lt;&gt;"",_xlfn.TEXTAFTER(TableOUEDEC[[#This Row],[Structure Line]]," "),TableOUEDEC[[#This Row],[Structure Line]])</f>
        <v>Pedagogical Contexts for Play</v>
      </c>
      <c r="E65" s="44">
        <f>TableOUEDEC[[#This Row],[Credit Points]]</f>
        <v>25</v>
      </c>
      <c r="F65" s="64">
        <v>17</v>
      </c>
      <c r="G65" s="64" t="s">
        <v>477</v>
      </c>
      <c r="H65" s="241">
        <v>3</v>
      </c>
      <c r="I65" s="64" t="s">
        <v>478</v>
      </c>
      <c r="J65" s="64" t="s">
        <v>120</v>
      </c>
      <c r="K65" s="64">
        <v>1</v>
      </c>
      <c r="L65" s="64" t="s">
        <v>491</v>
      </c>
      <c r="M65" s="64">
        <v>25</v>
      </c>
      <c r="N65" s="62">
        <v>42370</v>
      </c>
      <c r="O65" s="62"/>
      <c r="P65" s="62"/>
    </row>
    <row r="66" spans="1:16" x14ac:dyDescent="0.25">
      <c r="A66" t="str">
        <f>TableOUEDEC[[#This Row],[Study Package Code]]</f>
        <v>EDEC3019</v>
      </c>
      <c r="B66" s="5">
        <f>TableOUEDEC[[#This Row],[Ver]]</f>
        <v>2</v>
      </c>
      <c r="C66" t="str">
        <f>IF(TableOUEDEC[[#This Row],[Ver]]&gt;0,_xlfn.TEXTBEFORE(TableOUEDEC[[#This Row],[Structure Line]]," "),"")</f>
        <v>EDE310</v>
      </c>
      <c r="D66" t="str">
        <f>IF(TableOUEDEC[[#This Row],[OUA Code]]&lt;&gt;"",_xlfn.TEXTAFTER(TableOUEDEC[[#This Row],[Structure Line]]," "),TableOUEDEC[[#This Row],[Structure Line]])</f>
        <v>Early Childhood Professional Experience: Learning Environments for 3 to 5-year-olds</v>
      </c>
      <c r="E66" s="44">
        <f>TableOUEDEC[[#This Row],[Credit Points]]</f>
        <v>25</v>
      </c>
      <c r="F66" s="64">
        <v>18</v>
      </c>
      <c r="G66" s="64" t="s">
        <v>477</v>
      </c>
      <c r="H66" s="241">
        <v>3</v>
      </c>
      <c r="I66" s="64" t="s">
        <v>478</v>
      </c>
      <c r="J66" s="64" t="s">
        <v>117</v>
      </c>
      <c r="K66" s="64">
        <v>2</v>
      </c>
      <c r="L66" s="64" t="s">
        <v>634</v>
      </c>
      <c r="M66" s="64">
        <v>25</v>
      </c>
      <c r="N66" s="62">
        <v>46023</v>
      </c>
      <c r="O66" s="62"/>
      <c r="P66" s="62"/>
    </row>
    <row r="67" spans="1:16" x14ac:dyDescent="0.25">
      <c r="A67" t="str">
        <f>TableOUEDEC[[#This Row],[Study Package Code]]</f>
        <v>EDEC3021</v>
      </c>
      <c r="B67" s="5">
        <f>TableOUEDEC[[#This Row],[Ver]]</f>
        <v>1</v>
      </c>
      <c r="C67" t="str">
        <f>IF(TableOUEDEC[[#This Row],[Ver]]&gt;0,_xlfn.TEXTBEFORE(TableOUEDEC[[#This Row],[Structure Line]]," "),"")</f>
        <v>EDE345</v>
      </c>
      <c r="D67" t="str">
        <f>IF(TableOUEDEC[[#This Row],[OUA Code]]&lt;&gt;"",_xlfn.TEXTAFTER(TableOUEDEC[[#This Row],[Structure Line]]," "),TableOUEDEC[[#This Row],[Structure Line]])</f>
        <v>Leadership in Early Childhood Education</v>
      </c>
      <c r="E67" s="44">
        <f>TableOUEDEC[[#This Row],[Credit Points]]</f>
        <v>25</v>
      </c>
      <c r="F67" s="64">
        <v>19</v>
      </c>
      <c r="G67" s="64" t="s">
        <v>477</v>
      </c>
      <c r="H67" s="241">
        <v>3</v>
      </c>
      <c r="I67" s="64" t="s">
        <v>478</v>
      </c>
      <c r="J67" s="64" t="s">
        <v>119</v>
      </c>
      <c r="K67" s="64">
        <v>1</v>
      </c>
      <c r="L67" s="64" t="s">
        <v>490</v>
      </c>
      <c r="M67" s="64">
        <v>25</v>
      </c>
      <c r="N67" s="62">
        <v>43466</v>
      </c>
      <c r="O67" s="62"/>
      <c r="P67" s="62"/>
    </row>
    <row r="68" spans="1:16" x14ac:dyDescent="0.25">
      <c r="A68" t="str">
        <f>TableOUEDEC[[#This Row],[Study Package Code]]</f>
        <v>EDEC3028</v>
      </c>
      <c r="B68" s="5">
        <f>TableOUEDEC[[#This Row],[Ver]]</f>
        <v>1</v>
      </c>
      <c r="C68" t="str">
        <f>IF(TableOUEDEC[[#This Row],[Ver]]&gt;0,_xlfn.TEXTBEFORE(TableOUEDEC[[#This Row],[Structure Line]]," "),"")</f>
        <v>EDEC3028</v>
      </c>
      <c r="D68" t="str">
        <f>IF(TableOUEDEC[[#This Row],[OUA Code]]&lt;&gt;"",_xlfn.TEXTAFTER(TableOUEDEC[[#This Row],[Structure Line]]," "),TableOUEDEC[[#This Row],[Structure Line]])</f>
        <v>Mathematics for the Early Years</v>
      </c>
      <c r="E68" s="44">
        <f>TableOUEDEC[[#This Row],[Credit Points]]</f>
        <v>25</v>
      </c>
      <c r="F68" s="64">
        <v>20</v>
      </c>
      <c r="G68" s="64" t="s">
        <v>477</v>
      </c>
      <c r="H68" s="241">
        <v>3</v>
      </c>
      <c r="I68" s="64" t="s">
        <v>478</v>
      </c>
      <c r="J68" s="64" t="s">
        <v>600</v>
      </c>
      <c r="K68" s="64">
        <v>1</v>
      </c>
      <c r="L68" s="64" t="s">
        <v>601</v>
      </c>
      <c r="M68" s="64">
        <v>25</v>
      </c>
      <c r="N68" s="62">
        <v>46023</v>
      </c>
      <c r="O68" s="62"/>
      <c r="P68" s="62"/>
    </row>
    <row r="69" spans="1:16" x14ac:dyDescent="0.25">
      <c r="A69" t="str">
        <f>TableOUEDEC[[#This Row],[Study Package Code]]</f>
        <v>EDEC3030</v>
      </c>
      <c r="B69" s="5">
        <f>TableOUEDEC[[#This Row],[Ver]]</f>
        <v>1</v>
      </c>
      <c r="C69" t="str">
        <f>IF(TableOUEDEC[[#This Row],[Ver]]&gt;0,_xlfn.TEXTBEFORE(TableOUEDEC[[#This Row],[Structure Line]]," "),"")</f>
        <v>EDEC3030</v>
      </c>
      <c r="D69" t="str">
        <f>IF(TableOUEDEC[[#This Row],[OUA Code]]&lt;&gt;"",_xlfn.TEXTAFTER(TableOUEDEC[[#This Row],[Structure Line]]," "),TableOUEDEC[[#This Row],[Structure Line]])</f>
        <v>Language, Literacy and Literature for 3 to 5-Year-Olds</v>
      </c>
      <c r="E69" s="44">
        <f>TableOUEDEC[[#This Row],[Credit Points]]</f>
        <v>25</v>
      </c>
      <c r="F69" s="64">
        <v>21</v>
      </c>
      <c r="G69" s="64" t="s">
        <v>477</v>
      </c>
      <c r="H69" s="241">
        <v>3</v>
      </c>
      <c r="I69" s="64" t="s">
        <v>478</v>
      </c>
      <c r="J69" s="64" t="s">
        <v>602</v>
      </c>
      <c r="K69" s="64">
        <v>1</v>
      </c>
      <c r="L69" s="64" t="s">
        <v>603</v>
      </c>
      <c r="M69" s="64">
        <v>25</v>
      </c>
      <c r="N69" s="62">
        <v>46023</v>
      </c>
      <c r="O69" s="62"/>
      <c r="P69" s="62"/>
    </row>
    <row r="70" spans="1:16" x14ac:dyDescent="0.25">
      <c r="A70" t="str">
        <f>TableOUEDEC[[#This Row],[Study Package Code]]</f>
        <v>EDEC3032</v>
      </c>
      <c r="B70" s="5">
        <f>TableOUEDEC[[#This Row],[Ver]]</f>
        <v>1</v>
      </c>
      <c r="C70" t="str">
        <f>IF(TableOUEDEC[[#This Row],[Ver]]&gt;0,_xlfn.TEXTBEFORE(TableOUEDEC[[#This Row],[Structure Line]]," "),"")</f>
        <v>EDEC3032</v>
      </c>
      <c r="D70" t="str">
        <f>IF(TableOUEDEC[[#This Row],[OUA Code]]&lt;&gt;"",_xlfn.TEXTAFTER(TableOUEDEC[[#This Row],[Structure Line]]," "),TableOUEDEC[[#This Row],[Structure Line]])</f>
        <v>Early Childhood Professional Experience: Formal Learning Environments for 5 to 8-year-olds</v>
      </c>
      <c r="E70" s="44">
        <f>TableOUEDEC[[#This Row],[Credit Points]]</f>
        <v>25</v>
      </c>
      <c r="F70" s="64">
        <v>22</v>
      </c>
      <c r="G70" s="64" t="s">
        <v>477</v>
      </c>
      <c r="H70" s="241">
        <v>3</v>
      </c>
      <c r="I70" s="64" t="s">
        <v>478</v>
      </c>
      <c r="J70" s="64" t="s">
        <v>598</v>
      </c>
      <c r="K70" s="64">
        <v>1</v>
      </c>
      <c r="L70" s="64" t="s">
        <v>599</v>
      </c>
      <c r="M70" s="64">
        <v>25</v>
      </c>
      <c r="N70" s="62">
        <v>46023</v>
      </c>
      <c r="O70" s="62"/>
      <c r="P70" s="62"/>
    </row>
    <row r="71" spans="1:16" x14ac:dyDescent="0.25">
      <c r="A71" t="str">
        <f>TableOUEDEC[[#This Row],[Study Package Code]]</f>
        <v>EDUC2002</v>
      </c>
      <c r="B71" s="5">
        <f>TableOUEDEC[[#This Row],[Ver]]</f>
        <v>1</v>
      </c>
      <c r="C71" t="str">
        <f>IF(TableOUEDEC[[#This Row],[Ver]]&gt;0,_xlfn.TEXTBEFORE(TableOUEDEC[[#This Row],[Structure Line]]," "),"")</f>
        <v>EDUC2002</v>
      </c>
      <c r="D71" t="str">
        <f>IF(TableOUEDEC[[#This Row],[OUA Code]]&lt;&gt;"",_xlfn.TEXTAFTER(TableOUEDEC[[#This Row],[Structure Line]]," "),TableOUEDEC[[#This Row],[Structure Line]])</f>
        <v>English: Teaching Reading and Writing</v>
      </c>
      <c r="E71" s="44">
        <f>TableOUEDEC[[#This Row],[Credit Points]]</f>
        <v>25</v>
      </c>
      <c r="F71" s="64">
        <v>23</v>
      </c>
      <c r="G71" s="64" t="s">
        <v>477</v>
      </c>
      <c r="H71" s="241">
        <v>3</v>
      </c>
      <c r="I71" s="64" t="s">
        <v>478</v>
      </c>
      <c r="J71" s="64" t="s">
        <v>604</v>
      </c>
      <c r="K71" s="64">
        <v>1</v>
      </c>
      <c r="L71" s="64" t="s">
        <v>605</v>
      </c>
      <c r="M71" s="64">
        <v>25</v>
      </c>
      <c r="N71" s="62">
        <v>46023</v>
      </c>
      <c r="O71" s="62"/>
      <c r="P71" s="62"/>
    </row>
    <row r="72" spans="1:16" x14ac:dyDescent="0.25">
      <c r="A72" t="str">
        <f>TableOUEDEC[[#This Row],[Study Package Code]]</f>
        <v>INED3001</v>
      </c>
      <c r="B72" s="5">
        <f>TableOUEDEC[[#This Row],[Ver]]</f>
        <v>1</v>
      </c>
      <c r="C72" t="s">
        <v>113</v>
      </c>
      <c r="D72" t="str">
        <f>TableOUEDEC[[#This Row],[Structure Line]]</f>
        <v>Indigenous Australian Education</v>
      </c>
      <c r="E72" s="44">
        <f>TableOUEDEC[[#This Row],[Credit Points]]</f>
        <v>25</v>
      </c>
      <c r="F72" s="64">
        <v>24</v>
      </c>
      <c r="G72" s="64" t="s">
        <v>477</v>
      </c>
      <c r="H72" s="241">
        <v>3</v>
      </c>
      <c r="I72" s="64" t="s">
        <v>478</v>
      </c>
      <c r="J72" s="64" t="s">
        <v>113</v>
      </c>
      <c r="K72" s="64">
        <v>1</v>
      </c>
      <c r="L72" s="64" t="s">
        <v>414</v>
      </c>
      <c r="M72" s="64">
        <v>25</v>
      </c>
      <c r="N72" s="62">
        <v>42005</v>
      </c>
      <c r="O72" s="62"/>
      <c r="P72" s="62"/>
    </row>
    <row r="73" spans="1:16" x14ac:dyDescent="0.25">
      <c r="A73" t="str">
        <f>TableOUEDEC[[#This Row],[Study Package Code]]</f>
        <v>EDUC4050</v>
      </c>
      <c r="B73" s="5">
        <f>TableOUEDEC[[#This Row],[Ver]]</f>
        <v>1</v>
      </c>
      <c r="C73" t="str">
        <f>IF(TableOUEDEC[[#This Row],[Ver]]&gt;0,_xlfn.TEXTBEFORE(TableOUEDEC[[#This Row],[Structure Line]]," "),"")</f>
        <v>EDC445</v>
      </c>
      <c r="D73" t="str">
        <f>IF(TableOUEDEC[[#This Row],[OUA Code]]&lt;&gt;"",_xlfn.TEXTAFTER(TableOUEDEC[[#This Row],[Structure Line]]," "),TableOUEDEC[[#This Row],[Structure Line]])</f>
        <v>The Professional Educator: Transition to the Profession</v>
      </c>
      <c r="E73" s="44">
        <f>TableOUEDEC[[#This Row],[Credit Points]]</f>
        <v>25</v>
      </c>
      <c r="F73" s="64">
        <v>25</v>
      </c>
      <c r="G73" s="64" t="s">
        <v>477</v>
      </c>
      <c r="H73" s="241">
        <v>4</v>
      </c>
      <c r="I73" s="64" t="s">
        <v>478</v>
      </c>
      <c r="J73" s="64" t="s">
        <v>126</v>
      </c>
      <c r="K73" s="64">
        <v>1</v>
      </c>
      <c r="L73" s="64" t="s">
        <v>493</v>
      </c>
      <c r="M73" s="64">
        <v>25</v>
      </c>
      <c r="N73" s="62">
        <v>43466</v>
      </c>
      <c r="O73" s="62"/>
      <c r="P73" s="62"/>
    </row>
    <row r="74" spans="1:16" x14ac:dyDescent="0.25">
      <c r="A74" t="str">
        <f>TableOUEDEC[[#This Row],[Study Package Code]]</f>
        <v>EDEC4007</v>
      </c>
      <c r="B74" s="5">
        <f>TableOUEDEC[[#This Row],[Ver]]</f>
        <v>1</v>
      </c>
      <c r="C74" t="str">
        <f>IF(TableOUEDEC[[#This Row],[Ver]]&gt;0,_xlfn.TEXTBEFORE(TableOUEDEC[[#This Row],[Structure Line]]," "),"")</f>
        <v>EDE413</v>
      </c>
      <c r="D74" t="str">
        <f>IF(TableOUEDEC[[#This Row],[OUA Code]]&lt;&gt;"",_xlfn.TEXTAFTER(TableOUEDEC[[#This Row],[Structure Line]]," "),TableOUEDEC[[#This Row],[Structure Line]])</f>
        <v>Social Justice and Diversity in Early Childhood</v>
      </c>
      <c r="E74" s="44">
        <f>TableOUEDEC[[#This Row],[Credit Points]]</f>
        <v>25</v>
      </c>
      <c r="F74" s="64">
        <v>26</v>
      </c>
      <c r="G74" s="64" t="s">
        <v>477</v>
      </c>
      <c r="H74" s="241">
        <v>4</v>
      </c>
      <c r="I74" s="64" t="s">
        <v>478</v>
      </c>
      <c r="J74" s="64" t="s">
        <v>124</v>
      </c>
      <c r="K74" s="64">
        <v>1</v>
      </c>
      <c r="L74" s="64" t="s">
        <v>494</v>
      </c>
      <c r="M74" s="64">
        <v>25</v>
      </c>
      <c r="N74" s="62">
        <v>43466</v>
      </c>
      <c r="O74" s="62"/>
      <c r="P74" s="62"/>
    </row>
    <row r="75" spans="1:16" x14ac:dyDescent="0.25">
      <c r="A75" t="str">
        <f>TableOUEDEC[[#This Row],[Study Package Code]]</f>
        <v>EDEC4005</v>
      </c>
      <c r="B75" s="5">
        <f>TableOUEDEC[[#This Row],[Ver]]</f>
        <v>1</v>
      </c>
      <c r="C75" t="str">
        <f>IF(TableOUEDEC[[#This Row],[Ver]]&gt;0,_xlfn.TEXTBEFORE(TableOUEDEC[[#This Row],[Structure Line]]," "),"")</f>
        <v>EDE425</v>
      </c>
      <c r="D75" t="str">
        <f>IF(TableOUEDEC[[#This Row],[OUA Code]]&lt;&gt;"",_xlfn.TEXTAFTER(TableOUEDEC[[#This Row],[Structure Line]]," "),TableOUEDEC[[#This Row],[Structure Line]])</f>
        <v>Curriculum Integration and Differentiation</v>
      </c>
      <c r="E75" s="44">
        <f>TableOUEDEC[[#This Row],[Credit Points]]</f>
        <v>25</v>
      </c>
      <c r="F75" s="64">
        <v>27</v>
      </c>
      <c r="G75" s="64" t="s">
        <v>477</v>
      </c>
      <c r="H75" s="241">
        <v>4</v>
      </c>
      <c r="I75" s="64" t="s">
        <v>478</v>
      </c>
      <c r="J75" s="64" t="s">
        <v>130</v>
      </c>
      <c r="K75" s="64">
        <v>1</v>
      </c>
      <c r="L75" s="64" t="s">
        <v>495</v>
      </c>
      <c r="M75" s="64">
        <v>25</v>
      </c>
      <c r="N75" s="62">
        <v>43466</v>
      </c>
      <c r="O75" s="62"/>
      <c r="P75" s="62"/>
    </row>
    <row r="76" spans="1:16" x14ac:dyDescent="0.25">
      <c r="A76" t="str">
        <f>TableOUEDEC[[#This Row],[Study Package Code]]</f>
        <v>EDUC4041</v>
      </c>
      <c r="B76" s="5">
        <f>TableOUEDEC[[#This Row],[Ver]]</f>
        <v>1</v>
      </c>
      <c r="C76" t="str">
        <f>IF(TableOUEDEC[[#This Row],[Ver]]&gt;0,_xlfn.TEXTBEFORE(TableOUEDEC[[#This Row],[Structure Line]]," "),"")</f>
        <v>EDC450</v>
      </c>
      <c r="D76" t="str">
        <f>IF(TableOUEDEC[[#This Row],[OUA Code]]&lt;&gt;"",_xlfn.TEXTAFTER(TableOUEDEC[[#This Row],[Structure Line]]," "),TableOUEDEC[[#This Row],[Structure Line]])</f>
        <v>Professional Experience 4: The Internship</v>
      </c>
      <c r="E76" s="44">
        <f>TableOUEDEC[[#This Row],[Credit Points]]</f>
        <v>100</v>
      </c>
      <c r="F76" s="64">
        <v>28</v>
      </c>
      <c r="G76" s="64" t="s">
        <v>477</v>
      </c>
      <c r="H76" s="241">
        <v>4</v>
      </c>
      <c r="I76" s="64" t="s">
        <v>478</v>
      </c>
      <c r="J76" s="64" t="s">
        <v>132</v>
      </c>
      <c r="K76" s="64">
        <v>1</v>
      </c>
      <c r="L76" s="64" t="s">
        <v>496</v>
      </c>
      <c r="M76" s="64">
        <v>100</v>
      </c>
      <c r="N76" s="62">
        <v>43466</v>
      </c>
      <c r="O76" s="62"/>
      <c r="P76" s="62"/>
    </row>
    <row r="77" spans="1:16" x14ac:dyDescent="0.25">
      <c r="A77" t="str">
        <f>TableOUEDEC[[#This Row],[Study Package Code]]</f>
        <v>Option</v>
      </c>
      <c r="B77" s="5">
        <f>TableOUEDEC[[#This Row],[Ver]]</f>
        <v>0</v>
      </c>
      <c r="C77" t="str">
        <f>IF(TableOUEDEC[[#This Row],[Ver]]&gt;0,_xlfn.TEXTBEFORE(TableOUEDEC[[#This Row],[Structure Line]]," "),"")</f>
        <v/>
      </c>
      <c r="D77" t="str">
        <f>IF(TableOUEDEC[[#This Row],[OUA Code]]&lt;&gt;"",_xlfn.TEXTAFTER(TableOUEDEC[[#This Row],[Structure Line]]," "),TableOUEDEC[[#This Row],[Structure Line]])</f>
        <v>Choose an Option</v>
      </c>
      <c r="E77" s="44">
        <f>TableOUEDEC[[#This Row],[Credit Points]]</f>
        <v>25</v>
      </c>
      <c r="F77" s="64">
        <v>29</v>
      </c>
      <c r="G77" s="64" t="s">
        <v>492</v>
      </c>
      <c r="H77" s="241">
        <v>4</v>
      </c>
      <c r="I77" s="64" t="s">
        <v>478</v>
      </c>
      <c r="J77" s="64" t="s">
        <v>492</v>
      </c>
      <c r="K77" s="64">
        <v>0</v>
      </c>
      <c r="L77" s="64" t="s">
        <v>696</v>
      </c>
      <c r="M77" s="64">
        <v>25</v>
      </c>
      <c r="N77" s="62"/>
      <c r="O77" s="62"/>
      <c r="P77" s="62"/>
    </row>
    <row r="78" spans="1:16" x14ac:dyDescent="0.25">
      <c r="A78" t="str">
        <f>TableOUEDEC[[#This Row],[Study Package Code]]</f>
        <v>CTED4004</v>
      </c>
      <c r="B78" s="5">
        <f>TableOUEDEC[[#This Row],[Ver]]</f>
        <v>2</v>
      </c>
      <c r="C78" t="str">
        <f>IF(TableOUEDEC[[#This Row],[Ver]]&gt;0,_xlfn.TEXTBEFORE(TableOUEDEC[[#This Row],[Structure Line]]," "),"")</f>
        <v>EDC484</v>
      </c>
      <c r="D78" t="str">
        <f>IF(TableOUEDEC[[#This Row],[OUA Code]]&lt;&gt;"",_xlfn.TEXTAFTER(TableOUEDEC[[#This Row],[Structure Line]]," "),TableOUEDEC[[#This Row],[Structure Line]])</f>
        <v>Teaching About Sacraments in Catholic Schools</v>
      </c>
      <c r="E78" s="44">
        <f>TableOUEDEC[[#This Row],[Credit Points]]</f>
        <v>25</v>
      </c>
      <c r="F78" s="64"/>
      <c r="G78" s="64" t="s">
        <v>492</v>
      </c>
      <c r="H78" s="241"/>
      <c r="I78" s="64"/>
      <c r="J78" s="64" t="s">
        <v>152</v>
      </c>
      <c r="K78" s="64">
        <v>2</v>
      </c>
      <c r="L78" s="64" t="s">
        <v>497</v>
      </c>
      <c r="M78" s="64">
        <v>25</v>
      </c>
      <c r="N78" s="62">
        <v>45292</v>
      </c>
      <c r="O78" s="62"/>
      <c r="P78" s="62"/>
    </row>
    <row r="79" spans="1:16" x14ac:dyDescent="0.25">
      <c r="A79" t="str">
        <f>TableOUEDEC[[#This Row],[Study Package Code]]</f>
        <v>CTED4007</v>
      </c>
      <c r="B79" s="5">
        <f>TableOUEDEC[[#This Row],[Ver]]</f>
        <v>1</v>
      </c>
      <c r="C79" t="str">
        <f>IF(TableOUEDEC[[#This Row],[Ver]]&gt;0,_xlfn.TEXTBEFORE(TableOUEDEC[[#This Row],[Structure Line]]," "),"")</f>
        <v>EDC430</v>
      </c>
      <c r="D79" t="str">
        <f>IF(TableOUEDEC[[#This Row],[OUA Code]]&lt;&gt;"",_xlfn.TEXTAFTER(TableOUEDEC[[#This Row],[Structure Line]]," "),TableOUEDEC[[#This Row],[Structure Line]])</f>
        <v>Teaching About Jesus in Catholic Schools</v>
      </c>
      <c r="E79" s="44">
        <f>TableOUEDEC[[#This Row],[Credit Points]]</f>
        <v>25</v>
      </c>
      <c r="F79" s="64"/>
      <c r="G79" s="64" t="s">
        <v>492</v>
      </c>
      <c r="H79" s="241"/>
      <c r="I79" s="64"/>
      <c r="J79" s="64" t="s">
        <v>153</v>
      </c>
      <c r="K79" s="64">
        <v>1</v>
      </c>
      <c r="L79" s="64" t="s">
        <v>498</v>
      </c>
      <c r="M79" s="64">
        <v>25</v>
      </c>
      <c r="N79" s="62">
        <v>45292</v>
      </c>
      <c r="O79" s="62"/>
      <c r="P79" s="62"/>
    </row>
    <row r="80" spans="1:16" x14ac:dyDescent="0.25">
      <c r="A80" t="str">
        <f>TableOUEDEC[[#This Row],[Study Package Code]]</f>
        <v>CTED4009</v>
      </c>
      <c r="B80" s="5">
        <f>TableOUEDEC[[#This Row],[Ver]]</f>
        <v>1</v>
      </c>
      <c r="C80" t="str">
        <f>IF(TableOUEDEC[[#This Row],[Ver]]&gt;0,_xlfn.TEXTBEFORE(TableOUEDEC[[#This Row],[Structure Line]]," "),"")</f>
        <v>EDC435</v>
      </c>
      <c r="D80" t="str">
        <f>IF(TableOUEDEC[[#This Row],[OUA Code]]&lt;&gt;"",_xlfn.TEXTAFTER(TableOUEDEC[[#This Row],[Structure Line]]," "),TableOUEDEC[[#This Row],[Structure Line]])</f>
        <v>Teaching About the Gospels in Catholic Schools</v>
      </c>
      <c r="E80" s="44">
        <f>TableOUEDEC[[#This Row],[Credit Points]]</f>
        <v>25</v>
      </c>
      <c r="F80" s="64"/>
      <c r="G80" s="64" t="s">
        <v>492</v>
      </c>
      <c r="H80" s="241"/>
      <c r="I80" s="64"/>
      <c r="J80" s="64" t="s">
        <v>154</v>
      </c>
      <c r="K80" s="64">
        <v>1</v>
      </c>
      <c r="L80" s="64" t="s">
        <v>499</v>
      </c>
      <c r="M80" s="64">
        <v>25</v>
      </c>
      <c r="N80" s="62">
        <v>45292</v>
      </c>
      <c r="O80" s="62"/>
      <c r="P80" s="62"/>
    </row>
    <row r="81" spans="1:18" x14ac:dyDescent="0.25">
      <c r="A81" t="str">
        <f>TableOUEDEC[[#This Row],[Study Package Code]]</f>
        <v>EDUC4024</v>
      </c>
      <c r="B81" s="5">
        <f>TableOUEDEC[[#This Row],[Ver]]</f>
        <v>1</v>
      </c>
      <c r="C81" t="str">
        <f>IF(TableOUEDEC[[#This Row],[Ver]]&gt;0,_xlfn.TEXTBEFORE(TableOUEDEC[[#This Row],[Structure Line]]," "),"")</f>
        <v>EDC486</v>
      </c>
      <c r="D81" t="str">
        <f>IF(TableOUEDEC[[#This Row],[OUA Code]]&lt;&gt;"",_xlfn.TEXTAFTER(TableOUEDEC[[#This Row],[Structure Line]]," "),TableOUEDEC[[#This Row],[Structure Line]])</f>
        <v>Creating and Responding to Literature</v>
      </c>
      <c r="E81" s="44">
        <f>TableOUEDEC[[#This Row],[Credit Points]]</f>
        <v>25</v>
      </c>
      <c r="F81" s="64"/>
      <c r="G81" s="64" t="s">
        <v>492</v>
      </c>
      <c r="H81" s="241"/>
      <c r="I81" s="64"/>
      <c r="J81" s="64" t="s">
        <v>140</v>
      </c>
      <c r="K81" s="64">
        <v>1</v>
      </c>
      <c r="L81" s="64" t="s">
        <v>500</v>
      </c>
      <c r="M81" s="64">
        <v>25</v>
      </c>
      <c r="N81" s="62">
        <v>43282</v>
      </c>
      <c r="O81" s="62"/>
      <c r="P81" s="62"/>
    </row>
    <row r="82" spans="1:18" x14ac:dyDescent="0.25">
      <c r="A82" t="str">
        <f>TableOUEDEC[[#This Row],[Study Package Code]]</f>
        <v>EDUC4025</v>
      </c>
      <c r="B82" s="5">
        <f>TableOUEDEC[[#This Row],[Ver]]</f>
        <v>1</v>
      </c>
      <c r="C82" t="str">
        <f>IF(TableOUEDEC[[#This Row],[Ver]]&gt;0,_xlfn.TEXTBEFORE(TableOUEDEC[[#This Row],[Structure Line]]," "),"")</f>
        <v>EDC487</v>
      </c>
      <c r="D82" t="str">
        <f>IF(TableOUEDEC[[#This Row],[OUA Code]]&lt;&gt;"",_xlfn.TEXTAFTER(TableOUEDEC[[#This Row],[Structure Line]]," "),TableOUEDEC[[#This Row],[Structure Line]])</f>
        <v>Creative Literacies</v>
      </c>
      <c r="E82" s="44">
        <f>TableOUEDEC[[#This Row],[Credit Points]]</f>
        <v>25</v>
      </c>
      <c r="F82" s="64"/>
      <c r="G82" s="64" t="s">
        <v>492</v>
      </c>
      <c r="H82" s="241"/>
      <c r="I82" s="64"/>
      <c r="J82" s="64" t="s">
        <v>141</v>
      </c>
      <c r="K82" s="64">
        <v>1</v>
      </c>
      <c r="L82" s="64" t="s">
        <v>501</v>
      </c>
      <c r="M82" s="64">
        <v>25</v>
      </c>
      <c r="N82" s="62">
        <v>43282</v>
      </c>
      <c r="O82" s="62"/>
      <c r="P82" s="62"/>
    </row>
    <row r="83" spans="1:18" x14ac:dyDescent="0.25">
      <c r="A83" t="str">
        <f>TableOUEDEC[[#This Row],[Study Package Code]]</f>
        <v>EDUC4026</v>
      </c>
      <c r="B83" s="5">
        <f>TableOUEDEC[[#This Row],[Ver]]</f>
        <v>1</v>
      </c>
      <c r="C83" t="str">
        <f>IF(TableOUEDEC[[#This Row],[Ver]]&gt;0,_xlfn.TEXTBEFORE(TableOUEDEC[[#This Row],[Structure Line]]," "),"")</f>
        <v>EDC488</v>
      </c>
      <c r="D83" t="str">
        <f>IF(TableOUEDEC[[#This Row],[OUA Code]]&lt;&gt;"",_xlfn.TEXTAFTER(TableOUEDEC[[#This Row],[Structure Line]]," "),TableOUEDEC[[#This Row],[Structure Line]])</f>
        <v>Project-based iSTEM Education</v>
      </c>
      <c r="E83" s="44">
        <f>TableOUEDEC[[#This Row],[Credit Points]]</f>
        <v>25</v>
      </c>
      <c r="F83" s="64"/>
      <c r="G83" s="64" t="s">
        <v>492</v>
      </c>
      <c r="H83" s="241"/>
      <c r="I83" s="64"/>
      <c r="J83" s="64" t="s">
        <v>136</v>
      </c>
      <c r="K83" s="64">
        <v>1</v>
      </c>
      <c r="L83" s="64" t="s">
        <v>502</v>
      </c>
      <c r="M83" s="64">
        <v>25</v>
      </c>
      <c r="N83" s="62">
        <v>43282</v>
      </c>
      <c r="O83" s="62"/>
      <c r="P83" s="62"/>
    </row>
    <row r="84" spans="1:18" x14ac:dyDescent="0.25">
      <c r="A84" t="str">
        <f>TableOUEDEC[[#This Row],[Study Package Code]]</f>
        <v>EDUC4028</v>
      </c>
      <c r="B84" s="5">
        <f>TableOUEDEC[[#This Row],[Ver]]</f>
        <v>1</v>
      </c>
      <c r="C84" t="str">
        <f>IF(TableOUEDEC[[#This Row],[Ver]]&gt;0,_xlfn.TEXTBEFORE(TableOUEDEC[[#This Row],[Structure Line]]," "),"")</f>
        <v>EDC490</v>
      </c>
      <c r="D84" t="str">
        <f>IF(TableOUEDEC[[#This Row],[OUA Code]]&lt;&gt;"",_xlfn.TEXTAFTER(TableOUEDEC[[#This Row],[Structure Line]]," "),TableOUEDEC[[#This Row],[Structure Line]])</f>
        <v>Supporting Literacy and Numeracy Development for Diverse Learners</v>
      </c>
      <c r="E84" s="44">
        <f>TableOUEDEC[[#This Row],[Credit Points]]</f>
        <v>25</v>
      </c>
      <c r="F84" s="64"/>
      <c r="G84" s="64" t="s">
        <v>492</v>
      </c>
      <c r="H84" s="241"/>
      <c r="I84" s="64"/>
      <c r="J84" s="64" t="s">
        <v>144</v>
      </c>
      <c r="K84" s="64">
        <v>1</v>
      </c>
      <c r="L84" s="64" t="s">
        <v>503</v>
      </c>
      <c r="M84" s="64">
        <v>25</v>
      </c>
      <c r="N84" s="62">
        <v>43282</v>
      </c>
      <c r="O84" s="62"/>
      <c r="P84" s="62"/>
    </row>
    <row r="85" spans="1:18" x14ac:dyDescent="0.25">
      <c r="A85" t="str">
        <f>TableOUEDEC[[#This Row],[Study Package Code]]</f>
        <v>EDUC4030</v>
      </c>
      <c r="B85" s="5">
        <f>TableOUEDEC[[#This Row],[Ver]]</f>
        <v>1</v>
      </c>
      <c r="C85" t="str">
        <f>IF(TableOUEDEC[[#This Row],[Ver]]&gt;0,_xlfn.TEXTBEFORE(TableOUEDEC[[#This Row],[Structure Line]]," "),"")</f>
        <v>EDC491</v>
      </c>
      <c r="D85" t="str">
        <f>IF(TableOUEDEC[[#This Row],[OUA Code]]&lt;&gt;"",_xlfn.TEXTAFTER(TableOUEDEC[[#This Row],[Structure Line]]," "),TableOUEDEC[[#This Row],[Structure Line]])</f>
        <v>Technologies: Coding for Teachers</v>
      </c>
      <c r="E85" s="44">
        <f>TableOUEDEC[[#This Row],[Credit Points]]</f>
        <v>25</v>
      </c>
      <c r="F85" s="64"/>
      <c r="G85" s="64" t="s">
        <v>492</v>
      </c>
      <c r="H85" s="241"/>
      <c r="I85" s="64"/>
      <c r="J85" s="64" t="s">
        <v>148</v>
      </c>
      <c r="K85" s="64">
        <v>1</v>
      </c>
      <c r="L85" s="64" t="s">
        <v>504</v>
      </c>
      <c r="M85" s="64">
        <v>25</v>
      </c>
      <c r="N85" s="62">
        <v>43282</v>
      </c>
      <c r="O85" s="62"/>
      <c r="P85" s="62"/>
    </row>
    <row r="86" spans="1:18" x14ac:dyDescent="0.25">
      <c r="A86" t="str">
        <f>TableOUEDEC[[#This Row],[Study Package Code]]</f>
        <v>EDUC4033</v>
      </c>
      <c r="B86" s="5">
        <f>TableOUEDEC[[#This Row],[Ver]]</f>
        <v>1</v>
      </c>
      <c r="C86" t="str">
        <f>IF(TableOUEDEC[[#This Row],[Ver]]&gt;0,_xlfn.TEXTBEFORE(TableOUEDEC[[#This Row],[Structure Line]]," "),"")</f>
        <v>EDC492</v>
      </c>
      <c r="D86" t="str">
        <f>IF(TableOUEDEC[[#This Row],[OUA Code]]&lt;&gt;"",_xlfn.TEXTAFTER(TableOUEDEC[[#This Row],[Structure Line]]," "),TableOUEDEC[[#This Row],[Structure Line]])</f>
        <v>iSTEM Education through Digital Stories</v>
      </c>
      <c r="E86" s="44">
        <f>TableOUEDEC[[#This Row],[Credit Points]]</f>
        <v>25</v>
      </c>
      <c r="F86" s="64"/>
      <c r="G86" s="64" t="s">
        <v>492</v>
      </c>
      <c r="H86" s="241"/>
      <c r="I86" s="64"/>
      <c r="J86" s="64" t="s">
        <v>137</v>
      </c>
      <c r="K86" s="64">
        <v>1</v>
      </c>
      <c r="L86" s="64" t="s">
        <v>505</v>
      </c>
      <c r="M86" s="64">
        <v>25</v>
      </c>
      <c r="N86" s="62">
        <v>43466</v>
      </c>
      <c r="O86" s="62"/>
      <c r="P86" s="62"/>
    </row>
    <row r="87" spans="1:18" x14ac:dyDescent="0.25">
      <c r="A87" t="str">
        <f>TableOUEDEC[[#This Row],[Study Package Code]]</f>
        <v>EDUC4035</v>
      </c>
      <c r="B87" s="5">
        <f>TableOUEDEC[[#This Row],[Ver]]</f>
        <v>1</v>
      </c>
      <c r="C87" t="str">
        <f>IF(TableOUEDEC[[#This Row],[Ver]]&gt;0,_xlfn.TEXTBEFORE(TableOUEDEC[[#This Row],[Structure Line]]," "),"")</f>
        <v>EDC493</v>
      </c>
      <c r="D87" t="str">
        <f>IF(TableOUEDEC[[#This Row],[OUA Code]]&lt;&gt;"",_xlfn.TEXTAFTER(TableOUEDEC[[#This Row],[Structure Line]]," "),TableOUEDEC[[#This Row],[Structure Line]])</f>
        <v>iSTEM: Social Issues</v>
      </c>
      <c r="E87" s="44">
        <f>TableOUEDEC[[#This Row],[Credit Points]]</f>
        <v>25</v>
      </c>
      <c r="F87" s="64"/>
      <c r="G87" s="64" t="s">
        <v>492</v>
      </c>
      <c r="H87" s="241"/>
      <c r="I87" s="64"/>
      <c r="J87" s="64" t="s">
        <v>138</v>
      </c>
      <c r="K87" s="64">
        <v>1</v>
      </c>
      <c r="L87" s="64" t="s">
        <v>506</v>
      </c>
      <c r="M87" s="64">
        <v>25</v>
      </c>
      <c r="N87" s="62">
        <v>43466</v>
      </c>
      <c r="O87" s="62"/>
      <c r="P87" s="62"/>
    </row>
    <row r="88" spans="1:18" x14ac:dyDescent="0.25">
      <c r="A88" t="str">
        <f>TableOUEDEC[[#This Row],[Study Package Code]]</f>
        <v>EDUC4037</v>
      </c>
      <c r="B88" s="5">
        <f>TableOUEDEC[[#This Row],[Ver]]</f>
        <v>1</v>
      </c>
      <c r="C88" t="str">
        <f>IF(TableOUEDEC[[#This Row],[Ver]]&gt;0,_xlfn.TEXTBEFORE(TableOUEDEC[[#This Row],[Structure Line]]," "),"")</f>
        <v>EDC494</v>
      </c>
      <c r="D88" t="str">
        <f>IF(TableOUEDEC[[#This Row],[OUA Code]]&lt;&gt;"",_xlfn.TEXTAFTER(TableOUEDEC[[#This Row],[Structure Line]]," "),TableOUEDEC[[#This Row],[Structure Line]])</f>
        <v>Language and Diversity</v>
      </c>
      <c r="E88" s="44">
        <f>TableOUEDEC[[#This Row],[Credit Points]]</f>
        <v>25</v>
      </c>
      <c r="F88" s="64"/>
      <c r="G88" s="64" t="s">
        <v>492</v>
      </c>
      <c r="H88" s="241"/>
      <c r="I88" s="64"/>
      <c r="J88" s="64" t="s">
        <v>142</v>
      </c>
      <c r="K88" s="64">
        <v>1</v>
      </c>
      <c r="L88" s="64" t="s">
        <v>507</v>
      </c>
      <c r="M88" s="64">
        <v>25</v>
      </c>
      <c r="N88" s="62">
        <v>43466</v>
      </c>
      <c r="O88" s="62"/>
      <c r="P88" s="62"/>
    </row>
    <row r="89" spans="1:18" x14ac:dyDescent="0.25">
      <c r="A89" t="str">
        <f>TableOUEDEC[[#This Row],[Study Package Code]]</f>
        <v>EDUC4039</v>
      </c>
      <c r="B89" s="5">
        <f>TableOUEDEC[[#This Row],[Ver]]</f>
        <v>1</v>
      </c>
      <c r="C89" t="str">
        <f>IF(TableOUEDEC[[#This Row],[Ver]]&gt;0,_xlfn.TEXTBEFORE(TableOUEDEC[[#This Row],[Structure Line]]," "),"")</f>
        <v>EDC495</v>
      </c>
      <c r="D89" t="str">
        <f>IF(TableOUEDEC[[#This Row],[OUA Code]]&lt;&gt;"",_xlfn.TEXTAFTER(TableOUEDEC[[#This Row],[Structure Line]]," "),TableOUEDEC[[#This Row],[Structure Line]])</f>
        <v>Technologies: Design Solutions</v>
      </c>
      <c r="E89" s="44">
        <f>TableOUEDEC[[#This Row],[Credit Points]]</f>
        <v>25</v>
      </c>
      <c r="F89" s="64"/>
      <c r="G89" s="64" t="s">
        <v>492</v>
      </c>
      <c r="H89" s="241"/>
      <c r="I89" s="64"/>
      <c r="J89" s="64" t="s">
        <v>149</v>
      </c>
      <c r="K89" s="64">
        <v>1</v>
      </c>
      <c r="L89" s="64" t="s">
        <v>508</v>
      </c>
      <c r="M89" s="64">
        <v>25</v>
      </c>
      <c r="N89" s="62">
        <v>43466</v>
      </c>
      <c r="O89" s="62"/>
      <c r="P89" s="62"/>
    </row>
    <row r="90" spans="1:18" x14ac:dyDescent="0.25">
      <c r="A90" t="str">
        <f>TableOUEDEC[[#This Row],[Study Package Code]]</f>
        <v>EDUC4043</v>
      </c>
      <c r="B90" s="5">
        <f>TableOUEDEC[[#This Row],[Ver]]</f>
        <v>1</v>
      </c>
      <c r="C90" t="str">
        <f>IF(TableOUEDEC[[#This Row],[Ver]]&gt;0,_xlfn.TEXTBEFORE(TableOUEDEC[[#This Row],[Structure Line]]," "),"")</f>
        <v>EDC465</v>
      </c>
      <c r="D90" t="str">
        <f>IF(TableOUEDEC[[#This Row],[OUA Code]]&lt;&gt;"",_xlfn.TEXTAFTER(TableOUEDEC[[#This Row],[Structure Line]]," "),TableOUEDEC[[#This Row],[Structure Line]])</f>
        <v>Alternative Approaches to Teaching Literacy and Numeracy</v>
      </c>
      <c r="E90" s="44">
        <f>TableOUEDEC[[#This Row],[Credit Points]]</f>
        <v>25</v>
      </c>
      <c r="F90" s="64"/>
      <c r="G90" s="64" t="s">
        <v>492</v>
      </c>
      <c r="H90" s="241"/>
      <c r="I90" s="64"/>
      <c r="J90" s="64" t="s">
        <v>145</v>
      </c>
      <c r="K90" s="64">
        <v>1</v>
      </c>
      <c r="L90" s="64" t="s">
        <v>509</v>
      </c>
      <c r="M90" s="64">
        <v>25</v>
      </c>
      <c r="N90" s="62">
        <v>43466</v>
      </c>
      <c r="O90" s="62"/>
      <c r="P90" s="62"/>
    </row>
    <row r="91" spans="1:18" x14ac:dyDescent="0.25">
      <c r="A91" t="str">
        <f>TableOUEDEC[[#This Row],[Study Package Code]]</f>
        <v>EDUC4045</v>
      </c>
      <c r="B91" s="5">
        <f>TableOUEDEC[[#This Row],[Ver]]</f>
        <v>2</v>
      </c>
      <c r="C91" t="str">
        <f>IF(TableOUEDEC[[#This Row],[Ver]]&gt;0,_xlfn.TEXTBEFORE(TableOUEDEC[[#This Row],[Structure Line]]," "),"")</f>
        <v>EDC460</v>
      </c>
      <c r="D91" t="str">
        <f>IF(TableOUEDEC[[#This Row],[OUA Code]]&lt;&gt;"",_xlfn.TEXTAFTER(TableOUEDEC[[#This Row],[Structure Line]]," "),TableOUEDEC[[#This Row],[Structure Line]])</f>
        <v>Literacy and Numeracy for First Nations Peoples of Australia</v>
      </c>
      <c r="E91" s="44">
        <f>TableOUEDEC[[#This Row],[Credit Points]]</f>
        <v>25</v>
      </c>
      <c r="F91" s="64"/>
      <c r="G91" s="64" t="s">
        <v>492</v>
      </c>
      <c r="H91" s="241"/>
      <c r="I91" s="64"/>
      <c r="J91" s="64" t="s">
        <v>146</v>
      </c>
      <c r="K91" s="64">
        <v>2</v>
      </c>
      <c r="L91" s="64" t="s">
        <v>510</v>
      </c>
      <c r="M91" s="64">
        <v>25</v>
      </c>
      <c r="N91" s="62">
        <v>44927</v>
      </c>
      <c r="O91" s="62"/>
      <c r="P91" s="62"/>
    </row>
    <row r="92" spans="1:18" x14ac:dyDescent="0.25">
      <c r="A92" t="str">
        <f>TableOUEDEC[[#This Row],[Study Package Code]]</f>
        <v>EDUC4047</v>
      </c>
      <c r="B92" s="5">
        <f>TableOUEDEC[[#This Row],[Ver]]</f>
        <v>1</v>
      </c>
      <c r="C92" t="str">
        <f>IF(TableOUEDEC[[#This Row],[Ver]]&gt;0,_xlfn.TEXTBEFORE(TableOUEDEC[[#This Row],[Structure Line]]," "),"")</f>
        <v>EDC470</v>
      </c>
      <c r="D92" t="str">
        <f>IF(TableOUEDEC[[#This Row],[OUA Code]]&lt;&gt;"",_xlfn.TEXTAFTER(TableOUEDEC[[#This Row],[Structure Line]]," "),TableOUEDEC[[#This Row],[Structure Line]])</f>
        <v>Technologies: Digital Solutions</v>
      </c>
      <c r="E92" s="44">
        <f>TableOUEDEC[[#This Row],[Credit Points]]</f>
        <v>25</v>
      </c>
      <c r="F92" s="64"/>
      <c r="G92" s="64" t="s">
        <v>492</v>
      </c>
      <c r="H92" s="241"/>
      <c r="I92" s="64"/>
      <c r="J92" s="64" t="s">
        <v>150</v>
      </c>
      <c r="K92" s="64">
        <v>1</v>
      </c>
      <c r="L92" s="64" t="s">
        <v>511</v>
      </c>
      <c r="M92" s="64">
        <v>25</v>
      </c>
      <c r="N92" s="62">
        <v>43466</v>
      </c>
      <c r="O92" s="62"/>
      <c r="P92" s="62"/>
    </row>
    <row r="93" spans="1:18" x14ac:dyDescent="0.25">
      <c r="A93" s="42"/>
      <c r="B93" s="43"/>
      <c r="C93" s="42"/>
      <c r="F93" s="235"/>
      <c r="G93" s="236" t="s">
        <v>464</v>
      </c>
      <c r="H93" s="262">
        <v>46031</v>
      </c>
      <c r="I93" s="235"/>
      <c r="J93" s="232" t="s">
        <v>72</v>
      </c>
      <c r="K93" s="230">
        <v>4</v>
      </c>
      <c r="L93" s="232" t="s">
        <v>33</v>
      </c>
      <c r="M93" s="232"/>
      <c r="N93" s="247">
        <v>46023</v>
      </c>
      <c r="O93" s="237"/>
      <c r="P93" s="62"/>
    </row>
    <row r="94" spans="1:18" ht="31.5" x14ac:dyDescent="0.25">
      <c r="A94" s="49" t="s">
        <v>0</v>
      </c>
      <c r="B94" s="50" t="s">
        <v>466</v>
      </c>
      <c r="C94" s="49" t="s">
        <v>16</v>
      </c>
      <c r="D94" s="49" t="s">
        <v>3</v>
      </c>
      <c r="E94" s="51" t="s">
        <v>467</v>
      </c>
      <c r="F94" s="49" t="s">
        <v>468</v>
      </c>
      <c r="G94" s="49" t="s">
        <v>469</v>
      </c>
      <c r="H94" s="50" t="s">
        <v>470</v>
      </c>
      <c r="I94" s="49" t="s">
        <v>17</v>
      </c>
      <c r="J94" s="49" t="s">
        <v>471</v>
      </c>
      <c r="K94" s="49" t="s">
        <v>1</v>
      </c>
      <c r="L94" s="49" t="s">
        <v>472</v>
      </c>
      <c r="M94" s="49" t="s">
        <v>59</v>
      </c>
      <c r="N94" s="49" t="s">
        <v>473</v>
      </c>
      <c r="O94" s="49" t="s">
        <v>474</v>
      </c>
      <c r="P94" s="62"/>
      <c r="Q94" t="s">
        <v>475</v>
      </c>
      <c r="R94" t="s">
        <v>476</v>
      </c>
    </row>
    <row r="95" spans="1:18" x14ac:dyDescent="0.25">
      <c r="A95" t="str">
        <f>TableOBEDPR[[#This Row],[Study Package Code]]</f>
        <v>EDUC1020</v>
      </c>
      <c r="B95" s="5">
        <f>TableOBEDPR[[#This Row],[Ver]]</f>
        <v>1</v>
      </c>
      <c r="C95" t="str">
        <f>IF(TableOBEDPR[[#This Row],[Ver]]&gt;0,_xlfn.TEXTBEFORE(TableOBEDPR[[#This Row],[Structure Line]]," "),"")</f>
        <v>EDC105</v>
      </c>
      <c r="D95" t="str">
        <f>TableOBEDPR[[#This Row],[Structure Line]]</f>
        <v>EDC105 Teaching and Learning in the Digital World</v>
      </c>
      <c r="E95" s="44">
        <f>TableOBEDPR[[#This Row],[Credit Points]]</f>
        <v>25</v>
      </c>
      <c r="F95" s="64">
        <v>1</v>
      </c>
      <c r="G95" s="64" t="s">
        <v>477</v>
      </c>
      <c r="H95" s="241">
        <v>1</v>
      </c>
      <c r="I95" s="64" t="s">
        <v>478</v>
      </c>
      <c r="J95" s="64" t="s">
        <v>46</v>
      </c>
      <c r="K95" s="64">
        <v>1</v>
      </c>
      <c r="L95" s="64" t="s">
        <v>479</v>
      </c>
      <c r="M95" s="64">
        <v>25</v>
      </c>
      <c r="N95" s="62">
        <v>43466</v>
      </c>
      <c r="O95" s="62"/>
      <c r="P95" s="62"/>
      <c r="Q95" t="s">
        <v>46</v>
      </c>
      <c r="R95">
        <v>1</v>
      </c>
    </row>
    <row r="96" spans="1:18" x14ac:dyDescent="0.25">
      <c r="A96" t="str">
        <f>TableOBEDPR[[#This Row],[Study Package Code]]</f>
        <v>EDUC1022</v>
      </c>
      <c r="B96" s="5">
        <f>TableOBEDPR[[#This Row],[Ver]]</f>
        <v>1</v>
      </c>
      <c r="C96" t="str">
        <f>IF(TableOBEDPR[[#This Row],[Ver]]&gt;0,_xlfn.TEXTBEFORE(TableOBEDPR[[#This Row],[Structure Line]]," "),"")</f>
        <v>EDC135</v>
      </c>
      <c r="D96" t="str">
        <f>TableOBEDPR[[#This Row],[Structure Line]]</f>
        <v>EDC135 Child Development for Educators</v>
      </c>
      <c r="E96" s="44">
        <f>TableOBEDPR[[#This Row],[Credit Points]]</f>
        <v>25</v>
      </c>
      <c r="F96" s="64">
        <v>2</v>
      </c>
      <c r="G96" s="64" t="s">
        <v>477</v>
      </c>
      <c r="H96" s="241">
        <v>1</v>
      </c>
      <c r="I96" s="64" t="s">
        <v>478</v>
      </c>
      <c r="J96" s="64" t="s">
        <v>51</v>
      </c>
      <c r="K96" s="64">
        <v>1</v>
      </c>
      <c r="L96" s="64" t="s">
        <v>480</v>
      </c>
      <c r="M96" s="64">
        <v>25</v>
      </c>
      <c r="N96" s="62">
        <v>43466</v>
      </c>
      <c r="O96" s="62"/>
      <c r="P96" s="62"/>
      <c r="Q96" t="s">
        <v>48</v>
      </c>
      <c r="R96">
        <v>1</v>
      </c>
    </row>
    <row r="97" spans="1:18" x14ac:dyDescent="0.25">
      <c r="A97" t="str">
        <f>TableOBEDPR[[#This Row],[Study Package Code]]</f>
        <v>EDUC1032</v>
      </c>
      <c r="B97" s="5">
        <f>TableOBEDPR[[#This Row],[Ver]]</f>
        <v>1</v>
      </c>
      <c r="C97" t="str">
        <f>IF(TableOBEDPR[[#This Row],[Ver]]&gt;0,_xlfn.TEXTBEFORE(TableOBEDPR[[#This Row],[Structure Line]]," "),"")</f>
        <v>EDC145</v>
      </c>
      <c r="D97" t="str">
        <f>TableOBEDPR[[#This Row],[Structure Line]]</f>
        <v>EDC145 The Numerate Educator</v>
      </c>
      <c r="E97" s="44">
        <f>TableOBEDPR[[#This Row],[Credit Points]]</f>
        <v>25</v>
      </c>
      <c r="F97" s="64">
        <v>3</v>
      </c>
      <c r="G97" s="64" t="s">
        <v>477</v>
      </c>
      <c r="H97" s="241">
        <v>1</v>
      </c>
      <c r="I97" s="64" t="s">
        <v>478</v>
      </c>
      <c r="J97" s="64" t="s">
        <v>65</v>
      </c>
      <c r="K97" s="64">
        <v>1</v>
      </c>
      <c r="L97" s="64" t="s">
        <v>482</v>
      </c>
      <c r="M97" s="64">
        <v>25</v>
      </c>
      <c r="N97" s="62">
        <v>43466</v>
      </c>
      <c r="O97" s="62"/>
      <c r="Q97" t="s">
        <v>51</v>
      </c>
      <c r="R97">
        <v>1</v>
      </c>
    </row>
    <row r="98" spans="1:18" x14ac:dyDescent="0.25">
      <c r="A98" t="str">
        <f>TableOBEDPR[[#This Row],[Study Package Code]]</f>
        <v>EDUC1030</v>
      </c>
      <c r="B98" s="5">
        <f>TableOBEDPR[[#This Row],[Ver]]</f>
        <v>1</v>
      </c>
      <c r="C98" t="str">
        <f>IF(TableOBEDPR[[#This Row],[Ver]]&gt;0,_xlfn.TEXTBEFORE(TableOBEDPR[[#This Row],[Structure Line]]," "),"")</f>
        <v>EDC153</v>
      </c>
      <c r="D98" t="str">
        <f>TableOBEDPR[[#This Row],[Structure Line]]</f>
        <v>EDC153 Performing Arts for Educators</v>
      </c>
      <c r="E98" s="44">
        <f>TableOBEDPR[[#This Row],[Credit Points]]</f>
        <v>25</v>
      </c>
      <c r="F98" s="64">
        <v>4</v>
      </c>
      <c r="G98" s="64" t="s">
        <v>477</v>
      </c>
      <c r="H98" s="241">
        <v>1</v>
      </c>
      <c r="I98" s="64" t="s">
        <v>478</v>
      </c>
      <c r="J98" s="64" t="s">
        <v>70</v>
      </c>
      <c r="K98" s="64">
        <v>1</v>
      </c>
      <c r="L98" s="64" t="s">
        <v>483</v>
      </c>
      <c r="M98" s="64">
        <v>25</v>
      </c>
      <c r="N98" s="62">
        <v>43466</v>
      </c>
      <c r="O98" s="62"/>
      <c r="P98" s="49"/>
      <c r="Q98" t="s">
        <v>53</v>
      </c>
      <c r="R98">
        <v>1</v>
      </c>
    </row>
    <row r="99" spans="1:18" x14ac:dyDescent="0.25">
      <c r="A99" t="str">
        <f>TableOBEDPR[[#This Row],[Study Package Code]]</f>
        <v>EDUC1028</v>
      </c>
      <c r="B99" s="5">
        <f>TableOBEDPR[[#This Row],[Ver]]</f>
        <v>1</v>
      </c>
      <c r="C99" t="str">
        <f>IF(TableOBEDPR[[#This Row],[Ver]]&gt;0,_xlfn.TEXTBEFORE(TableOBEDPR[[#This Row],[Structure Line]]," "),"")</f>
        <v>EDC175</v>
      </c>
      <c r="D99" t="str">
        <f>TableOBEDPR[[#This Row],[Structure Line]]</f>
        <v>EDC175 Educators Inquiring About the World</v>
      </c>
      <c r="E99" s="44">
        <f>TableOBEDPR[[#This Row],[Credit Points]]</f>
        <v>25</v>
      </c>
      <c r="F99" s="64">
        <v>5</v>
      </c>
      <c r="G99" s="64" t="s">
        <v>477</v>
      </c>
      <c r="H99" s="241">
        <v>1</v>
      </c>
      <c r="I99" s="64" t="s">
        <v>478</v>
      </c>
      <c r="J99" s="64" t="s">
        <v>67</v>
      </c>
      <c r="K99" s="64">
        <v>1</v>
      </c>
      <c r="L99" s="64" t="s">
        <v>485</v>
      </c>
      <c r="M99" s="64">
        <v>25</v>
      </c>
      <c r="N99" s="62">
        <v>43466</v>
      </c>
      <c r="O99" s="62"/>
      <c r="P99" s="62"/>
      <c r="Q99" t="s">
        <v>65</v>
      </c>
      <c r="R99">
        <v>1</v>
      </c>
    </row>
    <row r="100" spans="1:18" x14ac:dyDescent="0.25">
      <c r="A100" t="str">
        <f>TableOBEDPR[[#This Row],[Study Package Code]]</f>
        <v>EDUC1038</v>
      </c>
      <c r="B100" s="5">
        <f>TableOBEDPR[[#This Row],[Ver]]</f>
        <v>1</v>
      </c>
      <c r="C100" t="str">
        <f>IF(TableOBEDPR[[#This Row],[Ver]]&gt;0,_xlfn.TEXTBEFORE(TableOBEDPR[[#This Row],[Structure Line]]," "),"")</f>
        <v>EDC181</v>
      </c>
      <c r="D100" t="str">
        <f>TableOBEDPR[[#This Row],[Structure Line]]</f>
        <v>EDC181 Communication Skills for Educators</v>
      </c>
      <c r="E100" s="44">
        <f>TableOBEDPR[[#This Row],[Credit Points]]</f>
        <v>25</v>
      </c>
      <c r="F100" s="64">
        <v>6</v>
      </c>
      <c r="G100" s="64" t="s">
        <v>477</v>
      </c>
      <c r="H100" s="241">
        <v>1</v>
      </c>
      <c r="I100" s="64" t="s">
        <v>478</v>
      </c>
      <c r="J100" s="64" t="s">
        <v>71</v>
      </c>
      <c r="K100" s="64">
        <v>1</v>
      </c>
      <c r="L100" s="64" t="s">
        <v>484</v>
      </c>
      <c r="M100" s="64">
        <v>25</v>
      </c>
      <c r="N100" s="62">
        <v>45658</v>
      </c>
      <c r="O100" s="62"/>
      <c r="P100" s="62"/>
      <c r="Q100" t="s">
        <v>70</v>
      </c>
      <c r="R100">
        <v>1</v>
      </c>
    </row>
    <row r="101" spans="1:18" x14ac:dyDescent="0.25">
      <c r="A101" t="str">
        <f>TableOBEDPR[[#This Row],[Study Package Code]]</f>
        <v>EDUC1037</v>
      </c>
      <c r="B101" s="5">
        <f>TableOBEDPR[[#This Row],[Ver]]</f>
        <v>1</v>
      </c>
      <c r="C101" t="str">
        <f>IF(TableOBEDPR[[#This Row],[Ver]]&gt;0,_xlfn.TEXTBEFORE(TableOBEDPR[[#This Row],[Structure Line]]," "),"")</f>
        <v>EDC190</v>
      </c>
      <c r="D101" t="str">
        <f>TableOBEDPR[[#This Row],[Structure Line]]</f>
        <v>EDC190 Professional Teaching Practice 1</v>
      </c>
      <c r="E101" s="44">
        <f>TableOBEDPR[[#This Row],[Credit Points]]</f>
        <v>25</v>
      </c>
      <c r="F101" s="64">
        <v>7</v>
      </c>
      <c r="G101" s="64" t="s">
        <v>477</v>
      </c>
      <c r="H101" s="241">
        <v>1</v>
      </c>
      <c r="I101" s="64" t="s">
        <v>478</v>
      </c>
      <c r="J101" s="64" t="s">
        <v>179</v>
      </c>
      <c r="K101" s="64">
        <v>1</v>
      </c>
      <c r="L101" s="64" t="s">
        <v>524</v>
      </c>
      <c r="M101" s="64">
        <v>25</v>
      </c>
      <c r="N101" s="62">
        <v>45658</v>
      </c>
      <c r="O101" s="62"/>
      <c r="P101" s="62"/>
      <c r="Q101" t="s">
        <v>71</v>
      </c>
      <c r="R101">
        <v>1</v>
      </c>
    </row>
    <row r="102" spans="1:18" x14ac:dyDescent="0.25">
      <c r="A102" t="str">
        <f>TableOBEDPR[[#This Row],[Study Package Code]]</f>
        <v>EDUC1040</v>
      </c>
      <c r="B102" s="5">
        <f>TableOBEDPR[[#This Row],[Ver]]</f>
        <v>1</v>
      </c>
      <c r="C102" t="str">
        <f>IF(TableOBEDPR[[#This Row],[Ver]]&gt;0,_xlfn.TEXTBEFORE(TableOBEDPR[[#This Row],[Structure Line]]," "),"")</f>
        <v>EDUC1040</v>
      </c>
      <c r="D102" t="str">
        <f>TableOBEDPR[[#This Row],[Structure Line]]</f>
        <v>EDUC1040 English: The Early Years</v>
      </c>
      <c r="E102" s="44">
        <f>TableOBEDPR[[#This Row],[Credit Points]]</f>
        <v>25</v>
      </c>
      <c r="F102" s="64">
        <v>8</v>
      </c>
      <c r="G102" s="64" t="s">
        <v>477</v>
      </c>
      <c r="H102" s="241">
        <v>1</v>
      </c>
      <c r="I102" s="64" t="s">
        <v>478</v>
      </c>
      <c r="J102" s="64" t="s">
        <v>589</v>
      </c>
      <c r="K102" s="64">
        <v>1</v>
      </c>
      <c r="L102" s="64" t="s">
        <v>590</v>
      </c>
      <c r="M102" s="64">
        <v>25</v>
      </c>
      <c r="N102" s="62">
        <v>46023</v>
      </c>
      <c r="O102" s="62"/>
      <c r="P102" s="62"/>
      <c r="Q102" t="s">
        <v>67</v>
      </c>
      <c r="R102">
        <v>1</v>
      </c>
    </row>
    <row r="103" spans="1:18" x14ac:dyDescent="0.25">
      <c r="A103" t="str">
        <f>TableOBEDPR[[#This Row],[Study Package Code]]</f>
        <v>EDPR2006</v>
      </c>
      <c r="B103" s="5">
        <f>TableOBEDPR[[#This Row],[Ver]]</f>
        <v>1</v>
      </c>
      <c r="C103" t="str">
        <f>IF(TableOBEDPR[[#This Row],[Ver]]&gt;0,_xlfn.TEXTBEFORE(TableOBEDPR[[#This Row],[Structure Line]]," "),"")</f>
        <v>EDP243</v>
      </c>
      <c r="D103" t="str">
        <f>TableOBEDPR[[#This Row],[Structure Line]]</f>
        <v>EDP243 Children as Mathematical Learners</v>
      </c>
      <c r="E103" s="44">
        <f>TableOBEDPR[[#This Row],[Credit Points]]</f>
        <v>25</v>
      </c>
      <c r="F103" s="64">
        <v>9</v>
      </c>
      <c r="G103" s="64" t="s">
        <v>477</v>
      </c>
      <c r="H103" s="241">
        <v>2</v>
      </c>
      <c r="I103" s="64" t="s">
        <v>478</v>
      </c>
      <c r="J103" s="64" t="s">
        <v>89</v>
      </c>
      <c r="K103" s="64">
        <v>1</v>
      </c>
      <c r="L103" s="64" t="s">
        <v>514</v>
      </c>
      <c r="M103" s="64">
        <v>25</v>
      </c>
      <c r="N103" s="62">
        <v>42005</v>
      </c>
      <c r="O103" s="62"/>
      <c r="P103" s="62"/>
      <c r="Q103" t="s">
        <v>85</v>
      </c>
      <c r="R103">
        <v>1</v>
      </c>
    </row>
    <row r="104" spans="1:18" x14ac:dyDescent="0.25">
      <c r="A104" t="str">
        <f>TableOBEDPR[[#This Row],[Study Package Code]]</f>
        <v>EDPR2017</v>
      </c>
      <c r="B104" s="5">
        <f>TableOBEDPR[[#This Row],[Ver]]</f>
        <v>1</v>
      </c>
      <c r="C104" t="str">
        <f>IF(TableOBEDPR[[#This Row],[Ver]]&gt;0,_xlfn.TEXTBEFORE(TableOBEDPR[[#This Row],[Structure Line]]," "),"")</f>
        <v>EDP255</v>
      </c>
      <c r="D104" t="str">
        <f>TableOBEDPR[[#This Row],[Structure Line]]</f>
        <v>EDP255 Health and Physical Education</v>
      </c>
      <c r="E104" s="44">
        <f>TableOBEDPR[[#This Row],[Credit Points]]</f>
        <v>25</v>
      </c>
      <c r="F104" s="64">
        <v>10</v>
      </c>
      <c r="G104" s="64" t="s">
        <v>477</v>
      </c>
      <c r="H104" s="241">
        <v>2</v>
      </c>
      <c r="I104" s="64" t="s">
        <v>478</v>
      </c>
      <c r="J104" s="64" t="s">
        <v>90</v>
      </c>
      <c r="K104" s="64">
        <v>1</v>
      </c>
      <c r="L104" s="64" t="s">
        <v>513</v>
      </c>
      <c r="M104" s="64">
        <v>25</v>
      </c>
      <c r="N104" s="62">
        <v>43466</v>
      </c>
      <c r="O104" s="62"/>
      <c r="P104" s="62"/>
      <c r="Q104" t="s">
        <v>80</v>
      </c>
      <c r="R104">
        <v>1</v>
      </c>
    </row>
    <row r="105" spans="1:18" x14ac:dyDescent="0.25">
      <c r="A105" t="str">
        <f>TableOBEDPR[[#This Row],[Study Package Code]]</f>
        <v>EDPR2010</v>
      </c>
      <c r="B105" s="5">
        <f>TableOBEDPR[[#This Row],[Ver]]</f>
        <v>1</v>
      </c>
      <c r="C105" t="str">
        <f>IF(TableOBEDPR[[#This Row],[Ver]]&gt;0,_xlfn.TEXTBEFORE(TableOBEDPR[[#This Row],[Structure Line]]," "),"")</f>
        <v>EDP273</v>
      </c>
      <c r="D105" t="str">
        <f>TableOBEDPR[[#This Row],[Structure Line]]</f>
        <v>EDP273 Inquiry in the Science Classroom</v>
      </c>
      <c r="E105" s="44">
        <f>TableOBEDPR[[#This Row],[Credit Points]]</f>
        <v>25</v>
      </c>
      <c r="F105" s="64">
        <v>11</v>
      </c>
      <c r="G105" s="64" t="s">
        <v>477</v>
      </c>
      <c r="H105" s="241">
        <v>2</v>
      </c>
      <c r="I105" s="64" t="s">
        <v>478</v>
      </c>
      <c r="J105" s="64" t="s">
        <v>87</v>
      </c>
      <c r="K105" s="64">
        <v>1</v>
      </c>
      <c r="L105" s="64" t="s">
        <v>512</v>
      </c>
      <c r="M105" s="64">
        <v>25</v>
      </c>
      <c r="N105" s="62">
        <v>42005</v>
      </c>
      <c r="O105" s="62"/>
      <c r="P105" s="62"/>
      <c r="Q105" t="s">
        <v>86</v>
      </c>
      <c r="R105">
        <v>1</v>
      </c>
    </row>
    <row r="106" spans="1:18" x14ac:dyDescent="0.25">
      <c r="A106" t="str">
        <f>TableOBEDPR[[#This Row],[Study Package Code]]</f>
        <v>EDPR2009</v>
      </c>
      <c r="B106" s="5">
        <f>TableOBEDPR[[#This Row],[Ver]]</f>
        <v>1</v>
      </c>
      <c r="C106" t="str">
        <f>IF(TableOBEDPR[[#This Row],[Ver]]&gt;0,_xlfn.TEXTBEFORE(TableOBEDPR[[#This Row],[Structure Line]]," "),"")</f>
        <v>EDPR2009</v>
      </c>
      <c r="D106" t="str">
        <f>TableOBEDPR[[#This Row],[Structure Line]]</f>
        <v>EDPR2009 Theory in Practice: Inclusion and Differentiation</v>
      </c>
      <c r="E106" s="44">
        <f>TableOBEDPR[[#This Row],[Credit Points]]</f>
        <v>25</v>
      </c>
      <c r="F106" s="64">
        <v>12</v>
      </c>
      <c r="G106" s="64" t="s">
        <v>477</v>
      </c>
      <c r="H106" s="241">
        <v>2</v>
      </c>
      <c r="I106" s="64" t="s">
        <v>478</v>
      </c>
      <c r="J106" s="64" t="s">
        <v>607</v>
      </c>
      <c r="K106" s="64">
        <v>1</v>
      </c>
      <c r="L106" s="64" t="s">
        <v>608</v>
      </c>
      <c r="M106" s="64">
        <v>25</v>
      </c>
      <c r="N106" s="62">
        <v>46023</v>
      </c>
      <c r="O106" s="62"/>
      <c r="P106" s="62"/>
      <c r="Q106" t="s">
        <v>92</v>
      </c>
      <c r="R106">
        <v>1</v>
      </c>
    </row>
    <row r="107" spans="1:18" x14ac:dyDescent="0.25">
      <c r="A107" t="str">
        <f>TableOBEDPR[[#This Row],[Study Package Code]]</f>
        <v>EDPR2019</v>
      </c>
      <c r="B107" s="5">
        <f>TableOBEDPR[[#This Row],[Ver]]</f>
        <v>1</v>
      </c>
      <c r="C107" t="str">
        <f>IF(TableOBEDPR[[#This Row],[Ver]]&gt;0,_xlfn.TEXTBEFORE(TableOBEDPR[[#This Row],[Structure Line]]," "),"")</f>
        <v>EDPR2019</v>
      </c>
      <c r="D107" t="str">
        <f>TableOBEDPR[[#This Row],[Structure Line]]</f>
        <v>EDPR2019 Primary Professional Experience 1: Introduction to Classroom Skills</v>
      </c>
      <c r="E107" s="44">
        <f>TableOBEDPR[[#This Row],[Credit Points]]</f>
        <v>25</v>
      </c>
      <c r="F107" s="64">
        <v>13</v>
      </c>
      <c r="G107" s="64" t="s">
        <v>477</v>
      </c>
      <c r="H107" s="241">
        <v>2</v>
      </c>
      <c r="I107" s="64" t="s">
        <v>478</v>
      </c>
      <c r="J107" s="64" t="s">
        <v>609</v>
      </c>
      <c r="K107" s="64">
        <v>1</v>
      </c>
      <c r="L107" s="64" t="s">
        <v>610</v>
      </c>
      <c r="M107" s="64">
        <v>25</v>
      </c>
      <c r="N107" s="62">
        <v>46023</v>
      </c>
      <c r="O107" s="62"/>
      <c r="P107" s="62"/>
      <c r="Q107" t="s">
        <v>87</v>
      </c>
      <c r="R107">
        <v>1</v>
      </c>
    </row>
    <row r="108" spans="1:18" x14ac:dyDescent="0.25">
      <c r="A108" t="str">
        <f>TableOBEDPR[[#This Row],[Study Package Code]]</f>
        <v>EDPR2021</v>
      </c>
      <c r="B108" s="5">
        <f>TableOBEDPR[[#This Row],[Ver]]</f>
        <v>1</v>
      </c>
      <c r="C108" t="str">
        <f>IF(TableOBEDPR[[#This Row],[Ver]]&gt;0,_xlfn.TEXTBEFORE(TableOBEDPR[[#This Row],[Structure Line]]," "),"")</f>
        <v>EDPR2021</v>
      </c>
      <c r="D108" t="str">
        <f>TableOBEDPR[[#This Row],[Structure Line]]</f>
        <v>EDPR2021 Primary Professional Experience 2: Classroom Skills for Diversity and Inclusion</v>
      </c>
      <c r="E108" s="44">
        <f>TableOBEDPR[[#This Row],[Credit Points]]</f>
        <v>25</v>
      </c>
      <c r="F108" s="64">
        <v>14</v>
      </c>
      <c r="G108" s="64" t="s">
        <v>477</v>
      </c>
      <c r="H108" s="241">
        <v>2</v>
      </c>
      <c r="I108" s="64" t="s">
        <v>478</v>
      </c>
      <c r="J108" s="64" t="s">
        <v>611</v>
      </c>
      <c r="K108" s="64">
        <v>1</v>
      </c>
      <c r="L108" s="64" t="s">
        <v>612</v>
      </c>
      <c r="M108" s="64">
        <v>25</v>
      </c>
      <c r="N108" s="62">
        <v>46023</v>
      </c>
      <c r="O108" s="62"/>
      <c r="P108" s="62"/>
      <c r="Q108" t="s">
        <v>90</v>
      </c>
      <c r="R108">
        <v>1</v>
      </c>
    </row>
    <row r="109" spans="1:18" x14ac:dyDescent="0.25">
      <c r="A109" t="str">
        <f>TableOBEDPR[[#This Row],[Study Package Code]]</f>
        <v>EDUC2002</v>
      </c>
      <c r="B109" s="5">
        <f>TableOBEDPR[[#This Row],[Ver]]</f>
        <v>1</v>
      </c>
      <c r="C109" t="str">
        <f>IF(TableOBEDPR[[#This Row],[Ver]]&gt;0,_xlfn.TEXTBEFORE(TableOBEDPR[[#This Row],[Structure Line]]," "),"")</f>
        <v>EDUC2002</v>
      </c>
      <c r="D109" t="str">
        <f>TableOBEDPR[[#This Row],[Structure Line]]</f>
        <v>EDUC2002 English: Teaching Reading and Writing</v>
      </c>
      <c r="E109" s="44">
        <f>TableOBEDPR[[#This Row],[Credit Points]]</f>
        <v>25</v>
      </c>
      <c r="F109" s="64">
        <v>15</v>
      </c>
      <c r="G109" s="64" t="s">
        <v>477</v>
      </c>
      <c r="H109" s="241">
        <v>2</v>
      </c>
      <c r="I109" s="64" t="s">
        <v>478</v>
      </c>
      <c r="J109" s="64" t="s">
        <v>604</v>
      </c>
      <c r="K109" s="64">
        <v>1</v>
      </c>
      <c r="L109" s="64" t="s">
        <v>605</v>
      </c>
      <c r="M109" s="64">
        <v>25</v>
      </c>
      <c r="N109" s="62">
        <v>46023</v>
      </c>
      <c r="O109" s="62"/>
      <c r="P109" s="62"/>
      <c r="Q109" t="s">
        <v>89</v>
      </c>
      <c r="R109">
        <v>1</v>
      </c>
    </row>
    <row r="110" spans="1:18" x14ac:dyDescent="0.25">
      <c r="A110" t="str">
        <f>TableOBEDPR[[#This Row],[Study Package Code]]</f>
        <v>EDPR3007</v>
      </c>
      <c r="B110" s="5">
        <f>TableOBEDPR[[#This Row],[Ver]]</f>
        <v>3</v>
      </c>
      <c r="C110" t="str">
        <f>IF(TableOBEDPR[[#This Row],[Ver]]&gt;0,_xlfn.TEXTBEFORE(TableOBEDPR[[#This Row],[Structure Line]]," "),"")</f>
        <v>EDP311</v>
      </c>
      <c r="D110" t="str">
        <f>TableOBEDPR[[#This Row],[Structure Line]]</f>
        <v>EDP311 Policy in Practice: The Classroom in Context</v>
      </c>
      <c r="E110" s="44">
        <f>TableOBEDPR[[#This Row],[Credit Points]]</f>
        <v>25</v>
      </c>
      <c r="F110" s="64">
        <v>16</v>
      </c>
      <c r="G110" s="64" t="s">
        <v>477</v>
      </c>
      <c r="H110" s="241">
        <v>3</v>
      </c>
      <c r="I110" s="64" t="s">
        <v>478</v>
      </c>
      <c r="J110" s="64" t="s">
        <v>111</v>
      </c>
      <c r="K110" s="64">
        <v>3</v>
      </c>
      <c r="L110" s="64" t="s">
        <v>613</v>
      </c>
      <c r="M110" s="64">
        <v>25</v>
      </c>
      <c r="N110" s="62">
        <v>46023</v>
      </c>
      <c r="O110" s="62"/>
      <c r="P110" s="62"/>
      <c r="Q110" t="s">
        <v>415</v>
      </c>
      <c r="R110">
        <v>2</v>
      </c>
    </row>
    <row r="111" spans="1:18" x14ac:dyDescent="0.25">
      <c r="A111" t="str">
        <f>TableOBEDPR[[#This Row],[Study Package Code]]</f>
        <v>EDPR3006</v>
      </c>
      <c r="B111" s="5">
        <f>TableOBEDPR[[#This Row],[Ver]]</f>
        <v>1</v>
      </c>
      <c r="C111" t="str">
        <f>IF(TableOBEDPR[[#This Row],[Ver]]&gt;0,_xlfn.TEXTBEFORE(TableOBEDPR[[#This Row],[Structure Line]]," "),"")</f>
        <v>EDP343</v>
      </c>
      <c r="D111" t="str">
        <f>TableOBEDPR[[#This Row],[Structure Line]]</f>
        <v>EDP343 Inquiry in the Mathematics Classroom</v>
      </c>
      <c r="E111" s="44">
        <f>TableOBEDPR[[#This Row],[Credit Points]]</f>
        <v>25</v>
      </c>
      <c r="F111" s="64">
        <v>17</v>
      </c>
      <c r="G111" s="64" t="s">
        <v>477</v>
      </c>
      <c r="H111" s="241">
        <v>3</v>
      </c>
      <c r="I111" s="64" t="s">
        <v>478</v>
      </c>
      <c r="J111" s="64" t="s">
        <v>118</v>
      </c>
      <c r="K111" s="64">
        <v>1</v>
      </c>
      <c r="L111" s="64" t="s">
        <v>515</v>
      </c>
      <c r="M111" s="64">
        <v>25</v>
      </c>
      <c r="N111" s="62">
        <v>42005</v>
      </c>
      <c r="O111" s="62"/>
      <c r="P111" s="62"/>
      <c r="Q111" t="s">
        <v>121</v>
      </c>
      <c r="R111">
        <v>1</v>
      </c>
    </row>
    <row r="112" spans="1:18" x14ac:dyDescent="0.25">
      <c r="A112" t="str">
        <f>TableOBEDPR[[#This Row],[Study Package Code]]</f>
        <v>EDPR3010</v>
      </c>
      <c r="B112" s="5">
        <f>TableOBEDPR[[#This Row],[Ver]]</f>
        <v>3</v>
      </c>
      <c r="C112" t="str">
        <f>IF(TableOBEDPR[[#This Row],[Ver]]&gt;0,_xlfn.TEXTBEFORE(TableOBEDPR[[#This Row],[Structure Line]]," "),"")</f>
        <v>EDP373</v>
      </c>
      <c r="D112" t="str">
        <f>TableOBEDPR[[#This Row],[Structure Line]]</f>
        <v>EDP373 Inquiry in the Humanities and Social Sciences Classroom</v>
      </c>
      <c r="E112" s="44">
        <f>TableOBEDPR[[#This Row],[Credit Points]]</f>
        <v>25</v>
      </c>
      <c r="F112" s="64">
        <v>18</v>
      </c>
      <c r="G112" s="64" t="s">
        <v>477</v>
      </c>
      <c r="H112" s="241">
        <v>3</v>
      </c>
      <c r="I112" s="64" t="s">
        <v>478</v>
      </c>
      <c r="J112" s="64" t="s">
        <v>115</v>
      </c>
      <c r="K112" s="64">
        <v>3</v>
      </c>
      <c r="L112" s="64" t="s">
        <v>516</v>
      </c>
      <c r="M112" s="64">
        <v>25</v>
      </c>
      <c r="N112" s="62">
        <v>43466</v>
      </c>
      <c r="O112" s="62"/>
      <c r="P112" s="62"/>
      <c r="Q112" t="s">
        <v>112</v>
      </c>
      <c r="R112">
        <v>3</v>
      </c>
    </row>
    <row r="113" spans="1:18" x14ac:dyDescent="0.25">
      <c r="A113" t="str">
        <f>TableOBEDPR[[#This Row],[Study Package Code]]</f>
        <v>EDPR3015</v>
      </c>
      <c r="B113" s="5">
        <f>TableOBEDPR[[#This Row],[Ver]]</f>
        <v>1</v>
      </c>
      <c r="C113" t="str">
        <f>IF(TableOBEDPR[[#This Row],[Ver]]&gt;0,_xlfn.TEXTBEFORE(TableOBEDPR[[#This Row],[Structure Line]]," "),"")</f>
        <v>EDP385</v>
      </c>
      <c r="D113" t="str">
        <f>TableOBEDPR[[#This Row],[Structure Line]]</f>
        <v>EDP385 Visual and Media Arts Education</v>
      </c>
      <c r="E113" s="44">
        <f>TableOBEDPR[[#This Row],[Credit Points]]</f>
        <v>25</v>
      </c>
      <c r="F113" s="64">
        <v>19</v>
      </c>
      <c r="G113" s="64" t="s">
        <v>477</v>
      </c>
      <c r="H113" s="241">
        <v>3</v>
      </c>
      <c r="I113" s="64" t="s">
        <v>478</v>
      </c>
      <c r="J113" s="64" t="s">
        <v>122</v>
      </c>
      <c r="K113" s="64">
        <v>1</v>
      </c>
      <c r="L113" s="64" t="s">
        <v>517</v>
      </c>
      <c r="M113" s="64">
        <v>25</v>
      </c>
      <c r="N113" s="62">
        <v>43466</v>
      </c>
      <c r="O113" s="62"/>
      <c r="P113" s="62"/>
      <c r="Q113" t="s">
        <v>118</v>
      </c>
      <c r="R113">
        <v>1</v>
      </c>
    </row>
    <row r="114" spans="1:18" x14ac:dyDescent="0.25">
      <c r="A114" t="str">
        <f>TableOBEDPR[[#This Row],[Study Package Code]]</f>
        <v>EDPR4002</v>
      </c>
      <c r="B114" s="5">
        <f>TableOBEDPR[[#This Row],[Ver]]</f>
        <v>3</v>
      </c>
      <c r="C114" t="str">
        <f>IF(TableOBEDPR[[#This Row],[Ver]]&gt;0,_xlfn.TEXTBEFORE(TableOBEDPR[[#This Row],[Structure Line]]," "),"")</f>
        <v>EDP443</v>
      </c>
      <c r="D114" t="str">
        <f>TableOBEDPR[[#This Row],[Structure Line]]</f>
        <v>EDP443 Mathematics Pedagogies and Integrated Curriculum</v>
      </c>
      <c r="E114" s="44">
        <f>TableOBEDPR[[#This Row],[Credit Points]]</f>
        <v>25</v>
      </c>
      <c r="F114" s="64">
        <v>20</v>
      </c>
      <c r="G114" s="64" t="s">
        <v>477</v>
      </c>
      <c r="H114" s="241">
        <v>3</v>
      </c>
      <c r="I114" s="64" t="s">
        <v>478</v>
      </c>
      <c r="J114" s="64" t="s">
        <v>131</v>
      </c>
      <c r="K114" s="64">
        <v>3</v>
      </c>
      <c r="L114" s="64" t="s">
        <v>519</v>
      </c>
      <c r="M114" s="64">
        <v>25</v>
      </c>
      <c r="N114" s="62">
        <v>43466</v>
      </c>
      <c r="O114" s="62"/>
      <c r="P114" s="62"/>
      <c r="Q114" t="s">
        <v>115</v>
      </c>
      <c r="R114">
        <v>3</v>
      </c>
    </row>
    <row r="115" spans="1:18" x14ac:dyDescent="0.25">
      <c r="A115" t="str">
        <f>TableOBEDPR[[#This Row],[Study Package Code]]</f>
        <v>EDPR3017</v>
      </c>
      <c r="B115" s="5">
        <f>TableOBEDPR[[#This Row],[Ver]]</f>
        <v>1</v>
      </c>
      <c r="C115" t="str">
        <f>IF(TableOBEDPR[[#This Row],[Ver]]&gt;0,_xlfn.TEXTBEFORE(TableOBEDPR[[#This Row],[Structure Line]]," "),"")</f>
        <v>EDPR3017</v>
      </c>
      <c r="D115" t="str">
        <f>TableOBEDPR[[#This Row],[Structure Line]]</f>
        <v>EDPR3017 English: Extending Reading and Writing</v>
      </c>
      <c r="E115" s="44">
        <f>TableOBEDPR[[#This Row],[Credit Points]]</f>
        <v>25</v>
      </c>
      <c r="F115" s="64">
        <v>21</v>
      </c>
      <c r="G115" s="64" t="s">
        <v>477</v>
      </c>
      <c r="H115" s="241">
        <v>3</v>
      </c>
      <c r="I115" s="64" t="s">
        <v>478</v>
      </c>
      <c r="J115" s="64" t="s">
        <v>614</v>
      </c>
      <c r="K115" s="64">
        <v>1</v>
      </c>
      <c r="L115" s="64" t="s">
        <v>615</v>
      </c>
      <c r="M115" s="64">
        <v>25</v>
      </c>
      <c r="N115" s="62">
        <v>46023</v>
      </c>
      <c r="O115" s="62"/>
      <c r="P115" s="62"/>
      <c r="Q115" t="s">
        <v>122</v>
      </c>
      <c r="R115">
        <v>1</v>
      </c>
    </row>
    <row r="116" spans="1:18" x14ac:dyDescent="0.25">
      <c r="A116" t="str">
        <f>TableOBEDPR[[#This Row],[Study Package Code]]</f>
        <v>EDPR3019</v>
      </c>
      <c r="B116" s="5">
        <f>TableOBEDPR[[#This Row],[Ver]]</f>
        <v>1</v>
      </c>
      <c r="C116" t="str">
        <f>IF(TableOBEDPR[[#This Row],[Ver]]&gt;0,_xlfn.TEXTBEFORE(TableOBEDPR[[#This Row],[Structure Line]]," "),"")</f>
        <v>EDPR3019</v>
      </c>
      <c r="D116" t="str">
        <f>TableOBEDPR[[#This Row],[Structure Line]]</f>
        <v>EDPR3019 Primary Professional Experience 3: Advanced Classroom Skills</v>
      </c>
      <c r="E116" s="44">
        <f>TableOBEDPR[[#This Row],[Credit Points]]</f>
        <v>25</v>
      </c>
      <c r="F116" s="64">
        <v>22</v>
      </c>
      <c r="G116" s="64" t="s">
        <v>477</v>
      </c>
      <c r="H116" s="241">
        <v>3</v>
      </c>
      <c r="I116" s="64" t="s">
        <v>478</v>
      </c>
      <c r="J116" s="64" t="s">
        <v>616</v>
      </c>
      <c r="K116" s="64">
        <v>1</v>
      </c>
      <c r="L116" s="64" t="s">
        <v>617</v>
      </c>
      <c r="M116" s="64">
        <v>25</v>
      </c>
      <c r="N116" s="62">
        <v>46023</v>
      </c>
      <c r="O116" s="62"/>
      <c r="P116" s="62"/>
      <c r="Q116" t="s">
        <v>111</v>
      </c>
      <c r="R116">
        <v>2</v>
      </c>
    </row>
    <row r="117" spans="1:18" x14ac:dyDescent="0.25">
      <c r="A117" t="str">
        <f>TableOBEDPR[[#This Row],[Study Package Code]]</f>
        <v>INED3001</v>
      </c>
      <c r="B117" s="5">
        <f>TableOBEDPR[[#This Row],[Ver]]</f>
        <v>1</v>
      </c>
      <c r="C117" t="s">
        <v>113</v>
      </c>
      <c r="D117" t="str">
        <f>TableOBEDPR[[#This Row],[Structure Line]]</f>
        <v>Indigenous Australian Education</v>
      </c>
      <c r="E117" s="44">
        <f>TableOBEDPR[[#This Row],[Credit Points]]</f>
        <v>25</v>
      </c>
      <c r="F117" s="64">
        <v>23</v>
      </c>
      <c r="G117" s="64" t="s">
        <v>477</v>
      </c>
      <c r="H117" s="241">
        <v>3</v>
      </c>
      <c r="I117" s="64" t="s">
        <v>478</v>
      </c>
      <c r="J117" s="64" t="s">
        <v>113</v>
      </c>
      <c r="K117" s="64">
        <v>1</v>
      </c>
      <c r="L117" s="64" t="s">
        <v>414</v>
      </c>
      <c r="M117" s="64">
        <v>25</v>
      </c>
      <c r="N117" s="62">
        <v>42005</v>
      </c>
      <c r="O117" s="62"/>
      <c r="P117" s="62"/>
      <c r="Q117" t="s">
        <v>126</v>
      </c>
      <c r="R117">
        <v>1</v>
      </c>
    </row>
    <row r="118" spans="1:18" x14ac:dyDescent="0.25">
      <c r="A118" t="str">
        <f>TableOBEDPR[[#This Row],[Study Package Code]]</f>
        <v>EDUC4050</v>
      </c>
      <c r="B118" s="5">
        <f>TableOBEDPR[[#This Row],[Ver]]</f>
        <v>1</v>
      </c>
      <c r="C118" t="str">
        <f>IF(TableOBEDPR[[#This Row],[Ver]]&gt;0,_xlfn.TEXTBEFORE(TableOBEDPR[[#This Row],[Structure Line]]," "),"")</f>
        <v>EDC445</v>
      </c>
      <c r="D118" t="str">
        <f>TableOBEDPR[[#This Row],[Structure Line]]</f>
        <v>EDC445 The Professional Educator: Transition to the Profession</v>
      </c>
      <c r="E118" s="44">
        <f>TableOBEDPR[[#This Row],[Credit Points]]</f>
        <v>25</v>
      </c>
      <c r="F118" s="64">
        <v>24</v>
      </c>
      <c r="G118" s="64" t="s">
        <v>477</v>
      </c>
      <c r="H118" s="241">
        <v>4</v>
      </c>
      <c r="I118" s="64" t="s">
        <v>478</v>
      </c>
      <c r="J118" s="64" t="s">
        <v>126</v>
      </c>
      <c r="K118" s="64">
        <v>1</v>
      </c>
      <c r="L118" s="64" t="s">
        <v>493</v>
      </c>
      <c r="M118" s="64">
        <v>25</v>
      </c>
      <c r="N118" s="62">
        <v>43466</v>
      </c>
      <c r="O118" s="62"/>
      <c r="P118" s="62"/>
      <c r="Q118" t="s">
        <v>132</v>
      </c>
      <c r="R118">
        <v>1</v>
      </c>
    </row>
    <row r="119" spans="1:18" x14ac:dyDescent="0.25">
      <c r="A119" t="str">
        <f>TableOBEDPR[[#This Row],[Study Package Code]]</f>
        <v>EDUC4041</v>
      </c>
      <c r="B119" s="5">
        <f>TableOBEDPR[[#This Row],[Ver]]</f>
        <v>1</v>
      </c>
      <c r="C119" t="str">
        <f>IF(TableOBEDPR[[#This Row],[Ver]]&gt;0,_xlfn.TEXTBEFORE(TableOBEDPR[[#This Row],[Structure Line]]," "),"")</f>
        <v>EDC450</v>
      </c>
      <c r="D119" t="str">
        <f>TableOBEDPR[[#This Row],[Structure Line]]</f>
        <v>EDC450 Professional Experience 4: The Internship</v>
      </c>
      <c r="E119" s="44">
        <f>TableOBEDPR[[#This Row],[Credit Points]]</f>
        <v>100</v>
      </c>
      <c r="F119" s="64">
        <v>25</v>
      </c>
      <c r="G119" s="64" t="s">
        <v>477</v>
      </c>
      <c r="H119" s="241">
        <v>4</v>
      </c>
      <c r="I119" s="64" t="s">
        <v>478</v>
      </c>
      <c r="J119" s="64" t="s">
        <v>132</v>
      </c>
      <c r="K119" s="64">
        <v>1</v>
      </c>
      <c r="L119" s="64" t="s">
        <v>496</v>
      </c>
      <c r="M119" s="64">
        <v>100</v>
      </c>
      <c r="N119" s="62">
        <v>43466</v>
      </c>
      <c r="O119" s="62"/>
      <c r="P119" s="62"/>
      <c r="Q119" t="s">
        <v>129</v>
      </c>
      <c r="R119">
        <v>1</v>
      </c>
    </row>
    <row r="120" spans="1:18" x14ac:dyDescent="0.25">
      <c r="A120" t="str">
        <f>TableOBEDPR[[#This Row],[Study Package Code]]</f>
        <v>EDPR4004</v>
      </c>
      <c r="B120" s="5">
        <f>TableOBEDPR[[#This Row],[Ver]]</f>
        <v>1</v>
      </c>
      <c r="C120" t="str">
        <f>IF(TableOBEDPR[[#This Row],[Ver]]&gt;0,_xlfn.TEXTBEFORE(TableOBEDPR[[#This Row],[Structure Line]]," "),"")</f>
        <v>EDP415</v>
      </c>
      <c r="D120" t="str">
        <f>TableOBEDPR[[#This Row],[Structure Line]]</f>
        <v>EDP415 The Literacy Researcher</v>
      </c>
      <c r="E120" s="44">
        <f>TableOBEDPR[[#This Row],[Credit Points]]</f>
        <v>25</v>
      </c>
      <c r="F120" s="64">
        <v>26</v>
      </c>
      <c r="G120" s="64" t="s">
        <v>477</v>
      </c>
      <c r="H120" s="241">
        <v>4</v>
      </c>
      <c r="I120" s="64" t="s">
        <v>478</v>
      </c>
      <c r="J120" s="264" t="s">
        <v>129</v>
      </c>
      <c r="K120" s="264">
        <v>1</v>
      </c>
      <c r="L120" s="264" t="s">
        <v>518</v>
      </c>
      <c r="M120" s="64">
        <v>25</v>
      </c>
      <c r="N120" s="62">
        <v>43466</v>
      </c>
      <c r="O120" s="62"/>
      <c r="P120" s="62"/>
      <c r="Q120" t="s">
        <v>131</v>
      </c>
      <c r="R120">
        <v>3</v>
      </c>
    </row>
    <row r="121" spans="1:18" x14ac:dyDescent="0.25">
      <c r="A121" t="str">
        <f>TableOBEDPR[[#This Row],[Study Package Code]]</f>
        <v>Stream</v>
      </c>
      <c r="B121" s="5">
        <f>TableOBEDPR[[#This Row],[Ver]]</f>
        <v>0</v>
      </c>
      <c r="C121" t="str">
        <f>IF(TableOBEDPR[[#This Row],[Ver]]&gt;0,_xlfn.TEXTBEFORE(TableOBEDPR[[#This Row],[Structure Line]]," "),"")</f>
        <v/>
      </c>
      <c r="D121" t="str">
        <f>TableOBEDPR[[#This Row],[Structure Line]]</f>
        <v>Choose a Teaching Area Stream.</v>
      </c>
      <c r="E121" s="44">
        <f>TableOBEDPR[[#This Row],[Credit Points]]</f>
        <v>75</v>
      </c>
      <c r="F121" s="64">
        <v>27</v>
      </c>
      <c r="G121" s="64" t="s">
        <v>492</v>
      </c>
      <c r="H121" s="241">
        <v>0</v>
      </c>
      <c r="I121" s="64" t="s">
        <v>478</v>
      </c>
      <c r="J121" s="64" t="s">
        <v>619</v>
      </c>
      <c r="K121" s="64">
        <v>0</v>
      </c>
      <c r="L121" s="64" t="s">
        <v>618</v>
      </c>
      <c r="M121" s="64">
        <v>75</v>
      </c>
      <c r="N121" s="62"/>
      <c r="O121" s="62"/>
      <c r="P121" s="62"/>
      <c r="Q121" t="s">
        <v>492</v>
      </c>
      <c r="R121">
        <v>0</v>
      </c>
    </row>
    <row r="122" spans="1:18" x14ac:dyDescent="0.25">
      <c r="A122" t="str">
        <f>TableOBEDPR[[#This Row],[Study Package Code]]</f>
        <v>OUSU-CATHL</v>
      </c>
      <c r="B122" s="5">
        <f>TableOBEDPR[[#This Row],[Ver]]</f>
        <v>1</v>
      </c>
      <c r="D122" t="str">
        <f>TableOBEDPR[[#This Row],[Structure Line]]</f>
        <v>Catholic Education Stream (BEdPri OpenUnis)</v>
      </c>
      <c r="E122" s="44">
        <f>TableOBEDPR[[#This Row],[Credit Points]]</f>
        <v>75</v>
      </c>
      <c r="F122" s="64">
        <v>27</v>
      </c>
      <c r="G122" s="64" t="s">
        <v>492</v>
      </c>
      <c r="H122" s="241">
        <v>0</v>
      </c>
      <c r="I122" s="64" t="s">
        <v>478</v>
      </c>
      <c r="J122" s="64" t="s">
        <v>620</v>
      </c>
      <c r="K122" s="64">
        <v>1</v>
      </c>
      <c r="L122" s="64" t="s">
        <v>621</v>
      </c>
      <c r="M122" s="64">
        <v>75</v>
      </c>
      <c r="N122" s="62">
        <v>46023</v>
      </c>
      <c r="O122" s="62"/>
      <c r="P122" s="62"/>
      <c r="Q122" t="s">
        <v>152</v>
      </c>
      <c r="R122">
        <v>2</v>
      </c>
    </row>
    <row r="123" spans="1:18" x14ac:dyDescent="0.25">
      <c r="A123" t="str">
        <f>TableOBEDPR[[#This Row],[Study Package Code]]</f>
        <v>OUSU-ENGLL</v>
      </c>
      <c r="B123" s="5">
        <f>TableOBEDPR[[#This Row],[Ver]]</f>
        <v>1</v>
      </c>
      <c r="D123" t="str">
        <f>TableOBEDPR[[#This Row],[Structure Line]]</f>
        <v>English Language and Literacy Stream (BEdPri OpenUnis)</v>
      </c>
      <c r="E123" s="44">
        <f>TableOBEDPR[[#This Row],[Credit Points]]</f>
        <v>75</v>
      </c>
      <c r="F123" s="64">
        <v>27</v>
      </c>
      <c r="G123" s="64" t="s">
        <v>492</v>
      </c>
      <c r="H123" s="241">
        <v>0</v>
      </c>
      <c r="I123" s="64" t="s">
        <v>478</v>
      </c>
      <c r="J123" s="64" t="s">
        <v>622</v>
      </c>
      <c r="K123" s="64">
        <v>1</v>
      </c>
      <c r="L123" s="64" t="s">
        <v>623</v>
      </c>
      <c r="M123" s="64">
        <v>75</v>
      </c>
      <c r="N123" s="62">
        <v>46023</v>
      </c>
      <c r="O123" s="62"/>
      <c r="P123" s="62"/>
      <c r="Q123" t="s">
        <v>153</v>
      </c>
      <c r="R123">
        <v>1</v>
      </c>
    </row>
    <row r="124" spans="1:18" x14ac:dyDescent="0.25">
      <c r="A124" t="str">
        <f>TableOBEDPR[[#This Row],[Study Package Code]]</f>
        <v>OUSU-HLTPE</v>
      </c>
      <c r="B124" s="5">
        <f>TableOBEDPR[[#This Row],[Ver]]</f>
        <v>1</v>
      </c>
      <c r="D124" t="str">
        <f>TableOBEDPR[[#This Row],[Structure Line]]</f>
        <v>Health and Physical Education Stream (BEdPri OpenUnis)</v>
      </c>
      <c r="E124" s="44">
        <f>TableOBEDPR[[#This Row],[Credit Points]]</f>
        <v>75</v>
      </c>
      <c r="F124" s="64">
        <v>27</v>
      </c>
      <c r="G124" s="64" t="s">
        <v>492</v>
      </c>
      <c r="H124" s="241">
        <v>0</v>
      </c>
      <c r="I124" s="64" t="s">
        <v>478</v>
      </c>
      <c r="J124" s="64" t="s">
        <v>624</v>
      </c>
      <c r="K124" s="64">
        <v>1</v>
      </c>
      <c r="L124" s="64" t="s">
        <v>625</v>
      </c>
      <c r="M124" s="64">
        <v>75</v>
      </c>
      <c r="N124" s="62">
        <v>46023</v>
      </c>
      <c r="O124" s="62"/>
      <c r="P124" s="62"/>
      <c r="Q124" t="s">
        <v>154</v>
      </c>
      <c r="R124">
        <v>1</v>
      </c>
    </row>
    <row r="125" spans="1:18" x14ac:dyDescent="0.25">
      <c r="A125" t="str">
        <f>TableOBEDPR[[#This Row],[Study Package Code]]</f>
        <v>OUSU-ISTEM</v>
      </c>
      <c r="B125" s="5">
        <f>TableOBEDPR[[#This Row],[Ver]]</f>
        <v>1</v>
      </c>
      <c r="D125" t="str">
        <f>TableOBEDPR[[#This Row],[Structure Line]]</f>
        <v>iSTEM Stream (BEdPri OpenUnis)</v>
      </c>
      <c r="E125" s="44">
        <f>TableOBEDPR[[#This Row],[Credit Points]]</f>
        <v>75</v>
      </c>
      <c r="F125" s="64">
        <v>27</v>
      </c>
      <c r="G125" s="64" t="s">
        <v>492</v>
      </c>
      <c r="H125" s="241">
        <v>0</v>
      </c>
      <c r="I125" s="64" t="s">
        <v>478</v>
      </c>
      <c r="J125" s="64" t="s">
        <v>626</v>
      </c>
      <c r="K125" s="64">
        <v>1</v>
      </c>
      <c r="L125" s="64" t="s">
        <v>627</v>
      </c>
      <c r="M125" s="64">
        <v>75</v>
      </c>
      <c r="N125" s="62">
        <v>46023</v>
      </c>
      <c r="O125" s="62"/>
      <c r="P125" s="62"/>
      <c r="Q125" t="s">
        <v>156</v>
      </c>
      <c r="R125">
        <v>1</v>
      </c>
    </row>
    <row r="126" spans="1:18" x14ac:dyDescent="0.25">
      <c r="A126" t="str">
        <f>TableOBEDPR[[#This Row],[Study Package Code]]</f>
        <v>OUSU-LITNU</v>
      </c>
      <c r="B126" s="5">
        <f>TableOBEDPR[[#This Row],[Ver]]</f>
        <v>1</v>
      </c>
      <c r="D126" t="str">
        <f>TableOBEDPR[[#This Row],[Structure Line]]</f>
        <v>Literacy and Numeracy in Diverse Populations Stream (BEdPri OpenUnis)</v>
      </c>
      <c r="E126" s="44">
        <f>TableOBEDPR[[#This Row],[Credit Points]]</f>
        <v>75</v>
      </c>
      <c r="F126" s="64">
        <v>27</v>
      </c>
      <c r="G126" s="64" t="s">
        <v>492</v>
      </c>
      <c r="H126" s="241">
        <v>0</v>
      </c>
      <c r="I126" s="64" t="s">
        <v>478</v>
      </c>
      <c r="J126" s="64" t="s">
        <v>628</v>
      </c>
      <c r="K126" s="64">
        <v>1</v>
      </c>
      <c r="L126" s="64" t="s">
        <v>629</v>
      </c>
      <c r="M126" s="64">
        <v>75</v>
      </c>
      <c r="N126" s="62">
        <v>46023</v>
      </c>
      <c r="O126" s="62"/>
      <c r="P126" s="62"/>
      <c r="Q126" t="s">
        <v>157</v>
      </c>
      <c r="R126">
        <v>1</v>
      </c>
    </row>
    <row r="127" spans="1:18" x14ac:dyDescent="0.25">
      <c r="A127" t="str">
        <f>TableOBEDPR[[#This Row],[Study Package Code]]</f>
        <v>OUSU-TECHS</v>
      </c>
      <c r="B127" s="5">
        <f>TableOBEDPR[[#This Row],[Ver]]</f>
        <v>1</v>
      </c>
      <c r="D127" t="str">
        <f>TableOBEDPR[[#This Row],[Structure Line]]</f>
        <v>Technologies Stream (BEdPri OpenUnis)</v>
      </c>
      <c r="E127" s="44">
        <f>TableOBEDPR[[#This Row],[Credit Points]]</f>
        <v>75</v>
      </c>
      <c r="F127" s="64">
        <v>27</v>
      </c>
      <c r="G127" s="64" t="s">
        <v>492</v>
      </c>
      <c r="H127" s="241">
        <v>0</v>
      </c>
      <c r="I127" s="64" t="s">
        <v>478</v>
      </c>
      <c r="J127" s="64" t="s">
        <v>630</v>
      </c>
      <c r="K127" s="64">
        <v>1</v>
      </c>
      <c r="L127" s="64" t="s">
        <v>631</v>
      </c>
      <c r="M127" s="64">
        <v>75</v>
      </c>
      <c r="N127" s="62">
        <v>46023</v>
      </c>
      <c r="O127" s="62"/>
      <c r="P127" s="62"/>
      <c r="Q127" t="s">
        <v>140</v>
      </c>
      <c r="R127">
        <v>1</v>
      </c>
    </row>
    <row r="128" spans="1:18" x14ac:dyDescent="0.25">
      <c r="A128">
        <f>TableOBEDPR[[#This Row],[Study Package Code]]</f>
        <v>0</v>
      </c>
      <c r="B128" s="5">
        <f>TableOBEDPR[[#This Row],[Ver]]</f>
        <v>0</v>
      </c>
      <c r="C128" t="str">
        <f>IF(TableOBEDPR[[#This Row],[Ver]]&gt;0,_xlfn.TEXTBEFORE(TableOBEDPR[[#This Row],[Structure Line]]," "),"")</f>
        <v/>
      </c>
      <c r="D128">
        <f>TableOBEDPR[[#This Row],[Structure Line]]</f>
        <v>0</v>
      </c>
      <c r="E128" s="44">
        <f>TableOBEDPR[[#This Row],[Credit Points]]</f>
        <v>0</v>
      </c>
      <c r="F128" s="64"/>
      <c r="G128" s="64"/>
      <c r="H128" s="241"/>
      <c r="I128" s="64"/>
      <c r="J128" s="64"/>
      <c r="K128" s="64"/>
      <c r="L128" s="64"/>
      <c r="M128" s="64"/>
      <c r="N128" s="62"/>
      <c r="O128" s="62"/>
      <c r="P128" s="62"/>
      <c r="Q128" t="s">
        <v>141</v>
      </c>
      <c r="R128">
        <v>1</v>
      </c>
    </row>
    <row r="129" spans="1:18" x14ac:dyDescent="0.25">
      <c r="A129">
        <f>TableOBEDPR[[#This Row],[Study Package Code]]</f>
        <v>0</v>
      </c>
      <c r="B129" s="5">
        <f>TableOBEDPR[[#This Row],[Ver]]</f>
        <v>0</v>
      </c>
      <c r="C129" t="str">
        <f>IF(TableOBEDPR[[#This Row],[Ver]]&gt;0,_xlfn.TEXTBEFORE(TableOBEDPR[[#This Row],[Structure Line]]," "),"")</f>
        <v/>
      </c>
      <c r="D129">
        <f>TableOBEDPR[[#This Row],[Structure Line]]</f>
        <v>0</v>
      </c>
      <c r="E129" s="44">
        <f>TableOBEDPR[[#This Row],[Credit Points]]</f>
        <v>0</v>
      </c>
      <c r="F129" s="64"/>
      <c r="G129" s="64"/>
      <c r="H129" s="241"/>
      <c r="I129" s="64"/>
      <c r="J129" s="64"/>
      <c r="K129" s="64"/>
      <c r="L129" s="64"/>
      <c r="M129" s="64"/>
      <c r="N129" s="62"/>
      <c r="O129" s="62"/>
      <c r="P129" s="62"/>
      <c r="Q129" t="s">
        <v>136</v>
      </c>
      <c r="R129">
        <v>1</v>
      </c>
    </row>
    <row r="130" spans="1:18" x14ac:dyDescent="0.25">
      <c r="A130">
        <f>TableOBEDPR[[#This Row],[Study Package Code]]</f>
        <v>0</v>
      </c>
      <c r="B130" s="5">
        <f>TableOBEDPR[[#This Row],[Ver]]</f>
        <v>0</v>
      </c>
      <c r="C130" t="str">
        <f>IF(TableOBEDPR[[#This Row],[Ver]]&gt;0,_xlfn.TEXTBEFORE(TableOBEDPR[[#This Row],[Structure Line]]," "),"")</f>
        <v/>
      </c>
      <c r="D130">
        <f>TableOBEDPR[[#This Row],[Structure Line]]</f>
        <v>0</v>
      </c>
      <c r="E130" s="44">
        <f>TableOBEDPR[[#This Row],[Credit Points]]</f>
        <v>0</v>
      </c>
      <c r="F130" s="64"/>
      <c r="G130" s="64"/>
      <c r="H130" s="241"/>
      <c r="I130" s="64"/>
      <c r="J130" s="64"/>
      <c r="K130" s="64"/>
      <c r="L130" s="64"/>
      <c r="M130" s="64"/>
      <c r="N130" s="62"/>
      <c r="O130" s="62"/>
      <c r="P130" s="62"/>
      <c r="Q130" t="s">
        <v>144</v>
      </c>
      <c r="R130">
        <v>1</v>
      </c>
    </row>
    <row r="131" spans="1:18" x14ac:dyDescent="0.25">
      <c r="A131">
        <f>TableOBEDPR[[#This Row],[Study Package Code]]</f>
        <v>0</v>
      </c>
      <c r="B131" s="5">
        <f>TableOBEDPR[[#This Row],[Ver]]</f>
        <v>0</v>
      </c>
      <c r="C131" t="str">
        <f>IF(TableOBEDPR[[#This Row],[Ver]]&gt;0,_xlfn.TEXTBEFORE(TableOBEDPR[[#This Row],[Structure Line]]," "),"")</f>
        <v/>
      </c>
      <c r="D131">
        <f>TableOBEDPR[[#This Row],[Structure Line]]</f>
        <v>0</v>
      </c>
      <c r="E131" s="44">
        <f>TableOBEDPR[[#This Row],[Credit Points]]</f>
        <v>0</v>
      </c>
      <c r="F131" s="64"/>
      <c r="G131" s="64"/>
      <c r="H131" s="241"/>
      <c r="I131" s="64"/>
      <c r="J131" s="64"/>
      <c r="K131" s="64"/>
      <c r="L131" s="64"/>
      <c r="M131" s="64"/>
      <c r="N131" s="62"/>
      <c r="O131" s="62"/>
      <c r="P131" s="62"/>
      <c r="Q131" t="s">
        <v>148</v>
      </c>
      <c r="R131">
        <v>1</v>
      </c>
    </row>
    <row r="132" spans="1:18" x14ac:dyDescent="0.25">
      <c r="A132">
        <f>TableOBEDPR[[#This Row],[Study Package Code]]</f>
        <v>0</v>
      </c>
      <c r="B132" s="5">
        <f>TableOBEDPR[[#This Row],[Ver]]</f>
        <v>0</v>
      </c>
      <c r="C132" t="str">
        <f>IF(TableOBEDPR[[#This Row],[Ver]]&gt;0,_xlfn.TEXTBEFORE(TableOBEDPR[[#This Row],[Structure Line]]," "),"")</f>
        <v/>
      </c>
      <c r="D132">
        <f>TableOBEDPR[[#This Row],[Structure Line]]</f>
        <v>0</v>
      </c>
      <c r="E132" s="44">
        <f>TableOBEDPR[[#This Row],[Credit Points]]</f>
        <v>0</v>
      </c>
      <c r="F132" s="64"/>
      <c r="G132" s="64"/>
      <c r="H132" s="241"/>
      <c r="I132" s="64"/>
      <c r="J132" s="64"/>
      <c r="K132" s="64"/>
      <c r="L132" s="64"/>
      <c r="M132" s="64"/>
      <c r="N132" s="62"/>
      <c r="O132" s="62"/>
      <c r="P132" s="62"/>
      <c r="Q132" t="s">
        <v>137</v>
      </c>
      <c r="R132">
        <v>1</v>
      </c>
    </row>
    <row r="133" spans="1:18" x14ac:dyDescent="0.25">
      <c r="A133">
        <f>TableOBEDPR[[#This Row],[Study Package Code]]</f>
        <v>0</v>
      </c>
      <c r="B133" s="5">
        <f>TableOBEDPR[[#This Row],[Ver]]</f>
        <v>0</v>
      </c>
      <c r="C133" t="str">
        <f>IF(TableOBEDPR[[#This Row],[Ver]]&gt;0,_xlfn.TEXTBEFORE(TableOBEDPR[[#This Row],[Structure Line]]," "),"")</f>
        <v/>
      </c>
      <c r="D133">
        <f>TableOBEDPR[[#This Row],[Structure Line]]</f>
        <v>0</v>
      </c>
      <c r="E133" s="44">
        <f>TableOBEDPR[[#This Row],[Credit Points]]</f>
        <v>0</v>
      </c>
      <c r="F133" s="64"/>
      <c r="G133" s="64"/>
      <c r="H133" s="241"/>
      <c r="I133" s="64"/>
      <c r="J133" s="64"/>
      <c r="K133" s="64"/>
      <c r="L133" s="64"/>
      <c r="M133" s="64"/>
      <c r="N133" s="62"/>
      <c r="O133" s="62"/>
      <c r="P133" s="62"/>
      <c r="Q133" t="s">
        <v>138</v>
      </c>
      <c r="R133">
        <v>1</v>
      </c>
    </row>
    <row r="134" spans="1:18" x14ac:dyDescent="0.25">
      <c r="A134">
        <f>TableOBEDPR[[#This Row],[Study Package Code]]</f>
        <v>0</v>
      </c>
      <c r="B134" s="5">
        <f>TableOBEDPR[[#This Row],[Ver]]</f>
        <v>0</v>
      </c>
      <c r="C134" t="str">
        <f>IF(TableOBEDPR[[#This Row],[Ver]]&gt;0,_xlfn.TEXTBEFORE(TableOBEDPR[[#This Row],[Structure Line]]," "),"")</f>
        <v/>
      </c>
      <c r="D134">
        <f>TableOBEDPR[[#This Row],[Structure Line]]</f>
        <v>0</v>
      </c>
      <c r="E134" s="44">
        <f>TableOBEDPR[[#This Row],[Credit Points]]</f>
        <v>0</v>
      </c>
      <c r="F134" s="64"/>
      <c r="G134" s="64"/>
      <c r="H134" s="241"/>
      <c r="I134" s="64"/>
      <c r="J134" s="64"/>
      <c r="K134" s="64"/>
      <c r="L134" s="64"/>
      <c r="M134" s="64"/>
      <c r="N134" s="62"/>
      <c r="O134" s="62"/>
      <c r="P134" s="62"/>
      <c r="Q134" t="s">
        <v>142</v>
      </c>
      <c r="R134">
        <v>1</v>
      </c>
    </row>
    <row r="135" spans="1:18" x14ac:dyDescent="0.25">
      <c r="A135">
        <f>TableOBEDPR[[#This Row],[Study Package Code]]</f>
        <v>0</v>
      </c>
      <c r="B135" s="5">
        <f>TableOBEDPR[[#This Row],[Ver]]</f>
        <v>0</v>
      </c>
      <c r="C135" t="str">
        <f>IF(TableOBEDPR[[#This Row],[Ver]]&gt;0,_xlfn.TEXTBEFORE(TableOBEDPR[[#This Row],[Structure Line]]," "),"")</f>
        <v/>
      </c>
      <c r="D135">
        <f>TableOBEDPR[[#This Row],[Structure Line]]</f>
        <v>0</v>
      </c>
      <c r="E135" s="44">
        <f>TableOBEDPR[[#This Row],[Credit Points]]</f>
        <v>0</v>
      </c>
      <c r="F135" s="64"/>
      <c r="G135" s="64"/>
      <c r="H135" s="241"/>
      <c r="I135" s="64"/>
      <c r="J135" s="64"/>
      <c r="K135" s="64"/>
      <c r="L135" s="64"/>
      <c r="M135" s="64"/>
      <c r="N135" s="62"/>
      <c r="O135" s="62"/>
      <c r="P135" s="62"/>
      <c r="Q135" t="s">
        <v>149</v>
      </c>
      <c r="R135">
        <v>1</v>
      </c>
    </row>
    <row r="136" spans="1:18" x14ac:dyDescent="0.25">
      <c r="A136">
        <f>TableOBEDPR[[#This Row],[Study Package Code]]</f>
        <v>0</v>
      </c>
      <c r="B136" s="5">
        <f>TableOBEDPR[[#This Row],[Ver]]</f>
        <v>0</v>
      </c>
      <c r="C136" t="str">
        <f>IF(TableOBEDPR[[#This Row],[Ver]]&gt;0,_xlfn.TEXTBEFORE(TableOBEDPR[[#This Row],[Structure Line]]," "),"")</f>
        <v/>
      </c>
      <c r="D136">
        <f>TableOBEDPR[[#This Row],[Structure Line]]</f>
        <v>0</v>
      </c>
      <c r="E136" s="44">
        <f>TableOBEDPR[[#This Row],[Credit Points]]</f>
        <v>0</v>
      </c>
      <c r="F136" s="64"/>
      <c r="G136" s="64"/>
      <c r="H136" s="241"/>
      <c r="I136" s="64"/>
      <c r="J136" s="64"/>
      <c r="K136" s="64"/>
      <c r="L136" s="64"/>
      <c r="M136" s="64"/>
      <c r="N136" s="62"/>
      <c r="O136" s="62"/>
      <c r="P136" s="62"/>
      <c r="Q136" t="s">
        <v>145</v>
      </c>
      <c r="R136">
        <v>1</v>
      </c>
    </row>
    <row r="137" spans="1:18" x14ac:dyDescent="0.25">
      <c r="A137">
        <f>TableOBEDPR[[#This Row],[Study Package Code]]</f>
        <v>0</v>
      </c>
      <c r="B137" s="5">
        <f>TableOBEDPR[[#This Row],[Ver]]</f>
        <v>0</v>
      </c>
      <c r="C137" t="str">
        <f>IF(TableOBEDPR[[#This Row],[Ver]]&gt;0,_xlfn.TEXTBEFORE(TableOBEDPR[[#This Row],[Structure Line]]," "),"")</f>
        <v/>
      </c>
      <c r="D137">
        <f>TableOBEDPR[[#This Row],[Structure Line]]</f>
        <v>0</v>
      </c>
      <c r="E137" s="44">
        <f>TableOBEDPR[[#This Row],[Credit Points]]</f>
        <v>0</v>
      </c>
      <c r="F137" s="64"/>
      <c r="G137" s="64"/>
      <c r="H137" s="241"/>
      <c r="I137" s="64"/>
      <c r="J137" s="64"/>
      <c r="K137" s="64"/>
      <c r="L137" s="64"/>
      <c r="M137" s="64"/>
      <c r="N137" s="62"/>
      <c r="O137" s="62"/>
      <c r="P137" s="62"/>
      <c r="Q137" t="s">
        <v>146</v>
      </c>
      <c r="R137">
        <v>2</v>
      </c>
    </row>
    <row r="138" spans="1:18" x14ac:dyDescent="0.25">
      <c r="A138">
        <f>TableOBEDPR[[#This Row],[Study Package Code]]</f>
        <v>0</v>
      </c>
      <c r="B138" s="5">
        <f>TableOBEDPR[[#This Row],[Ver]]</f>
        <v>0</v>
      </c>
      <c r="C138" t="str">
        <f>IF(TableOBEDPR[[#This Row],[Ver]]&gt;0,_xlfn.TEXTBEFORE(TableOBEDPR[[#This Row],[Structure Line]]," "),"")</f>
        <v/>
      </c>
      <c r="D138">
        <f>TableOBEDPR[[#This Row],[Structure Line]]</f>
        <v>0</v>
      </c>
      <c r="E138" s="44">
        <f>TableOBEDPR[[#This Row],[Credit Points]]</f>
        <v>0</v>
      </c>
      <c r="F138" s="64"/>
      <c r="G138" s="64"/>
      <c r="H138" s="241"/>
      <c r="I138" s="64"/>
      <c r="J138" s="64"/>
      <c r="K138" s="64"/>
      <c r="L138" s="64"/>
      <c r="M138" s="64"/>
      <c r="N138" s="62"/>
      <c r="O138" s="62"/>
      <c r="P138" s="62"/>
      <c r="Q138" t="s">
        <v>150</v>
      </c>
      <c r="R138">
        <v>1</v>
      </c>
    </row>
    <row r="139" spans="1:18" x14ac:dyDescent="0.25">
      <c r="A139">
        <f>TableOBEDPR[[#This Row],[Study Package Code]]</f>
        <v>0</v>
      </c>
      <c r="B139" s="5">
        <f>TableOBEDPR[[#This Row],[Ver]]</f>
        <v>0</v>
      </c>
      <c r="C139" t="str">
        <f>IF(TableOBEDPR[[#This Row],[Ver]]&gt;0,_xlfn.TEXTBEFORE(TableOBEDPR[[#This Row],[Structure Line]]," "),"")</f>
        <v/>
      </c>
      <c r="D139">
        <f>TableOBEDPR[[#This Row],[Structure Line]]</f>
        <v>0</v>
      </c>
      <c r="E139" s="44">
        <f>TableOBEDPR[[#This Row],[Credit Points]]</f>
        <v>0</v>
      </c>
      <c r="F139" s="64"/>
      <c r="G139" s="64"/>
      <c r="H139" s="241"/>
      <c r="I139" s="64"/>
      <c r="J139" s="64"/>
      <c r="K139" s="64"/>
      <c r="L139" s="64"/>
      <c r="M139" s="64"/>
      <c r="N139" s="87"/>
      <c r="O139" s="87"/>
      <c r="P139" s="62"/>
      <c r="Q139" t="s">
        <v>158</v>
      </c>
      <c r="R139">
        <v>1</v>
      </c>
    </row>
    <row r="140" spans="1:18" x14ac:dyDescent="0.25">
      <c r="A140" s="42"/>
      <c r="B140" s="43"/>
      <c r="C140" s="42"/>
      <c r="F140" s="235"/>
      <c r="G140" s="236" t="s">
        <v>464</v>
      </c>
      <c r="H140" s="240">
        <v>46031</v>
      </c>
      <c r="I140" s="235"/>
      <c r="J140" s="232" t="s">
        <v>69</v>
      </c>
      <c r="K140" s="230">
        <v>4</v>
      </c>
      <c r="L140" s="232" t="s">
        <v>33</v>
      </c>
      <c r="M140" s="232"/>
      <c r="N140" s="231">
        <v>46023</v>
      </c>
      <c r="O140" s="237"/>
      <c r="P140" s="62"/>
    </row>
    <row r="141" spans="1:18" ht="31.5" x14ac:dyDescent="0.25">
      <c r="A141" s="49" t="s">
        <v>0</v>
      </c>
      <c r="B141" s="50" t="s">
        <v>466</v>
      </c>
      <c r="C141" s="49" t="s">
        <v>16</v>
      </c>
      <c r="D141" s="49" t="s">
        <v>3</v>
      </c>
      <c r="E141" s="51" t="s">
        <v>467</v>
      </c>
      <c r="F141" s="49" t="s">
        <v>468</v>
      </c>
      <c r="G141" s="49" t="s">
        <v>469</v>
      </c>
      <c r="H141" s="50" t="s">
        <v>470</v>
      </c>
      <c r="I141" s="49" t="s">
        <v>17</v>
      </c>
      <c r="J141" s="49" t="s">
        <v>471</v>
      </c>
      <c r="K141" s="49" t="s">
        <v>1</v>
      </c>
      <c r="L141" s="49" t="s">
        <v>472</v>
      </c>
      <c r="M141" s="49" t="s">
        <v>59</v>
      </c>
      <c r="N141" s="49" t="s">
        <v>473</v>
      </c>
      <c r="O141" s="49" t="s">
        <v>474</v>
      </c>
      <c r="P141" s="62"/>
      <c r="Q141" t="s">
        <v>475</v>
      </c>
      <c r="R141" t="s">
        <v>476</v>
      </c>
    </row>
    <row r="142" spans="1:18" x14ac:dyDescent="0.25">
      <c r="A142" t="str">
        <f>TableOUEDPR[[#This Row],[Study Package Code]]</f>
        <v>EDUC1020</v>
      </c>
      <c r="B142" s="5">
        <f>TableOUEDPR[[#This Row],[Ver]]</f>
        <v>1</v>
      </c>
      <c r="C142" t="str">
        <f>IF(TableOUEDPR[[#This Row],[Ver]]&gt;0,_xlfn.TEXTBEFORE(TableOUEDPR[[#This Row],[Structure Line]]," "),"")</f>
        <v>EDC105</v>
      </c>
      <c r="D142" t="str">
        <f>TableOUEDPR[[#This Row],[Structure Line]]</f>
        <v>EDC105 Teaching and Learning in the Digital World</v>
      </c>
      <c r="E142" s="44">
        <f>TableOUEDPR[[#This Row],[Credit Points]]</f>
        <v>25</v>
      </c>
      <c r="F142" s="64">
        <v>1</v>
      </c>
      <c r="G142" s="64" t="s">
        <v>477</v>
      </c>
      <c r="H142" s="241">
        <v>1</v>
      </c>
      <c r="I142" s="64" t="s">
        <v>478</v>
      </c>
      <c r="J142" s="64" t="s">
        <v>46</v>
      </c>
      <c r="K142" s="64">
        <v>1</v>
      </c>
      <c r="L142" s="64" t="s">
        <v>479</v>
      </c>
      <c r="M142" s="64">
        <v>25</v>
      </c>
      <c r="N142" s="62">
        <v>43466</v>
      </c>
      <c r="O142" s="62"/>
      <c r="P142" s="62"/>
    </row>
    <row r="143" spans="1:18" x14ac:dyDescent="0.25">
      <c r="A143" t="str">
        <f>TableOUEDPR[[#This Row],[Study Package Code]]</f>
        <v>EDUC1022</v>
      </c>
      <c r="B143" s="5">
        <f>TableOUEDPR[[#This Row],[Ver]]</f>
        <v>1</v>
      </c>
      <c r="C143" t="str">
        <f>IF(TableOUEDPR[[#This Row],[Ver]]&gt;0,_xlfn.TEXTBEFORE(TableOUEDPR[[#This Row],[Structure Line]]," "),"")</f>
        <v>EDC135</v>
      </c>
      <c r="D143" t="str">
        <f>TableOUEDPR[[#This Row],[Structure Line]]</f>
        <v>EDC135 Child Development for Educators</v>
      </c>
      <c r="E143" s="44">
        <f>TableOUEDPR[[#This Row],[Credit Points]]</f>
        <v>25</v>
      </c>
      <c r="F143" s="64">
        <v>2</v>
      </c>
      <c r="G143" s="64" t="s">
        <v>477</v>
      </c>
      <c r="H143" s="241">
        <v>1</v>
      </c>
      <c r="I143" s="64" t="s">
        <v>478</v>
      </c>
      <c r="J143" s="64" t="s">
        <v>51</v>
      </c>
      <c r="K143" s="64">
        <v>1</v>
      </c>
      <c r="L143" s="64" t="s">
        <v>480</v>
      </c>
      <c r="M143" s="64">
        <v>25</v>
      </c>
      <c r="N143" s="62">
        <v>43466</v>
      </c>
      <c r="O143" s="62"/>
      <c r="P143" s="62"/>
    </row>
    <row r="144" spans="1:18" x14ac:dyDescent="0.25">
      <c r="A144" t="str">
        <f>TableOUEDPR[[#This Row],[Study Package Code]]</f>
        <v>EDUC1032</v>
      </c>
      <c r="B144" s="5">
        <f>TableOUEDPR[[#This Row],[Ver]]</f>
        <v>1</v>
      </c>
      <c r="C144" t="str">
        <f>IF(TableOUEDPR[[#This Row],[Ver]]&gt;0,_xlfn.TEXTBEFORE(TableOUEDPR[[#This Row],[Structure Line]]," "),"")</f>
        <v>EDC145</v>
      </c>
      <c r="D144" t="str">
        <f>TableOUEDPR[[#This Row],[Structure Line]]</f>
        <v>EDC145 The Numerate Educator</v>
      </c>
      <c r="E144" s="44">
        <f>TableOUEDPR[[#This Row],[Credit Points]]</f>
        <v>25</v>
      </c>
      <c r="F144" s="64">
        <v>3</v>
      </c>
      <c r="G144" s="64" t="s">
        <v>477</v>
      </c>
      <c r="H144" s="241">
        <v>1</v>
      </c>
      <c r="I144" s="64" t="s">
        <v>478</v>
      </c>
      <c r="J144" s="64" t="s">
        <v>65</v>
      </c>
      <c r="K144" s="64">
        <v>1</v>
      </c>
      <c r="L144" s="64" t="s">
        <v>482</v>
      </c>
      <c r="M144" s="64">
        <v>25</v>
      </c>
      <c r="N144" s="62">
        <v>43466</v>
      </c>
      <c r="O144" s="62"/>
    </row>
    <row r="145" spans="1:16" x14ac:dyDescent="0.25">
      <c r="A145" t="str">
        <f>TableOUEDPR[[#This Row],[Study Package Code]]</f>
        <v>EDUC1030</v>
      </c>
      <c r="B145" s="5">
        <f>TableOUEDPR[[#This Row],[Ver]]</f>
        <v>1</v>
      </c>
      <c r="C145" t="str">
        <f>IF(TableOUEDPR[[#This Row],[Ver]]&gt;0,_xlfn.TEXTBEFORE(TableOUEDPR[[#This Row],[Structure Line]]," "),"")</f>
        <v>EDC153</v>
      </c>
      <c r="D145" t="str">
        <f>TableOUEDPR[[#This Row],[Structure Line]]</f>
        <v>EDC153 Performing Arts for Educators</v>
      </c>
      <c r="E145" s="44">
        <f>TableOUEDPR[[#This Row],[Credit Points]]</f>
        <v>25</v>
      </c>
      <c r="F145" s="64">
        <v>4</v>
      </c>
      <c r="G145" s="64" t="s">
        <v>477</v>
      </c>
      <c r="H145" s="241">
        <v>1</v>
      </c>
      <c r="I145" s="64" t="s">
        <v>478</v>
      </c>
      <c r="J145" s="64" t="s">
        <v>70</v>
      </c>
      <c r="K145" s="64">
        <v>1</v>
      </c>
      <c r="L145" s="64" t="s">
        <v>483</v>
      </c>
      <c r="M145" s="64">
        <v>25</v>
      </c>
      <c r="N145" s="62">
        <v>43466</v>
      </c>
      <c r="O145" s="62"/>
      <c r="P145" s="49"/>
    </row>
    <row r="146" spans="1:16" x14ac:dyDescent="0.25">
      <c r="A146" t="str">
        <f>TableOUEDPR[[#This Row],[Study Package Code]]</f>
        <v>EDUC1028</v>
      </c>
      <c r="B146" s="5">
        <f>TableOUEDPR[[#This Row],[Ver]]</f>
        <v>1</v>
      </c>
      <c r="C146" t="str">
        <f>IF(TableOUEDPR[[#This Row],[Ver]]&gt;0,_xlfn.TEXTBEFORE(TableOUEDPR[[#This Row],[Structure Line]]," "),"")</f>
        <v>EDC175</v>
      </c>
      <c r="D146" t="str">
        <f>TableOUEDPR[[#This Row],[Structure Line]]</f>
        <v>EDC175 Educators Inquiring About the World</v>
      </c>
      <c r="E146" s="44">
        <f>TableOUEDPR[[#This Row],[Credit Points]]</f>
        <v>25</v>
      </c>
      <c r="F146" s="64">
        <v>5</v>
      </c>
      <c r="G146" s="64" t="s">
        <v>477</v>
      </c>
      <c r="H146" s="241">
        <v>1</v>
      </c>
      <c r="I146" s="64" t="s">
        <v>478</v>
      </c>
      <c r="J146" s="64" t="s">
        <v>67</v>
      </c>
      <c r="K146" s="64">
        <v>1</v>
      </c>
      <c r="L146" s="64" t="s">
        <v>485</v>
      </c>
      <c r="M146" s="64">
        <v>25</v>
      </c>
      <c r="N146" s="62">
        <v>43466</v>
      </c>
      <c r="O146" s="62"/>
      <c r="P146" s="62"/>
    </row>
    <row r="147" spans="1:16" x14ac:dyDescent="0.25">
      <c r="A147" t="str">
        <f>TableOUEDPR[[#This Row],[Study Package Code]]</f>
        <v>EDUC1038</v>
      </c>
      <c r="B147" s="5">
        <f>TableOUEDPR[[#This Row],[Ver]]</f>
        <v>1</v>
      </c>
      <c r="C147" t="str">
        <f>IF(TableOUEDPR[[#This Row],[Ver]]&gt;0,_xlfn.TEXTBEFORE(TableOUEDPR[[#This Row],[Structure Line]]," "),"")</f>
        <v>EDC181</v>
      </c>
      <c r="D147" t="str">
        <f>TableOUEDPR[[#This Row],[Structure Line]]</f>
        <v>EDC181 Communication Skills for Educators</v>
      </c>
      <c r="E147" s="44">
        <f>TableOUEDPR[[#This Row],[Credit Points]]</f>
        <v>25</v>
      </c>
      <c r="F147" s="64">
        <v>6</v>
      </c>
      <c r="G147" s="64" t="s">
        <v>477</v>
      </c>
      <c r="H147" s="241">
        <v>1</v>
      </c>
      <c r="I147" s="64" t="s">
        <v>478</v>
      </c>
      <c r="J147" s="64" t="s">
        <v>71</v>
      </c>
      <c r="K147" s="64">
        <v>1</v>
      </c>
      <c r="L147" s="64" t="s">
        <v>484</v>
      </c>
      <c r="M147" s="64">
        <v>25</v>
      </c>
      <c r="N147" s="62">
        <v>45658</v>
      </c>
      <c r="O147" s="62"/>
      <c r="P147" s="62"/>
    </row>
    <row r="148" spans="1:16" x14ac:dyDescent="0.25">
      <c r="A148" t="str">
        <f>TableOUEDPR[[#This Row],[Study Package Code]]</f>
        <v>EDUC1037</v>
      </c>
      <c r="B148" s="5">
        <f>TableOUEDPR[[#This Row],[Ver]]</f>
        <v>1</v>
      </c>
      <c r="C148" t="str">
        <f>IF(TableOUEDPR[[#This Row],[Ver]]&gt;0,_xlfn.TEXTBEFORE(TableOUEDPR[[#This Row],[Structure Line]]," "),"")</f>
        <v>EDC190</v>
      </c>
      <c r="D148" t="str">
        <f>TableOUEDPR[[#This Row],[Structure Line]]</f>
        <v>EDC190 Professional Teaching Practice 1</v>
      </c>
      <c r="E148" s="44">
        <f>TableOUEDPR[[#This Row],[Credit Points]]</f>
        <v>25</v>
      </c>
      <c r="F148" s="64">
        <v>7</v>
      </c>
      <c r="G148" s="64" t="s">
        <v>477</v>
      </c>
      <c r="H148" s="241">
        <v>1</v>
      </c>
      <c r="I148" s="64" t="s">
        <v>478</v>
      </c>
      <c r="J148" s="64" t="s">
        <v>179</v>
      </c>
      <c r="K148" s="64">
        <v>1</v>
      </c>
      <c r="L148" s="64" t="s">
        <v>524</v>
      </c>
      <c r="M148" s="64">
        <v>25</v>
      </c>
      <c r="N148" s="62">
        <v>45658</v>
      </c>
      <c r="O148" s="62"/>
      <c r="P148" s="62"/>
    </row>
    <row r="149" spans="1:16" x14ac:dyDescent="0.25">
      <c r="A149" t="str">
        <f>TableOUEDPR[[#This Row],[Study Package Code]]</f>
        <v>EDUC1040</v>
      </c>
      <c r="B149" s="5">
        <f>TableOUEDPR[[#This Row],[Ver]]</f>
        <v>1</v>
      </c>
      <c r="C149" t="str">
        <f>IF(TableOUEDPR[[#This Row],[Ver]]&gt;0,_xlfn.TEXTBEFORE(TableOUEDPR[[#This Row],[Structure Line]]," "),"")</f>
        <v>EDUC1040</v>
      </c>
      <c r="D149" t="str">
        <f>TableOUEDPR[[#This Row],[Structure Line]]</f>
        <v>EDUC1040 English: The Early Years</v>
      </c>
      <c r="E149" s="44">
        <f>TableOUEDPR[[#This Row],[Credit Points]]</f>
        <v>25</v>
      </c>
      <c r="F149" s="64">
        <v>8</v>
      </c>
      <c r="G149" s="64" t="s">
        <v>477</v>
      </c>
      <c r="H149" s="241">
        <v>1</v>
      </c>
      <c r="I149" s="64" t="s">
        <v>478</v>
      </c>
      <c r="J149" s="64" t="s">
        <v>589</v>
      </c>
      <c r="K149" s="64">
        <v>1</v>
      </c>
      <c r="L149" s="64" t="s">
        <v>590</v>
      </c>
      <c r="M149" s="64">
        <v>25</v>
      </c>
      <c r="N149" s="62">
        <v>46023</v>
      </c>
      <c r="O149" s="62"/>
      <c r="P149" s="62"/>
    </row>
    <row r="150" spans="1:16" x14ac:dyDescent="0.25">
      <c r="A150" t="str">
        <f>TableOUEDPR[[#This Row],[Study Package Code]]</f>
        <v>EDPR2006</v>
      </c>
      <c r="B150" s="5">
        <f>TableOUEDPR[[#This Row],[Ver]]</f>
        <v>1</v>
      </c>
      <c r="C150" t="str">
        <f>IF(TableOUEDPR[[#This Row],[Ver]]&gt;0,_xlfn.TEXTBEFORE(TableOUEDPR[[#This Row],[Structure Line]]," "),"")</f>
        <v>EDP243</v>
      </c>
      <c r="D150" t="str">
        <f>TableOUEDPR[[#This Row],[Structure Line]]</f>
        <v>EDP243 Children as Mathematical Learners</v>
      </c>
      <c r="E150" s="44">
        <f>TableOUEDPR[[#This Row],[Credit Points]]</f>
        <v>25</v>
      </c>
      <c r="F150" s="64">
        <v>9</v>
      </c>
      <c r="G150" s="64" t="s">
        <v>477</v>
      </c>
      <c r="H150" s="241">
        <v>2</v>
      </c>
      <c r="I150" s="64" t="s">
        <v>478</v>
      </c>
      <c r="J150" s="64" t="s">
        <v>89</v>
      </c>
      <c r="K150" s="64">
        <v>1</v>
      </c>
      <c r="L150" s="64" t="s">
        <v>514</v>
      </c>
      <c r="M150" s="64">
        <v>25</v>
      </c>
      <c r="N150" s="62">
        <v>42005</v>
      </c>
      <c r="O150" s="62"/>
      <c r="P150" s="62"/>
    </row>
    <row r="151" spans="1:16" x14ac:dyDescent="0.25">
      <c r="A151" t="str">
        <f>TableOUEDPR[[#This Row],[Study Package Code]]</f>
        <v>EDPR2017</v>
      </c>
      <c r="B151" s="5">
        <f>TableOUEDPR[[#This Row],[Ver]]</f>
        <v>1</v>
      </c>
      <c r="C151" t="str">
        <f>IF(TableOUEDPR[[#This Row],[Ver]]&gt;0,_xlfn.TEXTBEFORE(TableOUEDPR[[#This Row],[Structure Line]]," "),"")</f>
        <v>EDP255</v>
      </c>
      <c r="D151" t="str">
        <f>TableOUEDPR[[#This Row],[Structure Line]]</f>
        <v>EDP255 Health and Physical Education</v>
      </c>
      <c r="E151" s="44">
        <f>TableOUEDPR[[#This Row],[Credit Points]]</f>
        <v>25</v>
      </c>
      <c r="F151" s="64">
        <v>10</v>
      </c>
      <c r="G151" s="64" t="s">
        <v>477</v>
      </c>
      <c r="H151" s="241">
        <v>2</v>
      </c>
      <c r="I151" s="64" t="s">
        <v>478</v>
      </c>
      <c r="J151" s="64" t="s">
        <v>90</v>
      </c>
      <c r="K151" s="64">
        <v>1</v>
      </c>
      <c r="L151" s="64" t="s">
        <v>513</v>
      </c>
      <c r="M151" s="64">
        <v>25</v>
      </c>
      <c r="N151" s="62">
        <v>43466</v>
      </c>
      <c r="O151" s="62"/>
      <c r="P151" s="62"/>
    </row>
    <row r="152" spans="1:16" x14ac:dyDescent="0.25">
      <c r="A152" t="str">
        <f>TableOUEDPR[[#This Row],[Study Package Code]]</f>
        <v>EDPR2010</v>
      </c>
      <c r="B152" s="5">
        <f>TableOUEDPR[[#This Row],[Ver]]</f>
        <v>1</v>
      </c>
      <c r="C152" t="str">
        <f>IF(TableOUEDPR[[#This Row],[Ver]]&gt;0,_xlfn.TEXTBEFORE(TableOUEDPR[[#This Row],[Structure Line]]," "),"")</f>
        <v>EDP273</v>
      </c>
      <c r="D152" t="str">
        <f>TableOUEDPR[[#This Row],[Structure Line]]</f>
        <v>EDP273 Inquiry in the Science Classroom</v>
      </c>
      <c r="E152" s="44">
        <f>TableOUEDPR[[#This Row],[Credit Points]]</f>
        <v>25</v>
      </c>
      <c r="F152" s="64">
        <v>11</v>
      </c>
      <c r="G152" s="64" t="s">
        <v>477</v>
      </c>
      <c r="H152" s="241">
        <v>2</v>
      </c>
      <c r="I152" s="64" t="s">
        <v>478</v>
      </c>
      <c r="J152" s="64" t="s">
        <v>87</v>
      </c>
      <c r="K152" s="64">
        <v>1</v>
      </c>
      <c r="L152" s="64" t="s">
        <v>512</v>
      </c>
      <c r="M152" s="64">
        <v>25</v>
      </c>
      <c r="N152" s="62">
        <v>42005</v>
      </c>
      <c r="O152" s="62"/>
      <c r="P152" s="62"/>
    </row>
    <row r="153" spans="1:16" x14ac:dyDescent="0.25">
      <c r="A153" t="str">
        <f>TableOUEDPR[[#This Row],[Study Package Code]]</f>
        <v>EDPR2009</v>
      </c>
      <c r="B153" s="5">
        <f>TableOUEDPR[[#This Row],[Ver]]</f>
        <v>1</v>
      </c>
      <c r="C153" t="str">
        <f>IF(TableOUEDPR[[#This Row],[Ver]]&gt;0,_xlfn.TEXTBEFORE(TableOUEDPR[[#This Row],[Structure Line]]," "),"")</f>
        <v>EDPR2009</v>
      </c>
      <c r="D153" t="str">
        <f>TableOUEDPR[[#This Row],[Structure Line]]</f>
        <v>EDPR2009 Theory in Practice: Inclusion and Differentiation</v>
      </c>
      <c r="E153" s="44">
        <f>TableOUEDPR[[#This Row],[Credit Points]]</f>
        <v>25</v>
      </c>
      <c r="F153" s="64">
        <v>12</v>
      </c>
      <c r="G153" s="64" t="s">
        <v>477</v>
      </c>
      <c r="H153" s="241">
        <v>2</v>
      </c>
      <c r="I153" s="64" t="s">
        <v>478</v>
      </c>
      <c r="J153" s="64" t="s">
        <v>607</v>
      </c>
      <c r="K153" s="64">
        <v>1</v>
      </c>
      <c r="L153" s="64" t="s">
        <v>608</v>
      </c>
      <c r="M153" s="64">
        <v>25</v>
      </c>
      <c r="N153" s="62">
        <v>46023</v>
      </c>
      <c r="O153" s="62"/>
      <c r="P153" s="62"/>
    </row>
    <row r="154" spans="1:16" x14ac:dyDescent="0.25">
      <c r="A154" t="str">
        <f>TableOUEDPR[[#This Row],[Study Package Code]]</f>
        <v>EDPR2019</v>
      </c>
      <c r="B154" s="5">
        <f>TableOUEDPR[[#This Row],[Ver]]</f>
        <v>1</v>
      </c>
      <c r="C154" t="str">
        <f>IF(TableOUEDPR[[#This Row],[Ver]]&gt;0,_xlfn.TEXTBEFORE(TableOUEDPR[[#This Row],[Structure Line]]," "),"")</f>
        <v>EDPR2019</v>
      </c>
      <c r="D154" t="str">
        <f>TableOUEDPR[[#This Row],[Structure Line]]</f>
        <v>EDPR2019 Primary Professional Experience 1: Introduction to Classroom Skills</v>
      </c>
      <c r="E154" s="44">
        <f>TableOUEDPR[[#This Row],[Credit Points]]</f>
        <v>25</v>
      </c>
      <c r="F154" s="64">
        <v>13</v>
      </c>
      <c r="G154" s="64" t="s">
        <v>477</v>
      </c>
      <c r="H154" s="241">
        <v>2</v>
      </c>
      <c r="I154" s="64" t="s">
        <v>478</v>
      </c>
      <c r="J154" s="64" t="s">
        <v>609</v>
      </c>
      <c r="K154" s="64">
        <v>1</v>
      </c>
      <c r="L154" s="64" t="s">
        <v>610</v>
      </c>
      <c r="M154" s="64">
        <v>25</v>
      </c>
      <c r="N154" s="62">
        <v>46023</v>
      </c>
      <c r="O154" s="62"/>
      <c r="P154" s="62"/>
    </row>
    <row r="155" spans="1:16" x14ac:dyDescent="0.25">
      <c r="A155" t="str">
        <f>TableOUEDPR[[#This Row],[Study Package Code]]</f>
        <v>EDPR2021</v>
      </c>
      <c r="B155" s="5">
        <f>TableOUEDPR[[#This Row],[Ver]]</f>
        <v>1</v>
      </c>
      <c r="C155" t="str">
        <f>IF(TableOUEDPR[[#This Row],[Ver]]&gt;0,_xlfn.TEXTBEFORE(TableOUEDPR[[#This Row],[Structure Line]]," "),"")</f>
        <v>EDPR2021</v>
      </c>
      <c r="D155" t="str">
        <f>TableOUEDPR[[#This Row],[Structure Line]]</f>
        <v>EDPR2021 Primary Professional Experience 2: Classroom Skills for Diversity and Inclusion</v>
      </c>
      <c r="E155" s="44">
        <f>TableOUEDPR[[#This Row],[Credit Points]]</f>
        <v>25</v>
      </c>
      <c r="F155" s="64">
        <v>14</v>
      </c>
      <c r="G155" s="64" t="s">
        <v>477</v>
      </c>
      <c r="H155" s="241">
        <v>2</v>
      </c>
      <c r="I155" s="64" t="s">
        <v>478</v>
      </c>
      <c r="J155" s="64" t="s">
        <v>611</v>
      </c>
      <c r="K155" s="64">
        <v>1</v>
      </c>
      <c r="L155" s="64" t="s">
        <v>612</v>
      </c>
      <c r="M155" s="64">
        <v>25</v>
      </c>
      <c r="N155" s="62">
        <v>46023</v>
      </c>
      <c r="O155" s="62"/>
      <c r="P155" s="62"/>
    </row>
    <row r="156" spans="1:16" x14ac:dyDescent="0.25">
      <c r="A156" t="str">
        <f>TableOUEDPR[[#This Row],[Study Package Code]]</f>
        <v>EDUC2002</v>
      </c>
      <c r="B156" s="5">
        <f>TableOUEDPR[[#This Row],[Ver]]</f>
        <v>1</v>
      </c>
      <c r="C156" t="str">
        <f>IF(TableOUEDPR[[#This Row],[Ver]]&gt;0,_xlfn.TEXTBEFORE(TableOUEDPR[[#This Row],[Structure Line]]," "),"")</f>
        <v>EDUC2002</v>
      </c>
      <c r="D156" t="str">
        <f>TableOUEDPR[[#This Row],[Structure Line]]</f>
        <v>EDUC2002 English: Teaching Reading and Writing</v>
      </c>
      <c r="E156" s="44">
        <f>TableOUEDPR[[#This Row],[Credit Points]]</f>
        <v>25</v>
      </c>
      <c r="F156" s="64">
        <v>15</v>
      </c>
      <c r="G156" s="64" t="s">
        <v>477</v>
      </c>
      <c r="H156" s="241">
        <v>2</v>
      </c>
      <c r="I156" s="64" t="s">
        <v>478</v>
      </c>
      <c r="J156" s="64" t="s">
        <v>604</v>
      </c>
      <c r="K156" s="64">
        <v>1</v>
      </c>
      <c r="L156" s="64" t="s">
        <v>605</v>
      </c>
      <c r="M156" s="64">
        <v>25</v>
      </c>
      <c r="N156" s="62">
        <v>46023</v>
      </c>
      <c r="O156" s="62"/>
      <c r="P156" s="62"/>
    </row>
    <row r="157" spans="1:16" x14ac:dyDescent="0.25">
      <c r="A157" t="str">
        <f>TableOUEDPR[[#This Row],[Study Package Code]]</f>
        <v>EDPR3007</v>
      </c>
      <c r="B157" s="5">
        <f>TableOUEDPR[[#This Row],[Ver]]</f>
        <v>3</v>
      </c>
      <c r="C157" t="str">
        <f>IF(TableOUEDPR[[#This Row],[Ver]]&gt;0,_xlfn.TEXTBEFORE(TableOUEDPR[[#This Row],[Structure Line]]," "),"")</f>
        <v>EDP311</v>
      </c>
      <c r="D157" t="str">
        <f>TableOUEDPR[[#This Row],[Structure Line]]</f>
        <v>EDP311 Policy in Practice: The Classroom in Context</v>
      </c>
      <c r="E157" s="44">
        <f>TableOUEDPR[[#This Row],[Credit Points]]</f>
        <v>25</v>
      </c>
      <c r="F157" s="64">
        <v>16</v>
      </c>
      <c r="G157" s="64" t="s">
        <v>477</v>
      </c>
      <c r="H157" s="241">
        <v>3</v>
      </c>
      <c r="I157" s="64" t="s">
        <v>478</v>
      </c>
      <c r="J157" s="64" t="s">
        <v>111</v>
      </c>
      <c r="K157" s="64">
        <v>3</v>
      </c>
      <c r="L157" s="64" t="s">
        <v>613</v>
      </c>
      <c r="M157" s="64">
        <v>25</v>
      </c>
      <c r="N157" s="62">
        <v>46023</v>
      </c>
      <c r="O157" s="62"/>
      <c r="P157" s="62"/>
    </row>
    <row r="158" spans="1:16" x14ac:dyDescent="0.25">
      <c r="A158" t="str">
        <f>TableOUEDPR[[#This Row],[Study Package Code]]</f>
        <v>EDPR3006</v>
      </c>
      <c r="B158" s="5">
        <f>TableOUEDPR[[#This Row],[Ver]]</f>
        <v>1</v>
      </c>
      <c r="C158" t="str">
        <f>IF(TableOUEDPR[[#This Row],[Ver]]&gt;0,_xlfn.TEXTBEFORE(TableOUEDPR[[#This Row],[Structure Line]]," "),"")</f>
        <v>EDP343</v>
      </c>
      <c r="D158" t="str">
        <f>TableOUEDPR[[#This Row],[Structure Line]]</f>
        <v>EDP343 Inquiry in the Mathematics Classroom</v>
      </c>
      <c r="E158" s="44">
        <f>TableOUEDPR[[#This Row],[Credit Points]]</f>
        <v>25</v>
      </c>
      <c r="F158" s="64">
        <v>17</v>
      </c>
      <c r="G158" s="64" t="s">
        <v>477</v>
      </c>
      <c r="H158" s="241">
        <v>3</v>
      </c>
      <c r="I158" s="64" t="s">
        <v>478</v>
      </c>
      <c r="J158" s="64" t="s">
        <v>118</v>
      </c>
      <c r="K158" s="64">
        <v>1</v>
      </c>
      <c r="L158" s="64" t="s">
        <v>515</v>
      </c>
      <c r="M158" s="64">
        <v>25</v>
      </c>
      <c r="N158" s="62">
        <v>42005</v>
      </c>
      <c r="O158" s="62"/>
      <c r="P158" s="62"/>
    </row>
    <row r="159" spans="1:16" x14ac:dyDescent="0.25">
      <c r="A159" t="str">
        <f>TableOUEDPR[[#This Row],[Study Package Code]]</f>
        <v>EDPR3010</v>
      </c>
      <c r="B159" s="5">
        <f>TableOUEDPR[[#This Row],[Ver]]</f>
        <v>3</v>
      </c>
      <c r="C159" t="str">
        <f>IF(TableOUEDPR[[#This Row],[Ver]]&gt;0,_xlfn.TEXTBEFORE(TableOUEDPR[[#This Row],[Structure Line]]," "),"")</f>
        <v>EDP373</v>
      </c>
      <c r="D159" t="str">
        <f>TableOUEDPR[[#This Row],[Structure Line]]</f>
        <v>EDP373 Inquiry in the Humanities and Social Sciences Classroom</v>
      </c>
      <c r="E159" s="44">
        <f>TableOUEDPR[[#This Row],[Credit Points]]</f>
        <v>25</v>
      </c>
      <c r="F159" s="64">
        <v>18</v>
      </c>
      <c r="G159" s="64" t="s">
        <v>477</v>
      </c>
      <c r="H159" s="241">
        <v>3</v>
      </c>
      <c r="I159" s="64" t="s">
        <v>478</v>
      </c>
      <c r="J159" s="64" t="s">
        <v>115</v>
      </c>
      <c r="K159" s="64">
        <v>3</v>
      </c>
      <c r="L159" s="64" t="s">
        <v>516</v>
      </c>
      <c r="M159" s="64">
        <v>25</v>
      </c>
      <c r="N159" s="62">
        <v>43466</v>
      </c>
      <c r="O159" s="62"/>
      <c r="P159" s="62"/>
    </row>
    <row r="160" spans="1:16" x14ac:dyDescent="0.25">
      <c r="A160" t="str">
        <f>TableOUEDPR[[#This Row],[Study Package Code]]</f>
        <v>EDPR3015</v>
      </c>
      <c r="B160" s="5">
        <f>TableOUEDPR[[#This Row],[Ver]]</f>
        <v>1</v>
      </c>
      <c r="C160" t="str">
        <f>IF(TableOUEDPR[[#This Row],[Ver]]&gt;0,_xlfn.TEXTBEFORE(TableOUEDPR[[#This Row],[Structure Line]]," "),"")</f>
        <v>EDP385</v>
      </c>
      <c r="D160" t="str">
        <f>TableOUEDPR[[#This Row],[Structure Line]]</f>
        <v>EDP385 Visual and Media Arts Education</v>
      </c>
      <c r="E160" s="44">
        <f>TableOUEDPR[[#This Row],[Credit Points]]</f>
        <v>25</v>
      </c>
      <c r="F160" s="64">
        <v>19</v>
      </c>
      <c r="G160" s="64" t="s">
        <v>477</v>
      </c>
      <c r="H160" s="241">
        <v>3</v>
      </c>
      <c r="I160" s="64" t="s">
        <v>478</v>
      </c>
      <c r="J160" s="64" t="s">
        <v>122</v>
      </c>
      <c r="K160" s="64">
        <v>1</v>
      </c>
      <c r="L160" s="64" t="s">
        <v>517</v>
      </c>
      <c r="M160" s="64">
        <v>25</v>
      </c>
      <c r="N160" s="62">
        <v>43466</v>
      </c>
      <c r="O160" s="62"/>
      <c r="P160" s="62"/>
    </row>
    <row r="161" spans="1:18" x14ac:dyDescent="0.25">
      <c r="A161" t="str">
        <f>TableOUEDPR[[#This Row],[Study Package Code]]</f>
        <v>EDPR4002</v>
      </c>
      <c r="B161" s="5">
        <f>TableOUEDPR[[#This Row],[Ver]]</f>
        <v>3</v>
      </c>
      <c r="C161" t="str">
        <f>IF(TableOUEDPR[[#This Row],[Ver]]&gt;0,_xlfn.TEXTBEFORE(TableOUEDPR[[#This Row],[Structure Line]]," "),"")</f>
        <v>EDP443</v>
      </c>
      <c r="D161" t="str">
        <f>TableOUEDPR[[#This Row],[Structure Line]]</f>
        <v>EDP443 Mathematics Pedagogies and Integrated Curriculum</v>
      </c>
      <c r="E161" s="44">
        <f>TableOUEDPR[[#This Row],[Credit Points]]</f>
        <v>25</v>
      </c>
      <c r="F161" s="64">
        <v>20</v>
      </c>
      <c r="G161" s="64" t="s">
        <v>477</v>
      </c>
      <c r="H161" s="241">
        <v>3</v>
      </c>
      <c r="I161" s="64" t="s">
        <v>478</v>
      </c>
      <c r="J161" s="64" t="s">
        <v>131</v>
      </c>
      <c r="K161" s="64">
        <v>3</v>
      </c>
      <c r="L161" s="64" t="s">
        <v>519</v>
      </c>
      <c r="M161" s="64">
        <v>25</v>
      </c>
      <c r="N161" s="62">
        <v>43466</v>
      </c>
      <c r="O161" s="62"/>
      <c r="P161" s="62"/>
    </row>
    <row r="162" spans="1:18" x14ac:dyDescent="0.25">
      <c r="A162" t="str">
        <f>TableOUEDPR[[#This Row],[Study Package Code]]</f>
        <v>EDPR3017</v>
      </c>
      <c r="B162" s="5">
        <f>TableOUEDPR[[#This Row],[Ver]]</f>
        <v>1</v>
      </c>
      <c r="C162" t="str">
        <f>IF(TableOUEDPR[[#This Row],[Ver]]&gt;0,_xlfn.TEXTBEFORE(TableOUEDPR[[#This Row],[Structure Line]]," "),"")</f>
        <v>EDPR3017</v>
      </c>
      <c r="D162" t="str">
        <f>TableOUEDPR[[#This Row],[Structure Line]]</f>
        <v>EDPR3017 English: Extending Reading and Writing</v>
      </c>
      <c r="E162" s="44">
        <f>TableOUEDPR[[#This Row],[Credit Points]]</f>
        <v>25</v>
      </c>
      <c r="F162" s="64">
        <v>21</v>
      </c>
      <c r="G162" s="64" t="s">
        <v>477</v>
      </c>
      <c r="H162" s="241">
        <v>3</v>
      </c>
      <c r="I162" s="64" t="s">
        <v>478</v>
      </c>
      <c r="J162" s="64" t="s">
        <v>614</v>
      </c>
      <c r="K162" s="64">
        <v>1</v>
      </c>
      <c r="L162" s="64" t="s">
        <v>615</v>
      </c>
      <c r="M162" s="64">
        <v>25</v>
      </c>
      <c r="N162" s="62">
        <v>46023</v>
      </c>
      <c r="O162" s="62"/>
      <c r="P162" s="62"/>
    </row>
    <row r="163" spans="1:18" x14ac:dyDescent="0.25">
      <c r="A163" t="str">
        <f>TableOUEDPR[[#This Row],[Study Package Code]]</f>
        <v>EDPR3019</v>
      </c>
      <c r="B163" s="5">
        <f>TableOUEDPR[[#This Row],[Ver]]</f>
        <v>1</v>
      </c>
      <c r="C163" t="str">
        <f>IF(TableOUEDPR[[#This Row],[Ver]]&gt;0,_xlfn.TEXTBEFORE(TableOUEDPR[[#This Row],[Structure Line]]," "),"")</f>
        <v>EDPR3019</v>
      </c>
      <c r="D163" t="str">
        <f>TableOUEDPR[[#This Row],[Structure Line]]</f>
        <v>EDPR3019 Primary Professional Experience 3: Advanced Classroom Skills</v>
      </c>
      <c r="E163" s="44">
        <f>TableOUEDPR[[#This Row],[Credit Points]]</f>
        <v>25</v>
      </c>
      <c r="F163" s="64">
        <v>22</v>
      </c>
      <c r="G163" s="64" t="s">
        <v>477</v>
      </c>
      <c r="H163" s="241">
        <v>3</v>
      </c>
      <c r="I163" s="64" t="s">
        <v>478</v>
      </c>
      <c r="J163" s="64" t="s">
        <v>616</v>
      </c>
      <c r="K163" s="64">
        <v>1</v>
      </c>
      <c r="L163" s="64" t="s">
        <v>617</v>
      </c>
      <c r="M163" s="64">
        <v>25</v>
      </c>
      <c r="N163" s="62">
        <v>46023</v>
      </c>
      <c r="O163" s="62"/>
      <c r="P163" s="62"/>
    </row>
    <row r="164" spans="1:18" x14ac:dyDescent="0.25">
      <c r="A164" t="str">
        <f>TableOUEDPR[[#This Row],[Study Package Code]]</f>
        <v>INED3001</v>
      </c>
      <c r="B164" s="5">
        <f>TableOUEDPR[[#This Row],[Ver]]</f>
        <v>1</v>
      </c>
      <c r="C164" t="s">
        <v>113</v>
      </c>
      <c r="D164" t="str">
        <f>TableOUEDPR[[#This Row],[Structure Line]]</f>
        <v>Indigenous Australian Education</v>
      </c>
      <c r="E164" s="44">
        <f>TableOUEDPR[[#This Row],[Credit Points]]</f>
        <v>25</v>
      </c>
      <c r="F164" s="64">
        <v>23</v>
      </c>
      <c r="G164" s="64" t="s">
        <v>477</v>
      </c>
      <c r="H164" s="241">
        <v>3</v>
      </c>
      <c r="I164" s="64" t="s">
        <v>478</v>
      </c>
      <c r="J164" s="64" t="s">
        <v>113</v>
      </c>
      <c r="K164" s="64">
        <v>1</v>
      </c>
      <c r="L164" s="64" t="s">
        <v>414</v>
      </c>
      <c r="M164" s="64">
        <v>25</v>
      </c>
      <c r="N164" s="62">
        <v>42005</v>
      </c>
      <c r="O164" s="62"/>
      <c r="P164" s="62"/>
    </row>
    <row r="165" spans="1:18" x14ac:dyDescent="0.25">
      <c r="A165" t="str">
        <f>TableOUEDPR[[#This Row],[Study Package Code]]</f>
        <v>EDUC4050</v>
      </c>
      <c r="B165" s="5">
        <f>TableOUEDPR[[#This Row],[Ver]]</f>
        <v>1</v>
      </c>
      <c r="C165" t="str">
        <f>IF(TableOUEDPR[[#This Row],[Ver]]&gt;0,_xlfn.TEXTBEFORE(TableOUEDPR[[#This Row],[Structure Line]]," "),"")</f>
        <v>EDC445</v>
      </c>
      <c r="D165" t="str">
        <f>TableOUEDPR[[#This Row],[Structure Line]]</f>
        <v>EDC445 The Professional Educator: Transition to the Profession</v>
      </c>
      <c r="E165" s="44">
        <f>TableOUEDPR[[#This Row],[Credit Points]]</f>
        <v>25</v>
      </c>
      <c r="F165" s="64">
        <v>24</v>
      </c>
      <c r="G165" s="64" t="s">
        <v>477</v>
      </c>
      <c r="H165" s="241">
        <v>4</v>
      </c>
      <c r="I165" s="64" t="s">
        <v>478</v>
      </c>
      <c r="J165" s="64" t="s">
        <v>126</v>
      </c>
      <c r="K165" s="64">
        <v>1</v>
      </c>
      <c r="L165" s="64" t="s">
        <v>493</v>
      </c>
      <c r="M165" s="64">
        <v>25</v>
      </c>
      <c r="N165" s="62">
        <v>43466</v>
      </c>
      <c r="O165" s="62"/>
      <c r="P165" s="62"/>
    </row>
    <row r="166" spans="1:18" x14ac:dyDescent="0.25">
      <c r="A166" t="str">
        <f>TableOUEDPR[[#This Row],[Study Package Code]]</f>
        <v>EDUC4041</v>
      </c>
      <c r="B166" s="5">
        <f>TableOUEDPR[[#This Row],[Ver]]</f>
        <v>1</v>
      </c>
      <c r="C166" t="str">
        <f>IF(TableOUEDPR[[#This Row],[Ver]]&gt;0,_xlfn.TEXTBEFORE(TableOUEDPR[[#This Row],[Structure Line]]," "),"")</f>
        <v>EDC450</v>
      </c>
      <c r="D166" t="str">
        <f>TableOUEDPR[[#This Row],[Structure Line]]</f>
        <v>EDC450 Professional Experience 4: The Internship</v>
      </c>
      <c r="E166" s="44">
        <f>TableOUEDPR[[#This Row],[Credit Points]]</f>
        <v>100</v>
      </c>
      <c r="F166" s="64">
        <v>25</v>
      </c>
      <c r="G166" s="64" t="s">
        <v>477</v>
      </c>
      <c r="H166" s="241">
        <v>4</v>
      </c>
      <c r="I166" s="64" t="s">
        <v>478</v>
      </c>
      <c r="J166" s="64" t="s">
        <v>132</v>
      </c>
      <c r="K166" s="64">
        <v>1</v>
      </c>
      <c r="L166" s="64" t="s">
        <v>496</v>
      </c>
      <c r="M166" s="64">
        <v>100</v>
      </c>
      <c r="N166" s="62">
        <v>43466</v>
      </c>
      <c r="O166" s="62"/>
      <c r="P166" s="62"/>
    </row>
    <row r="167" spans="1:18" x14ac:dyDescent="0.25">
      <c r="A167" t="str">
        <f>TableOUEDPR[[#This Row],[Study Package Code]]</f>
        <v>EDPR4004</v>
      </c>
      <c r="B167" s="5">
        <f>TableOUEDPR[[#This Row],[Ver]]</f>
        <v>1</v>
      </c>
      <c r="C167" t="str">
        <f>IF(TableOUEDPR[[#This Row],[Ver]]&gt;0,_xlfn.TEXTBEFORE(TableOUEDPR[[#This Row],[Structure Line]]," "),"")</f>
        <v>EDP415</v>
      </c>
      <c r="D167" t="str">
        <f>TableOUEDPR[[#This Row],[Structure Line]]</f>
        <v>EDP415 The Literacy Researcher</v>
      </c>
      <c r="E167" s="44">
        <f>TableOUEDPR[[#This Row],[Credit Points]]</f>
        <v>25</v>
      </c>
      <c r="F167" s="64">
        <v>26</v>
      </c>
      <c r="G167" s="64" t="s">
        <v>477</v>
      </c>
      <c r="H167" s="241">
        <v>4</v>
      </c>
      <c r="I167" s="64" t="s">
        <v>478</v>
      </c>
      <c r="J167" s="264" t="s">
        <v>129</v>
      </c>
      <c r="K167" s="264">
        <v>1</v>
      </c>
      <c r="L167" s="264" t="s">
        <v>518</v>
      </c>
      <c r="M167" s="64">
        <v>25</v>
      </c>
      <c r="N167" s="62">
        <v>43466</v>
      </c>
      <c r="O167" s="62"/>
      <c r="P167" s="62"/>
    </row>
    <row r="168" spans="1:18" x14ac:dyDescent="0.25">
      <c r="A168" t="str">
        <f>TableOUEDPR[[#This Row],[Study Package Code]]</f>
        <v>Stream</v>
      </c>
      <c r="B168" s="5">
        <f>TableOUEDPR[[#This Row],[Ver]]</f>
        <v>0</v>
      </c>
      <c r="C168" t="str">
        <f>IF(TableOUEDPR[[#This Row],[Ver]]&gt;0,_xlfn.TEXTBEFORE(TableOUEDPR[[#This Row],[Structure Line]]," "),"")</f>
        <v/>
      </c>
      <c r="D168" t="str">
        <f>TableOUEDPR[[#This Row],[Structure Line]]</f>
        <v>Choose a Teaching Area Stream.</v>
      </c>
      <c r="E168" s="44">
        <f>TableOUEDPR[[#This Row],[Credit Points]]</f>
        <v>75</v>
      </c>
      <c r="F168" s="64">
        <v>27</v>
      </c>
      <c r="G168" s="64" t="s">
        <v>492</v>
      </c>
      <c r="H168" s="241">
        <v>0</v>
      </c>
      <c r="I168" s="64" t="s">
        <v>478</v>
      </c>
      <c r="J168" s="64" t="s">
        <v>619</v>
      </c>
      <c r="K168" s="64">
        <v>0</v>
      </c>
      <c r="L168" s="64" t="s">
        <v>618</v>
      </c>
      <c r="M168" s="64">
        <v>75</v>
      </c>
      <c r="N168" s="62"/>
      <c r="O168" s="62"/>
      <c r="P168" s="62"/>
    </row>
    <row r="169" spans="1:18" x14ac:dyDescent="0.25">
      <c r="A169" t="str">
        <f>TableOUEDPR[[#This Row],[Study Package Code]]</f>
        <v>OUSU-CATHL</v>
      </c>
      <c r="B169" s="5">
        <f>TableOUEDPR[[#This Row],[Ver]]</f>
        <v>1</v>
      </c>
      <c r="D169" t="str">
        <f>TableOUEDPR[[#This Row],[Structure Line]]</f>
        <v>Catholic Education Stream (BEdPri OpenUnis)</v>
      </c>
      <c r="E169" s="44">
        <f>TableOUEDPR[[#This Row],[Credit Points]]</f>
        <v>75</v>
      </c>
      <c r="F169" s="64">
        <v>27</v>
      </c>
      <c r="G169" s="64" t="s">
        <v>492</v>
      </c>
      <c r="H169" s="241">
        <v>0</v>
      </c>
      <c r="I169" s="64" t="s">
        <v>478</v>
      </c>
      <c r="J169" s="64" t="s">
        <v>620</v>
      </c>
      <c r="K169" s="64">
        <v>1</v>
      </c>
      <c r="L169" s="64" t="s">
        <v>621</v>
      </c>
      <c r="M169" s="64">
        <v>75</v>
      </c>
      <c r="N169" s="62">
        <v>46023</v>
      </c>
      <c r="O169" s="62"/>
      <c r="P169" s="62"/>
    </row>
    <row r="170" spans="1:18" x14ac:dyDescent="0.25">
      <c r="A170" t="str">
        <f>TableOUEDPR[[#This Row],[Study Package Code]]</f>
        <v>OUSU-ENGLL</v>
      </c>
      <c r="B170" s="5">
        <f>TableOUEDPR[[#This Row],[Ver]]</f>
        <v>1</v>
      </c>
      <c r="D170" t="str">
        <f>TableOUEDPR[[#This Row],[Structure Line]]</f>
        <v>English Language and Literacy Stream (BEdPri OpenUnis)</v>
      </c>
      <c r="E170" s="44">
        <f>TableOUEDPR[[#This Row],[Credit Points]]</f>
        <v>75</v>
      </c>
      <c r="F170" s="64">
        <v>27</v>
      </c>
      <c r="G170" s="64" t="s">
        <v>492</v>
      </c>
      <c r="H170" s="241">
        <v>0</v>
      </c>
      <c r="I170" s="64" t="s">
        <v>478</v>
      </c>
      <c r="J170" s="64" t="s">
        <v>622</v>
      </c>
      <c r="K170" s="64">
        <v>1</v>
      </c>
      <c r="L170" s="64" t="s">
        <v>623</v>
      </c>
      <c r="M170" s="64">
        <v>75</v>
      </c>
      <c r="N170" s="62">
        <v>46023</v>
      </c>
      <c r="O170" s="62"/>
      <c r="P170" s="62"/>
    </row>
    <row r="171" spans="1:18" x14ac:dyDescent="0.25">
      <c r="A171" t="str">
        <f>TableOUEDPR[[#This Row],[Study Package Code]]</f>
        <v>OUSU-HLTPE</v>
      </c>
      <c r="B171" s="5">
        <f>TableOUEDPR[[#This Row],[Ver]]</f>
        <v>1</v>
      </c>
      <c r="D171" t="str">
        <f>TableOUEDPR[[#This Row],[Structure Line]]</f>
        <v>Health and Physical Education Stream (BEdPri OpenUnis)</v>
      </c>
      <c r="E171" s="44">
        <f>TableOUEDPR[[#This Row],[Credit Points]]</f>
        <v>75</v>
      </c>
      <c r="F171" s="64">
        <v>27</v>
      </c>
      <c r="G171" s="64" t="s">
        <v>492</v>
      </c>
      <c r="H171" s="241">
        <v>0</v>
      </c>
      <c r="I171" s="64" t="s">
        <v>478</v>
      </c>
      <c r="J171" s="64" t="s">
        <v>624</v>
      </c>
      <c r="K171" s="64">
        <v>1</v>
      </c>
      <c r="L171" s="64" t="s">
        <v>625</v>
      </c>
      <c r="M171" s="64">
        <v>75</v>
      </c>
      <c r="N171" s="62">
        <v>46023</v>
      </c>
      <c r="O171" s="62"/>
      <c r="P171" s="62"/>
    </row>
    <row r="172" spans="1:18" x14ac:dyDescent="0.25">
      <c r="A172" t="str">
        <f>TableOUEDPR[[#This Row],[Study Package Code]]</f>
        <v>OUSU-ISTEM</v>
      </c>
      <c r="B172" s="5">
        <f>TableOUEDPR[[#This Row],[Ver]]</f>
        <v>1</v>
      </c>
      <c r="D172" t="str">
        <f>TableOUEDPR[[#This Row],[Structure Line]]</f>
        <v>iSTEM Stream (BEdPri OpenUnis)</v>
      </c>
      <c r="E172" s="44">
        <f>TableOUEDPR[[#This Row],[Credit Points]]</f>
        <v>75</v>
      </c>
      <c r="F172" s="64">
        <v>27</v>
      </c>
      <c r="G172" s="64" t="s">
        <v>492</v>
      </c>
      <c r="H172" s="241">
        <v>0</v>
      </c>
      <c r="I172" s="64" t="s">
        <v>478</v>
      </c>
      <c r="J172" s="64" t="s">
        <v>626</v>
      </c>
      <c r="K172" s="64">
        <v>1</v>
      </c>
      <c r="L172" s="64" t="s">
        <v>627</v>
      </c>
      <c r="M172" s="64">
        <v>75</v>
      </c>
      <c r="N172" s="62">
        <v>46023</v>
      </c>
      <c r="O172" s="62"/>
      <c r="P172" s="62"/>
    </row>
    <row r="173" spans="1:18" x14ac:dyDescent="0.25">
      <c r="A173" t="str">
        <f>TableOUEDPR[[#This Row],[Study Package Code]]</f>
        <v>OUSU-LITNU</v>
      </c>
      <c r="B173" s="5">
        <f>TableOUEDPR[[#This Row],[Ver]]</f>
        <v>1</v>
      </c>
      <c r="D173" t="str">
        <f>TableOUEDPR[[#This Row],[Structure Line]]</f>
        <v>Literacy and Numeracy in Diverse Populations Stream (BEdPri OpenUnis)</v>
      </c>
      <c r="E173" s="44">
        <f>TableOUEDPR[[#This Row],[Credit Points]]</f>
        <v>75</v>
      </c>
      <c r="F173" s="64">
        <v>27</v>
      </c>
      <c r="G173" s="64" t="s">
        <v>492</v>
      </c>
      <c r="H173" s="241">
        <v>0</v>
      </c>
      <c r="I173" s="64" t="s">
        <v>478</v>
      </c>
      <c r="J173" s="64" t="s">
        <v>628</v>
      </c>
      <c r="K173" s="64">
        <v>1</v>
      </c>
      <c r="L173" s="64" t="s">
        <v>629</v>
      </c>
      <c r="M173" s="64">
        <v>75</v>
      </c>
      <c r="N173" s="62">
        <v>46023</v>
      </c>
      <c r="O173" s="62"/>
      <c r="P173" s="62"/>
    </row>
    <row r="174" spans="1:18" x14ac:dyDescent="0.25">
      <c r="A174" t="str">
        <f>TableOUEDPR[[#This Row],[Study Package Code]]</f>
        <v>OUSU-TECHS</v>
      </c>
      <c r="B174" s="5">
        <f>TableOUEDPR[[#This Row],[Ver]]</f>
        <v>1</v>
      </c>
      <c r="D174" t="str">
        <f>TableOUEDPR[[#This Row],[Structure Line]]</f>
        <v>Technologies Stream (BEdPri OpenUnis)</v>
      </c>
      <c r="E174" s="44">
        <f>TableOUEDPR[[#This Row],[Credit Points]]</f>
        <v>75</v>
      </c>
      <c r="F174" s="64">
        <v>27</v>
      </c>
      <c r="G174" s="64" t="s">
        <v>492</v>
      </c>
      <c r="H174" s="241">
        <v>0</v>
      </c>
      <c r="I174" s="64" t="s">
        <v>478</v>
      </c>
      <c r="J174" s="64" t="s">
        <v>630</v>
      </c>
      <c r="K174" s="64">
        <v>1</v>
      </c>
      <c r="L174" s="64" t="s">
        <v>631</v>
      </c>
      <c r="M174" s="64">
        <v>75</v>
      </c>
      <c r="N174" s="62">
        <v>46023</v>
      </c>
      <c r="O174" s="62"/>
      <c r="P174" s="62"/>
    </row>
    <row r="175" spans="1:18" x14ac:dyDescent="0.25">
      <c r="A175" s="42"/>
      <c r="B175" s="43"/>
      <c r="C175" s="42"/>
      <c r="D175" s="42"/>
      <c r="F175" s="235"/>
      <c r="G175" s="236" t="s">
        <v>464</v>
      </c>
      <c r="H175" s="240">
        <v>45972</v>
      </c>
      <c r="I175" s="235"/>
      <c r="J175" s="244" t="s">
        <v>620</v>
      </c>
      <c r="K175" s="230">
        <v>1</v>
      </c>
      <c r="L175" s="232" t="s">
        <v>621</v>
      </c>
      <c r="M175" s="232"/>
      <c r="N175" s="231">
        <v>46023</v>
      </c>
      <c r="O175" s="237"/>
      <c r="P175" s="62"/>
    </row>
    <row r="176" spans="1:18" ht="31.5" x14ac:dyDescent="0.25">
      <c r="A176" s="49" t="s">
        <v>0</v>
      </c>
      <c r="B176" s="50" t="s">
        <v>466</v>
      </c>
      <c r="C176" s="49" t="s">
        <v>16</v>
      </c>
      <c r="D176" s="49" t="s">
        <v>3</v>
      </c>
      <c r="E176" s="51" t="s">
        <v>467</v>
      </c>
      <c r="F176" s="49" t="s">
        <v>468</v>
      </c>
      <c r="G176" s="49" t="s">
        <v>469</v>
      </c>
      <c r="H176" s="50" t="s">
        <v>470</v>
      </c>
      <c r="I176" s="49" t="s">
        <v>17</v>
      </c>
      <c r="J176" s="49" t="s">
        <v>471</v>
      </c>
      <c r="K176" s="49" t="s">
        <v>1</v>
      </c>
      <c r="L176" s="49" t="s">
        <v>472</v>
      </c>
      <c r="M176" s="49" t="s">
        <v>59</v>
      </c>
      <c r="N176" s="49" t="s">
        <v>473</v>
      </c>
      <c r="O176" s="49" t="s">
        <v>474</v>
      </c>
      <c r="P176" s="62"/>
      <c r="Q176" t="s">
        <v>475</v>
      </c>
      <c r="R176" t="s">
        <v>476</v>
      </c>
    </row>
    <row r="177" spans="1:18" x14ac:dyDescent="0.25">
      <c r="A177" t="str">
        <f>TableOUSUCATHL[[#This Row],[Study Package Code]]</f>
        <v>CTED4007</v>
      </c>
      <c r="B177" s="5">
        <f>TableOUSUCATHL[[#This Row],[Ver]]</f>
        <v>1</v>
      </c>
      <c r="C177" t="str">
        <f>IF(TableOUSUCATHL[[#This Row],[Ver]]&gt;0,_xlfn.TEXTBEFORE(TableOUSUCATHL[[#This Row],[Structure Line]]," "),"")</f>
        <v>EDC430</v>
      </c>
      <c r="D177" t="str">
        <f>IF(TableOUSUCATHL[[#This Row],[OUA Code]]&lt;&gt;"",_xlfn.TEXTAFTER(TableOUSUCATHL[[#This Row],[Structure Line]]," "),TableOUSUCATHL[[#This Row],[Structure Line]])</f>
        <v>Teaching About Jesus in Catholic Schools</v>
      </c>
      <c r="E177" s="44">
        <f>TableOUSUCATHL[[#This Row],[Credit Points]]</f>
        <v>25</v>
      </c>
      <c r="F177" s="64">
        <v>1</v>
      </c>
      <c r="G177" s="64" t="s">
        <v>477</v>
      </c>
      <c r="H177" s="241">
        <v>0</v>
      </c>
      <c r="I177" s="64" t="s">
        <v>478</v>
      </c>
      <c r="J177" s="64" t="s">
        <v>153</v>
      </c>
      <c r="K177" s="64">
        <v>1</v>
      </c>
      <c r="L177" s="64" t="s">
        <v>498</v>
      </c>
      <c r="M177" s="64">
        <v>25</v>
      </c>
      <c r="N177" s="62">
        <v>45292</v>
      </c>
      <c r="O177" s="62"/>
      <c r="P177" s="62"/>
    </row>
    <row r="178" spans="1:18" x14ac:dyDescent="0.25">
      <c r="A178" t="str">
        <f>TableOUSUCATHL[[#This Row],[Study Package Code]]</f>
        <v>CTED4009</v>
      </c>
      <c r="B178" s="5">
        <f>TableOUSUCATHL[[#This Row],[Ver]]</f>
        <v>1</v>
      </c>
      <c r="C178" t="str">
        <f>IF(TableOUSUCATHL[[#This Row],[Ver]]&gt;0,_xlfn.TEXTBEFORE(TableOUSUCATHL[[#This Row],[Structure Line]]," "),"")</f>
        <v>EDC435</v>
      </c>
      <c r="D178" t="str">
        <f>IF(TableOUSUCATHL[[#This Row],[OUA Code]]&lt;&gt;"",_xlfn.TEXTAFTER(TableOUSUCATHL[[#This Row],[Structure Line]]," "),TableOUSUCATHL[[#This Row],[Structure Line]])</f>
        <v>Teaching About the Gospels in Catholic Schools</v>
      </c>
      <c r="E178" s="44">
        <f>TableOUSUCATHL[[#This Row],[Credit Points]]</f>
        <v>25</v>
      </c>
      <c r="F178" s="64">
        <v>2</v>
      </c>
      <c r="G178" s="64" t="s">
        <v>477</v>
      </c>
      <c r="H178" s="241">
        <v>0</v>
      </c>
      <c r="I178" s="64" t="s">
        <v>478</v>
      </c>
      <c r="J178" s="64" t="s">
        <v>154</v>
      </c>
      <c r="K178" s="64">
        <v>1</v>
      </c>
      <c r="L178" s="64" t="s">
        <v>499</v>
      </c>
      <c r="M178" s="64">
        <v>25</v>
      </c>
      <c r="N178" s="62">
        <v>45292</v>
      </c>
      <c r="O178" s="62"/>
      <c r="P178" s="62"/>
    </row>
    <row r="179" spans="1:18" x14ac:dyDescent="0.25">
      <c r="A179" t="str">
        <f>TableOUSUCATHL[[#This Row],[Study Package Code]]</f>
        <v>CTED4004</v>
      </c>
      <c r="B179" s="5">
        <f>TableOUSUCATHL[[#This Row],[Ver]]</f>
        <v>2</v>
      </c>
      <c r="C179" t="str">
        <f>IF(TableOUSUCATHL[[#This Row],[Ver]]&gt;0,_xlfn.TEXTBEFORE(TableOUSUCATHL[[#This Row],[Structure Line]]," "),"")</f>
        <v>EDC484</v>
      </c>
      <c r="D179" t="str">
        <f>IF(TableOUSUCATHL[[#This Row],[OUA Code]]&lt;&gt;"",_xlfn.TEXTAFTER(TableOUSUCATHL[[#This Row],[Structure Line]]," "),TableOUSUCATHL[[#This Row],[Structure Line]])</f>
        <v>Teaching About Sacraments in Catholic Schools</v>
      </c>
      <c r="E179" s="44">
        <f>TableOUSUCATHL[[#This Row],[Credit Points]]</f>
        <v>25</v>
      </c>
      <c r="F179" s="64">
        <v>3</v>
      </c>
      <c r="G179" s="64" t="s">
        <v>477</v>
      </c>
      <c r="H179" s="241">
        <v>0</v>
      </c>
      <c r="I179" s="64" t="s">
        <v>478</v>
      </c>
      <c r="J179" s="64" t="s">
        <v>152</v>
      </c>
      <c r="K179" s="64">
        <v>2</v>
      </c>
      <c r="L179" s="64" t="s">
        <v>497</v>
      </c>
      <c r="M179" s="64">
        <v>25</v>
      </c>
      <c r="N179" s="62">
        <v>45292</v>
      </c>
      <c r="O179" s="62"/>
      <c r="P179" s="62"/>
    </row>
    <row r="180" spans="1:18" x14ac:dyDescent="0.25">
      <c r="A180" s="42"/>
      <c r="B180" s="43"/>
      <c r="C180" s="42"/>
      <c r="D180" s="42"/>
      <c r="F180" s="235"/>
      <c r="G180" s="236" t="s">
        <v>464</v>
      </c>
      <c r="H180" s="240">
        <v>45972</v>
      </c>
      <c r="I180" s="235"/>
      <c r="J180" s="244" t="s">
        <v>622</v>
      </c>
      <c r="K180" s="230">
        <v>1</v>
      </c>
      <c r="L180" s="232" t="s">
        <v>623</v>
      </c>
      <c r="M180" s="232"/>
      <c r="N180" s="231">
        <v>46023</v>
      </c>
      <c r="O180" s="237"/>
      <c r="P180" s="62"/>
    </row>
    <row r="181" spans="1:18" ht="31.5" x14ac:dyDescent="0.25">
      <c r="A181" s="49" t="s">
        <v>0</v>
      </c>
      <c r="B181" s="50" t="s">
        <v>466</v>
      </c>
      <c r="C181" s="49" t="s">
        <v>16</v>
      </c>
      <c r="D181" s="49" t="s">
        <v>3</v>
      </c>
      <c r="E181" s="51" t="s">
        <v>467</v>
      </c>
      <c r="F181" s="49" t="s">
        <v>468</v>
      </c>
      <c r="G181" s="49" t="s">
        <v>469</v>
      </c>
      <c r="H181" s="50" t="s">
        <v>470</v>
      </c>
      <c r="I181" s="49" t="s">
        <v>17</v>
      </c>
      <c r="J181" s="49" t="s">
        <v>471</v>
      </c>
      <c r="K181" s="49" t="s">
        <v>1</v>
      </c>
      <c r="L181" s="49" t="s">
        <v>472</v>
      </c>
      <c r="M181" s="49" t="s">
        <v>59</v>
      </c>
      <c r="N181" s="49" t="s">
        <v>473</v>
      </c>
      <c r="O181" s="49" t="s">
        <v>474</v>
      </c>
      <c r="P181" s="62"/>
      <c r="Q181" t="s">
        <v>475</v>
      </c>
      <c r="R181" t="s">
        <v>476</v>
      </c>
    </row>
    <row r="182" spans="1:18" x14ac:dyDescent="0.25">
      <c r="A182" t="str">
        <f>TableOUSUENGLL[[#This Row],[Study Package Code]]</f>
        <v>EDUC4024</v>
      </c>
      <c r="B182" s="5">
        <f>TableOUSUENGLL[[#This Row],[Ver]]</f>
        <v>1</v>
      </c>
      <c r="C182" t="str">
        <f>IF(TableOUSUENGLL[[#This Row],[Ver]]&gt;0,_xlfn.TEXTBEFORE(TableOUSUENGLL[[#This Row],[Structure Line]]," "),"")</f>
        <v>EDC486</v>
      </c>
      <c r="D182" t="str">
        <f>IF(TableOUSUENGLL[[#This Row],[OUA Code]]&lt;&gt;"",_xlfn.TEXTAFTER(TableOUSUENGLL[[#This Row],[Structure Line]]," "),TableOUSUENGLL[[#This Row],[Structure Line]])</f>
        <v>Creating and Responding to Literature</v>
      </c>
      <c r="E182" s="44">
        <f>TableOUSUENGLL[[#This Row],[Credit Points]]</f>
        <v>25</v>
      </c>
      <c r="F182" s="64">
        <v>1</v>
      </c>
      <c r="G182" s="64" t="s">
        <v>477</v>
      </c>
      <c r="H182" s="241">
        <v>0</v>
      </c>
      <c r="I182" s="64" t="s">
        <v>478</v>
      </c>
      <c r="J182" s="64" t="s">
        <v>140</v>
      </c>
      <c r="K182" s="64">
        <v>1</v>
      </c>
      <c r="L182" s="64" t="s">
        <v>500</v>
      </c>
      <c r="M182" s="64">
        <v>25</v>
      </c>
      <c r="N182" s="62">
        <v>43282</v>
      </c>
      <c r="O182" s="62"/>
      <c r="P182" s="62"/>
    </row>
    <row r="183" spans="1:18" x14ac:dyDescent="0.25">
      <c r="A183" t="str">
        <f>TableOUSUENGLL[[#This Row],[Study Package Code]]</f>
        <v>EDUC4025</v>
      </c>
      <c r="B183" s="5">
        <f>TableOUSUENGLL[[#This Row],[Ver]]</f>
        <v>1</v>
      </c>
      <c r="C183" t="str">
        <f>IF(TableOUSUENGLL[[#This Row],[Ver]]&gt;0,_xlfn.TEXTBEFORE(TableOUSUENGLL[[#This Row],[Structure Line]]," "),"")</f>
        <v>EDC487</v>
      </c>
      <c r="D183" t="str">
        <f>IF(TableOUSUENGLL[[#This Row],[OUA Code]]&lt;&gt;"",_xlfn.TEXTAFTER(TableOUSUENGLL[[#This Row],[Structure Line]]," "),TableOUSUENGLL[[#This Row],[Structure Line]])</f>
        <v>Creative Literacies</v>
      </c>
      <c r="E183" s="44">
        <f>TableOUSUENGLL[[#This Row],[Credit Points]]</f>
        <v>25</v>
      </c>
      <c r="F183" s="64">
        <v>2</v>
      </c>
      <c r="G183" s="64" t="s">
        <v>477</v>
      </c>
      <c r="H183" s="241">
        <v>0</v>
      </c>
      <c r="I183" s="64" t="s">
        <v>478</v>
      </c>
      <c r="J183" s="64" t="s">
        <v>141</v>
      </c>
      <c r="K183" s="64">
        <v>1</v>
      </c>
      <c r="L183" s="64" t="s">
        <v>501</v>
      </c>
      <c r="M183" s="64">
        <v>25</v>
      </c>
      <c r="N183" s="62">
        <v>43282</v>
      </c>
      <c r="O183" s="62"/>
      <c r="P183" s="62"/>
    </row>
    <row r="184" spans="1:18" x14ac:dyDescent="0.25">
      <c r="A184" t="str">
        <f>TableOUSUENGLL[[#This Row],[Study Package Code]]</f>
        <v>EDUC4037</v>
      </c>
      <c r="B184" s="5">
        <f>TableOUSUENGLL[[#This Row],[Ver]]</f>
        <v>1</v>
      </c>
      <c r="C184" t="str">
        <f>IF(TableOUSUENGLL[[#This Row],[Ver]]&gt;0,_xlfn.TEXTBEFORE(TableOUSUENGLL[[#This Row],[Structure Line]]," "),"")</f>
        <v>EDC494</v>
      </c>
      <c r="D184" t="str">
        <f>IF(TableOUSUENGLL[[#This Row],[OUA Code]]&lt;&gt;"",_xlfn.TEXTAFTER(TableOUSUENGLL[[#This Row],[Structure Line]]," "),TableOUSUENGLL[[#This Row],[Structure Line]])</f>
        <v>Language and Diversity</v>
      </c>
      <c r="E184" s="44">
        <f>TableOUSUENGLL[[#This Row],[Credit Points]]</f>
        <v>25</v>
      </c>
      <c r="F184" s="64">
        <v>3</v>
      </c>
      <c r="G184" s="64" t="s">
        <v>477</v>
      </c>
      <c r="H184" s="241">
        <v>0</v>
      </c>
      <c r="I184" s="64" t="s">
        <v>478</v>
      </c>
      <c r="J184" s="64" t="s">
        <v>142</v>
      </c>
      <c r="K184" s="64">
        <v>1</v>
      </c>
      <c r="L184" s="64" t="s">
        <v>507</v>
      </c>
      <c r="M184" s="64">
        <v>25</v>
      </c>
      <c r="N184" s="62">
        <v>43466</v>
      </c>
      <c r="O184" s="62"/>
      <c r="P184" s="62"/>
    </row>
    <row r="185" spans="1:18" x14ac:dyDescent="0.25">
      <c r="A185" s="42"/>
      <c r="B185" s="43"/>
      <c r="C185" s="42"/>
      <c r="D185" s="42"/>
      <c r="F185" s="235"/>
      <c r="G185" s="236" t="s">
        <v>464</v>
      </c>
      <c r="H185" s="240">
        <v>45972</v>
      </c>
      <c r="I185" s="235"/>
      <c r="J185" s="244" t="s">
        <v>624</v>
      </c>
      <c r="K185" s="230">
        <v>1</v>
      </c>
      <c r="L185" s="232" t="s">
        <v>625</v>
      </c>
      <c r="M185" s="232"/>
      <c r="N185" s="231">
        <v>46023</v>
      </c>
      <c r="O185" s="237"/>
      <c r="P185" s="62"/>
    </row>
    <row r="186" spans="1:18" ht="31.5" x14ac:dyDescent="0.25">
      <c r="A186" s="49" t="s">
        <v>0</v>
      </c>
      <c r="B186" s="50" t="s">
        <v>466</v>
      </c>
      <c r="C186" s="49" t="s">
        <v>16</v>
      </c>
      <c r="D186" s="49" t="s">
        <v>3</v>
      </c>
      <c r="E186" s="51" t="s">
        <v>467</v>
      </c>
      <c r="F186" s="49" t="s">
        <v>468</v>
      </c>
      <c r="G186" s="49" t="s">
        <v>469</v>
      </c>
      <c r="H186" s="50" t="s">
        <v>470</v>
      </c>
      <c r="I186" s="49" t="s">
        <v>17</v>
      </c>
      <c r="J186" s="49" t="s">
        <v>471</v>
      </c>
      <c r="K186" s="49" t="s">
        <v>1</v>
      </c>
      <c r="L186" s="49" t="s">
        <v>472</v>
      </c>
      <c r="M186" s="49" t="s">
        <v>59</v>
      </c>
      <c r="N186" s="49" t="s">
        <v>473</v>
      </c>
      <c r="O186" s="49" t="s">
        <v>474</v>
      </c>
      <c r="P186" s="62"/>
      <c r="Q186" t="s">
        <v>475</v>
      </c>
      <c r="R186" t="s">
        <v>476</v>
      </c>
    </row>
    <row r="187" spans="1:18" x14ac:dyDescent="0.25">
      <c r="A187" t="str">
        <f>TableOUSUHLTPE[[#This Row],[Study Package Code]]</f>
        <v>EDUC4003</v>
      </c>
      <c r="B187" s="5">
        <f>TableOUSUHLTPE[[#This Row],[Ver]]</f>
        <v>1</v>
      </c>
      <c r="C187" t="str">
        <f>IF(TableOUSUHLTPE[[#This Row],[Ver]]&gt;0,_xlfn.TEXTBEFORE(TableOUSUHLTPE[[#This Row],[Structure Line]]," "),"")</f>
        <v>EDC420</v>
      </c>
      <c r="D187" t="str">
        <f>IF(TableOUSUHLTPE[[#This Row],[OUA Code]]&lt;&gt;"",_xlfn.TEXTAFTER(TableOUSUHLTPE[[#This Row],[Structure Line]]," "),TableOUSUHLTPE[[#This Row],[Structure Line]])</f>
        <v>Physical Education Pedagogy</v>
      </c>
      <c r="E187" s="44">
        <f>TableOUSUHLTPE[[#This Row],[Credit Points]]</f>
        <v>25</v>
      </c>
      <c r="F187" s="64">
        <v>1</v>
      </c>
      <c r="G187" s="64" t="s">
        <v>477</v>
      </c>
      <c r="H187" s="241">
        <v>0</v>
      </c>
      <c r="I187" s="64" t="s">
        <v>478</v>
      </c>
      <c r="J187" s="64" t="s">
        <v>156</v>
      </c>
      <c r="K187" s="64">
        <v>1</v>
      </c>
      <c r="L187" s="64" t="s">
        <v>520</v>
      </c>
      <c r="M187" s="64">
        <v>25</v>
      </c>
      <c r="N187" s="62">
        <v>45658</v>
      </c>
      <c r="O187" s="62"/>
      <c r="P187" s="62"/>
    </row>
    <row r="188" spans="1:18" x14ac:dyDescent="0.25">
      <c r="A188" t="str">
        <f>TableOUSUHLTPE[[#This Row],[Study Package Code]]</f>
        <v>EDUC4010</v>
      </c>
      <c r="B188" s="5">
        <f>TableOUSUHLTPE[[#This Row],[Ver]]</f>
        <v>1</v>
      </c>
      <c r="C188" t="str">
        <f>IF(TableOUSUHLTPE[[#This Row],[Ver]]&gt;0,_xlfn.TEXTBEFORE(TableOUSUHLTPE[[#This Row],[Structure Line]]," "),"")</f>
        <v>EDC425</v>
      </c>
      <c r="D188" t="str">
        <f>IF(TableOUSUHLTPE[[#This Row],[OUA Code]]&lt;&gt;"",_xlfn.TEXTAFTER(TableOUSUHLTPE[[#This Row],[Structure Line]]," "),TableOUSUHLTPE[[#This Row],[Structure Line]])</f>
        <v>Primary Physical Education: Curriculum &amp; Assessment</v>
      </c>
      <c r="E188" s="44">
        <f>TableOUSUHLTPE[[#This Row],[Credit Points]]</f>
        <v>25</v>
      </c>
      <c r="F188" s="64">
        <v>2</v>
      </c>
      <c r="G188" s="64" t="s">
        <v>477</v>
      </c>
      <c r="H188" s="241">
        <v>0</v>
      </c>
      <c r="I188" s="64" t="s">
        <v>478</v>
      </c>
      <c r="J188" s="64" t="s">
        <v>157</v>
      </c>
      <c r="K188" s="64">
        <v>1</v>
      </c>
      <c r="L188" s="64" t="s">
        <v>521</v>
      </c>
      <c r="M188" s="64">
        <v>25</v>
      </c>
      <c r="N188" s="62">
        <v>45658</v>
      </c>
      <c r="O188" s="62"/>
      <c r="P188" s="62"/>
    </row>
    <row r="189" spans="1:18" x14ac:dyDescent="0.25">
      <c r="A189" t="str">
        <f>TableOUSUHLTPE[[#This Row],[Study Package Code]]</f>
        <v>EDUC4054</v>
      </c>
      <c r="B189" s="5">
        <f>TableOUSUHLTPE[[#This Row],[Ver]]</f>
        <v>1</v>
      </c>
      <c r="C189" t="str">
        <f>IF(TableOUSUHLTPE[[#This Row],[Ver]]&gt;0,_xlfn.TEXTBEFORE(TableOUSUHLTPE[[#This Row],[Structure Line]]," "),"")</f>
        <v>EDC440</v>
      </c>
      <c r="D189" t="str">
        <f>IF(TableOUSUHLTPE[[#This Row],[OUA Code]]&lt;&gt;"",_xlfn.TEXTAFTER(TableOUSUHLTPE[[#This Row],[Structure Line]]," "),TableOUSUHLTPE[[#This Row],[Structure Line]])</f>
        <v>Teaching Health Education in Primary Schools</v>
      </c>
      <c r="E189" s="44">
        <f>TableOUSUHLTPE[[#This Row],[Credit Points]]</f>
        <v>25</v>
      </c>
      <c r="F189" s="64">
        <v>3</v>
      </c>
      <c r="G189" s="64" t="s">
        <v>477</v>
      </c>
      <c r="H189" s="241">
        <v>0</v>
      </c>
      <c r="I189" s="64" t="s">
        <v>478</v>
      </c>
      <c r="J189" s="64" t="s">
        <v>158</v>
      </c>
      <c r="K189" s="64">
        <v>1</v>
      </c>
      <c r="L189" s="64" t="s">
        <v>522</v>
      </c>
      <c r="M189" s="64">
        <v>25</v>
      </c>
      <c r="N189" s="62">
        <v>45658</v>
      </c>
      <c r="O189" s="62"/>
      <c r="P189" s="62"/>
    </row>
    <row r="190" spans="1:18" x14ac:dyDescent="0.25">
      <c r="A190" s="42"/>
      <c r="B190" s="43"/>
      <c r="C190" s="42"/>
      <c r="D190" s="42"/>
      <c r="F190" s="235"/>
      <c r="G190" s="236" t="s">
        <v>464</v>
      </c>
      <c r="H190" s="240">
        <v>45972</v>
      </c>
      <c r="I190" s="235"/>
      <c r="J190" s="244" t="s">
        <v>626</v>
      </c>
      <c r="K190" s="230">
        <v>1</v>
      </c>
      <c r="L190" s="232" t="s">
        <v>627</v>
      </c>
      <c r="M190" s="232"/>
      <c r="N190" s="231">
        <v>46023</v>
      </c>
      <c r="O190" s="237"/>
      <c r="P190" s="62"/>
    </row>
    <row r="191" spans="1:18" ht="31.5" x14ac:dyDescent="0.25">
      <c r="A191" s="49" t="s">
        <v>0</v>
      </c>
      <c r="B191" s="50" t="s">
        <v>466</v>
      </c>
      <c r="C191" s="49" t="s">
        <v>16</v>
      </c>
      <c r="D191" s="49" t="s">
        <v>3</v>
      </c>
      <c r="E191" s="51" t="s">
        <v>467</v>
      </c>
      <c r="F191" s="49" t="s">
        <v>468</v>
      </c>
      <c r="G191" s="49" t="s">
        <v>469</v>
      </c>
      <c r="H191" s="50" t="s">
        <v>470</v>
      </c>
      <c r="I191" s="49" t="s">
        <v>17</v>
      </c>
      <c r="J191" s="49" t="s">
        <v>471</v>
      </c>
      <c r="K191" s="49" t="s">
        <v>1</v>
      </c>
      <c r="L191" s="49" t="s">
        <v>472</v>
      </c>
      <c r="M191" s="49" t="s">
        <v>59</v>
      </c>
      <c r="N191" s="49" t="s">
        <v>473</v>
      </c>
      <c r="O191" s="49" t="s">
        <v>474</v>
      </c>
      <c r="P191" s="62"/>
      <c r="Q191" t="s">
        <v>475</v>
      </c>
      <c r="R191" t="s">
        <v>476</v>
      </c>
    </row>
    <row r="192" spans="1:18" x14ac:dyDescent="0.25">
      <c r="A192" t="str">
        <f>TableOUSUISTEM[[#This Row],[Study Package Code]]</f>
        <v>EDUC4026</v>
      </c>
      <c r="B192" s="5">
        <f>TableOUSUISTEM[[#This Row],[Ver]]</f>
        <v>1</v>
      </c>
      <c r="C192" t="str">
        <f>IF(TableOUSUISTEM[[#This Row],[Ver]]&gt;0,_xlfn.TEXTBEFORE(TableOUSUISTEM[[#This Row],[Structure Line]]," "),"")</f>
        <v>EDC488</v>
      </c>
      <c r="D192" t="str">
        <f>IF(TableOUSUISTEM[[#This Row],[OUA Code]]&lt;&gt;"",_xlfn.TEXTAFTER(TableOUSUISTEM[[#This Row],[Structure Line]]," "),TableOUSUISTEM[[#This Row],[Structure Line]])</f>
        <v>Project-based iSTEM Education</v>
      </c>
      <c r="E192" s="44">
        <f>TableOUSUISTEM[[#This Row],[Credit Points]]</f>
        <v>25</v>
      </c>
      <c r="F192" s="64">
        <v>1</v>
      </c>
      <c r="G192" s="64" t="s">
        <v>477</v>
      </c>
      <c r="H192" s="241">
        <v>0</v>
      </c>
      <c r="I192" s="64" t="s">
        <v>478</v>
      </c>
      <c r="J192" s="64" t="s">
        <v>136</v>
      </c>
      <c r="K192" s="64">
        <v>1</v>
      </c>
      <c r="L192" s="64" t="s">
        <v>502</v>
      </c>
      <c r="M192" s="64">
        <v>25</v>
      </c>
      <c r="N192" s="62">
        <v>43282</v>
      </c>
      <c r="O192" s="62"/>
      <c r="P192" s="62"/>
    </row>
    <row r="193" spans="1:18" x14ac:dyDescent="0.25">
      <c r="A193" t="str">
        <f>TableOUSUISTEM[[#This Row],[Study Package Code]]</f>
        <v>EDUC4033</v>
      </c>
      <c r="B193" s="5">
        <f>TableOUSUISTEM[[#This Row],[Ver]]</f>
        <v>1</v>
      </c>
      <c r="C193" t="str">
        <f>IF(TableOUSUISTEM[[#This Row],[Ver]]&gt;0,_xlfn.TEXTBEFORE(TableOUSUISTEM[[#This Row],[Structure Line]]," "),"")</f>
        <v>EDC492</v>
      </c>
      <c r="D193" t="str">
        <f>IF(TableOUSUISTEM[[#This Row],[OUA Code]]&lt;&gt;"",_xlfn.TEXTAFTER(TableOUSUISTEM[[#This Row],[Structure Line]]," "),TableOUSUISTEM[[#This Row],[Structure Line]])</f>
        <v>iSTEM Education through Digital Stories</v>
      </c>
      <c r="E193" s="44">
        <f>TableOUSUISTEM[[#This Row],[Credit Points]]</f>
        <v>25</v>
      </c>
      <c r="F193" s="64">
        <v>2</v>
      </c>
      <c r="G193" s="64" t="s">
        <v>477</v>
      </c>
      <c r="H193" s="241">
        <v>0</v>
      </c>
      <c r="I193" s="64" t="s">
        <v>478</v>
      </c>
      <c r="J193" s="64" t="s">
        <v>137</v>
      </c>
      <c r="K193" s="64">
        <v>1</v>
      </c>
      <c r="L193" s="64" t="s">
        <v>505</v>
      </c>
      <c r="M193" s="64">
        <v>25</v>
      </c>
      <c r="N193" s="62">
        <v>43466</v>
      </c>
      <c r="O193" s="62"/>
      <c r="P193" s="62"/>
    </row>
    <row r="194" spans="1:18" x14ac:dyDescent="0.25">
      <c r="A194" t="str">
        <f>TableOUSUISTEM[[#This Row],[Study Package Code]]</f>
        <v>EDUC4035</v>
      </c>
      <c r="B194" s="5">
        <f>TableOUSUISTEM[[#This Row],[Ver]]</f>
        <v>1</v>
      </c>
      <c r="C194" t="str">
        <f>IF(TableOUSUISTEM[[#This Row],[Ver]]&gt;0,_xlfn.TEXTBEFORE(TableOUSUISTEM[[#This Row],[Structure Line]]," "),"")</f>
        <v>EDC493</v>
      </c>
      <c r="D194" t="str">
        <f>IF(TableOUSUISTEM[[#This Row],[OUA Code]]&lt;&gt;"",_xlfn.TEXTAFTER(TableOUSUISTEM[[#This Row],[Structure Line]]," "),TableOUSUISTEM[[#This Row],[Structure Line]])</f>
        <v>iSTEM: Social Issues</v>
      </c>
      <c r="E194" s="44">
        <f>TableOUSUISTEM[[#This Row],[Credit Points]]</f>
        <v>25</v>
      </c>
      <c r="F194" s="64">
        <v>3</v>
      </c>
      <c r="G194" s="64" t="s">
        <v>477</v>
      </c>
      <c r="H194" s="241">
        <v>0</v>
      </c>
      <c r="I194" s="64" t="s">
        <v>478</v>
      </c>
      <c r="J194" s="64" t="s">
        <v>138</v>
      </c>
      <c r="K194" s="64">
        <v>1</v>
      </c>
      <c r="L194" s="64" t="s">
        <v>506</v>
      </c>
      <c r="M194" s="64">
        <v>25</v>
      </c>
      <c r="N194" s="62">
        <v>43466</v>
      </c>
      <c r="O194" s="62"/>
    </row>
    <row r="195" spans="1:18" x14ac:dyDescent="0.25">
      <c r="A195" s="42"/>
      <c r="B195" s="43"/>
      <c r="C195" s="42"/>
      <c r="D195" s="42"/>
      <c r="F195" s="235"/>
      <c r="G195" s="236" t="s">
        <v>464</v>
      </c>
      <c r="H195" s="240">
        <v>45972</v>
      </c>
      <c r="I195" s="235"/>
      <c r="J195" s="244" t="s">
        <v>628</v>
      </c>
      <c r="K195" s="230">
        <v>1</v>
      </c>
      <c r="L195" s="232" t="s">
        <v>629</v>
      </c>
      <c r="M195" s="232"/>
      <c r="N195" s="231">
        <v>46023</v>
      </c>
      <c r="O195" s="237"/>
      <c r="P195" s="49"/>
    </row>
    <row r="196" spans="1:18" ht="31.5" x14ac:dyDescent="0.25">
      <c r="A196" s="49" t="s">
        <v>0</v>
      </c>
      <c r="B196" s="50" t="s">
        <v>466</v>
      </c>
      <c r="C196" s="49" t="s">
        <v>16</v>
      </c>
      <c r="D196" s="49" t="s">
        <v>3</v>
      </c>
      <c r="E196" s="51" t="s">
        <v>467</v>
      </c>
      <c r="F196" s="49" t="s">
        <v>468</v>
      </c>
      <c r="G196" s="49" t="s">
        <v>469</v>
      </c>
      <c r="H196" s="50" t="s">
        <v>470</v>
      </c>
      <c r="I196" s="49" t="s">
        <v>17</v>
      </c>
      <c r="J196" s="49" t="s">
        <v>471</v>
      </c>
      <c r="K196" s="49" t="s">
        <v>1</v>
      </c>
      <c r="L196" s="49" t="s">
        <v>472</v>
      </c>
      <c r="M196" s="49" t="s">
        <v>59</v>
      </c>
      <c r="N196" s="49" t="s">
        <v>473</v>
      </c>
      <c r="O196" s="49" t="s">
        <v>474</v>
      </c>
      <c r="P196" s="62"/>
      <c r="Q196" t="s">
        <v>475</v>
      </c>
      <c r="R196" t="s">
        <v>476</v>
      </c>
    </row>
    <row r="197" spans="1:18" x14ac:dyDescent="0.25">
      <c r="A197" t="str">
        <f>TableOUSULITNU[[#This Row],[Study Package Code]]</f>
        <v>EDUC4045</v>
      </c>
      <c r="B197" s="5">
        <f>TableOUSULITNU[[#This Row],[Ver]]</f>
        <v>2</v>
      </c>
      <c r="C197" t="str">
        <f>IF(TableOUSULITNU[[#This Row],[Ver]]&gt;0,_xlfn.TEXTBEFORE(TableOUSULITNU[[#This Row],[Structure Line]]," "),"")</f>
        <v>EDC460</v>
      </c>
      <c r="D197" t="str">
        <f>IF(TableOUSULITNU[[#This Row],[OUA Code]]&lt;&gt;"",_xlfn.TEXTAFTER(TableOUSULITNU[[#This Row],[Structure Line]]," "),TableOUSULITNU[[#This Row],[Structure Line]])</f>
        <v>Literacy and Numeracy for First Nations Peoples of Australia</v>
      </c>
      <c r="E197" s="44">
        <f>TableOUSULITNU[[#This Row],[Credit Points]]</f>
        <v>25</v>
      </c>
      <c r="F197" s="64">
        <v>1</v>
      </c>
      <c r="G197" s="64" t="s">
        <v>477</v>
      </c>
      <c r="H197" s="241">
        <v>0</v>
      </c>
      <c r="I197" s="64" t="s">
        <v>478</v>
      </c>
      <c r="J197" s="64" t="s">
        <v>146</v>
      </c>
      <c r="K197" s="64">
        <v>2</v>
      </c>
      <c r="L197" s="64" t="s">
        <v>510</v>
      </c>
      <c r="M197" s="64">
        <v>25</v>
      </c>
      <c r="N197" s="62">
        <v>44927</v>
      </c>
      <c r="O197" s="62"/>
      <c r="P197" s="62"/>
    </row>
    <row r="198" spans="1:18" x14ac:dyDescent="0.25">
      <c r="A198" t="str">
        <f>TableOUSULITNU[[#This Row],[Study Package Code]]</f>
        <v>EDUC4043</v>
      </c>
      <c r="B198" s="5">
        <f>TableOUSULITNU[[#This Row],[Ver]]</f>
        <v>1</v>
      </c>
      <c r="C198" t="str">
        <f>IF(TableOUSULITNU[[#This Row],[Ver]]&gt;0,_xlfn.TEXTBEFORE(TableOUSULITNU[[#This Row],[Structure Line]]," "),"")</f>
        <v>EDC465</v>
      </c>
      <c r="D198" t="str">
        <f>IF(TableOUSULITNU[[#This Row],[OUA Code]]&lt;&gt;"",_xlfn.TEXTAFTER(TableOUSULITNU[[#This Row],[Structure Line]]," "),TableOUSULITNU[[#This Row],[Structure Line]])</f>
        <v>Alternative Approaches to Teaching Literacy and Numeracy</v>
      </c>
      <c r="E198" s="44">
        <f>TableOUSULITNU[[#This Row],[Credit Points]]</f>
        <v>25</v>
      </c>
      <c r="F198" s="64">
        <v>2</v>
      </c>
      <c r="G198" s="64" t="s">
        <v>477</v>
      </c>
      <c r="H198" s="241">
        <v>0</v>
      </c>
      <c r="I198" s="64" t="s">
        <v>478</v>
      </c>
      <c r="J198" s="64" t="s">
        <v>145</v>
      </c>
      <c r="K198" s="64">
        <v>1</v>
      </c>
      <c r="L198" s="64" t="s">
        <v>509</v>
      </c>
      <c r="M198" s="64">
        <v>25</v>
      </c>
      <c r="N198" s="62">
        <v>43466</v>
      </c>
      <c r="O198" s="62"/>
      <c r="P198" s="62"/>
    </row>
    <row r="199" spans="1:18" x14ac:dyDescent="0.25">
      <c r="A199" t="str">
        <f>TableOUSULITNU[[#This Row],[Study Package Code]]</f>
        <v>EDUC4028</v>
      </c>
      <c r="B199" s="5">
        <f>TableOUSULITNU[[#This Row],[Ver]]</f>
        <v>1</v>
      </c>
      <c r="C199" t="str">
        <f>IF(TableOUSULITNU[[#This Row],[Ver]]&gt;0,_xlfn.TEXTBEFORE(TableOUSULITNU[[#This Row],[Structure Line]]," "),"")</f>
        <v>EDC490</v>
      </c>
      <c r="D199" t="str">
        <f>IF(TableOUSULITNU[[#This Row],[OUA Code]]&lt;&gt;"",_xlfn.TEXTAFTER(TableOUSULITNU[[#This Row],[Structure Line]]," "),TableOUSULITNU[[#This Row],[Structure Line]])</f>
        <v>Supporting Literacy and Numeracy Development for Diverse Learners</v>
      </c>
      <c r="E199" s="44">
        <f>TableOUSULITNU[[#This Row],[Credit Points]]</f>
        <v>25</v>
      </c>
      <c r="F199" s="64">
        <v>3</v>
      </c>
      <c r="G199" s="64" t="s">
        <v>477</v>
      </c>
      <c r="H199" s="241">
        <v>0</v>
      </c>
      <c r="I199" s="64" t="s">
        <v>478</v>
      </c>
      <c r="J199" s="64" t="s">
        <v>144</v>
      </c>
      <c r="K199" s="64">
        <v>1</v>
      </c>
      <c r="L199" s="64" t="s">
        <v>503</v>
      </c>
      <c r="M199" s="64">
        <v>25</v>
      </c>
      <c r="N199" s="62">
        <v>43282</v>
      </c>
      <c r="O199" s="62"/>
      <c r="P199" s="62"/>
    </row>
    <row r="200" spans="1:18" x14ac:dyDescent="0.25">
      <c r="A200" s="42"/>
      <c r="B200" s="43"/>
      <c r="C200" s="42"/>
      <c r="D200" s="42"/>
      <c r="F200" s="235"/>
      <c r="G200" s="236" t="s">
        <v>464</v>
      </c>
      <c r="H200" s="240">
        <v>45972</v>
      </c>
      <c r="I200" s="235"/>
      <c r="J200" s="244" t="s">
        <v>630</v>
      </c>
      <c r="K200" s="230">
        <v>1</v>
      </c>
      <c r="L200" s="232" t="s">
        <v>631</v>
      </c>
      <c r="M200" s="232"/>
      <c r="N200" s="231">
        <v>46023</v>
      </c>
      <c r="O200" s="237"/>
      <c r="P200" s="62"/>
    </row>
    <row r="201" spans="1:18" ht="31.5" x14ac:dyDescent="0.25">
      <c r="A201" s="49" t="s">
        <v>0</v>
      </c>
      <c r="B201" s="50" t="s">
        <v>466</v>
      </c>
      <c r="C201" s="49" t="s">
        <v>16</v>
      </c>
      <c r="D201" s="49" t="s">
        <v>3</v>
      </c>
      <c r="E201" s="51" t="s">
        <v>467</v>
      </c>
      <c r="F201" s="49" t="s">
        <v>468</v>
      </c>
      <c r="G201" s="49" t="s">
        <v>469</v>
      </c>
      <c r="H201" s="50" t="s">
        <v>470</v>
      </c>
      <c r="I201" s="49" t="s">
        <v>17</v>
      </c>
      <c r="J201" s="49" t="s">
        <v>471</v>
      </c>
      <c r="K201" s="49" t="s">
        <v>1</v>
      </c>
      <c r="L201" s="49" t="s">
        <v>472</v>
      </c>
      <c r="M201" s="49" t="s">
        <v>59</v>
      </c>
      <c r="N201" s="49" t="s">
        <v>473</v>
      </c>
      <c r="O201" s="49" t="s">
        <v>474</v>
      </c>
      <c r="P201" s="62"/>
      <c r="Q201" t="s">
        <v>475</v>
      </c>
      <c r="R201" t="s">
        <v>476</v>
      </c>
    </row>
    <row r="202" spans="1:18" x14ac:dyDescent="0.25">
      <c r="A202" t="str">
        <f>TableOUSUTECHS[[#This Row],[Study Package Code]]</f>
        <v>EDUC4047</v>
      </c>
      <c r="B202" s="5">
        <f>TableOUSUTECHS[[#This Row],[Ver]]</f>
        <v>1</v>
      </c>
      <c r="C202" t="str">
        <f>IF(TableOUSUTECHS[[#This Row],[Ver]]&gt;0,_xlfn.TEXTBEFORE(TableOUSUTECHS[[#This Row],[Structure Line]]," "),"")</f>
        <v>EDC470</v>
      </c>
      <c r="D202" t="str">
        <f>IF(TableOUSUTECHS[[#This Row],[OUA Code]]&lt;&gt;"",_xlfn.TEXTAFTER(TableOUSUTECHS[[#This Row],[Structure Line]]," "),TableOUSUTECHS[[#This Row],[Structure Line]])</f>
        <v>Technologies: Digital Solutions</v>
      </c>
      <c r="E202" s="44">
        <f>TableOUSUTECHS[[#This Row],[Credit Points]]</f>
        <v>25</v>
      </c>
      <c r="F202" s="64">
        <v>1</v>
      </c>
      <c r="G202" s="64" t="s">
        <v>477</v>
      </c>
      <c r="H202" s="241">
        <v>0</v>
      </c>
      <c r="I202" s="64" t="s">
        <v>478</v>
      </c>
      <c r="J202" s="64" t="s">
        <v>150</v>
      </c>
      <c r="K202" s="64">
        <v>1</v>
      </c>
      <c r="L202" s="64" t="s">
        <v>511</v>
      </c>
      <c r="M202" s="64">
        <v>25</v>
      </c>
      <c r="N202" s="62">
        <v>43466</v>
      </c>
      <c r="O202" s="62"/>
      <c r="P202" s="62"/>
    </row>
    <row r="203" spans="1:18" x14ac:dyDescent="0.25">
      <c r="A203" t="str">
        <f>TableOUSUTECHS[[#This Row],[Study Package Code]]</f>
        <v>EDUC4030</v>
      </c>
      <c r="B203" s="5">
        <f>TableOUSUTECHS[[#This Row],[Ver]]</f>
        <v>1</v>
      </c>
      <c r="C203" t="str">
        <f>IF(TableOUSUTECHS[[#This Row],[Ver]]&gt;0,_xlfn.TEXTBEFORE(TableOUSUTECHS[[#This Row],[Structure Line]]," "),"")</f>
        <v>EDC491</v>
      </c>
      <c r="D203" t="str">
        <f>IF(TableOUSUTECHS[[#This Row],[OUA Code]]&lt;&gt;"",_xlfn.TEXTAFTER(TableOUSUTECHS[[#This Row],[Structure Line]]," "),TableOUSUTECHS[[#This Row],[Structure Line]])</f>
        <v>Technologies: Coding for Teachers</v>
      </c>
      <c r="E203" s="44">
        <f>TableOUSUTECHS[[#This Row],[Credit Points]]</f>
        <v>25</v>
      </c>
      <c r="F203" s="64">
        <v>2</v>
      </c>
      <c r="G203" s="64" t="s">
        <v>477</v>
      </c>
      <c r="H203" s="241">
        <v>0</v>
      </c>
      <c r="I203" s="64" t="s">
        <v>478</v>
      </c>
      <c r="J203" s="64" t="s">
        <v>148</v>
      </c>
      <c r="K203" s="64">
        <v>1</v>
      </c>
      <c r="L203" s="64" t="s">
        <v>504</v>
      </c>
      <c r="M203" s="64">
        <v>25</v>
      </c>
      <c r="N203" s="62">
        <v>43282</v>
      </c>
      <c r="O203" s="62"/>
      <c r="P203" s="62"/>
    </row>
    <row r="204" spans="1:18" x14ac:dyDescent="0.25">
      <c r="A204" t="str">
        <f>TableOUSUTECHS[[#This Row],[Study Package Code]]</f>
        <v>EDUC4039</v>
      </c>
      <c r="B204" s="5">
        <f>TableOUSUTECHS[[#This Row],[Ver]]</f>
        <v>1</v>
      </c>
      <c r="C204" t="str">
        <f>IF(TableOUSUTECHS[[#This Row],[Ver]]&gt;0,_xlfn.TEXTBEFORE(TableOUSUTECHS[[#This Row],[Structure Line]]," "),"")</f>
        <v>EDC495</v>
      </c>
      <c r="D204" t="str">
        <f>IF(TableOUSUTECHS[[#This Row],[OUA Code]]&lt;&gt;"",_xlfn.TEXTAFTER(TableOUSUTECHS[[#This Row],[Structure Line]]," "),TableOUSUTECHS[[#This Row],[Structure Line]])</f>
        <v>Technologies: Design Solutions</v>
      </c>
      <c r="E204" s="44">
        <f>TableOUSUTECHS[[#This Row],[Credit Points]]</f>
        <v>25</v>
      </c>
      <c r="F204" s="64">
        <v>3</v>
      </c>
      <c r="G204" s="64" t="s">
        <v>477</v>
      </c>
      <c r="H204" s="241">
        <v>0</v>
      </c>
      <c r="I204" s="64" t="s">
        <v>478</v>
      </c>
      <c r="J204" s="64" t="s">
        <v>149</v>
      </c>
      <c r="K204" s="64">
        <v>1</v>
      </c>
      <c r="L204" s="64" t="s">
        <v>508</v>
      </c>
      <c r="M204" s="64">
        <v>25</v>
      </c>
      <c r="N204" s="62">
        <v>43466</v>
      </c>
      <c r="O204" s="62"/>
      <c r="P204" s="62"/>
    </row>
    <row r="205" spans="1:18" x14ac:dyDescent="0.25">
      <c r="A205" s="42"/>
      <c r="B205" s="43"/>
      <c r="C205" s="42"/>
      <c r="D205" s="42"/>
      <c r="F205" s="235"/>
      <c r="G205" s="236" t="s">
        <v>464</v>
      </c>
      <c r="H205" s="240">
        <v>45972</v>
      </c>
      <c r="I205" s="235"/>
      <c r="J205" s="232" t="s">
        <v>74</v>
      </c>
      <c r="K205" s="233">
        <v>4</v>
      </c>
      <c r="L205" s="232" t="s">
        <v>73</v>
      </c>
      <c r="M205" s="232"/>
      <c r="N205" s="245">
        <v>45658</v>
      </c>
      <c r="O205" s="237"/>
      <c r="P205" s="62"/>
    </row>
    <row r="206" spans="1:18" ht="31.5" x14ac:dyDescent="0.25">
      <c r="A206" s="49" t="s">
        <v>0</v>
      </c>
      <c r="B206" s="50" t="s">
        <v>466</v>
      </c>
      <c r="C206" s="49" t="s">
        <v>16</v>
      </c>
      <c r="D206" s="49" t="s">
        <v>3</v>
      </c>
      <c r="E206" s="51" t="s">
        <v>467</v>
      </c>
      <c r="F206" s="49" t="s">
        <v>468</v>
      </c>
      <c r="G206" s="49" t="s">
        <v>469</v>
      </c>
      <c r="H206" s="50" t="s">
        <v>470</v>
      </c>
      <c r="I206" s="49" t="s">
        <v>17</v>
      </c>
      <c r="J206" s="49" t="s">
        <v>471</v>
      </c>
      <c r="K206" s="49" t="s">
        <v>1</v>
      </c>
      <c r="L206" s="49" t="s">
        <v>472</v>
      </c>
      <c r="M206" s="49" t="s">
        <v>59</v>
      </c>
      <c r="N206" s="49" t="s">
        <v>473</v>
      </c>
      <c r="O206" s="49" t="s">
        <v>474</v>
      </c>
      <c r="P206" s="62"/>
      <c r="Q206" t="s">
        <v>475</v>
      </c>
      <c r="R206" t="s">
        <v>476</v>
      </c>
    </row>
    <row r="207" spans="1:18" x14ac:dyDescent="0.25">
      <c r="A207" t="str">
        <f>TableOBEDSC1[[#This Row],[Study Package Code]]</f>
        <v>EDUC1020</v>
      </c>
      <c r="B207" s="5">
        <f>TableOBEDSC1[[#This Row],[Ver]]</f>
        <v>1</v>
      </c>
      <c r="C207" t="str">
        <f>IF(TableOBEDSC1[[#This Row],[Ver]]&gt;0,_xlfn.TEXTBEFORE(TableOBEDSC1[[#This Row],[Structure Line]]," "),"")</f>
        <v>EDC105</v>
      </c>
      <c r="D207" t="str">
        <f>IF(TableOBEDSC1[[#This Row],[OUA Code]]&lt;&gt;"",_xlfn.TEXTAFTER(TableOBEDSC1[[#This Row],[Structure Line]]," "),TableOBEDSC1[[#This Row],[Structure Line]])</f>
        <v>Teaching and Learning in the Digital World</v>
      </c>
      <c r="E207" s="44">
        <f>TableOBEDSC1[[#This Row],[Credit Points]]</f>
        <v>25</v>
      </c>
      <c r="F207" s="64">
        <v>1</v>
      </c>
      <c r="G207" s="64" t="s">
        <v>477</v>
      </c>
      <c r="H207" s="241">
        <v>1</v>
      </c>
      <c r="I207" s="64" t="s">
        <v>478</v>
      </c>
      <c r="J207" s="64" t="s">
        <v>46</v>
      </c>
      <c r="K207" s="64">
        <v>1</v>
      </c>
      <c r="L207" s="64" t="s">
        <v>479</v>
      </c>
      <c r="M207" s="64">
        <v>25</v>
      </c>
      <c r="N207" s="62">
        <v>43466</v>
      </c>
      <c r="O207" s="62"/>
      <c r="P207" s="62"/>
      <c r="Q207" t="s">
        <v>46</v>
      </c>
      <c r="R207">
        <v>1</v>
      </c>
    </row>
    <row r="208" spans="1:18" x14ac:dyDescent="0.25">
      <c r="A208" t="str">
        <f>TableOBEDSC1[[#This Row],[Study Package Code]]</f>
        <v>EDUC1022</v>
      </c>
      <c r="B208" s="5">
        <f>TableOBEDSC1[[#This Row],[Ver]]</f>
        <v>1</v>
      </c>
      <c r="C208" t="str">
        <f>IF(TableOBEDSC1[[#This Row],[Ver]]&gt;0,_xlfn.TEXTBEFORE(TableOBEDSC1[[#This Row],[Structure Line]]," "),"")</f>
        <v>EDC135</v>
      </c>
      <c r="D208" t="str">
        <f>IF(TableOBEDSC1[[#This Row],[OUA Code]]&lt;&gt;"",_xlfn.TEXTAFTER(TableOBEDSC1[[#This Row],[Structure Line]]," "),TableOBEDSC1[[#This Row],[Structure Line]])</f>
        <v>Child Development for Educators</v>
      </c>
      <c r="E208" s="44">
        <f>TableOBEDSC1[[#This Row],[Credit Points]]</f>
        <v>25</v>
      </c>
      <c r="F208" s="64">
        <v>2</v>
      </c>
      <c r="G208" s="64" t="s">
        <v>477</v>
      </c>
      <c r="H208" s="241">
        <v>1</v>
      </c>
      <c r="I208" s="64" t="s">
        <v>478</v>
      </c>
      <c r="J208" s="64" t="s">
        <v>51</v>
      </c>
      <c r="K208" s="64">
        <v>1</v>
      </c>
      <c r="L208" s="64" t="s">
        <v>480</v>
      </c>
      <c r="M208" s="64">
        <v>25</v>
      </c>
      <c r="N208" s="62">
        <v>43466</v>
      </c>
      <c r="O208" s="62"/>
      <c r="P208" s="62"/>
      <c r="Q208" t="s">
        <v>51</v>
      </c>
      <c r="R208">
        <v>1</v>
      </c>
    </row>
    <row r="209" spans="1:18" x14ac:dyDescent="0.25">
      <c r="A209" t="str">
        <f>TableOBEDSC1[[#This Row],[Study Package Code]]</f>
        <v>EDUC1038</v>
      </c>
      <c r="B209" s="5">
        <f>TableOBEDSC1[[#This Row],[Ver]]</f>
        <v>1</v>
      </c>
      <c r="C209" t="str">
        <f>IF(TableOBEDSC1[[#This Row],[Ver]]&gt;0,_xlfn.TEXTBEFORE(TableOBEDSC1[[#This Row],[Structure Line]]," "),"")</f>
        <v>EDC181</v>
      </c>
      <c r="D209" t="str">
        <f>IF(TableOBEDSC1[[#This Row],[OUA Code]]&lt;&gt;"",_xlfn.TEXTAFTER(TableOBEDSC1[[#This Row],[Structure Line]]," "),TableOBEDSC1[[#This Row],[Structure Line]])</f>
        <v>Communication Skills for Educators</v>
      </c>
      <c r="E209" s="44">
        <f>TableOBEDSC1[[#This Row],[Credit Points]]</f>
        <v>25</v>
      </c>
      <c r="F209" s="64">
        <v>3</v>
      </c>
      <c r="G209" s="64" t="s">
        <v>477</v>
      </c>
      <c r="H209" s="241">
        <v>1</v>
      </c>
      <c r="I209" s="64" t="s">
        <v>478</v>
      </c>
      <c r="J209" s="64" t="s">
        <v>71</v>
      </c>
      <c r="K209" s="64">
        <v>1</v>
      </c>
      <c r="L209" s="64" t="s">
        <v>484</v>
      </c>
      <c r="M209" s="64">
        <v>25</v>
      </c>
      <c r="N209" s="62">
        <v>45658</v>
      </c>
      <c r="O209" s="62"/>
      <c r="P209" s="62"/>
      <c r="Q209" t="s">
        <v>71</v>
      </c>
      <c r="R209">
        <v>1</v>
      </c>
    </row>
    <row r="210" spans="1:18" x14ac:dyDescent="0.25">
      <c r="A210" t="str">
        <f>TableOBEDSC1[[#This Row],[Study Package Code]]</f>
        <v>EDUC1036</v>
      </c>
      <c r="B210" s="5">
        <f>TableOBEDSC1[[#This Row],[Ver]]</f>
        <v>1</v>
      </c>
      <c r="C210" t="str">
        <f>IF(TableOBEDSC1[[#This Row],[Ver]]&gt;0,_xlfn.TEXTBEFORE(TableOBEDSC1[[#This Row],[Structure Line]]," "),"")</f>
        <v>EDC185</v>
      </c>
      <c r="D210" t="str">
        <f>IF(TableOBEDSC1[[#This Row],[OUA Code]]&lt;&gt;"",_xlfn.TEXTAFTER(TableOBEDSC1[[#This Row],[Structure Line]]," "),TableOBEDSC1[[#This Row],[Structure Line]])</f>
        <v>Professional Experience 1</v>
      </c>
      <c r="E210" s="44">
        <f>TableOBEDSC1[[#This Row],[Credit Points]]</f>
        <v>25</v>
      </c>
      <c r="F210" s="64">
        <v>4</v>
      </c>
      <c r="G210" s="64" t="s">
        <v>477</v>
      </c>
      <c r="H210" s="241">
        <v>1</v>
      </c>
      <c r="I210" s="64" t="s">
        <v>478</v>
      </c>
      <c r="J210" s="64" t="s">
        <v>180</v>
      </c>
      <c r="K210" s="64">
        <v>1</v>
      </c>
      <c r="L210" s="64" t="s">
        <v>523</v>
      </c>
      <c r="M210" s="64">
        <v>25</v>
      </c>
      <c r="N210" s="62">
        <v>45658</v>
      </c>
      <c r="O210" s="62"/>
      <c r="P210" s="62"/>
      <c r="Q210" t="s">
        <v>180</v>
      </c>
      <c r="R210">
        <v>1</v>
      </c>
    </row>
    <row r="211" spans="1:18" x14ac:dyDescent="0.25">
      <c r="A211" t="str">
        <f>TableOBEDSC1[[#This Row],[Study Package Code]]</f>
        <v>EDUC1037</v>
      </c>
      <c r="B211" s="5">
        <f>TableOBEDSC1[[#This Row],[Ver]]</f>
        <v>1</v>
      </c>
      <c r="C211" t="str">
        <f>IF(TableOBEDSC1[[#This Row],[Ver]]&gt;0,_xlfn.TEXTBEFORE(TableOBEDSC1[[#This Row],[Structure Line]]," "),"")</f>
        <v>EDC190</v>
      </c>
      <c r="D211" t="str">
        <f>IF(TableOBEDSC1[[#This Row],[OUA Code]]&lt;&gt;"",_xlfn.TEXTAFTER(TableOBEDSC1[[#This Row],[Structure Line]]," "),TableOBEDSC1[[#This Row],[Structure Line]])</f>
        <v>Professional Teaching Practice 1</v>
      </c>
      <c r="E211" s="44">
        <f>TableOBEDSC1[[#This Row],[Credit Points]]</f>
        <v>25</v>
      </c>
      <c r="F211" s="64">
        <v>5</v>
      </c>
      <c r="G211" s="64" t="s">
        <v>477</v>
      </c>
      <c r="H211" s="241">
        <v>1</v>
      </c>
      <c r="I211" s="64" t="s">
        <v>478</v>
      </c>
      <c r="J211" s="64" t="s">
        <v>179</v>
      </c>
      <c r="K211" s="64">
        <v>1</v>
      </c>
      <c r="L211" s="64" t="s">
        <v>524</v>
      </c>
      <c r="M211" s="64">
        <v>25</v>
      </c>
      <c r="N211" s="62">
        <v>45658</v>
      </c>
      <c r="O211" s="62"/>
      <c r="P211" s="62"/>
      <c r="Q211" t="s">
        <v>179</v>
      </c>
      <c r="R211">
        <v>1</v>
      </c>
    </row>
    <row r="212" spans="1:18" x14ac:dyDescent="0.25">
      <c r="A212" t="str">
        <f>TableOBEDSC1[[#This Row],[Study Package Code]]</f>
        <v>AC-EDSC1</v>
      </c>
      <c r="B212" s="5">
        <f>TableOBEDSC1[[#This Row],[Ver]]</f>
        <v>0</v>
      </c>
      <c r="C212" t="str">
        <f>IF(TableOBEDSC1[[#This Row],[Ver]]&gt;0,_xlfn.TEXTBEFORE(TableOBEDSC1[[#This Row],[Structure Line]]," "),"")</f>
        <v/>
      </c>
      <c r="D212" t="str">
        <f>IF(TableOBEDSC1[[#This Row],[OUA Code]]&lt;&gt;"",_xlfn.TEXTAFTER(TableOBEDSC1[[#This Row],[Structure Line]]," "),TableOBEDSC1[[#This Row],[Structure Line]])</f>
        <v>Choose Your Major</v>
      </c>
      <c r="E212" s="44">
        <f>TableOBEDSC1[[#This Row],[Credit Points]]</f>
        <v>375</v>
      </c>
      <c r="F212" s="64">
        <v>6</v>
      </c>
      <c r="G212" s="64" t="s">
        <v>525</v>
      </c>
      <c r="H212" s="241">
        <v>1</v>
      </c>
      <c r="I212" s="64" t="s">
        <v>478</v>
      </c>
      <c r="J212" s="64" t="s">
        <v>245</v>
      </c>
      <c r="K212" s="64">
        <v>0</v>
      </c>
      <c r="L212" s="64" t="s">
        <v>526</v>
      </c>
      <c r="M212" s="64">
        <v>375</v>
      </c>
      <c r="N212" s="62"/>
      <c r="O212" s="62"/>
      <c r="P212" s="62"/>
      <c r="Q212" t="s">
        <v>245</v>
      </c>
      <c r="R212">
        <v>0</v>
      </c>
    </row>
    <row r="213" spans="1:18" x14ac:dyDescent="0.25">
      <c r="A213" t="str">
        <f>TableOBEDSC1[[#This Row],[Study Package Code]]</f>
        <v>EDSC2014</v>
      </c>
      <c r="B213" s="5">
        <f>TableOBEDSC1[[#This Row],[Ver]]</f>
        <v>1</v>
      </c>
      <c r="C213" t="str">
        <f>IF(TableOBEDSC1[[#This Row],[Ver]]&gt;0,_xlfn.TEXTBEFORE(TableOBEDSC1[[#This Row],[Structure Line]]," "),"")</f>
        <v>EDS215</v>
      </c>
      <c r="D213" t="str">
        <f>IF(TableOBEDSC1[[#This Row],[OUA Code]]&lt;&gt;"",_xlfn.TEXTAFTER(TableOBEDSC1[[#This Row],[Structure Line]]," "),TableOBEDSC1[[#This Row],[Structure Line]])</f>
        <v>Educating Adolescents: Diversity, Differentiation and Inclusion</v>
      </c>
      <c r="E213" s="44">
        <f>TableOBEDSC1[[#This Row],[Credit Points]]</f>
        <v>25</v>
      </c>
      <c r="F213" s="64">
        <v>7</v>
      </c>
      <c r="G213" s="64" t="s">
        <v>477</v>
      </c>
      <c r="H213" s="241">
        <v>2</v>
      </c>
      <c r="I213" s="64" t="s">
        <v>478</v>
      </c>
      <c r="J213" s="64" t="s">
        <v>191</v>
      </c>
      <c r="K213" s="64">
        <v>1</v>
      </c>
      <c r="L213" s="64" t="s">
        <v>527</v>
      </c>
      <c r="M213" s="64">
        <v>25</v>
      </c>
      <c r="N213" s="62">
        <v>45658</v>
      </c>
      <c r="O213" s="62"/>
      <c r="P213" s="62"/>
      <c r="Q213" t="s">
        <v>191</v>
      </c>
      <c r="R213">
        <v>1</v>
      </c>
    </row>
    <row r="214" spans="1:18" x14ac:dyDescent="0.25">
      <c r="A214" t="str">
        <f>TableOBEDSC1[[#This Row],[Study Package Code]]</f>
        <v>EDSC2016</v>
      </c>
      <c r="B214" s="5">
        <f>TableOBEDSC1[[#This Row],[Ver]]</f>
        <v>1</v>
      </c>
      <c r="C214" t="str">
        <f>IF(TableOBEDSC1[[#This Row],[Ver]]&gt;0,_xlfn.TEXTBEFORE(TableOBEDSC1[[#This Row],[Structure Line]]," "),"")</f>
        <v>EDS220</v>
      </c>
      <c r="D214" t="str">
        <f>IF(TableOBEDSC1[[#This Row],[OUA Code]]&lt;&gt;"",_xlfn.TEXTAFTER(TableOBEDSC1[[#This Row],[Structure Line]]," "),TableOBEDSC1[[#This Row],[Structure Line]])</f>
        <v>Secondary Professional Experience 2</v>
      </c>
      <c r="E214" s="44">
        <f>TableOBEDSC1[[#This Row],[Credit Points]]</f>
        <v>25</v>
      </c>
      <c r="F214" s="64">
        <v>8</v>
      </c>
      <c r="G214" s="64" t="s">
        <v>477</v>
      </c>
      <c r="H214" s="241">
        <v>2</v>
      </c>
      <c r="I214" s="64" t="s">
        <v>478</v>
      </c>
      <c r="J214" s="64" t="s">
        <v>199</v>
      </c>
      <c r="K214" s="64">
        <v>1</v>
      </c>
      <c r="L214" s="64" t="s">
        <v>528</v>
      </c>
      <c r="M214" s="64">
        <v>25</v>
      </c>
      <c r="N214" s="62">
        <v>45658</v>
      </c>
      <c r="O214" s="62"/>
      <c r="P214" s="62"/>
      <c r="Q214" t="s">
        <v>199</v>
      </c>
      <c r="R214">
        <v>1</v>
      </c>
    </row>
    <row r="215" spans="1:18" x14ac:dyDescent="0.25">
      <c r="A215" t="str">
        <f>TableOBEDSC1[[#This Row],[Study Package Code]]</f>
        <v>EDSC2015</v>
      </c>
      <c r="B215" s="5">
        <f>TableOBEDSC1[[#This Row],[Ver]]</f>
        <v>1</v>
      </c>
      <c r="C215" t="str">
        <f>IF(TableOBEDSC1[[#This Row],[Ver]]&gt;0,_xlfn.TEXTBEFORE(TableOBEDSC1[[#This Row],[Structure Line]]," "),"")</f>
        <v>EDS225</v>
      </c>
      <c r="D215" t="str">
        <f>IF(TableOBEDSC1[[#This Row],[OUA Code]]&lt;&gt;"",_xlfn.TEXTAFTER(TableOBEDSC1[[#This Row],[Structure Line]]," "),TableOBEDSC1[[#This Row],[Structure Line]])</f>
        <v>Secondary Professional Teaching Practice 2</v>
      </c>
      <c r="E215" s="44">
        <f>TableOBEDSC1[[#This Row],[Credit Points]]</f>
        <v>25</v>
      </c>
      <c r="F215" s="64">
        <v>9</v>
      </c>
      <c r="G215" s="64" t="s">
        <v>477</v>
      </c>
      <c r="H215" s="241">
        <v>2</v>
      </c>
      <c r="I215" s="64" t="s">
        <v>478</v>
      </c>
      <c r="J215" s="64" t="s">
        <v>195</v>
      </c>
      <c r="K215" s="64">
        <v>1</v>
      </c>
      <c r="L215" s="64" t="s">
        <v>529</v>
      </c>
      <c r="M215" s="64">
        <v>25</v>
      </c>
      <c r="N215" s="62">
        <v>45658</v>
      </c>
      <c r="O215" s="62"/>
      <c r="P215" s="62"/>
      <c r="Q215" t="s">
        <v>195</v>
      </c>
      <c r="R215">
        <v>1</v>
      </c>
    </row>
    <row r="216" spans="1:18" x14ac:dyDescent="0.25">
      <c r="A216" t="str">
        <f>TableOBEDSC1[[#This Row],[Study Package Code]]</f>
        <v>INED3001</v>
      </c>
      <c r="B216" s="5">
        <f>TableOBEDSC1[[#This Row],[Ver]]</f>
        <v>1</v>
      </c>
      <c r="C216" t="s">
        <v>113</v>
      </c>
      <c r="D216" t="str">
        <f>TableOBEDSC1[[#This Row],[Structure Line]]</f>
        <v>Indigenous Australian Education</v>
      </c>
      <c r="E216" s="44">
        <f>TableOBEDSC1[[#This Row],[Credit Points]]</f>
        <v>25</v>
      </c>
      <c r="F216" s="64">
        <v>10</v>
      </c>
      <c r="G216" s="64" t="s">
        <v>477</v>
      </c>
      <c r="H216" s="241">
        <v>3</v>
      </c>
      <c r="I216" s="64" t="s">
        <v>478</v>
      </c>
      <c r="J216" s="64" t="s">
        <v>113</v>
      </c>
      <c r="K216" s="64">
        <v>1</v>
      </c>
      <c r="L216" s="64" t="s">
        <v>414</v>
      </c>
      <c r="M216" s="64">
        <v>25</v>
      </c>
      <c r="N216" s="62">
        <v>42005</v>
      </c>
      <c r="O216" s="62"/>
      <c r="P216" s="62"/>
      <c r="Q216" t="s">
        <v>415</v>
      </c>
      <c r="R216">
        <v>2</v>
      </c>
    </row>
    <row r="217" spans="1:18" x14ac:dyDescent="0.25">
      <c r="A217" t="str">
        <f>TableOBEDSC1[[#This Row],[Study Package Code]]</f>
        <v>EDSC3016</v>
      </c>
      <c r="B217" s="5">
        <f>TableOBEDSC1[[#This Row],[Ver]]</f>
        <v>1</v>
      </c>
      <c r="C217" t="str">
        <f>IF(TableOBEDSC1[[#This Row],[Ver]]&gt;0,_xlfn.TEXTBEFORE(TableOBEDSC1[[#This Row],[Structure Line]]," "),"")</f>
        <v>EDS315</v>
      </c>
      <c r="D217" t="str">
        <f>IF(TableOBEDSC1[[#This Row],[OUA Code]]&lt;&gt;"",_xlfn.TEXTAFTER(TableOBEDSC1[[#This Row],[Structure Line]]," "),TableOBEDSC1[[#This Row],[Structure Line]])</f>
        <v>Secondary Professional Experience 3</v>
      </c>
      <c r="E217" s="44">
        <f>TableOBEDSC1[[#This Row],[Credit Points]]</f>
        <v>25</v>
      </c>
      <c r="F217" s="64">
        <v>11</v>
      </c>
      <c r="G217" s="64" t="s">
        <v>477</v>
      </c>
      <c r="H217" s="241">
        <v>3</v>
      </c>
      <c r="I217" s="64" t="s">
        <v>478</v>
      </c>
      <c r="J217" s="64" t="s">
        <v>210</v>
      </c>
      <c r="K217" s="64">
        <v>1</v>
      </c>
      <c r="L217" s="64" t="s">
        <v>530</v>
      </c>
      <c r="M217" s="64">
        <v>25</v>
      </c>
      <c r="N217" s="62">
        <v>45658</v>
      </c>
      <c r="O217" s="62"/>
      <c r="P217" s="62"/>
      <c r="Q217" t="s">
        <v>210</v>
      </c>
      <c r="R217">
        <v>1</v>
      </c>
    </row>
    <row r="218" spans="1:18" x14ac:dyDescent="0.25">
      <c r="A218" t="str">
        <f>TableOBEDSC1[[#This Row],[Study Package Code]]</f>
        <v>EDSC3014</v>
      </c>
      <c r="B218" s="5">
        <f>TableOBEDSC1[[#This Row],[Ver]]</f>
        <v>1</v>
      </c>
      <c r="C218" t="str">
        <f>IF(TableOBEDSC1[[#This Row],[Ver]]&gt;0,_xlfn.TEXTBEFORE(TableOBEDSC1[[#This Row],[Structure Line]]," "),"")</f>
        <v>EDS320</v>
      </c>
      <c r="D218" t="str">
        <f>IF(TableOBEDSC1[[#This Row],[OUA Code]]&lt;&gt;"",_xlfn.TEXTAFTER(TableOBEDSC1[[#This Row],[Structure Line]]," "),TableOBEDSC1[[#This Row],[Structure Line]])</f>
        <v>Secondary Professional Teaching Practice 3</v>
      </c>
      <c r="E218" s="44">
        <f>TableOBEDSC1[[#This Row],[Credit Points]]</f>
        <v>25</v>
      </c>
      <c r="F218" s="64">
        <v>12</v>
      </c>
      <c r="G218" s="64" t="s">
        <v>477</v>
      </c>
      <c r="H218" s="241">
        <v>3</v>
      </c>
      <c r="I218" s="64" t="s">
        <v>478</v>
      </c>
      <c r="J218" s="64" t="s">
        <v>208</v>
      </c>
      <c r="K218" s="64">
        <v>1</v>
      </c>
      <c r="L218" s="64" t="s">
        <v>531</v>
      </c>
      <c r="M218" s="64">
        <v>25</v>
      </c>
      <c r="N218" s="62">
        <v>45658</v>
      </c>
      <c r="O218" s="62"/>
      <c r="P218" s="62"/>
      <c r="Q218" t="s">
        <v>208</v>
      </c>
      <c r="R218">
        <v>1</v>
      </c>
    </row>
    <row r="219" spans="1:18" x14ac:dyDescent="0.25">
      <c r="A219" t="str">
        <f>TableOBEDSC1[[#This Row],[Study Package Code]]</f>
        <v>EDSC3008</v>
      </c>
      <c r="B219" s="5">
        <f>TableOBEDSC1[[#This Row],[Ver]]</f>
        <v>1</v>
      </c>
      <c r="C219" t="str">
        <f>IF(TableOBEDSC1[[#This Row],[Ver]]&gt;0,_xlfn.TEXTBEFORE(TableOBEDSC1[[#This Row],[Structure Line]]," "),"")</f>
        <v>EDS355</v>
      </c>
      <c r="D219" t="str">
        <f>IF(TableOBEDSC1[[#This Row],[OUA Code]]&lt;&gt;"",_xlfn.TEXTAFTER(TableOBEDSC1[[#This Row],[Structure Line]]," "),TableOBEDSC1[[#This Row],[Structure Line]])</f>
        <v>Curriculum and Culture in Secondary Schools</v>
      </c>
      <c r="E219" s="44">
        <f>TableOBEDSC1[[#This Row],[Credit Points]]</f>
        <v>25</v>
      </c>
      <c r="F219" s="64">
        <v>13</v>
      </c>
      <c r="G219" s="64" t="s">
        <v>477</v>
      </c>
      <c r="H219" s="241">
        <v>3</v>
      </c>
      <c r="I219" s="64" t="s">
        <v>478</v>
      </c>
      <c r="J219" s="64" t="s">
        <v>211</v>
      </c>
      <c r="K219" s="64">
        <v>1</v>
      </c>
      <c r="L219" s="64" t="s">
        <v>532</v>
      </c>
      <c r="M219" s="64">
        <v>25</v>
      </c>
      <c r="N219" s="62">
        <v>43466</v>
      </c>
      <c r="O219" s="62"/>
      <c r="P219" s="62"/>
      <c r="Q219" t="s">
        <v>211</v>
      </c>
      <c r="R219">
        <v>1</v>
      </c>
    </row>
    <row r="220" spans="1:18" x14ac:dyDescent="0.25">
      <c r="A220" t="str">
        <f>TableOBEDSC1[[#This Row],[Study Package Code]]</f>
        <v>EDUC4050</v>
      </c>
      <c r="B220" s="5">
        <f>TableOBEDSC1[[#This Row],[Ver]]</f>
        <v>1</v>
      </c>
      <c r="C220" t="str">
        <f>IF(TableOBEDSC1[[#This Row],[Ver]]&gt;0,_xlfn.TEXTBEFORE(TableOBEDSC1[[#This Row],[Structure Line]]," "),"")</f>
        <v>EDC445</v>
      </c>
      <c r="D220" t="str">
        <f>IF(TableOBEDSC1[[#This Row],[OUA Code]]&lt;&gt;"",_xlfn.TEXTAFTER(TableOBEDSC1[[#This Row],[Structure Line]]," "),TableOBEDSC1[[#This Row],[Structure Line]])</f>
        <v>The Professional Educator: Transition to the Profession</v>
      </c>
      <c r="E220" s="44">
        <f>TableOBEDSC1[[#This Row],[Credit Points]]</f>
        <v>25</v>
      </c>
      <c r="F220" s="64">
        <v>14</v>
      </c>
      <c r="G220" s="64" t="s">
        <v>477</v>
      </c>
      <c r="H220" s="241">
        <v>4</v>
      </c>
      <c r="I220" s="64" t="s">
        <v>478</v>
      </c>
      <c r="J220" s="64" t="s">
        <v>126</v>
      </c>
      <c r="K220" s="64">
        <v>1</v>
      </c>
      <c r="L220" s="64" t="s">
        <v>493</v>
      </c>
      <c r="M220" s="64">
        <v>25</v>
      </c>
      <c r="N220" s="62">
        <v>43466</v>
      </c>
      <c r="O220" s="62"/>
      <c r="P220" s="62"/>
      <c r="Q220" t="s">
        <v>126</v>
      </c>
      <c r="R220">
        <v>1</v>
      </c>
    </row>
    <row r="221" spans="1:18" x14ac:dyDescent="0.25">
      <c r="A221" t="str">
        <f>TableOBEDSC1[[#This Row],[Study Package Code]]</f>
        <v>EDUC4041</v>
      </c>
      <c r="B221" s="5">
        <f>TableOBEDSC1[[#This Row],[Ver]]</f>
        <v>1</v>
      </c>
      <c r="C221" t="str">
        <f>IF(TableOBEDSC1[[#This Row],[Ver]]&gt;0,_xlfn.TEXTBEFORE(TableOBEDSC1[[#This Row],[Structure Line]]," "),"")</f>
        <v>EDC450</v>
      </c>
      <c r="D221" t="str">
        <f>IF(TableOBEDSC1[[#This Row],[OUA Code]]&lt;&gt;"",_xlfn.TEXTAFTER(TableOBEDSC1[[#This Row],[Structure Line]]," "),TableOBEDSC1[[#This Row],[Structure Line]])</f>
        <v>Professional Experience 4: The Internship</v>
      </c>
      <c r="E221" s="44">
        <f>TableOBEDSC1[[#This Row],[Credit Points]]</f>
        <v>100</v>
      </c>
      <c r="F221" s="64">
        <v>15</v>
      </c>
      <c r="G221" s="64" t="s">
        <v>477</v>
      </c>
      <c r="H221" s="241">
        <v>4</v>
      </c>
      <c r="I221" s="64" t="s">
        <v>478</v>
      </c>
      <c r="J221" s="64" t="s">
        <v>132</v>
      </c>
      <c r="K221" s="64">
        <v>1</v>
      </c>
      <c r="L221" s="64" t="s">
        <v>496</v>
      </c>
      <c r="M221" s="64">
        <v>100</v>
      </c>
      <c r="N221" s="62">
        <v>43466</v>
      </c>
      <c r="O221" s="62"/>
      <c r="P221" s="62"/>
      <c r="Q221" t="s">
        <v>132</v>
      </c>
      <c r="R221">
        <v>1</v>
      </c>
    </row>
    <row r="222" spans="1:18" x14ac:dyDescent="0.25">
      <c r="A222" t="str">
        <f>TableOBEDSC1[[#This Row],[Study Package Code]]</f>
        <v>OUMU-ARVA1</v>
      </c>
      <c r="B222" s="5">
        <f>TableOBEDSC1[[#This Row],[Ver]]</f>
        <v>1</v>
      </c>
      <c r="D222" t="str">
        <f>IF(TableOBEDSC1[[#This Row],[OUA Code]]&lt;&gt;"",_xlfn.TEXTAFTER(TableOBEDSC1[[#This Row],[Structure Line]]," "),TableOBEDSC1[[#This Row],[Structure Line]])</f>
        <v>The Arts Education Major (Visual Arts) (BEd Secondary) (OpenUnis)</v>
      </c>
      <c r="E222" s="44">
        <f>TableOBEDSC1[[#This Row],[Credit Points]]</f>
        <v>375</v>
      </c>
      <c r="F222" s="64">
        <v>6</v>
      </c>
      <c r="G222" s="64" t="s">
        <v>525</v>
      </c>
      <c r="H222" s="241">
        <v>1</v>
      </c>
      <c r="I222" s="64" t="s">
        <v>478</v>
      </c>
      <c r="J222" s="64" t="s">
        <v>173</v>
      </c>
      <c r="K222" s="64">
        <v>1</v>
      </c>
      <c r="L222" s="64" t="s">
        <v>172</v>
      </c>
      <c r="M222" s="64">
        <v>375</v>
      </c>
      <c r="N222" s="62">
        <v>45658</v>
      </c>
      <c r="O222" s="62"/>
      <c r="P222" s="62"/>
      <c r="Q222" t="s">
        <v>173</v>
      </c>
      <c r="R222">
        <v>1</v>
      </c>
    </row>
    <row r="223" spans="1:18" x14ac:dyDescent="0.25">
      <c r="A223" t="str">
        <f>TableOBEDSC1[[#This Row],[Study Package Code]]</f>
        <v>OUMU-ENGL1</v>
      </c>
      <c r="B223" s="5">
        <f>TableOBEDSC1[[#This Row],[Ver]]</f>
        <v>2</v>
      </c>
      <c r="D223" t="str">
        <f>IF(TableOBEDSC1[[#This Row],[OUA Code]]&lt;&gt;"",_xlfn.TEXTAFTER(TableOBEDSC1[[#This Row],[Structure Line]]," "),TableOBEDSC1[[#This Row],[Structure Line]])</f>
        <v>English Education Major (BEd Secondary) (OpenUnis)</v>
      </c>
      <c r="E223" s="44">
        <f>TableOBEDSC1[[#This Row],[Credit Points]]</f>
        <v>375</v>
      </c>
      <c r="F223" s="64">
        <v>6</v>
      </c>
      <c r="G223" s="64" t="s">
        <v>525</v>
      </c>
      <c r="H223" s="241">
        <v>1</v>
      </c>
      <c r="I223" s="64" t="s">
        <v>478</v>
      </c>
      <c r="J223" s="64" t="s">
        <v>177</v>
      </c>
      <c r="K223" s="64">
        <v>2</v>
      </c>
      <c r="L223" s="64" t="s">
        <v>176</v>
      </c>
      <c r="M223" s="64">
        <v>375</v>
      </c>
      <c r="N223" s="62">
        <v>46023</v>
      </c>
      <c r="O223" s="62"/>
      <c r="P223" s="62"/>
      <c r="Q223" t="s">
        <v>177</v>
      </c>
      <c r="R223">
        <v>1</v>
      </c>
    </row>
    <row r="224" spans="1:18" x14ac:dyDescent="0.25">
      <c r="A224" t="str">
        <f>TableOBEDSC1[[#This Row],[Study Package Code]]</f>
        <v>OUMU-HSGE1</v>
      </c>
      <c r="B224" s="5">
        <f>TableOBEDSC1[[#This Row],[Ver]]</f>
        <v>1</v>
      </c>
      <c r="D224" t="str">
        <f>IF(TableOBEDSC1[[#This Row],[OUA Code]]&lt;&gt;"",_xlfn.TEXTAFTER(TableOBEDSC1[[#This Row],[Structure Line]]," "),TableOBEDSC1[[#This Row],[Structure Line]])</f>
        <v>Humanities and Social Sciences Education Major (Geography) (BEd Secondary) (OpenUnis)</v>
      </c>
      <c r="E224" s="44">
        <f>TableOBEDSC1[[#This Row],[Credit Points]]</f>
        <v>375</v>
      </c>
      <c r="F224" s="64">
        <v>6</v>
      </c>
      <c r="G224" s="64" t="s">
        <v>525</v>
      </c>
      <c r="H224" s="241">
        <v>1</v>
      </c>
      <c r="I224" s="64" t="s">
        <v>478</v>
      </c>
      <c r="J224" s="64" t="s">
        <v>178</v>
      </c>
      <c r="K224" s="64">
        <v>1</v>
      </c>
      <c r="L224" s="64" t="s">
        <v>160</v>
      </c>
      <c r="M224" s="64">
        <v>375</v>
      </c>
      <c r="N224" s="62">
        <v>45658</v>
      </c>
      <c r="O224" s="62"/>
      <c r="P224" s="62"/>
      <c r="Q224" t="s">
        <v>178</v>
      </c>
      <c r="R224">
        <v>1</v>
      </c>
    </row>
    <row r="225" spans="1:18" x14ac:dyDescent="0.25">
      <c r="A225" s="42"/>
      <c r="B225" s="43"/>
      <c r="C225" s="42"/>
      <c r="D225" s="42"/>
      <c r="F225" s="235"/>
      <c r="G225" s="236" t="s">
        <v>464</v>
      </c>
      <c r="H225" s="240">
        <v>46034</v>
      </c>
      <c r="I225" s="235"/>
      <c r="J225" s="232" t="s">
        <v>78</v>
      </c>
      <c r="K225" s="233">
        <v>4</v>
      </c>
      <c r="L225" s="232" t="s">
        <v>77</v>
      </c>
      <c r="M225" s="232"/>
      <c r="N225" s="245">
        <v>45658</v>
      </c>
      <c r="O225" s="237"/>
      <c r="P225" s="62"/>
    </row>
    <row r="226" spans="1:18" ht="31.5" x14ac:dyDescent="0.25">
      <c r="A226" s="49" t="s">
        <v>0</v>
      </c>
      <c r="B226" s="50" t="s">
        <v>466</v>
      </c>
      <c r="C226" s="49" t="s">
        <v>16</v>
      </c>
      <c r="D226" s="49" t="s">
        <v>3</v>
      </c>
      <c r="E226" s="51" t="s">
        <v>467</v>
      </c>
      <c r="F226" s="49" t="s">
        <v>468</v>
      </c>
      <c r="G226" s="49" t="s">
        <v>469</v>
      </c>
      <c r="H226" s="50" t="s">
        <v>470</v>
      </c>
      <c r="I226" s="49" t="s">
        <v>17</v>
      </c>
      <c r="J226" s="49" t="s">
        <v>471</v>
      </c>
      <c r="K226" s="49" t="s">
        <v>1</v>
      </c>
      <c r="L226" s="49" t="s">
        <v>472</v>
      </c>
      <c r="M226" s="49" t="s">
        <v>59</v>
      </c>
      <c r="N226" s="49" t="s">
        <v>473</v>
      </c>
      <c r="O226" s="49" t="s">
        <v>474</v>
      </c>
      <c r="P226" s="62"/>
      <c r="Q226" t="s">
        <v>475</v>
      </c>
      <c r="R226" t="s">
        <v>476</v>
      </c>
    </row>
    <row r="227" spans="1:18" x14ac:dyDescent="0.25">
      <c r="A227" t="str">
        <f>TableOUEDSC1[[#This Row],[Study Package Code]]</f>
        <v>EDUC1020</v>
      </c>
      <c r="B227" s="5">
        <f>TableOUEDSC1[[#This Row],[Ver]]</f>
        <v>1</v>
      </c>
      <c r="C227" t="str">
        <f>IF(TableOUEDSC1[[#This Row],[Ver]]&gt;0,_xlfn.TEXTBEFORE(TableOUEDSC1[[#This Row],[Structure Line]]," "),"")</f>
        <v>EDC105</v>
      </c>
      <c r="D227" t="str">
        <f>IF(TableOUEDSC1[[#This Row],[OUA Code]]&lt;&gt;"",_xlfn.TEXTAFTER(TableOUEDSC1[[#This Row],[Structure Line]]," "),TableOUEDSC1[[#This Row],[Structure Line]])</f>
        <v>Teaching and Learning in the Digital World</v>
      </c>
      <c r="E227" s="44">
        <f>TableOUEDSC1[[#This Row],[Credit Points]]</f>
        <v>25</v>
      </c>
      <c r="F227" s="64">
        <v>1</v>
      </c>
      <c r="G227" s="64" t="s">
        <v>477</v>
      </c>
      <c r="H227" s="241">
        <v>1</v>
      </c>
      <c r="I227" s="64" t="s">
        <v>478</v>
      </c>
      <c r="J227" s="64" t="s">
        <v>46</v>
      </c>
      <c r="K227" s="64">
        <v>1</v>
      </c>
      <c r="L227" s="64" t="s">
        <v>479</v>
      </c>
      <c r="M227" s="64">
        <v>25</v>
      </c>
      <c r="N227" s="62">
        <v>43466</v>
      </c>
      <c r="O227" s="62"/>
      <c r="P227" s="62"/>
    </row>
    <row r="228" spans="1:18" x14ac:dyDescent="0.25">
      <c r="A228" t="str">
        <f>TableOUEDSC1[[#This Row],[Study Package Code]]</f>
        <v>EDUC1022</v>
      </c>
      <c r="B228" s="5">
        <f>TableOUEDSC1[[#This Row],[Ver]]</f>
        <v>1</v>
      </c>
      <c r="C228" t="str">
        <f>IF(TableOUEDSC1[[#This Row],[Ver]]&gt;0,_xlfn.TEXTBEFORE(TableOUEDSC1[[#This Row],[Structure Line]]," "),"")</f>
        <v>EDC135</v>
      </c>
      <c r="D228" t="str">
        <f>IF(TableOUEDSC1[[#This Row],[OUA Code]]&lt;&gt;"",_xlfn.TEXTAFTER(TableOUEDSC1[[#This Row],[Structure Line]]," "),TableOUEDSC1[[#This Row],[Structure Line]])</f>
        <v>Child Development for Educators</v>
      </c>
      <c r="E228" s="44">
        <f>TableOUEDSC1[[#This Row],[Credit Points]]</f>
        <v>25</v>
      </c>
      <c r="F228" s="64">
        <v>2</v>
      </c>
      <c r="G228" s="64" t="s">
        <v>477</v>
      </c>
      <c r="H228" s="241">
        <v>1</v>
      </c>
      <c r="I228" s="64" t="s">
        <v>478</v>
      </c>
      <c r="J228" s="64" t="s">
        <v>51</v>
      </c>
      <c r="K228" s="64">
        <v>1</v>
      </c>
      <c r="L228" s="64" t="s">
        <v>480</v>
      </c>
      <c r="M228" s="64">
        <v>25</v>
      </c>
      <c r="N228" s="62">
        <v>43466</v>
      </c>
      <c r="O228" s="62"/>
      <c r="P228" s="62"/>
    </row>
    <row r="229" spans="1:18" x14ac:dyDescent="0.25">
      <c r="A229" t="str">
        <f>TableOUEDSC1[[#This Row],[Study Package Code]]</f>
        <v>EDUC1038</v>
      </c>
      <c r="B229" s="5">
        <f>TableOUEDSC1[[#This Row],[Ver]]</f>
        <v>1</v>
      </c>
      <c r="C229" t="str">
        <f>IF(TableOUEDSC1[[#This Row],[Ver]]&gt;0,_xlfn.TEXTBEFORE(TableOUEDSC1[[#This Row],[Structure Line]]," "),"")</f>
        <v>EDC181</v>
      </c>
      <c r="D229" t="str">
        <f>IF(TableOUEDSC1[[#This Row],[OUA Code]]&lt;&gt;"",_xlfn.TEXTAFTER(TableOUEDSC1[[#This Row],[Structure Line]]," "),TableOUEDSC1[[#This Row],[Structure Line]])</f>
        <v>Communication Skills for Educators</v>
      </c>
      <c r="E229" s="44">
        <f>TableOUEDSC1[[#This Row],[Credit Points]]</f>
        <v>25</v>
      </c>
      <c r="F229" s="64">
        <v>3</v>
      </c>
      <c r="G229" s="64" t="s">
        <v>477</v>
      </c>
      <c r="H229" s="241">
        <v>1</v>
      </c>
      <c r="I229" s="64" t="s">
        <v>478</v>
      </c>
      <c r="J229" s="64" t="s">
        <v>71</v>
      </c>
      <c r="K229" s="64">
        <v>1</v>
      </c>
      <c r="L229" s="64" t="s">
        <v>484</v>
      </c>
      <c r="M229" s="64">
        <v>25</v>
      </c>
      <c r="N229" s="62">
        <v>45658</v>
      </c>
      <c r="O229" s="62"/>
      <c r="P229" s="62"/>
    </row>
    <row r="230" spans="1:18" x14ac:dyDescent="0.25">
      <c r="A230" t="str">
        <f>TableOUEDSC1[[#This Row],[Study Package Code]]</f>
        <v>EDUC1036</v>
      </c>
      <c r="B230" s="5">
        <f>TableOUEDSC1[[#This Row],[Ver]]</f>
        <v>1</v>
      </c>
      <c r="C230" t="str">
        <f>IF(TableOUEDSC1[[#This Row],[Ver]]&gt;0,_xlfn.TEXTBEFORE(TableOUEDSC1[[#This Row],[Structure Line]]," "),"")</f>
        <v>EDC185</v>
      </c>
      <c r="D230" t="str">
        <f>IF(TableOUEDSC1[[#This Row],[OUA Code]]&lt;&gt;"",_xlfn.TEXTAFTER(TableOUEDSC1[[#This Row],[Structure Line]]," "),TableOUEDSC1[[#This Row],[Structure Line]])</f>
        <v>Professional Experience 1</v>
      </c>
      <c r="E230" s="44">
        <f>TableOUEDSC1[[#This Row],[Credit Points]]</f>
        <v>25</v>
      </c>
      <c r="F230" s="64">
        <v>4</v>
      </c>
      <c r="G230" s="64" t="s">
        <v>477</v>
      </c>
      <c r="H230" s="241">
        <v>1</v>
      </c>
      <c r="I230" s="64" t="s">
        <v>478</v>
      </c>
      <c r="J230" s="64" t="s">
        <v>180</v>
      </c>
      <c r="K230" s="64">
        <v>1</v>
      </c>
      <c r="L230" s="64" t="s">
        <v>523</v>
      </c>
      <c r="M230" s="64">
        <v>25</v>
      </c>
      <c r="N230" s="62">
        <v>45658</v>
      </c>
      <c r="O230" s="62"/>
      <c r="P230" s="62"/>
    </row>
    <row r="231" spans="1:18" x14ac:dyDescent="0.25">
      <c r="A231" t="str">
        <f>TableOUEDSC1[[#This Row],[Study Package Code]]</f>
        <v>EDUC1037</v>
      </c>
      <c r="B231" s="5">
        <f>TableOUEDSC1[[#This Row],[Ver]]</f>
        <v>1</v>
      </c>
      <c r="C231" t="str">
        <f>IF(TableOUEDSC1[[#This Row],[Ver]]&gt;0,_xlfn.TEXTBEFORE(TableOUEDSC1[[#This Row],[Structure Line]]," "),"")</f>
        <v>EDC190</v>
      </c>
      <c r="D231" t="str">
        <f>IF(TableOUEDSC1[[#This Row],[OUA Code]]&lt;&gt;"",_xlfn.TEXTAFTER(TableOUEDSC1[[#This Row],[Structure Line]]," "),TableOUEDSC1[[#This Row],[Structure Line]])</f>
        <v>Professional Teaching Practice 1</v>
      </c>
      <c r="E231" s="44">
        <f>TableOUEDSC1[[#This Row],[Credit Points]]</f>
        <v>25</v>
      </c>
      <c r="F231" s="64">
        <v>5</v>
      </c>
      <c r="G231" s="64" t="s">
        <v>477</v>
      </c>
      <c r="H231" s="241">
        <v>1</v>
      </c>
      <c r="I231" s="64" t="s">
        <v>478</v>
      </c>
      <c r="J231" s="64" t="s">
        <v>179</v>
      </c>
      <c r="K231" s="64">
        <v>1</v>
      </c>
      <c r="L231" s="64" t="s">
        <v>524</v>
      </c>
      <c r="M231" s="64">
        <v>25</v>
      </c>
      <c r="N231" s="62">
        <v>45658</v>
      </c>
      <c r="O231" s="62"/>
      <c r="P231" s="62"/>
    </row>
    <row r="232" spans="1:18" x14ac:dyDescent="0.25">
      <c r="A232" t="str">
        <f>TableOUEDSC1[[#This Row],[Study Package Code]]</f>
        <v>AC-EDSC1</v>
      </c>
      <c r="B232" s="5">
        <f>TableOUEDSC1[[#This Row],[Ver]]</f>
        <v>0</v>
      </c>
      <c r="C232" t="str">
        <f>IF(TableOUEDSC1[[#This Row],[Ver]]&gt;0,_xlfn.TEXTBEFORE(TableOUEDSC1[[#This Row],[Structure Line]]," "),"")</f>
        <v/>
      </c>
      <c r="D232" t="str">
        <f>IF(TableOUEDSC1[[#This Row],[OUA Code]]&lt;&gt;"",_xlfn.TEXTAFTER(TableOUEDSC1[[#This Row],[Structure Line]]," "),TableOUEDSC1[[#This Row],[Structure Line]])</f>
        <v>Choose Your Major</v>
      </c>
      <c r="E232" s="44">
        <f>TableOUEDSC1[[#This Row],[Credit Points]]</f>
        <v>0</v>
      </c>
      <c r="F232" s="64">
        <v>6</v>
      </c>
      <c r="G232" s="64" t="s">
        <v>525</v>
      </c>
      <c r="H232" s="241">
        <v>1</v>
      </c>
      <c r="I232" s="64" t="s">
        <v>478</v>
      </c>
      <c r="J232" s="64" t="s">
        <v>245</v>
      </c>
      <c r="K232" s="64">
        <v>0</v>
      </c>
      <c r="L232" s="64" t="s">
        <v>526</v>
      </c>
      <c r="M232" s="64"/>
      <c r="N232" s="62"/>
      <c r="O232" s="62"/>
      <c r="P232" s="62"/>
    </row>
    <row r="233" spans="1:18" x14ac:dyDescent="0.25">
      <c r="A233" t="str">
        <f>TableOUEDSC1[[#This Row],[Study Package Code]]</f>
        <v>EDSC2014</v>
      </c>
      <c r="B233" s="5">
        <f>TableOUEDSC1[[#This Row],[Ver]]</f>
        <v>1</v>
      </c>
      <c r="C233" t="str">
        <f>IF(TableOUEDSC1[[#This Row],[Ver]]&gt;0,_xlfn.TEXTBEFORE(TableOUEDSC1[[#This Row],[Structure Line]]," "),"")</f>
        <v>EDS215</v>
      </c>
      <c r="D233" t="str">
        <f>IF(TableOUEDSC1[[#This Row],[OUA Code]]&lt;&gt;"",_xlfn.TEXTAFTER(TableOUEDSC1[[#This Row],[Structure Line]]," "),TableOUEDSC1[[#This Row],[Structure Line]])</f>
        <v>Educating Adolescents: Diversity, Differentiation and Inclusion</v>
      </c>
      <c r="E233" s="44">
        <f>TableOUEDSC1[[#This Row],[Credit Points]]</f>
        <v>25</v>
      </c>
      <c r="F233" s="64">
        <v>7</v>
      </c>
      <c r="G233" s="64" t="s">
        <v>477</v>
      </c>
      <c r="H233" s="241">
        <v>2</v>
      </c>
      <c r="I233" s="64" t="s">
        <v>478</v>
      </c>
      <c r="J233" s="64" t="s">
        <v>191</v>
      </c>
      <c r="K233" s="64">
        <v>1</v>
      </c>
      <c r="L233" s="64" t="s">
        <v>527</v>
      </c>
      <c r="M233" s="64">
        <v>25</v>
      </c>
      <c r="N233" s="62">
        <v>45658</v>
      </c>
      <c r="O233" s="62"/>
      <c r="P233" s="62"/>
    </row>
    <row r="234" spans="1:18" x14ac:dyDescent="0.25">
      <c r="A234" t="str">
        <f>TableOUEDSC1[[#This Row],[Study Package Code]]</f>
        <v>EDSC2016</v>
      </c>
      <c r="B234" s="5">
        <f>TableOUEDSC1[[#This Row],[Ver]]</f>
        <v>1</v>
      </c>
      <c r="C234" t="str">
        <f>IF(TableOUEDSC1[[#This Row],[Ver]]&gt;0,_xlfn.TEXTBEFORE(TableOUEDSC1[[#This Row],[Structure Line]]," "),"")</f>
        <v>EDS220</v>
      </c>
      <c r="D234" t="str">
        <f>IF(TableOUEDSC1[[#This Row],[OUA Code]]&lt;&gt;"",_xlfn.TEXTAFTER(TableOUEDSC1[[#This Row],[Structure Line]]," "),TableOUEDSC1[[#This Row],[Structure Line]])</f>
        <v>Secondary Professional Experience 2</v>
      </c>
      <c r="E234" s="44">
        <f>TableOUEDSC1[[#This Row],[Credit Points]]</f>
        <v>25</v>
      </c>
      <c r="F234" s="64">
        <v>8</v>
      </c>
      <c r="G234" s="64" t="s">
        <v>477</v>
      </c>
      <c r="H234" s="241">
        <v>2</v>
      </c>
      <c r="I234" s="64" t="s">
        <v>478</v>
      </c>
      <c r="J234" s="64" t="s">
        <v>199</v>
      </c>
      <c r="K234" s="64">
        <v>1</v>
      </c>
      <c r="L234" s="64" t="s">
        <v>528</v>
      </c>
      <c r="M234" s="64">
        <v>25</v>
      </c>
      <c r="N234" s="62">
        <v>45658</v>
      </c>
      <c r="O234" s="62"/>
      <c r="P234" s="62"/>
    </row>
    <row r="235" spans="1:18" x14ac:dyDescent="0.25">
      <c r="A235" t="str">
        <f>TableOUEDSC1[[#This Row],[Study Package Code]]</f>
        <v>EDSC2015</v>
      </c>
      <c r="B235" s="5">
        <f>TableOUEDSC1[[#This Row],[Ver]]</f>
        <v>1</v>
      </c>
      <c r="C235" t="str">
        <f>IF(TableOUEDSC1[[#This Row],[Ver]]&gt;0,_xlfn.TEXTBEFORE(TableOUEDSC1[[#This Row],[Structure Line]]," "),"")</f>
        <v>EDS225</v>
      </c>
      <c r="D235" t="str">
        <f>IF(TableOUEDSC1[[#This Row],[OUA Code]]&lt;&gt;"",_xlfn.TEXTAFTER(TableOUEDSC1[[#This Row],[Structure Line]]," "),TableOUEDSC1[[#This Row],[Structure Line]])</f>
        <v>Secondary Professional Teaching Practice 2</v>
      </c>
      <c r="E235" s="44">
        <f>TableOUEDSC1[[#This Row],[Credit Points]]</f>
        <v>25</v>
      </c>
      <c r="F235" s="64">
        <v>9</v>
      </c>
      <c r="G235" s="64" t="s">
        <v>477</v>
      </c>
      <c r="H235" s="241">
        <v>2</v>
      </c>
      <c r="I235" s="64" t="s">
        <v>478</v>
      </c>
      <c r="J235" s="64" t="s">
        <v>195</v>
      </c>
      <c r="K235" s="64">
        <v>1</v>
      </c>
      <c r="L235" s="64" t="s">
        <v>529</v>
      </c>
      <c r="M235" s="64">
        <v>25</v>
      </c>
      <c r="N235" s="62">
        <v>45658</v>
      </c>
      <c r="O235" s="62"/>
      <c r="P235" s="62"/>
    </row>
    <row r="236" spans="1:18" x14ac:dyDescent="0.25">
      <c r="A236" t="str">
        <f>TableOUEDSC1[[#This Row],[Study Package Code]]</f>
        <v>INED3001</v>
      </c>
      <c r="B236" s="5">
        <f>TableOUEDSC1[[#This Row],[Ver]]</f>
        <v>1</v>
      </c>
      <c r="C236" t="str">
        <f>IF(TableOUEDSC1[[#This Row],[Ver]]&gt;0,_xlfn.TEXTBEFORE(TableOUEDSC1[[#This Row],[Structure Line]]," "),"")</f>
        <v>Indigenous</v>
      </c>
      <c r="D236" t="str">
        <f>IF(TableOUEDSC1[[#This Row],[OUA Code]]&lt;&gt;"",_xlfn.TEXTAFTER(TableOUEDSC1[[#This Row],[Structure Line]]," "),TableOUEDSC1[[#This Row],[Structure Line]])</f>
        <v>Australian Education</v>
      </c>
      <c r="E236" s="44">
        <f>TableOUEDSC1[[#This Row],[Credit Points]]</f>
        <v>25</v>
      </c>
      <c r="F236" s="64">
        <v>10</v>
      </c>
      <c r="G236" s="64" t="s">
        <v>477</v>
      </c>
      <c r="H236" s="241">
        <v>3</v>
      </c>
      <c r="I236" s="64" t="s">
        <v>478</v>
      </c>
      <c r="J236" s="64" t="s">
        <v>113</v>
      </c>
      <c r="K236" s="64">
        <v>1</v>
      </c>
      <c r="L236" s="64" t="s">
        <v>414</v>
      </c>
      <c r="M236" s="64">
        <v>25</v>
      </c>
      <c r="N236" s="62">
        <v>42005</v>
      </c>
      <c r="O236" s="62"/>
      <c r="P236" s="62"/>
    </row>
    <row r="237" spans="1:18" x14ac:dyDescent="0.25">
      <c r="A237" t="str">
        <f>TableOUEDSC1[[#This Row],[Study Package Code]]</f>
        <v>EDSC3016</v>
      </c>
      <c r="B237" s="5">
        <f>TableOUEDSC1[[#This Row],[Ver]]</f>
        <v>1</v>
      </c>
      <c r="C237" t="str">
        <f>IF(TableOUEDSC1[[#This Row],[Ver]]&gt;0,_xlfn.TEXTBEFORE(TableOUEDSC1[[#This Row],[Structure Line]]," "),"")</f>
        <v>EDS315</v>
      </c>
      <c r="D237" t="str">
        <f>IF(TableOUEDSC1[[#This Row],[OUA Code]]&lt;&gt;"",_xlfn.TEXTAFTER(TableOUEDSC1[[#This Row],[Structure Line]]," "),TableOUEDSC1[[#This Row],[Structure Line]])</f>
        <v>Secondary Professional Experience 3</v>
      </c>
      <c r="E237" s="44">
        <f>TableOUEDSC1[[#This Row],[Credit Points]]</f>
        <v>25</v>
      </c>
      <c r="F237" s="64">
        <v>11</v>
      </c>
      <c r="G237" s="64" t="s">
        <v>477</v>
      </c>
      <c r="H237" s="241">
        <v>3</v>
      </c>
      <c r="I237" s="64" t="s">
        <v>478</v>
      </c>
      <c r="J237" s="64" t="s">
        <v>210</v>
      </c>
      <c r="K237" s="64">
        <v>1</v>
      </c>
      <c r="L237" s="64" t="s">
        <v>530</v>
      </c>
      <c r="M237" s="64">
        <v>25</v>
      </c>
      <c r="N237" s="62">
        <v>45658</v>
      </c>
      <c r="O237" s="62"/>
      <c r="P237" s="62"/>
    </row>
    <row r="238" spans="1:18" x14ac:dyDescent="0.25">
      <c r="A238" t="str">
        <f>TableOUEDSC1[[#This Row],[Study Package Code]]</f>
        <v>EDSC3014</v>
      </c>
      <c r="B238" s="5">
        <f>TableOUEDSC1[[#This Row],[Ver]]</f>
        <v>1</v>
      </c>
      <c r="C238" t="str">
        <f>IF(TableOUEDSC1[[#This Row],[Ver]]&gt;0,_xlfn.TEXTBEFORE(TableOUEDSC1[[#This Row],[Structure Line]]," "),"")</f>
        <v>EDS320</v>
      </c>
      <c r="D238" t="str">
        <f>IF(TableOUEDSC1[[#This Row],[OUA Code]]&lt;&gt;"",_xlfn.TEXTAFTER(TableOUEDSC1[[#This Row],[Structure Line]]," "),TableOUEDSC1[[#This Row],[Structure Line]])</f>
        <v>Secondary Professional Teaching Practice 3</v>
      </c>
      <c r="E238" s="44">
        <f>TableOUEDSC1[[#This Row],[Credit Points]]</f>
        <v>25</v>
      </c>
      <c r="F238" s="64">
        <v>12</v>
      </c>
      <c r="G238" s="64" t="s">
        <v>477</v>
      </c>
      <c r="H238" s="241">
        <v>3</v>
      </c>
      <c r="I238" s="64" t="s">
        <v>478</v>
      </c>
      <c r="J238" s="64" t="s">
        <v>208</v>
      </c>
      <c r="K238" s="64">
        <v>1</v>
      </c>
      <c r="L238" s="64" t="s">
        <v>531</v>
      </c>
      <c r="M238" s="64">
        <v>25</v>
      </c>
      <c r="N238" s="62">
        <v>45658</v>
      </c>
      <c r="O238" s="62"/>
      <c r="P238" s="62"/>
    </row>
    <row r="239" spans="1:18" x14ac:dyDescent="0.25">
      <c r="A239" t="str">
        <f>TableOUEDSC1[[#This Row],[Study Package Code]]</f>
        <v>EDSC3008</v>
      </c>
      <c r="B239" s="5">
        <f>TableOUEDSC1[[#This Row],[Ver]]</f>
        <v>1</v>
      </c>
      <c r="C239" t="str">
        <f>IF(TableOUEDSC1[[#This Row],[Ver]]&gt;0,_xlfn.TEXTBEFORE(TableOUEDSC1[[#This Row],[Structure Line]]," "),"")</f>
        <v>EDS355</v>
      </c>
      <c r="D239" t="str">
        <f>IF(TableOUEDSC1[[#This Row],[OUA Code]]&lt;&gt;"",_xlfn.TEXTAFTER(TableOUEDSC1[[#This Row],[Structure Line]]," "),TableOUEDSC1[[#This Row],[Structure Line]])</f>
        <v>Curriculum and Culture in Secondary Schools</v>
      </c>
      <c r="E239" s="44">
        <f>TableOUEDSC1[[#This Row],[Credit Points]]</f>
        <v>25</v>
      </c>
      <c r="F239" s="64">
        <v>13</v>
      </c>
      <c r="G239" s="64" t="s">
        <v>477</v>
      </c>
      <c r="H239" s="241">
        <v>3</v>
      </c>
      <c r="I239" s="64" t="s">
        <v>478</v>
      </c>
      <c r="J239" s="64" t="s">
        <v>211</v>
      </c>
      <c r="K239" s="64">
        <v>1</v>
      </c>
      <c r="L239" s="64" t="s">
        <v>532</v>
      </c>
      <c r="M239" s="64">
        <v>25</v>
      </c>
      <c r="N239" s="62">
        <v>43466</v>
      </c>
      <c r="O239" s="62"/>
      <c r="P239" s="62"/>
    </row>
    <row r="240" spans="1:18" x14ac:dyDescent="0.25">
      <c r="A240" t="str">
        <f>TableOUEDSC1[[#This Row],[Study Package Code]]</f>
        <v>EDUC4050</v>
      </c>
      <c r="B240" s="5">
        <f>TableOUEDSC1[[#This Row],[Ver]]</f>
        <v>1</v>
      </c>
      <c r="C240" t="str">
        <f>IF(TableOUEDSC1[[#This Row],[Ver]]&gt;0,_xlfn.TEXTBEFORE(TableOUEDSC1[[#This Row],[Structure Line]]," "),"")</f>
        <v>EDC445</v>
      </c>
      <c r="D240" t="str">
        <f>IF(TableOUEDSC1[[#This Row],[OUA Code]]&lt;&gt;"",_xlfn.TEXTAFTER(TableOUEDSC1[[#This Row],[Structure Line]]," "),TableOUEDSC1[[#This Row],[Structure Line]])</f>
        <v>The Professional Educator: Transition to the Profession</v>
      </c>
      <c r="E240" s="44">
        <f>TableOUEDSC1[[#This Row],[Credit Points]]</f>
        <v>25</v>
      </c>
      <c r="F240" s="64">
        <v>14</v>
      </c>
      <c r="G240" s="64" t="s">
        <v>477</v>
      </c>
      <c r="H240" s="241">
        <v>4</v>
      </c>
      <c r="I240" s="64" t="s">
        <v>478</v>
      </c>
      <c r="J240" s="64" t="s">
        <v>126</v>
      </c>
      <c r="K240" s="64">
        <v>1</v>
      </c>
      <c r="L240" s="64" t="s">
        <v>493</v>
      </c>
      <c r="M240" s="64">
        <v>25</v>
      </c>
      <c r="N240" s="62">
        <v>43466</v>
      </c>
      <c r="O240" s="62"/>
      <c r="P240" s="62"/>
    </row>
    <row r="241" spans="1:18" x14ac:dyDescent="0.25">
      <c r="A241" t="str">
        <f>TableOUEDSC1[[#This Row],[Study Package Code]]</f>
        <v>EDUC4041</v>
      </c>
      <c r="B241" s="5">
        <f>TableOUEDSC1[[#This Row],[Ver]]</f>
        <v>1</v>
      </c>
      <c r="C241" t="str">
        <f>IF(TableOUEDSC1[[#This Row],[Ver]]&gt;0,_xlfn.TEXTBEFORE(TableOUEDSC1[[#This Row],[Structure Line]]," "),"")</f>
        <v>EDC450</v>
      </c>
      <c r="D241" t="str">
        <f>IF(TableOUEDSC1[[#This Row],[OUA Code]]&lt;&gt;"",_xlfn.TEXTAFTER(TableOUEDSC1[[#This Row],[Structure Line]]," "),TableOUEDSC1[[#This Row],[Structure Line]])</f>
        <v>Professional Experience 4: The Internship</v>
      </c>
      <c r="E241" s="44">
        <f>TableOUEDSC1[[#This Row],[Credit Points]]</f>
        <v>100</v>
      </c>
      <c r="F241" s="64">
        <v>15</v>
      </c>
      <c r="G241" s="64" t="s">
        <v>477</v>
      </c>
      <c r="H241" s="241">
        <v>4</v>
      </c>
      <c r="I241" s="64" t="s">
        <v>478</v>
      </c>
      <c r="J241" s="64" t="s">
        <v>132</v>
      </c>
      <c r="K241" s="64">
        <v>1</v>
      </c>
      <c r="L241" s="64" t="s">
        <v>496</v>
      </c>
      <c r="M241" s="64">
        <v>100</v>
      </c>
      <c r="N241" s="62">
        <v>43466</v>
      </c>
      <c r="O241" s="62"/>
      <c r="P241" s="62"/>
    </row>
    <row r="242" spans="1:18" x14ac:dyDescent="0.25">
      <c r="A242" t="str">
        <f>TableOUEDSC1[[#This Row],[Study Package Code]]</f>
        <v>OUMU-ARVA1</v>
      </c>
      <c r="B242" s="5">
        <f>TableOUEDSC1[[#This Row],[Ver]]</f>
        <v>1</v>
      </c>
      <c r="C242" t="str">
        <f>IF(TableOUEDSC1[[#This Row],[Ver]]&gt;0,_xlfn.TEXTBEFORE(TableOUEDSC1[[#This Row],[Structure Line]]," "),"")</f>
        <v>The</v>
      </c>
      <c r="D242" t="str">
        <f>IF(TableOUEDSC1[[#This Row],[OUA Code]]&lt;&gt;"",_xlfn.TEXTAFTER(TableOUEDSC1[[#This Row],[Structure Line]]," "),TableOUEDSC1[[#This Row],[Structure Line]])</f>
        <v>Arts Education Major (Visual Arts) (BEd Secondary) (OpenUnis)</v>
      </c>
      <c r="E242" s="44">
        <f>TableOUEDSC1[[#This Row],[Credit Points]]</f>
        <v>375</v>
      </c>
      <c r="F242" s="64">
        <v>6</v>
      </c>
      <c r="G242" s="64" t="s">
        <v>525</v>
      </c>
      <c r="H242" s="241">
        <v>1</v>
      </c>
      <c r="I242" s="64" t="s">
        <v>478</v>
      </c>
      <c r="J242" s="64" t="s">
        <v>173</v>
      </c>
      <c r="K242" s="64">
        <v>1</v>
      </c>
      <c r="L242" s="64" t="s">
        <v>172</v>
      </c>
      <c r="M242" s="64">
        <v>375</v>
      </c>
      <c r="N242" s="62">
        <v>45658</v>
      </c>
      <c r="O242" s="62"/>
      <c r="P242" s="62"/>
    </row>
    <row r="243" spans="1:18" x14ac:dyDescent="0.25">
      <c r="A243" t="str">
        <f>TableOUEDSC1[[#This Row],[Study Package Code]]</f>
        <v>OUMU-ENGL1</v>
      </c>
      <c r="B243" s="5">
        <f>TableOUEDSC1[[#This Row],[Ver]]</f>
        <v>2</v>
      </c>
      <c r="C243" t="str">
        <f>IF(TableOUEDSC1[[#This Row],[Ver]]&gt;0,_xlfn.TEXTBEFORE(TableOUEDSC1[[#This Row],[Structure Line]]," "),"")</f>
        <v>English</v>
      </c>
      <c r="D243" t="str">
        <f>IF(TableOUEDSC1[[#This Row],[OUA Code]]&lt;&gt;"",_xlfn.TEXTAFTER(TableOUEDSC1[[#This Row],[Structure Line]]," "),TableOUEDSC1[[#This Row],[Structure Line]])</f>
        <v>Education Major (BEd Secondary) (OpenUnis)</v>
      </c>
      <c r="E243" s="44">
        <f>TableOUEDSC1[[#This Row],[Credit Points]]</f>
        <v>375</v>
      </c>
      <c r="F243" s="64">
        <v>6</v>
      </c>
      <c r="G243" s="64" t="s">
        <v>525</v>
      </c>
      <c r="H243" s="241">
        <v>1</v>
      </c>
      <c r="I243" s="64" t="s">
        <v>478</v>
      </c>
      <c r="J243" s="64" t="s">
        <v>177</v>
      </c>
      <c r="K243" s="64">
        <v>2</v>
      </c>
      <c r="L243" s="64" t="s">
        <v>176</v>
      </c>
      <c r="M243" s="64">
        <v>375</v>
      </c>
      <c r="N243" s="62">
        <v>46023</v>
      </c>
      <c r="O243" s="62"/>
      <c r="P243" s="62"/>
    </row>
    <row r="244" spans="1:18" x14ac:dyDescent="0.25">
      <c r="A244" t="str">
        <f>TableOUEDSC1[[#This Row],[Study Package Code]]</f>
        <v>OUMU-HSGE1</v>
      </c>
      <c r="B244" s="5">
        <f>TableOUEDSC1[[#This Row],[Ver]]</f>
        <v>1</v>
      </c>
      <c r="C244" t="str">
        <f>IF(TableOUEDSC1[[#This Row],[Ver]]&gt;0,_xlfn.TEXTBEFORE(TableOUEDSC1[[#This Row],[Structure Line]]," "),"")</f>
        <v>Humanities</v>
      </c>
      <c r="D244" t="str">
        <f>IF(TableOUEDSC1[[#This Row],[OUA Code]]&lt;&gt;"",_xlfn.TEXTAFTER(TableOUEDSC1[[#This Row],[Structure Line]]," "),TableOUEDSC1[[#This Row],[Structure Line]])</f>
        <v>and Social Sciences Education Major (Geography) (BEd Secondary) (OpenUnis)</v>
      </c>
      <c r="E244" s="44">
        <f>TableOUEDSC1[[#This Row],[Credit Points]]</f>
        <v>375</v>
      </c>
      <c r="F244" s="64">
        <v>6</v>
      </c>
      <c r="G244" s="64" t="s">
        <v>525</v>
      </c>
      <c r="H244" s="241">
        <v>1</v>
      </c>
      <c r="I244" s="64" t="s">
        <v>478</v>
      </c>
      <c r="J244" s="64" t="s">
        <v>178</v>
      </c>
      <c r="K244" s="64">
        <v>1</v>
      </c>
      <c r="L244" s="64" t="s">
        <v>160</v>
      </c>
      <c r="M244" s="64">
        <v>375</v>
      </c>
      <c r="N244" s="62">
        <v>45658</v>
      </c>
      <c r="O244" s="62"/>
      <c r="P244" s="62"/>
    </row>
    <row r="245" spans="1:18" x14ac:dyDescent="0.25">
      <c r="A245" s="42"/>
      <c r="B245" s="43"/>
      <c r="C245" s="42"/>
      <c r="D245" s="42"/>
      <c r="F245" s="235"/>
      <c r="G245" s="236" t="s">
        <v>464</v>
      </c>
      <c r="H245" s="240">
        <v>45972</v>
      </c>
      <c r="I245" s="235"/>
      <c r="J245" s="232" t="s">
        <v>173</v>
      </c>
      <c r="K245" s="233">
        <v>1</v>
      </c>
      <c r="L245" s="232" t="s">
        <v>172</v>
      </c>
      <c r="M245" s="232"/>
      <c r="N245" s="245">
        <v>45658</v>
      </c>
      <c r="O245" s="237"/>
      <c r="P245" s="62"/>
    </row>
    <row r="246" spans="1:18" ht="31.5" x14ac:dyDescent="0.25">
      <c r="A246" s="49" t="s">
        <v>0</v>
      </c>
      <c r="B246" s="50" t="s">
        <v>466</v>
      </c>
      <c r="C246" s="49" t="s">
        <v>16</v>
      </c>
      <c r="D246" s="49" t="s">
        <v>3</v>
      </c>
      <c r="E246" s="51" t="s">
        <v>467</v>
      </c>
      <c r="F246" s="49" t="s">
        <v>468</v>
      </c>
      <c r="G246" s="49" t="s">
        <v>469</v>
      </c>
      <c r="H246" s="50" t="s">
        <v>470</v>
      </c>
      <c r="I246" s="49" t="s">
        <v>17</v>
      </c>
      <c r="J246" s="49" t="s">
        <v>471</v>
      </c>
      <c r="K246" s="49" t="s">
        <v>1</v>
      </c>
      <c r="L246" s="49" t="s">
        <v>472</v>
      </c>
      <c r="M246" s="49" t="s">
        <v>59</v>
      </c>
      <c r="N246" s="49" t="s">
        <v>473</v>
      </c>
      <c r="O246" s="49" t="s">
        <v>474</v>
      </c>
      <c r="P246" s="62"/>
      <c r="Q246" t="s">
        <v>475</v>
      </c>
      <c r="R246" t="s">
        <v>476</v>
      </c>
    </row>
    <row r="247" spans="1:18" x14ac:dyDescent="0.25">
      <c r="A247" t="str">
        <f>TableOUMUARVA1[[#This Row],[Study Package Code]]</f>
        <v>Opt-ARVA1</v>
      </c>
      <c r="B247" s="5">
        <f>TableOUMUARVA1[[#This Row],[Ver]]</f>
        <v>0</v>
      </c>
      <c r="C247" t="str">
        <f>IF(TableOUMUARVA1[[#This Row],[Ver]]&gt;0,_xlfn.TEXTBEFORE(TableOUMUARVA1[[#This Row],[Structure Line]]," "),"")</f>
        <v/>
      </c>
      <c r="D247" t="str">
        <f>IF(TableOUMUARVA1[[#This Row],[OUA Code]]&lt;&gt;"",_xlfn.TEXTAFTER(TableOUMUARVA1[[#This Row],[Structure Line]]," "),TableOUMUARVA1[[#This Row],[Structure Line]])</f>
        <v>Choose Options</v>
      </c>
      <c r="E247" s="44">
        <f>TableOUMUARVA1[[#This Row],[Credit Points]]</f>
        <v>100</v>
      </c>
      <c r="F247" s="64">
        <v>1</v>
      </c>
      <c r="G247" s="64" t="s">
        <v>492</v>
      </c>
      <c r="H247" s="241">
        <v>0</v>
      </c>
      <c r="I247" s="64" t="s">
        <v>478</v>
      </c>
      <c r="J247" s="64" t="s">
        <v>225</v>
      </c>
      <c r="K247" s="64">
        <v>0</v>
      </c>
      <c r="L247" s="64" t="s">
        <v>533</v>
      </c>
      <c r="M247" s="64">
        <v>100</v>
      </c>
      <c r="N247" s="62"/>
      <c r="O247" s="62"/>
      <c r="P247" s="62"/>
      <c r="Q247" t="s">
        <v>225</v>
      </c>
      <c r="R247">
        <v>0</v>
      </c>
    </row>
    <row r="248" spans="1:18" x14ac:dyDescent="0.25">
      <c r="A248" t="str">
        <f>TableOUMUARVA1[[#This Row],[Study Package Code]]</f>
        <v>EDSC4033</v>
      </c>
      <c r="B248" s="5">
        <f>TableOUMUARVA1[[#This Row],[Ver]]</f>
        <v>1</v>
      </c>
      <c r="C248" t="str">
        <f>IF(TableOUMUARVA1[[#This Row],[Ver]]&gt;0,_xlfn.TEXTBEFORE(TableOUMUARVA1[[#This Row],[Structure Line]]," "),"")</f>
        <v>EDS155</v>
      </c>
      <c r="D248" t="str">
        <f>IF(TableOUMUARVA1[[#This Row],[OUA Code]]&lt;&gt;"",_xlfn.TEXTAFTER(TableOUMUARVA1[[#This Row],[Structure Line]]," "),TableOUMUARVA1[[#This Row],[Structure Line]])</f>
        <v>Curriculum and Instruction Lower Secondary: The Arts</v>
      </c>
      <c r="E248" s="44">
        <f>TableOUMUARVA1[[#This Row],[Credit Points]]</f>
        <v>25</v>
      </c>
      <c r="F248" s="64">
        <v>2</v>
      </c>
      <c r="G248" s="64" t="s">
        <v>477</v>
      </c>
      <c r="H248" s="241">
        <v>1</v>
      </c>
      <c r="I248" s="64" t="s">
        <v>478</v>
      </c>
      <c r="J248" s="64" t="s">
        <v>188</v>
      </c>
      <c r="K248" s="64">
        <v>1</v>
      </c>
      <c r="L248" s="64" t="s">
        <v>535</v>
      </c>
      <c r="M248" s="64">
        <v>25</v>
      </c>
      <c r="N248" s="62">
        <v>43466</v>
      </c>
      <c r="O248" s="62"/>
      <c r="P248" s="62"/>
      <c r="Q248" t="s">
        <v>188</v>
      </c>
      <c r="R248">
        <v>1</v>
      </c>
    </row>
    <row r="249" spans="1:18" x14ac:dyDescent="0.25">
      <c r="A249" t="str">
        <f>TableOUMUARVA1[[#This Row],[Study Package Code]]</f>
        <v>VISA1014</v>
      </c>
      <c r="B249" s="5">
        <f>TableOUMUARVA1[[#This Row],[Ver]]</f>
        <v>2</v>
      </c>
      <c r="C249" t="str">
        <f>IF(TableOUMUARVA1[[#This Row],[Ver]]&gt;0,_xlfn.TEXTBEFORE(TableOUMUARVA1[[#This Row],[Structure Line]]," "),"")</f>
        <v>VAR110</v>
      </c>
      <c r="D249" t="str">
        <f>IF(TableOUMUARVA1[[#This Row],[OUA Code]]&lt;&gt;"",_xlfn.TEXTAFTER(TableOUMUARVA1[[#This Row],[Structure Line]]," "),TableOUMUARVA1[[#This Row],[Structure Line]])</f>
        <v>Drawing</v>
      </c>
      <c r="E249" s="44">
        <f>TableOUMUARVA1[[#This Row],[Credit Points]]</f>
        <v>25</v>
      </c>
      <c r="F249" s="64">
        <v>3</v>
      </c>
      <c r="G249" s="64" t="s">
        <v>477</v>
      </c>
      <c r="H249" s="241">
        <v>1</v>
      </c>
      <c r="I249" s="64" t="s">
        <v>478</v>
      </c>
      <c r="J249" s="64" t="s">
        <v>182</v>
      </c>
      <c r="K249" s="64">
        <v>2</v>
      </c>
      <c r="L249" s="64" t="s">
        <v>536</v>
      </c>
      <c r="M249" s="64">
        <v>25</v>
      </c>
      <c r="N249" s="62">
        <v>43831</v>
      </c>
      <c r="O249" s="62"/>
      <c r="P249" s="62"/>
      <c r="Q249" t="s">
        <v>182</v>
      </c>
      <c r="R249">
        <v>2</v>
      </c>
    </row>
    <row r="250" spans="1:18" x14ac:dyDescent="0.25">
      <c r="A250" t="str">
        <f>TableOUMUARVA1[[#This Row],[Study Package Code]]</f>
        <v>VISA1013</v>
      </c>
      <c r="B250" s="5">
        <f>TableOUMUARVA1[[#This Row],[Ver]]</f>
        <v>2</v>
      </c>
      <c r="C250" t="str">
        <f>IF(TableOUMUARVA1[[#This Row],[Ver]]&gt;0,_xlfn.TEXTBEFORE(TableOUMUARVA1[[#This Row],[Structure Line]]," "),"")</f>
        <v>VSW14</v>
      </c>
      <c r="D250" t="str">
        <f>IF(TableOUMUARVA1[[#This Row],[OUA Code]]&lt;&gt;"",_xlfn.TEXTAFTER(TableOUMUARVA1[[#This Row],[Structure Line]]," "),TableOUMUARVA1[[#This Row],[Structure Line]])</f>
        <v>Fine Art Studio Methods</v>
      </c>
      <c r="E250" s="44">
        <f>TableOUMUARVA1[[#This Row],[Credit Points]]</f>
        <v>25</v>
      </c>
      <c r="F250" s="64">
        <v>4</v>
      </c>
      <c r="G250" s="64" t="s">
        <v>477</v>
      </c>
      <c r="H250" s="241">
        <v>1</v>
      </c>
      <c r="I250" s="64" t="s">
        <v>478</v>
      </c>
      <c r="J250" s="64" t="s">
        <v>185</v>
      </c>
      <c r="K250" s="64">
        <v>2</v>
      </c>
      <c r="L250" s="64" t="s">
        <v>537</v>
      </c>
      <c r="M250" s="64">
        <v>25</v>
      </c>
      <c r="N250" s="62">
        <v>42370</v>
      </c>
      <c r="O250" s="62"/>
      <c r="P250" s="62"/>
      <c r="Q250" t="s">
        <v>185</v>
      </c>
      <c r="R250">
        <v>2</v>
      </c>
    </row>
    <row r="251" spans="1:18" x14ac:dyDescent="0.25">
      <c r="A251" t="str">
        <f>TableOUMUARVA1[[#This Row],[Study Package Code]]</f>
        <v>EDSC4029</v>
      </c>
      <c r="B251" s="5">
        <f>TableOUMUARVA1[[#This Row],[Ver]]</f>
        <v>2</v>
      </c>
      <c r="C251" t="str">
        <f>IF(TableOUMUARVA1[[#This Row],[Ver]]&gt;0,_xlfn.TEXTBEFORE(TableOUMUARVA1[[#This Row],[Structure Line]]," "),"")</f>
        <v>EDS310</v>
      </c>
      <c r="D251" t="str">
        <f>IF(TableOUMUARVA1[[#This Row],[OUA Code]]&lt;&gt;"",_xlfn.TEXTAFTER(TableOUMUARVA1[[#This Row],[Structure Line]]," "),TableOUMUARVA1[[#This Row],[Structure Line]])</f>
        <v>Curriculum and Instruction Senior Secondary: The Arts</v>
      </c>
      <c r="E251" s="44">
        <f>TableOUMUARVA1[[#This Row],[Credit Points]]</f>
        <v>25</v>
      </c>
      <c r="F251" s="64">
        <v>5</v>
      </c>
      <c r="G251" s="64" t="s">
        <v>477</v>
      </c>
      <c r="H251" s="241">
        <v>2</v>
      </c>
      <c r="I251" s="64" t="s">
        <v>478</v>
      </c>
      <c r="J251" s="64" t="s">
        <v>204</v>
      </c>
      <c r="K251" s="64">
        <v>2</v>
      </c>
      <c r="L251" s="64" t="s">
        <v>538</v>
      </c>
      <c r="M251" s="64">
        <v>25</v>
      </c>
      <c r="N251" s="62">
        <v>43831</v>
      </c>
      <c r="O251" s="62"/>
      <c r="P251" s="62"/>
      <c r="Q251" t="s">
        <v>204</v>
      </c>
      <c r="R251">
        <v>2</v>
      </c>
    </row>
    <row r="252" spans="1:18" x14ac:dyDescent="0.25">
      <c r="A252" t="str">
        <f>TableOUMUARVA1[[#This Row],[Study Package Code]]</f>
        <v>VISA1008</v>
      </c>
      <c r="B252" s="5">
        <f>TableOUMUARVA1[[#This Row],[Ver]]</f>
        <v>2</v>
      </c>
      <c r="C252" t="str">
        <f>IF(TableOUMUARVA1[[#This Row],[Ver]]&gt;0,_xlfn.TEXTBEFORE(TableOUMUARVA1[[#This Row],[Structure Line]]," "),"")</f>
        <v>VIS18</v>
      </c>
      <c r="D252" t="str">
        <f>IF(TableOUMUARVA1[[#This Row],[OUA Code]]&lt;&gt;"",_xlfn.TEXTAFTER(TableOUMUARVA1[[#This Row],[Structure Line]]," "),TableOUMUARVA1[[#This Row],[Structure Line]])</f>
        <v>Introduction to History of Art and Design</v>
      </c>
      <c r="E252" s="44">
        <f>TableOUMUARVA1[[#This Row],[Credit Points]]</f>
        <v>25</v>
      </c>
      <c r="F252" s="64">
        <v>6</v>
      </c>
      <c r="G252" s="64" t="s">
        <v>477</v>
      </c>
      <c r="H252" s="241">
        <v>2</v>
      </c>
      <c r="I252" s="64" t="s">
        <v>478</v>
      </c>
      <c r="J252" s="64" t="s">
        <v>196</v>
      </c>
      <c r="K252" s="64">
        <v>2</v>
      </c>
      <c r="L252" s="64" t="s">
        <v>539</v>
      </c>
      <c r="M252" s="64">
        <v>25</v>
      </c>
      <c r="N252" s="62">
        <v>42552</v>
      </c>
      <c r="O252" s="62"/>
      <c r="P252" s="62"/>
      <c r="Q252" t="s">
        <v>196</v>
      </c>
      <c r="R252">
        <v>2</v>
      </c>
    </row>
    <row r="253" spans="1:18" x14ac:dyDescent="0.25">
      <c r="A253" t="str">
        <f>TableOUMUARVA1[[#This Row],[Study Package Code]]</f>
        <v>VISA2013</v>
      </c>
      <c r="B253" s="5">
        <f>TableOUMUARVA1[[#This Row],[Ver]]</f>
        <v>3</v>
      </c>
      <c r="C253" t="str">
        <f>IF(TableOUMUARVA1[[#This Row],[Ver]]&gt;0,_xlfn.TEXTBEFORE(TableOUMUARVA1[[#This Row],[Structure Line]]," "),"")</f>
        <v>VSW230</v>
      </c>
      <c r="D253" t="str">
        <f>IF(TableOUMUARVA1[[#This Row],[OUA Code]]&lt;&gt;"",_xlfn.TEXTAFTER(TableOUMUARVA1[[#This Row],[Structure Line]]," "),TableOUMUARVA1[[#This Row],[Structure Line]])</f>
        <v>Fine Art Studio Extension</v>
      </c>
      <c r="E253" s="44">
        <f>TableOUMUARVA1[[#This Row],[Credit Points]]</f>
        <v>25</v>
      </c>
      <c r="F253" s="64">
        <v>7</v>
      </c>
      <c r="G253" s="64" t="s">
        <v>477</v>
      </c>
      <c r="H253" s="241">
        <v>2</v>
      </c>
      <c r="I253" s="64" t="s">
        <v>478</v>
      </c>
      <c r="J253" s="64" t="s">
        <v>202</v>
      </c>
      <c r="K253" s="64">
        <v>3</v>
      </c>
      <c r="L253" s="64" t="s">
        <v>540</v>
      </c>
      <c r="M253" s="64">
        <v>25</v>
      </c>
      <c r="N253" s="62">
        <v>43831</v>
      </c>
      <c r="O253" s="62"/>
      <c r="P253" s="62"/>
      <c r="Q253" t="s">
        <v>202</v>
      </c>
      <c r="R253">
        <v>3</v>
      </c>
    </row>
    <row r="254" spans="1:18" x14ac:dyDescent="0.25">
      <c r="A254" t="str">
        <f>TableOUMUARVA1[[#This Row],[Study Package Code]]</f>
        <v>AC-ARVA1</v>
      </c>
      <c r="B254" s="5">
        <f>TableOUMUARVA1[[#This Row],[Ver]]</f>
        <v>0</v>
      </c>
      <c r="C254" t="str">
        <f>IF(TableOUMUARVA1[[#This Row],[Ver]]&gt;0,_xlfn.TEXTBEFORE(TableOUMUARVA1[[#This Row],[Structure Line]]," "),"")</f>
        <v/>
      </c>
      <c r="D254" t="str">
        <f>IF(TableOUMUARVA1[[#This Row],[OUA Code]]&lt;&gt;"",_xlfn.TEXTAFTER(TableOUMUARVA1[[#This Row],[Structure Line]]," "),TableOUMUARVA1[[#This Row],[Structure Line]])</f>
        <v>Choose VISA2011 or VISA2012</v>
      </c>
      <c r="E254" s="44">
        <f>TableOUMUARVA1[[#This Row],[Credit Points]]</f>
        <v>25</v>
      </c>
      <c r="F254" s="64">
        <v>8</v>
      </c>
      <c r="G254" s="64" t="s">
        <v>525</v>
      </c>
      <c r="H254" s="241">
        <v>2</v>
      </c>
      <c r="I254" s="64" t="s">
        <v>478</v>
      </c>
      <c r="J254" s="64" t="s">
        <v>192</v>
      </c>
      <c r="K254" s="64">
        <v>0</v>
      </c>
      <c r="L254" s="64" t="s">
        <v>541</v>
      </c>
      <c r="M254" s="64">
        <v>25</v>
      </c>
      <c r="N254" s="62"/>
      <c r="O254" s="62"/>
      <c r="P254" s="62"/>
      <c r="Q254" t="s">
        <v>192</v>
      </c>
      <c r="R254">
        <v>0</v>
      </c>
    </row>
    <row r="255" spans="1:18" x14ac:dyDescent="0.25">
      <c r="A255" t="str">
        <f>TableOUMUARVA1[[#This Row],[Study Package Code]]</f>
        <v>EDPR3015</v>
      </c>
      <c r="B255" s="5">
        <f>TableOUMUARVA1[[#This Row],[Ver]]</f>
        <v>1</v>
      </c>
      <c r="C255" t="str">
        <f>IF(TableOUMUARVA1[[#This Row],[Ver]]&gt;0,_xlfn.TEXTBEFORE(TableOUMUARVA1[[#This Row],[Structure Line]]," "),"")</f>
        <v>EDP385</v>
      </c>
      <c r="D255" t="str">
        <f>IF(TableOUMUARVA1[[#This Row],[OUA Code]]&lt;&gt;"",_xlfn.TEXTAFTER(TableOUMUARVA1[[#This Row],[Structure Line]]," "),TableOUMUARVA1[[#This Row],[Structure Line]])</f>
        <v>Visual and Media Arts Education</v>
      </c>
      <c r="E255" s="44">
        <f>TableOUMUARVA1[[#This Row],[Credit Points]]</f>
        <v>25</v>
      </c>
      <c r="F255" s="64">
        <v>9</v>
      </c>
      <c r="G255" s="64" t="s">
        <v>477</v>
      </c>
      <c r="H255" s="241">
        <v>3</v>
      </c>
      <c r="I255" s="64" t="s">
        <v>478</v>
      </c>
      <c r="J255" s="64" t="s">
        <v>122</v>
      </c>
      <c r="K255" s="64">
        <v>1</v>
      </c>
      <c r="L255" s="64" t="s">
        <v>517</v>
      </c>
      <c r="M255" s="64">
        <v>25</v>
      </c>
      <c r="N255" s="62">
        <v>43466</v>
      </c>
      <c r="O255" s="62"/>
      <c r="P255" s="62"/>
      <c r="Q255" t="s">
        <v>122</v>
      </c>
      <c r="R255">
        <v>1</v>
      </c>
    </row>
    <row r="256" spans="1:18" x14ac:dyDescent="0.25">
      <c r="A256" t="str">
        <f>TableOUMUARVA1[[#This Row],[Study Package Code]]</f>
        <v>VISA2027</v>
      </c>
      <c r="B256" s="5">
        <f>TableOUMUARVA1[[#This Row],[Ver]]</f>
        <v>1</v>
      </c>
      <c r="C256" t="str">
        <f>IF(TableOUMUARVA1[[#This Row],[Ver]]&gt;0,_xlfn.TEXTBEFORE(TableOUMUARVA1[[#This Row],[Structure Line]]," "),"")</f>
        <v>VIS24</v>
      </c>
      <c r="D256" t="str">
        <f>IF(TableOUMUARVA1[[#This Row],[OUA Code]]&lt;&gt;"",_xlfn.TEXTAFTER(TableOUMUARVA1[[#This Row],[Structure Line]]," "),TableOUMUARVA1[[#This Row],[Structure Line]])</f>
        <v>Australian Art</v>
      </c>
      <c r="E256" s="44">
        <f>TableOUMUARVA1[[#This Row],[Credit Points]]</f>
        <v>25</v>
      </c>
      <c r="F256" s="64">
        <v>10</v>
      </c>
      <c r="G256" s="64" t="s">
        <v>477</v>
      </c>
      <c r="H256" s="241">
        <v>3</v>
      </c>
      <c r="I256" s="64" t="s">
        <v>478</v>
      </c>
      <c r="J256" s="64" t="s">
        <v>206</v>
      </c>
      <c r="K256" s="64">
        <v>1</v>
      </c>
      <c r="L256" s="64" t="s">
        <v>542</v>
      </c>
      <c r="M256" s="64">
        <v>25</v>
      </c>
      <c r="N256" s="62">
        <v>42005</v>
      </c>
      <c r="O256" s="62"/>
      <c r="P256" s="62"/>
      <c r="Q256" t="s">
        <v>206</v>
      </c>
      <c r="R256">
        <v>1</v>
      </c>
    </row>
    <row r="257" spans="1:18" x14ac:dyDescent="0.25">
      <c r="A257" t="str">
        <f>TableOUMUARVA1[[#This Row],[Study Package Code]]</f>
        <v>VISA3013</v>
      </c>
      <c r="B257" s="5">
        <f>TableOUMUARVA1[[#This Row],[Ver]]</f>
        <v>2</v>
      </c>
      <c r="C257" t="str">
        <f>IF(TableOUMUARVA1[[#This Row],[Ver]]&gt;0,_xlfn.TEXTBEFORE(TableOUMUARVA1[[#This Row],[Structure Line]]," "),"")</f>
        <v>VSW31</v>
      </c>
      <c r="D257" t="str">
        <f>IF(TableOUMUARVA1[[#This Row],[OUA Code]]&lt;&gt;"",_xlfn.TEXTAFTER(TableOUMUARVA1[[#This Row],[Structure Line]]," "),TableOUMUARVA1[[#This Row],[Structure Line]])</f>
        <v>Fine Art Studio Practice</v>
      </c>
      <c r="E257" s="44">
        <f>TableOUMUARVA1[[#This Row],[Credit Points]]</f>
        <v>25</v>
      </c>
      <c r="F257" s="64">
        <v>11</v>
      </c>
      <c r="G257" s="64" t="s">
        <v>477</v>
      </c>
      <c r="H257" s="241">
        <v>4</v>
      </c>
      <c r="I257" s="64" t="s">
        <v>478</v>
      </c>
      <c r="J257" s="64" t="s">
        <v>214</v>
      </c>
      <c r="K257" s="64">
        <v>2</v>
      </c>
      <c r="L257" s="64" t="s">
        <v>543</v>
      </c>
      <c r="M257" s="64">
        <v>25</v>
      </c>
      <c r="N257" s="62">
        <v>42370</v>
      </c>
      <c r="O257" s="62"/>
      <c r="P257" s="62"/>
      <c r="Q257" t="s">
        <v>214</v>
      </c>
      <c r="R257">
        <v>2</v>
      </c>
    </row>
    <row r="258" spans="1:18" x14ac:dyDescent="0.25">
      <c r="A258" t="str">
        <f>TableOUMUARVA1[[#This Row],[Study Package Code]]</f>
        <v>VISA3015</v>
      </c>
      <c r="B258" s="5">
        <f>TableOUMUARVA1[[#This Row],[Ver]]</f>
        <v>3</v>
      </c>
      <c r="C258" t="str">
        <f>IF(TableOUMUARVA1[[#This Row],[Ver]]&gt;0,_xlfn.TEXTBEFORE(TableOUMUARVA1[[#This Row],[Structure Line]]," "),"")</f>
        <v>VSW330</v>
      </c>
      <c r="D258" t="str">
        <f>IF(TableOUMUARVA1[[#This Row],[OUA Code]]&lt;&gt;"",_xlfn.TEXTAFTER(TableOUMUARVA1[[#This Row],[Structure Line]]," "),TableOUMUARVA1[[#This Row],[Structure Line]])</f>
        <v>Fine Art Concepts and Contexts</v>
      </c>
      <c r="E258" s="44">
        <f>TableOUMUARVA1[[#This Row],[Credit Points]]</f>
        <v>25</v>
      </c>
      <c r="F258" s="64">
        <v>12</v>
      </c>
      <c r="G258" s="64" t="s">
        <v>477</v>
      </c>
      <c r="H258" s="241">
        <v>4</v>
      </c>
      <c r="I258" s="64" t="s">
        <v>478</v>
      </c>
      <c r="J258" s="64" t="s">
        <v>217</v>
      </c>
      <c r="K258" s="64">
        <v>3</v>
      </c>
      <c r="L258" s="64" t="s">
        <v>544</v>
      </c>
      <c r="M258" s="64">
        <v>25</v>
      </c>
      <c r="N258" s="62">
        <v>43831</v>
      </c>
      <c r="O258" s="62"/>
      <c r="P258" s="62"/>
      <c r="Q258" t="s">
        <v>217</v>
      </c>
      <c r="R258">
        <v>3</v>
      </c>
    </row>
    <row r="259" spans="1:18" x14ac:dyDescent="0.25">
      <c r="A259" t="str">
        <f>TableOUMUARVA1[[#This Row],[Study Package Code]]</f>
        <v>CTED4004</v>
      </c>
      <c r="B259" s="5">
        <f>TableOUMUARVA1[[#This Row],[Ver]]</f>
        <v>2</v>
      </c>
      <c r="C259" t="str">
        <f>IF(TableOUMUARVA1[[#This Row],[Ver]]&gt;0,_xlfn.TEXTBEFORE(TableOUMUARVA1[[#This Row],[Structure Line]]," "),"")</f>
        <v>EDC484</v>
      </c>
      <c r="D259" t="str">
        <f>IF(TableOUMUARVA1[[#This Row],[OUA Code]]&lt;&gt;"",_xlfn.TEXTAFTER(TableOUMUARVA1[[#This Row],[Structure Line]]," "),TableOUMUARVA1[[#This Row],[Structure Line]])</f>
        <v>Teaching About Sacraments in Catholic Schools</v>
      </c>
      <c r="E259" s="44">
        <f>TableOUMUARVA1[[#This Row],[Credit Points]]</f>
        <v>25</v>
      </c>
      <c r="F259" s="64">
        <v>1</v>
      </c>
      <c r="G259" s="64" t="s">
        <v>492</v>
      </c>
      <c r="H259" s="241">
        <v>0</v>
      </c>
      <c r="I259" s="64" t="s">
        <v>478</v>
      </c>
      <c r="J259" s="64" t="s">
        <v>152</v>
      </c>
      <c r="K259" s="64">
        <v>2</v>
      </c>
      <c r="L259" s="64" t="s">
        <v>497</v>
      </c>
      <c r="M259" s="64">
        <v>25</v>
      </c>
      <c r="N259" s="62">
        <v>45292</v>
      </c>
      <c r="O259" s="62"/>
      <c r="Q259" t="s">
        <v>152</v>
      </c>
      <c r="R259">
        <v>2</v>
      </c>
    </row>
    <row r="260" spans="1:18" x14ac:dyDescent="0.25">
      <c r="A260" t="str">
        <f>TableOUMUARVA1[[#This Row],[Study Package Code]]</f>
        <v>CTED4007</v>
      </c>
      <c r="B260" s="5">
        <f>TableOUMUARVA1[[#This Row],[Ver]]</f>
        <v>1</v>
      </c>
      <c r="C260" t="str">
        <f>IF(TableOUMUARVA1[[#This Row],[Ver]]&gt;0,_xlfn.TEXTBEFORE(TableOUMUARVA1[[#This Row],[Structure Line]]," "),"")</f>
        <v>EDC430</v>
      </c>
      <c r="D260" t="str">
        <f>IF(TableOUMUARVA1[[#This Row],[OUA Code]]&lt;&gt;"",_xlfn.TEXTAFTER(TableOUMUARVA1[[#This Row],[Structure Line]]," "),TableOUMUARVA1[[#This Row],[Structure Line]])</f>
        <v>Teaching About Jesus in Catholic Schools</v>
      </c>
      <c r="E260" s="44">
        <f>TableOUMUARVA1[[#This Row],[Credit Points]]</f>
        <v>25</v>
      </c>
      <c r="F260" s="64">
        <v>1</v>
      </c>
      <c r="G260" s="64" t="s">
        <v>492</v>
      </c>
      <c r="H260" s="241">
        <v>0</v>
      </c>
      <c r="I260" s="64" t="s">
        <v>478</v>
      </c>
      <c r="J260" s="64" t="s">
        <v>153</v>
      </c>
      <c r="K260" s="64">
        <v>1</v>
      </c>
      <c r="L260" s="64" t="s">
        <v>498</v>
      </c>
      <c r="M260" s="64">
        <v>25</v>
      </c>
      <c r="N260" s="62">
        <v>45292</v>
      </c>
      <c r="O260" s="62"/>
      <c r="P260" s="49"/>
      <c r="Q260" t="s">
        <v>153</v>
      </c>
      <c r="R260">
        <v>1</v>
      </c>
    </row>
    <row r="261" spans="1:18" x14ac:dyDescent="0.25">
      <c r="A261" t="str">
        <f>TableOUMUARVA1[[#This Row],[Study Package Code]]</f>
        <v>CTED4009</v>
      </c>
      <c r="B261" s="5">
        <f>TableOUMUARVA1[[#This Row],[Ver]]</f>
        <v>1</v>
      </c>
      <c r="C261" t="str">
        <f>IF(TableOUMUARVA1[[#This Row],[Ver]]&gt;0,_xlfn.TEXTBEFORE(TableOUMUARVA1[[#This Row],[Structure Line]]," "),"")</f>
        <v>EDC435</v>
      </c>
      <c r="D261" t="str">
        <f>IF(TableOUMUARVA1[[#This Row],[OUA Code]]&lt;&gt;"",_xlfn.TEXTAFTER(TableOUMUARVA1[[#This Row],[Structure Line]]," "),TableOUMUARVA1[[#This Row],[Structure Line]])</f>
        <v>Teaching About the Gospels in Catholic Schools</v>
      </c>
      <c r="E261" s="44">
        <f>TableOUMUARVA1[[#This Row],[Credit Points]]</f>
        <v>25</v>
      </c>
      <c r="F261" s="64">
        <v>1</v>
      </c>
      <c r="G261" s="64" t="s">
        <v>492</v>
      </c>
      <c r="H261" s="241">
        <v>0</v>
      </c>
      <c r="I261" s="64" t="s">
        <v>478</v>
      </c>
      <c r="J261" s="64" t="s">
        <v>154</v>
      </c>
      <c r="K261" s="64">
        <v>1</v>
      </c>
      <c r="L261" s="64" t="s">
        <v>499</v>
      </c>
      <c r="M261" s="64">
        <v>25</v>
      </c>
      <c r="N261" s="62">
        <v>45292</v>
      </c>
      <c r="O261" s="62"/>
      <c r="P261" s="62"/>
      <c r="Q261" t="s">
        <v>154</v>
      </c>
      <c r="R261">
        <v>1</v>
      </c>
    </row>
    <row r="262" spans="1:18" x14ac:dyDescent="0.25">
      <c r="A262" t="str">
        <f>TableOUMUARVA1[[#This Row],[Study Package Code]]</f>
        <v>EDUC4024</v>
      </c>
      <c r="B262" s="5">
        <f>TableOUMUARVA1[[#This Row],[Ver]]</f>
        <v>1</v>
      </c>
      <c r="C262" t="str">
        <f>IF(TableOUMUARVA1[[#This Row],[Ver]]&gt;0,_xlfn.TEXTBEFORE(TableOUMUARVA1[[#This Row],[Structure Line]]," "),"")</f>
        <v>EDC486</v>
      </c>
      <c r="D262" t="str">
        <f>IF(TableOUMUARVA1[[#This Row],[OUA Code]]&lt;&gt;"",_xlfn.TEXTAFTER(TableOUMUARVA1[[#This Row],[Structure Line]]," "),TableOUMUARVA1[[#This Row],[Structure Line]])</f>
        <v>Creating and Responding to Literature</v>
      </c>
      <c r="E262" s="44">
        <f>TableOUMUARVA1[[#This Row],[Credit Points]]</f>
        <v>25</v>
      </c>
      <c r="F262" s="64">
        <v>1</v>
      </c>
      <c r="G262" s="64" t="s">
        <v>492</v>
      </c>
      <c r="H262" s="241">
        <v>0</v>
      </c>
      <c r="I262" s="64" t="s">
        <v>478</v>
      </c>
      <c r="J262" s="64" t="s">
        <v>140</v>
      </c>
      <c r="K262" s="64">
        <v>1</v>
      </c>
      <c r="L262" s="64" t="s">
        <v>500</v>
      </c>
      <c r="M262" s="64">
        <v>25</v>
      </c>
      <c r="N262" s="62">
        <v>43282</v>
      </c>
      <c r="O262" s="62"/>
      <c r="P262" s="62"/>
      <c r="Q262" t="s">
        <v>140</v>
      </c>
      <c r="R262">
        <v>1</v>
      </c>
    </row>
    <row r="263" spans="1:18" x14ac:dyDescent="0.25">
      <c r="A263" t="str">
        <f>TableOUMUARVA1[[#This Row],[Study Package Code]]</f>
        <v>EDUC4025</v>
      </c>
      <c r="B263" s="5">
        <f>TableOUMUARVA1[[#This Row],[Ver]]</f>
        <v>1</v>
      </c>
      <c r="C263" t="str">
        <f>IF(TableOUMUARVA1[[#This Row],[Ver]]&gt;0,_xlfn.TEXTBEFORE(TableOUMUARVA1[[#This Row],[Structure Line]]," "),"")</f>
        <v>EDC487</v>
      </c>
      <c r="D263" t="str">
        <f>IF(TableOUMUARVA1[[#This Row],[OUA Code]]&lt;&gt;"",_xlfn.TEXTAFTER(TableOUMUARVA1[[#This Row],[Structure Line]]," "),TableOUMUARVA1[[#This Row],[Structure Line]])</f>
        <v>Creative Literacies</v>
      </c>
      <c r="E263" s="44">
        <f>TableOUMUARVA1[[#This Row],[Credit Points]]</f>
        <v>25</v>
      </c>
      <c r="F263" s="64">
        <v>1</v>
      </c>
      <c r="G263" s="64" t="s">
        <v>492</v>
      </c>
      <c r="H263" s="241">
        <v>0</v>
      </c>
      <c r="I263" s="64" t="s">
        <v>478</v>
      </c>
      <c r="J263" s="64" t="s">
        <v>141</v>
      </c>
      <c r="K263" s="64">
        <v>1</v>
      </c>
      <c r="L263" s="64" t="s">
        <v>501</v>
      </c>
      <c r="M263" s="64">
        <v>25</v>
      </c>
      <c r="N263" s="62">
        <v>43282</v>
      </c>
      <c r="O263" s="62"/>
      <c r="P263" s="62"/>
      <c r="Q263" t="s">
        <v>141</v>
      </c>
      <c r="R263">
        <v>1</v>
      </c>
    </row>
    <row r="264" spans="1:18" x14ac:dyDescent="0.25">
      <c r="A264" t="str">
        <f>TableOUMUARVA1[[#This Row],[Study Package Code]]</f>
        <v>EDUC4026</v>
      </c>
      <c r="B264" s="5">
        <f>TableOUMUARVA1[[#This Row],[Ver]]</f>
        <v>1</v>
      </c>
      <c r="C264" t="str">
        <f>IF(TableOUMUARVA1[[#This Row],[Ver]]&gt;0,_xlfn.TEXTBEFORE(TableOUMUARVA1[[#This Row],[Structure Line]]," "),"")</f>
        <v>EDC488</v>
      </c>
      <c r="D264" t="str">
        <f>IF(TableOUMUARVA1[[#This Row],[OUA Code]]&lt;&gt;"",_xlfn.TEXTAFTER(TableOUMUARVA1[[#This Row],[Structure Line]]," "),TableOUMUARVA1[[#This Row],[Structure Line]])</f>
        <v>Project-based iSTEM Education</v>
      </c>
      <c r="E264" s="44">
        <f>TableOUMUARVA1[[#This Row],[Credit Points]]</f>
        <v>25</v>
      </c>
      <c r="F264" s="64">
        <v>1</v>
      </c>
      <c r="G264" s="64" t="s">
        <v>492</v>
      </c>
      <c r="H264" s="241">
        <v>0</v>
      </c>
      <c r="I264" s="64" t="s">
        <v>478</v>
      </c>
      <c r="J264" s="64" t="s">
        <v>136</v>
      </c>
      <c r="K264" s="64">
        <v>1</v>
      </c>
      <c r="L264" s="64" t="s">
        <v>502</v>
      </c>
      <c r="M264" s="64">
        <v>25</v>
      </c>
      <c r="N264" s="62">
        <v>43282</v>
      </c>
      <c r="O264" s="62"/>
      <c r="P264" s="62"/>
      <c r="Q264" t="s">
        <v>136</v>
      </c>
      <c r="R264">
        <v>1</v>
      </c>
    </row>
    <row r="265" spans="1:18" x14ac:dyDescent="0.25">
      <c r="A265" t="str">
        <f>TableOUMUARVA1[[#This Row],[Study Package Code]]</f>
        <v>EDUC4028</v>
      </c>
      <c r="B265" s="5">
        <f>TableOUMUARVA1[[#This Row],[Ver]]</f>
        <v>1</v>
      </c>
      <c r="C265" t="str">
        <f>IF(TableOUMUARVA1[[#This Row],[Ver]]&gt;0,_xlfn.TEXTBEFORE(TableOUMUARVA1[[#This Row],[Structure Line]]," "),"")</f>
        <v>EDC490</v>
      </c>
      <c r="D265" t="str">
        <f>IF(TableOUMUARVA1[[#This Row],[OUA Code]]&lt;&gt;"",_xlfn.TEXTAFTER(TableOUMUARVA1[[#This Row],[Structure Line]]," "),TableOUMUARVA1[[#This Row],[Structure Line]])</f>
        <v>Supporting Literacy and Numeracy Development for Diverse Learners</v>
      </c>
      <c r="E265" s="44">
        <f>TableOUMUARVA1[[#This Row],[Credit Points]]</f>
        <v>25</v>
      </c>
      <c r="F265" s="64">
        <v>1</v>
      </c>
      <c r="G265" s="64" t="s">
        <v>492</v>
      </c>
      <c r="H265" s="241">
        <v>0</v>
      </c>
      <c r="I265" s="64" t="s">
        <v>478</v>
      </c>
      <c r="J265" s="64" t="s">
        <v>144</v>
      </c>
      <c r="K265" s="64">
        <v>1</v>
      </c>
      <c r="L265" s="64" t="s">
        <v>503</v>
      </c>
      <c r="M265" s="64">
        <v>25</v>
      </c>
      <c r="N265" s="62">
        <v>43282</v>
      </c>
      <c r="O265" s="62"/>
      <c r="P265" s="62"/>
      <c r="Q265" t="s">
        <v>144</v>
      </c>
      <c r="R265">
        <v>1</v>
      </c>
    </row>
    <row r="266" spans="1:18" x14ac:dyDescent="0.25">
      <c r="A266" t="str">
        <f>TableOUMUARVA1[[#This Row],[Study Package Code]]</f>
        <v>EDUC4030</v>
      </c>
      <c r="B266" s="5">
        <f>TableOUMUARVA1[[#This Row],[Ver]]</f>
        <v>1</v>
      </c>
      <c r="C266" t="str">
        <f>IF(TableOUMUARVA1[[#This Row],[Ver]]&gt;0,_xlfn.TEXTBEFORE(TableOUMUARVA1[[#This Row],[Structure Line]]," "),"")</f>
        <v>EDC491</v>
      </c>
      <c r="D266" t="str">
        <f>IF(TableOUMUARVA1[[#This Row],[OUA Code]]&lt;&gt;"",_xlfn.TEXTAFTER(TableOUMUARVA1[[#This Row],[Structure Line]]," "),TableOUMUARVA1[[#This Row],[Structure Line]])</f>
        <v>Technologies: Coding for Teachers</v>
      </c>
      <c r="E266" s="44">
        <f>TableOUMUARVA1[[#This Row],[Credit Points]]</f>
        <v>25</v>
      </c>
      <c r="F266" s="64">
        <v>1</v>
      </c>
      <c r="G266" s="64" t="s">
        <v>492</v>
      </c>
      <c r="H266" s="241">
        <v>0</v>
      </c>
      <c r="I266" s="64" t="s">
        <v>478</v>
      </c>
      <c r="J266" s="64" t="s">
        <v>148</v>
      </c>
      <c r="K266" s="64">
        <v>1</v>
      </c>
      <c r="L266" s="64" t="s">
        <v>504</v>
      </c>
      <c r="M266" s="64">
        <v>25</v>
      </c>
      <c r="N266" s="62">
        <v>43282</v>
      </c>
      <c r="O266" s="62"/>
      <c r="P266" s="62"/>
      <c r="Q266" t="s">
        <v>148</v>
      </c>
      <c r="R266">
        <v>1</v>
      </c>
    </row>
    <row r="267" spans="1:18" x14ac:dyDescent="0.25">
      <c r="A267" t="str">
        <f>TableOUMUARVA1[[#This Row],[Study Package Code]]</f>
        <v>EDUC4033</v>
      </c>
      <c r="B267" s="5">
        <f>TableOUMUARVA1[[#This Row],[Ver]]</f>
        <v>1</v>
      </c>
      <c r="C267" t="str">
        <f>IF(TableOUMUARVA1[[#This Row],[Ver]]&gt;0,_xlfn.TEXTBEFORE(TableOUMUARVA1[[#This Row],[Structure Line]]," "),"")</f>
        <v>EDC492</v>
      </c>
      <c r="D267" t="str">
        <f>IF(TableOUMUARVA1[[#This Row],[OUA Code]]&lt;&gt;"",_xlfn.TEXTAFTER(TableOUMUARVA1[[#This Row],[Structure Line]]," "),TableOUMUARVA1[[#This Row],[Structure Line]])</f>
        <v>iSTEM Education through Digital Stories</v>
      </c>
      <c r="E267" s="44">
        <f>TableOUMUARVA1[[#This Row],[Credit Points]]</f>
        <v>25</v>
      </c>
      <c r="F267" s="64">
        <v>1</v>
      </c>
      <c r="G267" s="64" t="s">
        <v>492</v>
      </c>
      <c r="H267" s="241">
        <v>0</v>
      </c>
      <c r="I267" s="64" t="s">
        <v>478</v>
      </c>
      <c r="J267" s="64" t="s">
        <v>137</v>
      </c>
      <c r="K267" s="64">
        <v>1</v>
      </c>
      <c r="L267" s="64" t="s">
        <v>505</v>
      </c>
      <c r="M267" s="64">
        <v>25</v>
      </c>
      <c r="N267" s="62">
        <v>43466</v>
      </c>
      <c r="O267" s="62"/>
      <c r="P267" s="62"/>
      <c r="Q267" t="s">
        <v>137</v>
      </c>
      <c r="R267">
        <v>1</v>
      </c>
    </row>
    <row r="268" spans="1:18" x14ac:dyDescent="0.25">
      <c r="A268" t="str">
        <f>TableOUMUARVA1[[#This Row],[Study Package Code]]</f>
        <v>EDUC4035</v>
      </c>
      <c r="B268" s="5">
        <f>TableOUMUARVA1[[#This Row],[Ver]]</f>
        <v>1</v>
      </c>
      <c r="C268" t="str">
        <f>IF(TableOUMUARVA1[[#This Row],[Ver]]&gt;0,_xlfn.TEXTBEFORE(TableOUMUARVA1[[#This Row],[Structure Line]]," "),"")</f>
        <v>EDC493</v>
      </c>
      <c r="D268" t="str">
        <f>IF(TableOUMUARVA1[[#This Row],[OUA Code]]&lt;&gt;"",_xlfn.TEXTAFTER(TableOUMUARVA1[[#This Row],[Structure Line]]," "),TableOUMUARVA1[[#This Row],[Structure Line]])</f>
        <v>iSTEM: Social Issues</v>
      </c>
      <c r="E268" s="44">
        <f>TableOUMUARVA1[[#This Row],[Credit Points]]</f>
        <v>25</v>
      </c>
      <c r="F268" s="64">
        <v>1</v>
      </c>
      <c r="G268" s="64" t="s">
        <v>492</v>
      </c>
      <c r="H268" s="241">
        <v>0</v>
      </c>
      <c r="I268" s="64" t="s">
        <v>478</v>
      </c>
      <c r="J268" s="64" t="s">
        <v>138</v>
      </c>
      <c r="K268" s="64">
        <v>1</v>
      </c>
      <c r="L268" s="64" t="s">
        <v>506</v>
      </c>
      <c r="M268" s="64">
        <v>25</v>
      </c>
      <c r="N268" s="62">
        <v>43466</v>
      </c>
      <c r="O268" s="62"/>
      <c r="P268" s="62"/>
      <c r="Q268" t="s">
        <v>138</v>
      </c>
      <c r="R268">
        <v>1</v>
      </c>
    </row>
    <row r="269" spans="1:18" x14ac:dyDescent="0.25">
      <c r="A269" t="str">
        <f>TableOUMUARVA1[[#This Row],[Study Package Code]]</f>
        <v>EDUC4037</v>
      </c>
      <c r="B269" s="5">
        <f>TableOUMUARVA1[[#This Row],[Ver]]</f>
        <v>1</v>
      </c>
      <c r="C269" t="str">
        <f>IF(TableOUMUARVA1[[#This Row],[Ver]]&gt;0,_xlfn.TEXTBEFORE(TableOUMUARVA1[[#This Row],[Structure Line]]," "),"")</f>
        <v>EDC494</v>
      </c>
      <c r="D269" t="str">
        <f>IF(TableOUMUARVA1[[#This Row],[OUA Code]]&lt;&gt;"",_xlfn.TEXTAFTER(TableOUMUARVA1[[#This Row],[Structure Line]]," "),TableOUMUARVA1[[#This Row],[Structure Line]])</f>
        <v>Language and Diversity</v>
      </c>
      <c r="E269" s="44">
        <f>TableOUMUARVA1[[#This Row],[Credit Points]]</f>
        <v>25</v>
      </c>
      <c r="F269" s="64">
        <v>1</v>
      </c>
      <c r="G269" s="64" t="s">
        <v>492</v>
      </c>
      <c r="H269" s="241">
        <v>0</v>
      </c>
      <c r="I269" s="64" t="s">
        <v>478</v>
      </c>
      <c r="J269" s="64" t="s">
        <v>142</v>
      </c>
      <c r="K269" s="64">
        <v>1</v>
      </c>
      <c r="L269" s="64" t="s">
        <v>507</v>
      </c>
      <c r="M269" s="64">
        <v>25</v>
      </c>
      <c r="N269" s="62">
        <v>43466</v>
      </c>
      <c r="O269" s="62"/>
      <c r="P269" s="62"/>
      <c r="Q269" t="s">
        <v>142</v>
      </c>
      <c r="R269">
        <v>1</v>
      </c>
    </row>
    <row r="270" spans="1:18" x14ac:dyDescent="0.25">
      <c r="A270" t="str">
        <f>TableOUMUARVA1[[#This Row],[Study Package Code]]</f>
        <v>EDUC4039</v>
      </c>
      <c r="B270" s="5">
        <f>TableOUMUARVA1[[#This Row],[Ver]]</f>
        <v>1</v>
      </c>
      <c r="C270" t="str">
        <f>IF(TableOUMUARVA1[[#This Row],[Ver]]&gt;0,_xlfn.TEXTBEFORE(TableOUMUARVA1[[#This Row],[Structure Line]]," "),"")</f>
        <v>EDC495</v>
      </c>
      <c r="D270" t="str">
        <f>IF(TableOUMUARVA1[[#This Row],[OUA Code]]&lt;&gt;"",_xlfn.TEXTAFTER(TableOUMUARVA1[[#This Row],[Structure Line]]," "),TableOUMUARVA1[[#This Row],[Structure Line]])</f>
        <v>Technologies: Design Solutions</v>
      </c>
      <c r="E270" s="44">
        <f>TableOUMUARVA1[[#This Row],[Credit Points]]</f>
        <v>25</v>
      </c>
      <c r="F270" s="64">
        <v>1</v>
      </c>
      <c r="G270" s="64" t="s">
        <v>492</v>
      </c>
      <c r="H270" s="241">
        <v>0</v>
      </c>
      <c r="I270" s="64" t="s">
        <v>478</v>
      </c>
      <c r="J270" s="64" t="s">
        <v>149</v>
      </c>
      <c r="K270" s="64">
        <v>1</v>
      </c>
      <c r="L270" s="64" t="s">
        <v>508</v>
      </c>
      <c r="M270" s="64">
        <v>25</v>
      </c>
      <c r="N270" s="62">
        <v>43466</v>
      </c>
      <c r="O270" s="62"/>
      <c r="P270" s="62"/>
      <c r="Q270" t="s">
        <v>149</v>
      </c>
      <c r="R270">
        <v>1</v>
      </c>
    </row>
    <row r="271" spans="1:18" x14ac:dyDescent="0.25">
      <c r="A271" t="str">
        <f>TableOUMUARVA1[[#This Row],[Study Package Code]]</f>
        <v>EDUC4043</v>
      </c>
      <c r="B271" s="5">
        <f>TableOUMUARVA1[[#This Row],[Ver]]</f>
        <v>1</v>
      </c>
      <c r="C271" t="str">
        <f>IF(TableOUMUARVA1[[#This Row],[Ver]]&gt;0,_xlfn.TEXTBEFORE(TableOUMUARVA1[[#This Row],[Structure Line]]," "),"")</f>
        <v>EDC465</v>
      </c>
      <c r="D271" t="str">
        <f>IF(TableOUMUARVA1[[#This Row],[OUA Code]]&lt;&gt;"",_xlfn.TEXTAFTER(TableOUMUARVA1[[#This Row],[Structure Line]]," "),TableOUMUARVA1[[#This Row],[Structure Line]])</f>
        <v>Alternative Approaches to Teaching Literacy and Numeracy</v>
      </c>
      <c r="E271" s="44">
        <f>TableOUMUARVA1[[#This Row],[Credit Points]]</f>
        <v>25</v>
      </c>
      <c r="F271" s="64">
        <v>1</v>
      </c>
      <c r="G271" s="64" t="s">
        <v>492</v>
      </c>
      <c r="H271" s="241">
        <v>0</v>
      </c>
      <c r="I271" s="64" t="s">
        <v>478</v>
      </c>
      <c r="J271" s="64" t="s">
        <v>145</v>
      </c>
      <c r="K271" s="64">
        <v>1</v>
      </c>
      <c r="L271" s="64" t="s">
        <v>509</v>
      </c>
      <c r="M271" s="64">
        <v>25</v>
      </c>
      <c r="N271" s="62">
        <v>43466</v>
      </c>
      <c r="O271" s="62"/>
      <c r="P271" s="62"/>
      <c r="Q271" t="s">
        <v>145</v>
      </c>
      <c r="R271">
        <v>1</v>
      </c>
    </row>
    <row r="272" spans="1:18" x14ac:dyDescent="0.25">
      <c r="A272" t="str">
        <f>TableOUMUARVA1[[#This Row],[Study Package Code]]</f>
        <v>EDUC4045</v>
      </c>
      <c r="B272" s="5">
        <f>TableOUMUARVA1[[#This Row],[Ver]]</f>
        <v>2</v>
      </c>
      <c r="C272" t="str">
        <f>IF(TableOUMUARVA1[[#This Row],[Ver]]&gt;0,_xlfn.TEXTBEFORE(TableOUMUARVA1[[#This Row],[Structure Line]]," "),"")</f>
        <v>EDC460</v>
      </c>
      <c r="D272" t="str">
        <f>IF(TableOUMUARVA1[[#This Row],[OUA Code]]&lt;&gt;"",_xlfn.TEXTAFTER(TableOUMUARVA1[[#This Row],[Structure Line]]," "),TableOUMUARVA1[[#This Row],[Structure Line]])</f>
        <v>Literacy and Numeracy for First Nations Peoples of Australia</v>
      </c>
      <c r="E272" s="44">
        <f>TableOUMUARVA1[[#This Row],[Credit Points]]</f>
        <v>25</v>
      </c>
      <c r="F272" s="64">
        <v>1</v>
      </c>
      <c r="G272" s="64" t="s">
        <v>492</v>
      </c>
      <c r="H272" s="241">
        <v>0</v>
      </c>
      <c r="I272" s="64" t="s">
        <v>478</v>
      </c>
      <c r="J272" s="64" t="s">
        <v>146</v>
      </c>
      <c r="K272" s="64">
        <v>2</v>
      </c>
      <c r="L272" s="64" t="s">
        <v>510</v>
      </c>
      <c r="M272" s="64">
        <v>25</v>
      </c>
      <c r="N272" s="62">
        <v>44927</v>
      </c>
      <c r="O272" s="62"/>
      <c r="P272" s="62"/>
      <c r="Q272" t="s">
        <v>146</v>
      </c>
      <c r="R272">
        <v>2</v>
      </c>
    </row>
    <row r="273" spans="1:18" x14ac:dyDescent="0.25">
      <c r="A273" t="str">
        <f>TableOUMUARVA1[[#This Row],[Study Package Code]]</f>
        <v>EDUC4047</v>
      </c>
      <c r="B273" s="5">
        <f>TableOUMUARVA1[[#This Row],[Ver]]</f>
        <v>1</v>
      </c>
      <c r="C273" t="str">
        <f>IF(TableOUMUARVA1[[#This Row],[Ver]]&gt;0,_xlfn.TEXTBEFORE(TableOUMUARVA1[[#This Row],[Structure Line]]," "),"")</f>
        <v>EDC470</v>
      </c>
      <c r="D273" t="str">
        <f>IF(TableOUMUARVA1[[#This Row],[OUA Code]]&lt;&gt;"",_xlfn.TEXTAFTER(TableOUMUARVA1[[#This Row],[Structure Line]]," "),TableOUMUARVA1[[#This Row],[Structure Line]])</f>
        <v>Technologies: Digital Solutions</v>
      </c>
      <c r="E273" s="44">
        <f>TableOUMUARVA1[[#This Row],[Credit Points]]</f>
        <v>25</v>
      </c>
      <c r="F273" s="64">
        <v>1</v>
      </c>
      <c r="G273" s="64" t="s">
        <v>492</v>
      </c>
      <c r="H273" s="241">
        <v>0</v>
      </c>
      <c r="I273" s="64" t="s">
        <v>478</v>
      </c>
      <c r="J273" s="64" t="s">
        <v>150</v>
      </c>
      <c r="K273" s="64">
        <v>1</v>
      </c>
      <c r="L273" s="64" t="s">
        <v>511</v>
      </c>
      <c r="M273" s="64">
        <v>25</v>
      </c>
      <c r="N273" s="62">
        <v>43466</v>
      </c>
      <c r="O273" s="62"/>
      <c r="P273" s="62"/>
      <c r="Q273" t="s">
        <v>150</v>
      </c>
      <c r="R273">
        <v>1</v>
      </c>
    </row>
    <row r="274" spans="1:18" x14ac:dyDescent="0.25">
      <c r="A274" t="str">
        <f>TableOUMUARVA1[[#This Row],[Study Package Code]]</f>
        <v>VISA2011</v>
      </c>
      <c r="B274" s="5">
        <f>TableOUMUARVA1[[#This Row],[Ver]]</f>
        <v>3</v>
      </c>
      <c r="C274" t="str">
        <f>IF(TableOUMUARVA1[[#This Row],[Ver]]&gt;0,_xlfn.TEXTBEFORE(TableOUMUARVA1[[#This Row],[Structure Line]]," "),"")</f>
        <v>VSW210</v>
      </c>
      <c r="D274" t="str">
        <f>IF(TableOUMUARVA1[[#This Row],[OUA Code]]&lt;&gt;"",_xlfn.TEXTAFTER(TableOUMUARVA1[[#This Row],[Structure Line]]," "),TableOUMUARVA1[[#This Row],[Structure Line]])</f>
        <v>Fine Art Studio Strategies</v>
      </c>
      <c r="E274" s="44">
        <f>TableOUMUARVA1[[#This Row],[Credit Points]]</f>
        <v>25</v>
      </c>
      <c r="F274" s="64">
        <v>8</v>
      </c>
      <c r="G274" s="64" t="s">
        <v>525</v>
      </c>
      <c r="H274" s="241">
        <v>2</v>
      </c>
      <c r="I274" s="64" t="s">
        <v>478</v>
      </c>
      <c r="J274" s="64" t="s">
        <v>220</v>
      </c>
      <c r="K274" s="64">
        <v>3</v>
      </c>
      <c r="L274" s="64" t="s">
        <v>545</v>
      </c>
      <c r="M274" s="64">
        <v>25</v>
      </c>
      <c r="N274" s="87">
        <v>43831</v>
      </c>
      <c r="O274" s="87"/>
      <c r="P274" s="62"/>
      <c r="Q274" t="s">
        <v>220</v>
      </c>
      <c r="R274">
        <v>3</v>
      </c>
    </row>
    <row r="275" spans="1:18" x14ac:dyDescent="0.25">
      <c r="A275" t="str">
        <f>TableOUMUARVA1[[#This Row],[Study Package Code]]</f>
        <v>VISA2012</v>
      </c>
      <c r="B275" s="5">
        <f>TableOUMUARVA1[[#This Row],[Ver]]</f>
        <v>3</v>
      </c>
      <c r="C275" t="str">
        <f>IF(TableOUMUARVA1[[#This Row],[Ver]]&gt;0,_xlfn.TEXTBEFORE(TableOUMUARVA1[[#This Row],[Structure Line]]," "),"")</f>
        <v>VSW220</v>
      </c>
      <c r="D275" t="str">
        <f>IF(TableOUMUARVA1[[#This Row],[OUA Code]]&lt;&gt;"",_xlfn.TEXTAFTER(TableOUMUARVA1[[#This Row],[Structure Line]]," "),TableOUMUARVA1[[#This Row],[Structure Line]])</f>
        <v>Fine Art Studio Processes</v>
      </c>
      <c r="E275" s="44">
        <f>TableOUMUARVA1[[#This Row],[Credit Points]]</f>
        <v>25</v>
      </c>
      <c r="F275" s="64">
        <v>8</v>
      </c>
      <c r="G275" s="64" t="s">
        <v>525</v>
      </c>
      <c r="H275" s="241">
        <v>2</v>
      </c>
      <c r="I275" s="64" t="s">
        <v>478</v>
      </c>
      <c r="J275" s="64" t="s">
        <v>222</v>
      </c>
      <c r="K275" s="64">
        <v>3</v>
      </c>
      <c r="L275" s="64" t="s">
        <v>546</v>
      </c>
      <c r="M275" s="64">
        <v>25</v>
      </c>
      <c r="N275" s="62">
        <v>43831</v>
      </c>
      <c r="O275" s="62"/>
      <c r="P275" s="62"/>
      <c r="Q275" t="s">
        <v>222</v>
      </c>
      <c r="R275">
        <v>3</v>
      </c>
    </row>
    <row r="276" spans="1:18" x14ac:dyDescent="0.25">
      <c r="A276" s="42"/>
      <c r="B276" s="43"/>
      <c r="C276" s="42"/>
      <c r="D276" s="42"/>
      <c r="F276" s="235"/>
      <c r="G276" s="236" t="s">
        <v>464</v>
      </c>
      <c r="H276" s="240">
        <v>45972</v>
      </c>
      <c r="I276" s="235"/>
      <c r="J276" s="232" t="s">
        <v>177</v>
      </c>
      <c r="K276" s="230">
        <v>2</v>
      </c>
      <c r="L276" s="232" t="s">
        <v>176</v>
      </c>
      <c r="M276" s="232">
        <v>375</v>
      </c>
      <c r="N276" s="231">
        <v>46023</v>
      </c>
      <c r="O276" s="237"/>
      <c r="P276" s="62"/>
    </row>
    <row r="277" spans="1:18" ht="31.5" x14ac:dyDescent="0.25">
      <c r="A277" s="49" t="s">
        <v>0</v>
      </c>
      <c r="B277" s="50" t="s">
        <v>466</v>
      </c>
      <c r="C277" s="49" t="s">
        <v>16</v>
      </c>
      <c r="D277" s="49" t="s">
        <v>3</v>
      </c>
      <c r="E277" s="51" t="s">
        <v>467</v>
      </c>
      <c r="F277" s="49" t="s">
        <v>468</v>
      </c>
      <c r="G277" s="49" t="s">
        <v>469</v>
      </c>
      <c r="H277" s="50" t="s">
        <v>470</v>
      </c>
      <c r="I277" s="49" t="s">
        <v>17</v>
      </c>
      <c r="J277" s="49" t="s">
        <v>471</v>
      </c>
      <c r="K277" s="49" t="s">
        <v>1</v>
      </c>
      <c r="L277" s="49" t="s">
        <v>472</v>
      </c>
      <c r="M277" s="49" t="s">
        <v>59</v>
      </c>
      <c r="N277" s="49" t="s">
        <v>473</v>
      </c>
      <c r="O277" s="49" t="s">
        <v>474</v>
      </c>
      <c r="P277" s="62"/>
      <c r="Q277" t="s">
        <v>475</v>
      </c>
      <c r="R277" t="s">
        <v>476</v>
      </c>
    </row>
    <row r="278" spans="1:18" x14ac:dyDescent="0.25">
      <c r="A278" t="str">
        <f>TableOUMUENGLT[[#This Row],[Study Package Code]]</f>
        <v>Opt-ENGL1</v>
      </c>
      <c r="B278" s="5">
        <f>TableOUMUENGLT[[#This Row],[Ver]]</f>
        <v>0</v>
      </c>
      <c r="C278" t="str">
        <f>IF(TableOUMUENGLT[[#This Row],[Ver]]&gt;0,_xlfn.TEXTBEFORE(TableOUMUENGLT[[#This Row],[Structure Line]]," "),"")</f>
        <v/>
      </c>
      <c r="D278" t="str">
        <f>IF(TableOUMUENGLT[[#This Row],[OUA Code]]&lt;&gt;"",_xlfn.TEXTAFTER(TableOUMUENGLT[[#This Row],[Structure Line]]," "),TableOUMUENGLT[[#This Row],[Structure Line]])</f>
        <v>Choose Options</v>
      </c>
      <c r="E278" s="44">
        <f>TableOUMUENGLT[[#This Row],[Credit Points]]</f>
        <v>100</v>
      </c>
      <c r="F278" s="64">
        <v>1</v>
      </c>
      <c r="G278" s="64" t="s">
        <v>492</v>
      </c>
      <c r="H278" s="241">
        <v>0</v>
      </c>
      <c r="I278" s="64" t="s">
        <v>478</v>
      </c>
      <c r="J278" s="64" t="s">
        <v>219</v>
      </c>
      <c r="K278" s="64">
        <v>0</v>
      </c>
      <c r="L278" s="64" t="s">
        <v>533</v>
      </c>
      <c r="M278" s="64">
        <v>100</v>
      </c>
      <c r="N278" s="62"/>
      <c r="O278" s="62"/>
      <c r="Q278" t="s">
        <v>219</v>
      </c>
      <c r="R278">
        <v>0</v>
      </c>
    </row>
    <row r="279" spans="1:18" x14ac:dyDescent="0.25">
      <c r="A279" t="str">
        <f>TableOUMUENGLT[[#This Row],[Study Package Code]]</f>
        <v>CWRI1008</v>
      </c>
      <c r="B279" s="5">
        <f>TableOUMUENGLT[[#This Row],[Ver]]</f>
        <v>1</v>
      </c>
      <c r="C279" t="str">
        <f>IF(TableOUMUENGLT[[#This Row],[Ver]]&gt;0,_xlfn.TEXTBEFORE(TableOUMUENGLT[[#This Row],[Structure Line]]," "),"")</f>
        <v>CWRI1008</v>
      </c>
      <c r="D279" t="str">
        <f>IF(TableOUMUENGLT[[#This Row],[OUA Code]]&lt;&gt;"",_xlfn.TEXTAFTER(TableOUMUENGLT[[#This Row],[Structure Line]]," "),TableOUMUENGLT[[#This Row],[Structure Line]])</f>
        <v>Engaging Narrative</v>
      </c>
      <c r="E279" s="44">
        <f>TableOUMUENGLT[[#This Row],[Credit Points]]</f>
        <v>25</v>
      </c>
      <c r="F279" s="64">
        <v>2</v>
      </c>
      <c r="G279" s="64" t="s">
        <v>477</v>
      </c>
      <c r="H279" s="241">
        <v>1</v>
      </c>
      <c r="I279" s="64" t="s">
        <v>478</v>
      </c>
      <c r="J279" s="64" t="s">
        <v>635</v>
      </c>
      <c r="K279" s="64">
        <v>1</v>
      </c>
      <c r="L279" s="64" t="s">
        <v>636</v>
      </c>
      <c r="M279" s="64">
        <v>25</v>
      </c>
      <c r="N279" s="62">
        <v>46023</v>
      </c>
      <c r="O279" s="62"/>
      <c r="P279" s="49"/>
      <c r="Q279" t="s">
        <v>189</v>
      </c>
      <c r="R279">
        <v>1</v>
      </c>
    </row>
    <row r="280" spans="1:18" x14ac:dyDescent="0.25">
      <c r="A280" t="str">
        <f>TableOUMUENGLT[[#This Row],[Study Package Code]]</f>
        <v>EDSC4036</v>
      </c>
      <c r="B280" s="5">
        <f>TableOUMUENGLT[[#This Row],[Ver]]</f>
        <v>1</v>
      </c>
      <c r="C280" t="str">
        <f>IF(TableOUMUENGLT[[#This Row],[Ver]]&gt;0,_xlfn.TEXTBEFORE(TableOUMUENGLT[[#This Row],[Structure Line]]," "),"")</f>
        <v>EDS133</v>
      </c>
      <c r="D280" t="str">
        <f>IF(TableOUMUENGLT[[#This Row],[OUA Code]]&lt;&gt;"",_xlfn.TEXTAFTER(TableOUMUENGLT[[#This Row],[Structure Line]]," "),TableOUMUENGLT[[#This Row],[Structure Line]])</f>
        <v>Curriculum and Instruction Lower Secondary: English</v>
      </c>
      <c r="E280" s="44">
        <f>TableOUMUENGLT[[#This Row],[Credit Points]]</f>
        <v>25</v>
      </c>
      <c r="F280" s="64">
        <v>3</v>
      </c>
      <c r="G280" s="64" t="s">
        <v>477</v>
      </c>
      <c r="H280" s="241">
        <v>1</v>
      </c>
      <c r="I280" s="64" t="s">
        <v>478</v>
      </c>
      <c r="J280" s="64" t="s">
        <v>637</v>
      </c>
      <c r="K280" s="64">
        <v>1</v>
      </c>
      <c r="L280" s="64" t="s">
        <v>547</v>
      </c>
      <c r="M280" s="64">
        <v>25</v>
      </c>
      <c r="N280" s="62">
        <v>45839</v>
      </c>
      <c r="O280" s="62"/>
      <c r="P280" s="62"/>
      <c r="Q280" t="s">
        <v>186</v>
      </c>
      <c r="R280">
        <v>1</v>
      </c>
    </row>
    <row r="281" spans="1:18" x14ac:dyDescent="0.25">
      <c r="A281" t="str">
        <f>TableOUMUENGLT[[#This Row],[Study Package Code]]</f>
        <v>LCST1005</v>
      </c>
      <c r="B281" s="5">
        <f>TableOUMUENGLT[[#This Row],[Ver]]</f>
        <v>1</v>
      </c>
      <c r="C281" t="str">
        <f>IF(TableOUMUENGLT[[#This Row],[Ver]]&gt;0,_xlfn.TEXTBEFORE(TableOUMUENGLT[[#This Row],[Structure Line]]," "),"")</f>
        <v>ENG100</v>
      </c>
      <c r="D281" t="str">
        <f>IF(TableOUMUENGLT[[#This Row],[OUA Code]]&lt;&gt;"",_xlfn.TEXTAFTER(TableOUMUENGLT[[#This Row],[Structure Line]]," "),TableOUMUENGLT[[#This Row],[Structure Line]])</f>
        <v>Introduction to Cultural Studies</v>
      </c>
      <c r="E281" s="44">
        <f>TableOUMUENGLT[[#This Row],[Credit Points]]</f>
        <v>25</v>
      </c>
      <c r="F281" s="64">
        <v>4</v>
      </c>
      <c r="G281" s="64" t="s">
        <v>477</v>
      </c>
      <c r="H281" s="241">
        <v>1</v>
      </c>
      <c r="I281" s="64" t="s">
        <v>478</v>
      </c>
      <c r="J281" s="64" t="s">
        <v>186</v>
      </c>
      <c r="K281" s="64">
        <v>1</v>
      </c>
      <c r="L281" s="64" t="s">
        <v>548</v>
      </c>
      <c r="M281" s="64">
        <v>25</v>
      </c>
      <c r="N281" s="62">
        <v>44562</v>
      </c>
      <c r="O281" s="62"/>
      <c r="P281" s="62"/>
      <c r="Q281" t="s">
        <v>183</v>
      </c>
      <c r="R281">
        <v>4</v>
      </c>
    </row>
    <row r="282" spans="1:18" x14ac:dyDescent="0.25">
      <c r="A282" t="str">
        <f>TableOUMUENGLT[[#This Row],[Study Package Code]]</f>
        <v>EDUC4025</v>
      </c>
      <c r="B282" s="5">
        <f>TableOUMUENGLT[[#This Row],[Ver]]</f>
        <v>1</v>
      </c>
      <c r="C282" t="str">
        <f>IF(TableOUMUENGLT[[#This Row],[Ver]]&gt;0,_xlfn.TEXTBEFORE(TableOUMUENGLT[[#This Row],[Structure Line]]," "),"")</f>
        <v>EDC487</v>
      </c>
      <c r="D282" t="str">
        <f>IF(TableOUMUENGLT[[#This Row],[OUA Code]]&lt;&gt;"",_xlfn.TEXTAFTER(TableOUMUENGLT[[#This Row],[Structure Line]]," "),TableOUMUENGLT[[#This Row],[Structure Line]])</f>
        <v>Creative Literacies</v>
      </c>
      <c r="E282" s="44">
        <f>TableOUMUENGLT[[#This Row],[Credit Points]]</f>
        <v>25</v>
      </c>
      <c r="F282" s="64">
        <v>5</v>
      </c>
      <c r="G282" s="64" t="s">
        <v>477</v>
      </c>
      <c r="H282" s="241">
        <v>2</v>
      </c>
      <c r="I282" s="64" t="s">
        <v>478</v>
      </c>
      <c r="J282" s="64" t="s">
        <v>141</v>
      </c>
      <c r="K282" s="64">
        <v>1</v>
      </c>
      <c r="L282" s="64" t="s">
        <v>501</v>
      </c>
      <c r="M282" s="64">
        <v>25</v>
      </c>
      <c r="N282" s="62">
        <v>43282</v>
      </c>
      <c r="O282" s="62"/>
      <c r="P282" s="62"/>
      <c r="Q282" t="s">
        <v>141</v>
      </c>
      <c r="R282">
        <v>1</v>
      </c>
    </row>
    <row r="283" spans="1:18" x14ac:dyDescent="0.25">
      <c r="A283" t="str">
        <f>TableOUMUENGLT[[#This Row],[Study Package Code]]</f>
        <v>EDSC4019</v>
      </c>
      <c r="B283" s="5">
        <f>TableOUMUENGLT[[#This Row],[Ver]]</f>
        <v>2</v>
      </c>
      <c r="C283" t="str">
        <f>IF(TableOUMUENGLT[[#This Row],[Ver]]&gt;0,_xlfn.TEXTBEFORE(TableOUMUENGLT[[#This Row],[Structure Line]]," "),"")</f>
        <v>EDS365</v>
      </c>
      <c r="D283" t="str">
        <f>IF(TableOUMUENGLT[[#This Row],[OUA Code]]&lt;&gt;"",_xlfn.TEXTAFTER(TableOUMUENGLT[[#This Row],[Structure Line]]," "),TableOUMUENGLT[[#This Row],[Structure Line]])</f>
        <v>Curriculum and Instruction Senior Secondary: English</v>
      </c>
      <c r="E283" s="44">
        <f>TableOUMUENGLT[[#This Row],[Credit Points]]</f>
        <v>25</v>
      </c>
      <c r="F283" s="64">
        <v>6</v>
      </c>
      <c r="G283" s="64" t="s">
        <v>477</v>
      </c>
      <c r="H283" s="241">
        <v>2</v>
      </c>
      <c r="I283" s="64" t="s">
        <v>478</v>
      </c>
      <c r="J283" s="64" t="s">
        <v>205</v>
      </c>
      <c r="K283" s="64">
        <v>2</v>
      </c>
      <c r="L283" s="64" t="s">
        <v>549</v>
      </c>
      <c r="M283" s="64">
        <v>25</v>
      </c>
      <c r="N283" s="62">
        <v>43831</v>
      </c>
      <c r="O283" s="62"/>
      <c r="P283" s="62"/>
      <c r="Q283" t="s">
        <v>205</v>
      </c>
      <c r="R283">
        <v>2</v>
      </c>
    </row>
    <row r="284" spans="1:18" x14ac:dyDescent="0.25">
      <c r="A284" t="str">
        <f>TableOUMUENGLT[[#This Row],[Study Package Code]]</f>
        <v>LCST2008</v>
      </c>
      <c r="B284" s="5">
        <f>TableOUMUENGLT[[#This Row],[Ver]]</f>
        <v>2</v>
      </c>
      <c r="C284" t="str">
        <f>IF(TableOUMUENGLT[[#This Row],[Ver]]&gt;0,_xlfn.TEXTBEFORE(TableOUMUENGLT[[#This Row],[Structure Line]]," "),"")</f>
        <v>ENG200</v>
      </c>
      <c r="D284" t="str">
        <f>IF(TableOUMUENGLT[[#This Row],[OUA Code]]&lt;&gt;"",_xlfn.TEXTAFTER(TableOUMUENGLT[[#This Row],[Structure Line]]," "),TableOUMUENGLT[[#This Row],[Structure Line]])</f>
        <v>Genre and Classic Texts</v>
      </c>
      <c r="E284" s="44">
        <f>TableOUMUENGLT[[#This Row],[Credit Points]]</f>
        <v>25</v>
      </c>
      <c r="F284" s="64">
        <v>7</v>
      </c>
      <c r="G284" s="64" t="s">
        <v>477</v>
      </c>
      <c r="H284" s="241">
        <v>2</v>
      </c>
      <c r="I284" s="64" t="s">
        <v>478</v>
      </c>
      <c r="J284" s="64" t="s">
        <v>197</v>
      </c>
      <c r="K284" s="64">
        <v>2</v>
      </c>
      <c r="L284" s="64" t="s">
        <v>550</v>
      </c>
      <c r="M284" s="64">
        <v>25</v>
      </c>
      <c r="N284" s="62">
        <v>45383</v>
      </c>
      <c r="O284" s="62"/>
      <c r="P284" s="62"/>
      <c r="Q284" t="s">
        <v>197</v>
      </c>
      <c r="R284">
        <v>2</v>
      </c>
    </row>
    <row r="285" spans="1:18" x14ac:dyDescent="0.25">
      <c r="A285" t="str">
        <f>TableOUMUENGLT[[#This Row],[Study Package Code]]</f>
        <v>LANG1002</v>
      </c>
      <c r="B285" s="5">
        <f>TableOUMUENGLT[[#This Row],[Ver]]</f>
        <v>1</v>
      </c>
      <c r="C285" t="str">
        <f>IF(TableOUMUENGLT[[#This Row],[Ver]]&gt;0,_xlfn.TEXTBEFORE(TableOUMUENGLT[[#This Row],[Structure Line]]," "),"")</f>
        <v>LANG1002</v>
      </c>
      <c r="D285" t="str">
        <f>IF(TableOUMUENGLT[[#This Row],[OUA Code]]&lt;&gt;"",_xlfn.TEXTAFTER(TableOUMUENGLT[[#This Row],[Structure Line]]," "),TableOUMUENGLT[[#This Row],[Structure Line]])</f>
        <v>Introduction to Creative and Professional Writing</v>
      </c>
      <c r="E285" s="44">
        <f>TableOUMUENGLT[[#This Row],[Credit Points]]</f>
        <v>25</v>
      </c>
      <c r="F285" s="64">
        <v>8</v>
      </c>
      <c r="G285" s="64" t="s">
        <v>477</v>
      </c>
      <c r="H285" s="241">
        <v>2</v>
      </c>
      <c r="I285" s="64" t="s">
        <v>478</v>
      </c>
      <c r="J285" s="64" t="s">
        <v>638</v>
      </c>
      <c r="K285" s="64">
        <v>1</v>
      </c>
      <c r="L285" s="64" t="s">
        <v>639</v>
      </c>
      <c r="M285" s="64">
        <v>25</v>
      </c>
      <c r="N285" s="62">
        <v>46023</v>
      </c>
      <c r="O285" s="62"/>
      <c r="P285" s="62"/>
      <c r="Q285" t="s">
        <v>193</v>
      </c>
      <c r="R285">
        <v>2</v>
      </c>
    </row>
    <row r="286" spans="1:18" x14ac:dyDescent="0.25">
      <c r="A286" t="str">
        <f>TableOUMUENGLT[[#This Row],[Study Package Code]]</f>
        <v>EDUC4024</v>
      </c>
      <c r="B286" s="5">
        <f>TableOUMUENGLT[[#This Row],[Ver]]</f>
        <v>1</v>
      </c>
      <c r="C286" t="str">
        <f>IF(TableOUMUENGLT[[#This Row],[Ver]]&gt;0,_xlfn.TEXTBEFORE(TableOUMUENGLT[[#This Row],[Structure Line]]," "),"")</f>
        <v>EDC486</v>
      </c>
      <c r="D286" t="str">
        <f>IF(TableOUMUENGLT[[#This Row],[OUA Code]]&lt;&gt;"",_xlfn.TEXTAFTER(TableOUMUENGLT[[#This Row],[Structure Line]]," "),TableOUMUENGLT[[#This Row],[Structure Line]])</f>
        <v>Creating and Responding to Literature</v>
      </c>
      <c r="E286" s="44">
        <f>TableOUMUENGLT[[#This Row],[Credit Points]]</f>
        <v>25</v>
      </c>
      <c r="F286" s="64">
        <v>9</v>
      </c>
      <c r="G286" s="64" t="s">
        <v>477</v>
      </c>
      <c r="H286" s="241">
        <v>3</v>
      </c>
      <c r="I286" s="64" t="s">
        <v>478</v>
      </c>
      <c r="J286" s="64" t="s">
        <v>140</v>
      </c>
      <c r="K286" s="64">
        <v>1</v>
      </c>
      <c r="L286" s="64" t="s">
        <v>500</v>
      </c>
      <c r="M286" s="64">
        <v>25</v>
      </c>
      <c r="N286" s="62">
        <v>43282</v>
      </c>
      <c r="O286" s="62"/>
      <c r="P286" s="62"/>
      <c r="Q286" t="s">
        <v>140</v>
      </c>
      <c r="R286">
        <v>1</v>
      </c>
    </row>
    <row r="287" spans="1:18" x14ac:dyDescent="0.25">
      <c r="A287" t="str">
        <f>TableOUMUENGLT[[#This Row],[Study Package Code]]</f>
        <v>LCST2009</v>
      </c>
      <c r="B287" s="5">
        <f>TableOUMUENGLT[[#This Row],[Ver]]</f>
        <v>1</v>
      </c>
      <c r="C287" t="str">
        <f>IF(TableOUMUENGLT[[#This Row],[Ver]]&gt;0,_xlfn.TEXTBEFORE(TableOUMUENGLT[[#This Row],[Structure Line]]," "),"")</f>
        <v>ENG210</v>
      </c>
      <c r="D287" t="str">
        <f>IF(TableOUMUENGLT[[#This Row],[OUA Code]]&lt;&gt;"",_xlfn.TEXTAFTER(TableOUMUENGLT[[#This Row],[Structure Line]]," "),TableOUMUENGLT[[#This Row],[Structure Line]])</f>
        <v>Reading Gender</v>
      </c>
      <c r="E287" s="44">
        <f>TableOUMUENGLT[[#This Row],[Credit Points]]</f>
        <v>25</v>
      </c>
      <c r="F287" s="64">
        <v>10</v>
      </c>
      <c r="G287" s="64" t="s">
        <v>477</v>
      </c>
      <c r="H287" s="241">
        <v>3</v>
      </c>
      <c r="I287" s="64" t="s">
        <v>478</v>
      </c>
      <c r="J287" s="64" t="s">
        <v>200</v>
      </c>
      <c r="K287" s="64">
        <v>1</v>
      </c>
      <c r="L287" s="64" t="s">
        <v>551</v>
      </c>
      <c r="M287" s="64">
        <v>25</v>
      </c>
      <c r="N287" s="62">
        <v>44562</v>
      </c>
      <c r="O287" s="62"/>
      <c r="P287" s="62"/>
      <c r="Q287" t="s">
        <v>200</v>
      </c>
      <c r="R287">
        <v>1</v>
      </c>
    </row>
    <row r="288" spans="1:18" x14ac:dyDescent="0.25">
      <c r="A288" t="str">
        <f>TableOUMUENGLT[[#This Row],[Study Package Code]]</f>
        <v>LCST3008</v>
      </c>
      <c r="B288" s="5">
        <f>TableOUMUENGLT[[#This Row],[Ver]]</f>
        <v>1</v>
      </c>
      <c r="C288" t="str">
        <f>IF(TableOUMUENGLT[[#This Row],[Ver]]&gt;0,_xlfn.TEXTBEFORE(TableOUMUENGLT[[#This Row],[Structure Line]]," "),"")</f>
        <v>ENG300</v>
      </c>
      <c r="D288" t="str">
        <f>IF(TableOUMUENGLT[[#This Row],[OUA Code]]&lt;&gt;"",_xlfn.TEXTAFTER(TableOUMUENGLT[[#This Row],[Structure Line]]," "),TableOUMUENGLT[[#This Row],[Structure Line]])</f>
        <v>Decolonising Place</v>
      </c>
      <c r="E288" s="44">
        <f>TableOUMUENGLT[[#This Row],[Credit Points]]</f>
        <v>25</v>
      </c>
      <c r="F288" s="64">
        <v>11</v>
      </c>
      <c r="G288" s="64" t="s">
        <v>477</v>
      </c>
      <c r="H288" s="241">
        <v>4</v>
      </c>
      <c r="I288" s="64" t="s">
        <v>478</v>
      </c>
      <c r="J288" s="64" t="s">
        <v>215</v>
      </c>
      <c r="K288" s="64">
        <v>1</v>
      </c>
      <c r="L288" s="64" t="s">
        <v>552</v>
      </c>
      <c r="M288" s="64">
        <v>25</v>
      </c>
      <c r="N288" s="62">
        <v>44562</v>
      </c>
      <c r="O288" s="62"/>
      <c r="P288" s="62"/>
      <c r="Q288" t="s">
        <v>215</v>
      </c>
      <c r="R288">
        <v>1</v>
      </c>
    </row>
    <row r="289" spans="1:18" x14ac:dyDescent="0.25">
      <c r="A289" t="str">
        <f>TableOUMUENGLT[[#This Row],[Study Package Code]]</f>
        <v>LCST3009</v>
      </c>
      <c r="B289" s="5">
        <f>TableOUMUENGLT[[#This Row],[Ver]]</f>
        <v>1</v>
      </c>
      <c r="C289" t="str">
        <f>IF(TableOUMUENGLT[[#This Row],[Ver]]&gt;0,_xlfn.TEXTBEFORE(TableOUMUENGLT[[#This Row],[Structure Line]]," "),"")</f>
        <v>ENG310</v>
      </c>
      <c r="D289" t="str">
        <f>IF(TableOUMUENGLT[[#This Row],[OUA Code]]&lt;&gt;"",_xlfn.TEXTAFTER(TableOUMUENGLT[[#This Row],[Structure Line]]," "),TableOUMUENGLT[[#This Row],[Structure Line]])</f>
        <v>Textual Futures</v>
      </c>
      <c r="E289" s="44">
        <f>TableOUMUENGLT[[#This Row],[Credit Points]]</f>
        <v>25</v>
      </c>
      <c r="F289" s="64">
        <v>12</v>
      </c>
      <c r="G289" s="64" t="s">
        <v>477</v>
      </c>
      <c r="H289" s="241">
        <v>4</v>
      </c>
      <c r="I289" s="64" t="s">
        <v>478</v>
      </c>
      <c r="J289" s="64" t="s">
        <v>218</v>
      </c>
      <c r="K289" s="64">
        <v>1</v>
      </c>
      <c r="L289" s="64" t="s">
        <v>553</v>
      </c>
      <c r="M289" s="64">
        <v>25</v>
      </c>
      <c r="N289" s="62">
        <v>44562</v>
      </c>
      <c r="O289" s="62"/>
      <c r="P289" s="62"/>
      <c r="Q289" t="s">
        <v>218</v>
      </c>
      <c r="R289">
        <v>1</v>
      </c>
    </row>
    <row r="290" spans="1:18" x14ac:dyDescent="0.25">
      <c r="A290" t="str">
        <f>TableOUMUENGLT[[#This Row],[Study Package Code]]</f>
        <v>CTED4004</v>
      </c>
      <c r="B290" s="5">
        <f>TableOUMUENGLT[[#This Row],[Ver]]</f>
        <v>2</v>
      </c>
      <c r="C290" t="str">
        <f>IF(TableOUMUENGLT[[#This Row],[Ver]]&gt;0,_xlfn.TEXTBEFORE(TableOUMUENGLT[[#This Row],[Structure Line]]," "),"")</f>
        <v>EDC484</v>
      </c>
      <c r="D290" t="str">
        <f>IF(TableOUMUENGLT[[#This Row],[OUA Code]]&lt;&gt;"",_xlfn.TEXTAFTER(TableOUMUENGLT[[#This Row],[Structure Line]]," "),TableOUMUENGLT[[#This Row],[Structure Line]])</f>
        <v>Teaching About Sacraments in Catholic Schools</v>
      </c>
      <c r="E290" s="44">
        <f>TableOUMUENGLT[[#This Row],[Credit Points]]</f>
        <v>25</v>
      </c>
      <c r="F290" s="64">
        <v>1</v>
      </c>
      <c r="G290" s="64" t="s">
        <v>492</v>
      </c>
      <c r="H290" s="241">
        <v>0</v>
      </c>
      <c r="I290" s="64" t="s">
        <v>478</v>
      </c>
      <c r="J290" s="64" t="s">
        <v>152</v>
      </c>
      <c r="K290" s="64">
        <v>2</v>
      </c>
      <c r="L290" s="64" t="s">
        <v>497</v>
      </c>
      <c r="M290" s="64">
        <v>25</v>
      </c>
      <c r="N290" s="62">
        <v>45292</v>
      </c>
      <c r="O290" s="62"/>
      <c r="P290" s="62"/>
      <c r="Q290" t="s">
        <v>152</v>
      </c>
      <c r="R290">
        <v>2</v>
      </c>
    </row>
    <row r="291" spans="1:18" x14ac:dyDescent="0.25">
      <c r="A291" t="str">
        <f>TableOUMUENGLT[[#This Row],[Study Package Code]]</f>
        <v>CTED4007</v>
      </c>
      <c r="B291" s="5">
        <f>TableOUMUENGLT[[#This Row],[Ver]]</f>
        <v>1</v>
      </c>
      <c r="C291" t="str">
        <f>IF(TableOUMUENGLT[[#This Row],[Ver]]&gt;0,_xlfn.TEXTBEFORE(TableOUMUENGLT[[#This Row],[Structure Line]]," "),"")</f>
        <v>EDC430</v>
      </c>
      <c r="D291" t="str">
        <f>IF(TableOUMUENGLT[[#This Row],[OUA Code]]&lt;&gt;"",_xlfn.TEXTAFTER(TableOUMUENGLT[[#This Row],[Structure Line]]," "),TableOUMUENGLT[[#This Row],[Structure Line]])</f>
        <v>Teaching About Jesus in Catholic Schools</v>
      </c>
      <c r="E291" s="44">
        <f>TableOUMUENGLT[[#This Row],[Credit Points]]</f>
        <v>25</v>
      </c>
      <c r="F291" s="64">
        <v>1</v>
      </c>
      <c r="G291" s="64" t="s">
        <v>492</v>
      </c>
      <c r="H291" s="241">
        <v>0</v>
      </c>
      <c r="I291" s="64" t="s">
        <v>478</v>
      </c>
      <c r="J291" s="64" t="s">
        <v>153</v>
      </c>
      <c r="K291" s="64">
        <v>1</v>
      </c>
      <c r="L291" s="64" t="s">
        <v>498</v>
      </c>
      <c r="M291" s="64">
        <v>25</v>
      </c>
      <c r="N291" s="62">
        <v>45292</v>
      </c>
      <c r="O291" s="62"/>
      <c r="P291" s="62"/>
      <c r="Q291" t="s">
        <v>153</v>
      </c>
      <c r="R291">
        <v>1</v>
      </c>
    </row>
    <row r="292" spans="1:18" x14ac:dyDescent="0.25">
      <c r="A292" t="str">
        <f>TableOUMUENGLT[[#This Row],[Study Package Code]]</f>
        <v>CTED4009</v>
      </c>
      <c r="B292" s="5">
        <f>TableOUMUENGLT[[#This Row],[Ver]]</f>
        <v>1</v>
      </c>
      <c r="C292" t="str">
        <f>IF(TableOUMUENGLT[[#This Row],[Ver]]&gt;0,_xlfn.TEXTBEFORE(TableOUMUENGLT[[#This Row],[Structure Line]]," "),"")</f>
        <v>EDC435</v>
      </c>
      <c r="D292" t="str">
        <f>IF(TableOUMUENGLT[[#This Row],[OUA Code]]&lt;&gt;"",_xlfn.TEXTAFTER(TableOUMUENGLT[[#This Row],[Structure Line]]," "),TableOUMUENGLT[[#This Row],[Structure Line]])</f>
        <v>Teaching About the Gospels in Catholic Schools</v>
      </c>
      <c r="E292" s="44">
        <f>TableOUMUENGLT[[#This Row],[Credit Points]]</f>
        <v>25</v>
      </c>
      <c r="F292" s="64">
        <v>1</v>
      </c>
      <c r="G292" s="64" t="s">
        <v>492</v>
      </c>
      <c r="H292" s="241">
        <v>0</v>
      </c>
      <c r="I292" s="64" t="s">
        <v>478</v>
      </c>
      <c r="J292" s="64" t="s">
        <v>154</v>
      </c>
      <c r="K292" s="64">
        <v>1</v>
      </c>
      <c r="L292" s="64" t="s">
        <v>499</v>
      </c>
      <c r="M292" s="64">
        <v>25</v>
      </c>
      <c r="N292" s="62">
        <v>45292</v>
      </c>
      <c r="O292" s="62"/>
      <c r="P292" s="62"/>
      <c r="Q292" t="s">
        <v>154</v>
      </c>
      <c r="R292">
        <v>1</v>
      </c>
    </row>
    <row r="293" spans="1:18" x14ac:dyDescent="0.25">
      <c r="A293" t="str">
        <f>TableOUMUENGLT[[#This Row],[Study Package Code]]</f>
        <v>EDUC4026</v>
      </c>
      <c r="B293" s="5">
        <f>TableOUMUENGLT[[#This Row],[Ver]]</f>
        <v>1</v>
      </c>
      <c r="C293" t="str">
        <f>IF(TableOUMUENGLT[[#This Row],[Ver]]&gt;0,_xlfn.TEXTBEFORE(TableOUMUENGLT[[#This Row],[Structure Line]]," "),"")</f>
        <v>EDC488</v>
      </c>
      <c r="D293" t="str">
        <f>IF(TableOUMUENGLT[[#This Row],[OUA Code]]&lt;&gt;"",_xlfn.TEXTAFTER(TableOUMUENGLT[[#This Row],[Structure Line]]," "),TableOUMUENGLT[[#This Row],[Structure Line]])</f>
        <v>Project-based iSTEM Education</v>
      </c>
      <c r="E293" s="44">
        <f>TableOUMUENGLT[[#This Row],[Credit Points]]</f>
        <v>25</v>
      </c>
      <c r="F293" s="64">
        <v>1</v>
      </c>
      <c r="G293" s="64" t="s">
        <v>492</v>
      </c>
      <c r="H293" s="241">
        <v>0</v>
      </c>
      <c r="I293" s="64" t="s">
        <v>478</v>
      </c>
      <c r="J293" s="64" t="s">
        <v>136</v>
      </c>
      <c r="K293" s="64">
        <v>1</v>
      </c>
      <c r="L293" s="64" t="s">
        <v>502</v>
      </c>
      <c r="M293" s="64">
        <v>25</v>
      </c>
      <c r="N293" s="62">
        <v>43282</v>
      </c>
      <c r="O293" s="62"/>
      <c r="P293" s="62"/>
      <c r="Q293" t="s">
        <v>136</v>
      </c>
      <c r="R293">
        <v>1</v>
      </c>
    </row>
    <row r="294" spans="1:18" x14ac:dyDescent="0.25">
      <c r="A294" t="str">
        <f>TableOUMUENGLT[[#This Row],[Study Package Code]]</f>
        <v>EDUC4028</v>
      </c>
      <c r="B294" s="5">
        <f>TableOUMUENGLT[[#This Row],[Ver]]</f>
        <v>1</v>
      </c>
      <c r="C294" t="str">
        <f>IF(TableOUMUENGLT[[#This Row],[Ver]]&gt;0,_xlfn.TEXTBEFORE(TableOUMUENGLT[[#This Row],[Structure Line]]," "),"")</f>
        <v>EDC490</v>
      </c>
      <c r="D294" t="str">
        <f>IF(TableOUMUENGLT[[#This Row],[OUA Code]]&lt;&gt;"",_xlfn.TEXTAFTER(TableOUMUENGLT[[#This Row],[Structure Line]]," "),TableOUMUENGLT[[#This Row],[Structure Line]])</f>
        <v>Supporting Literacy and Numeracy Development for Diverse Learners</v>
      </c>
      <c r="E294" s="44">
        <f>TableOUMUENGLT[[#This Row],[Credit Points]]</f>
        <v>25</v>
      </c>
      <c r="F294" s="64">
        <v>1</v>
      </c>
      <c r="G294" s="64" t="s">
        <v>492</v>
      </c>
      <c r="H294" s="241">
        <v>0</v>
      </c>
      <c r="I294" s="64" t="s">
        <v>478</v>
      </c>
      <c r="J294" s="64" t="s">
        <v>144</v>
      </c>
      <c r="K294" s="64">
        <v>1</v>
      </c>
      <c r="L294" s="64" t="s">
        <v>503</v>
      </c>
      <c r="M294" s="64">
        <v>25</v>
      </c>
      <c r="N294" s="62">
        <v>43282</v>
      </c>
      <c r="O294" s="62"/>
      <c r="P294" s="62"/>
      <c r="Q294" t="s">
        <v>144</v>
      </c>
      <c r="R294">
        <v>1</v>
      </c>
    </row>
    <row r="295" spans="1:18" x14ac:dyDescent="0.25">
      <c r="A295" t="str">
        <f>TableOUMUENGLT[[#This Row],[Study Package Code]]</f>
        <v>EDUC4030</v>
      </c>
      <c r="B295" s="5">
        <f>TableOUMUENGLT[[#This Row],[Ver]]</f>
        <v>1</v>
      </c>
      <c r="C295" t="str">
        <f>IF(TableOUMUENGLT[[#This Row],[Ver]]&gt;0,_xlfn.TEXTBEFORE(TableOUMUENGLT[[#This Row],[Structure Line]]," "),"")</f>
        <v>EDC491</v>
      </c>
      <c r="D295" t="str">
        <f>IF(TableOUMUENGLT[[#This Row],[OUA Code]]&lt;&gt;"",_xlfn.TEXTAFTER(TableOUMUENGLT[[#This Row],[Structure Line]]," "),TableOUMUENGLT[[#This Row],[Structure Line]])</f>
        <v>Technologies: Coding for Teachers</v>
      </c>
      <c r="E295" s="44">
        <f>TableOUMUENGLT[[#This Row],[Credit Points]]</f>
        <v>25</v>
      </c>
      <c r="F295" s="64">
        <v>1</v>
      </c>
      <c r="G295" s="64" t="s">
        <v>492</v>
      </c>
      <c r="H295" s="241">
        <v>0</v>
      </c>
      <c r="I295" s="64" t="s">
        <v>478</v>
      </c>
      <c r="J295" s="64" t="s">
        <v>148</v>
      </c>
      <c r="K295" s="64">
        <v>1</v>
      </c>
      <c r="L295" s="64" t="s">
        <v>504</v>
      </c>
      <c r="M295" s="64">
        <v>25</v>
      </c>
      <c r="N295" s="62">
        <v>43282</v>
      </c>
      <c r="O295" s="62"/>
      <c r="P295" s="62"/>
      <c r="Q295" t="s">
        <v>148</v>
      </c>
      <c r="R295">
        <v>1</v>
      </c>
    </row>
    <row r="296" spans="1:18" x14ac:dyDescent="0.25">
      <c r="A296" t="str">
        <f>TableOUMUENGLT[[#This Row],[Study Package Code]]</f>
        <v>EDUC4033</v>
      </c>
      <c r="B296" s="5">
        <f>TableOUMUENGLT[[#This Row],[Ver]]</f>
        <v>1</v>
      </c>
      <c r="C296" t="str">
        <f>IF(TableOUMUENGLT[[#This Row],[Ver]]&gt;0,_xlfn.TEXTBEFORE(TableOUMUENGLT[[#This Row],[Structure Line]]," "),"")</f>
        <v>EDC492</v>
      </c>
      <c r="D296" t="str">
        <f>IF(TableOUMUENGLT[[#This Row],[OUA Code]]&lt;&gt;"",_xlfn.TEXTAFTER(TableOUMUENGLT[[#This Row],[Structure Line]]," "),TableOUMUENGLT[[#This Row],[Structure Line]])</f>
        <v>iSTEM Education through Digital Stories</v>
      </c>
      <c r="E296" s="44">
        <f>TableOUMUENGLT[[#This Row],[Credit Points]]</f>
        <v>25</v>
      </c>
      <c r="F296" s="64">
        <v>1</v>
      </c>
      <c r="G296" s="64" t="s">
        <v>492</v>
      </c>
      <c r="H296" s="241">
        <v>0</v>
      </c>
      <c r="I296" s="64" t="s">
        <v>478</v>
      </c>
      <c r="J296" s="64" t="s">
        <v>137</v>
      </c>
      <c r="K296" s="64">
        <v>1</v>
      </c>
      <c r="L296" s="64" t="s">
        <v>505</v>
      </c>
      <c r="M296" s="64">
        <v>25</v>
      </c>
      <c r="N296" s="62">
        <v>43466</v>
      </c>
      <c r="O296" s="62"/>
      <c r="P296" s="62"/>
      <c r="Q296" t="s">
        <v>137</v>
      </c>
      <c r="R296">
        <v>1</v>
      </c>
    </row>
    <row r="297" spans="1:18" x14ac:dyDescent="0.25">
      <c r="A297" t="str">
        <f>TableOUMUENGLT[[#This Row],[Study Package Code]]</f>
        <v>EDUC4035</v>
      </c>
      <c r="B297" s="5">
        <f>TableOUMUENGLT[[#This Row],[Ver]]</f>
        <v>1</v>
      </c>
      <c r="C297" t="str">
        <f>IF(TableOUMUENGLT[[#This Row],[Ver]]&gt;0,_xlfn.TEXTBEFORE(TableOUMUENGLT[[#This Row],[Structure Line]]," "),"")</f>
        <v>EDC493</v>
      </c>
      <c r="D297" t="str">
        <f>IF(TableOUMUENGLT[[#This Row],[OUA Code]]&lt;&gt;"",_xlfn.TEXTAFTER(TableOUMUENGLT[[#This Row],[Structure Line]]," "),TableOUMUENGLT[[#This Row],[Structure Line]])</f>
        <v>iSTEM: Social Issues</v>
      </c>
      <c r="E297" s="44">
        <f>TableOUMUENGLT[[#This Row],[Credit Points]]</f>
        <v>25</v>
      </c>
      <c r="F297" s="64">
        <v>1</v>
      </c>
      <c r="G297" s="64" t="s">
        <v>492</v>
      </c>
      <c r="H297" s="241">
        <v>0</v>
      </c>
      <c r="I297" s="64" t="s">
        <v>478</v>
      </c>
      <c r="J297" s="64" t="s">
        <v>138</v>
      </c>
      <c r="K297" s="64">
        <v>1</v>
      </c>
      <c r="L297" s="64" t="s">
        <v>506</v>
      </c>
      <c r="M297" s="64">
        <v>25</v>
      </c>
      <c r="N297" s="62">
        <v>43466</v>
      </c>
      <c r="O297" s="62"/>
      <c r="P297" s="62"/>
      <c r="Q297" t="s">
        <v>138</v>
      </c>
      <c r="R297">
        <v>1</v>
      </c>
    </row>
    <row r="298" spans="1:18" x14ac:dyDescent="0.25">
      <c r="A298" t="str">
        <f>TableOUMUENGLT[[#This Row],[Study Package Code]]</f>
        <v>EDUC4037</v>
      </c>
      <c r="B298" s="5">
        <f>TableOUMUENGLT[[#This Row],[Ver]]</f>
        <v>1</v>
      </c>
      <c r="C298" t="str">
        <f>IF(TableOUMUENGLT[[#This Row],[Ver]]&gt;0,_xlfn.TEXTBEFORE(TableOUMUENGLT[[#This Row],[Structure Line]]," "),"")</f>
        <v>EDC494</v>
      </c>
      <c r="D298" t="str">
        <f>IF(TableOUMUENGLT[[#This Row],[OUA Code]]&lt;&gt;"",_xlfn.TEXTAFTER(TableOUMUENGLT[[#This Row],[Structure Line]]," "),TableOUMUENGLT[[#This Row],[Structure Line]])</f>
        <v>Language and Diversity</v>
      </c>
      <c r="E298" s="44">
        <f>TableOUMUENGLT[[#This Row],[Credit Points]]</f>
        <v>25</v>
      </c>
      <c r="F298" s="64">
        <v>1</v>
      </c>
      <c r="G298" s="64" t="s">
        <v>492</v>
      </c>
      <c r="H298" s="241">
        <v>0</v>
      </c>
      <c r="I298" s="64" t="s">
        <v>478</v>
      </c>
      <c r="J298" s="64" t="s">
        <v>142</v>
      </c>
      <c r="K298" s="64">
        <v>1</v>
      </c>
      <c r="L298" s="64" t="s">
        <v>507</v>
      </c>
      <c r="M298" s="64">
        <v>25</v>
      </c>
      <c r="N298" s="62">
        <v>43466</v>
      </c>
      <c r="O298" s="62"/>
      <c r="P298" s="62"/>
      <c r="Q298" t="s">
        <v>142</v>
      </c>
      <c r="R298">
        <v>1</v>
      </c>
    </row>
    <row r="299" spans="1:18" x14ac:dyDescent="0.25">
      <c r="A299" t="str">
        <f>TableOUMUENGLT[[#This Row],[Study Package Code]]</f>
        <v>EDUC4039</v>
      </c>
      <c r="B299" s="5">
        <f>TableOUMUENGLT[[#This Row],[Ver]]</f>
        <v>1</v>
      </c>
      <c r="C299" t="str">
        <f>IF(TableOUMUENGLT[[#This Row],[Ver]]&gt;0,_xlfn.TEXTBEFORE(TableOUMUENGLT[[#This Row],[Structure Line]]," "),"")</f>
        <v>EDC495</v>
      </c>
      <c r="D299" t="str">
        <f>IF(TableOUMUENGLT[[#This Row],[OUA Code]]&lt;&gt;"",_xlfn.TEXTAFTER(TableOUMUENGLT[[#This Row],[Structure Line]]," "),TableOUMUENGLT[[#This Row],[Structure Line]])</f>
        <v>Technologies: Design Solutions</v>
      </c>
      <c r="E299" s="44">
        <f>TableOUMUENGLT[[#This Row],[Credit Points]]</f>
        <v>25</v>
      </c>
      <c r="F299" s="64">
        <v>1</v>
      </c>
      <c r="G299" s="64" t="s">
        <v>492</v>
      </c>
      <c r="H299" s="241">
        <v>0</v>
      </c>
      <c r="I299" s="64" t="s">
        <v>478</v>
      </c>
      <c r="J299" s="64" t="s">
        <v>149</v>
      </c>
      <c r="K299" s="64">
        <v>1</v>
      </c>
      <c r="L299" s="64" t="s">
        <v>508</v>
      </c>
      <c r="M299" s="64">
        <v>25</v>
      </c>
      <c r="N299" s="62">
        <v>43466</v>
      </c>
      <c r="O299" s="62"/>
      <c r="P299" s="62"/>
      <c r="Q299" t="s">
        <v>149</v>
      </c>
      <c r="R299">
        <v>1</v>
      </c>
    </row>
    <row r="300" spans="1:18" x14ac:dyDescent="0.25">
      <c r="A300" t="str">
        <f>TableOUMUENGLT[[#This Row],[Study Package Code]]</f>
        <v>EDUC4043</v>
      </c>
      <c r="B300" s="5">
        <f>TableOUMUENGLT[[#This Row],[Ver]]</f>
        <v>1</v>
      </c>
      <c r="C300" t="str">
        <f>IF(TableOUMUENGLT[[#This Row],[Ver]]&gt;0,_xlfn.TEXTBEFORE(TableOUMUENGLT[[#This Row],[Structure Line]]," "),"")</f>
        <v>EDC465</v>
      </c>
      <c r="D300" t="str">
        <f>IF(TableOUMUENGLT[[#This Row],[OUA Code]]&lt;&gt;"",_xlfn.TEXTAFTER(TableOUMUENGLT[[#This Row],[Structure Line]]," "),TableOUMUENGLT[[#This Row],[Structure Line]])</f>
        <v>Alternative Approaches to Teaching Literacy and Numeracy</v>
      </c>
      <c r="E300" s="44">
        <f>TableOUMUENGLT[[#This Row],[Credit Points]]</f>
        <v>25</v>
      </c>
      <c r="F300" s="64">
        <v>1</v>
      </c>
      <c r="G300" s="64" t="s">
        <v>492</v>
      </c>
      <c r="H300" s="241">
        <v>0</v>
      </c>
      <c r="I300" s="64" t="s">
        <v>478</v>
      </c>
      <c r="J300" s="64" t="s">
        <v>145</v>
      </c>
      <c r="K300" s="64">
        <v>1</v>
      </c>
      <c r="L300" s="64" t="s">
        <v>509</v>
      </c>
      <c r="M300" s="64">
        <v>25</v>
      </c>
      <c r="N300" s="62">
        <v>43466</v>
      </c>
      <c r="O300" s="62"/>
      <c r="P300" s="62"/>
      <c r="Q300" t="s">
        <v>145</v>
      </c>
      <c r="R300">
        <v>1</v>
      </c>
    </row>
    <row r="301" spans="1:18" x14ac:dyDescent="0.25">
      <c r="A301" t="str">
        <f>TableOUMUENGLT[[#This Row],[Study Package Code]]</f>
        <v>EDUC4045</v>
      </c>
      <c r="B301" s="5">
        <f>TableOUMUENGLT[[#This Row],[Ver]]</f>
        <v>2</v>
      </c>
      <c r="C301" t="str">
        <f>IF(TableOUMUENGLT[[#This Row],[Ver]]&gt;0,_xlfn.TEXTBEFORE(TableOUMUENGLT[[#This Row],[Structure Line]]," "),"")</f>
        <v>EDC460</v>
      </c>
      <c r="D301" t="str">
        <f>IF(TableOUMUENGLT[[#This Row],[OUA Code]]&lt;&gt;"",_xlfn.TEXTAFTER(TableOUMUENGLT[[#This Row],[Structure Line]]," "),TableOUMUENGLT[[#This Row],[Structure Line]])</f>
        <v>Literacy and Numeracy for First Nations Peoples of Australia</v>
      </c>
      <c r="E301" s="44">
        <f>TableOUMUENGLT[[#This Row],[Credit Points]]</f>
        <v>25</v>
      </c>
      <c r="F301" s="64">
        <v>1</v>
      </c>
      <c r="G301" s="64" t="s">
        <v>492</v>
      </c>
      <c r="H301" s="241">
        <v>0</v>
      </c>
      <c r="I301" s="64" t="s">
        <v>478</v>
      </c>
      <c r="J301" s="64" t="s">
        <v>146</v>
      </c>
      <c r="K301" s="64">
        <v>2</v>
      </c>
      <c r="L301" s="64" t="s">
        <v>510</v>
      </c>
      <c r="M301" s="64">
        <v>25</v>
      </c>
      <c r="N301" s="62">
        <v>44927</v>
      </c>
      <c r="O301" s="62"/>
      <c r="P301" s="62"/>
      <c r="Q301" t="s">
        <v>146</v>
      </c>
      <c r="R301">
        <v>2</v>
      </c>
    </row>
    <row r="302" spans="1:18" x14ac:dyDescent="0.25">
      <c r="A302" t="str">
        <f>TableOUMUENGLT[[#This Row],[Study Package Code]]</f>
        <v>EDUC4047</v>
      </c>
      <c r="B302" s="5">
        <f>TableOUMUENGLT[[#This Row],[Ver]]</f>
        <v>1</v>
      </c>
      <c r="C302" t="str">
        <f>IF(TableOUMUENGLT[[#This Row],[Ver]]&gt;0,_xlfn.TEXTBEFORE(TableOUMUENGLT[[#This Row],[Structure Line]]," "),"")</f>
        <v>EDC470</v>
      </c>
      <c r="D302" t="str">
        <f>IF(TableOUMUENGLT[[#This Row],[OUA Code]]&lt;&gt;"",_xlfn.TEXTAFTER(TableOUMUENGLT[[#This Row],[Structure Line]]," "),TableOUMUENGLT[[#This Row],[Structure Line]])</f>
        <v>Technologies: Digital Solutions</v>
      </c>
      <c r="E302" s="44">
        <f>TableOUMUENGLT[[#This Row],[Credit Points]]</f>
        <v>25</v>
      </c>
      <c r="F302" s="64">
        <v>1</v>
      </c>
      <c r="G302" s="64" t="s">
        <v>492</v>
      </c>
      <c r="H302" s="241">
        <v>0</v>
      </c>
      <c r="I302" s="64" t="s">
        <v>478</v>
      </c>
      <c r="J302" s="64" t="s">
        <v>150</v>
      </c>
      <c r="K302" s="64">
        <v>1</v>
      </c>
      <c r="L302" s="64" t="s">
        <v>511</v>
      </c>
      <c r="M302" s="64">
        <v>25</v>
      </c>
      <c r="N302" s="62">
        <v>43466</v>
      </c>
      <c r="O302" s="62"/>
      <c r="P302" s="62"/>
      <c r="Q302" t="s">
        <v>150</v>
      </c>
      <c r="R302">
        <v>1</v>
      </c>
    </row>
    <row r="303" spans="1:18" x14ac:dyDescent="0.25">
      <c r="A303" s="42"/>
      <c r="B303" s="43"/>
      <c r="C303" s="42"/>
      <c r="D303" s="42"/>
      <c r="F303" s="235"/>
      <c r="G303" s="236" t="s">
        <v>464</v>
      </c>
      <c r="H303" s="240"/>
      <c r="I303" s="235"/>
      <c r="J303" s="232" t="s">
        <v>178</v>
      </c>
      <c r="K303" s="233" t="s">
        <v>174</v>
      </c>
      <c r="L303" s="232" t="s">
        <v>160</v>
      </c>
      <c r="M303" s="232"/>
      <c r="N303" s="234">
        <v>45658</v>
      </c>
      <c r="O303" s="237"/>
      <c r="P303" s="62"/>
      <c r="Q303" s="62"/>
    </row>
    <row r="304" spans="1:18" ht="31.5" x14ac:dyDescent="0.25">
      <c r="A304" s="49" t="s">
        <v>0</v>
      </c>
      <c r="B304" s="50" t="s">
        <v>466</v>
      </c>
      <c r="C304" s="49" t="s">
        <v>16</v>
      </c>
      <c r="D304" s="49" t="s">
        <v>3</v>
      </c>
      <c r="E304" s="51" t="s">
        <v>467</v>
      </c>
      <c r="F304" s="49" t="s">
        <v>468</v>
      </c>
      <c r="G304" s="49" t="s">
        <v>469</v>
      </c>
      <c r="H304" s="50" t="s">
        <v>470</v>
      </c>
      <c r="I304" s="49" t="s">
        <v>17</v>
      </c>
      <c r="J304" s="49" t="s">
        <v>471</v>
      </c>
      <c r="K304" s="49" t="s">
        <v>1</v>
      </c>
      <c r="L304" s="49" t="s">
        <v>472</v>
      </c>
      <c r="M304" s="49" t="s">
        <v>59</v>
      </c>
      <c r="N304" s="49" t="s">
        <v>473</v>
      </c>
      <c r="O304" s="49" t="s">
        <v>474</v>
      </c>
      <c r="P304" s="62"/>
      <c r="Q304" t="s">
        <v>475</v>
      </c>
      <c r="R304" t="s">
        <v>476</v>
      </c>
    </row>
    <row r="305" spans="1:18" x14ac:dyDescent="0.25">
      <c r="A305" t="str">
        <f>TableOUMUHUSGE[[#This Row],[Study Package Code]]</f>
        <v>Opt-HSGE1</v>
      </c>
      <c r="B305" s="5">
        <f>TableOUMUHUSGE[[#This Row],[Ver]]</f>
        <v>0</v>
      </c>
      <c r="C305" t="str">
        <f>IF(TableOUMUHUSGE[[#This Row],[Ver]]&gt;0,_xlfn.TEXTBEFORE(TableOUMUHUSGE[[#This Row],[Structure Line]]," "),"")</f>
        <v/>
      </c>
      <c r="D305" t="str">
        <f>IF(TableOUMUHUSGE[[#This Row],[OUA Code]]&lt;&gt;"",_xlfn.TEXTAFTER(TableOUMUHUSGE[[#This Row],[Structure Line]]," "),TableOUMUHUSGE[[#This Row],[Structure Line]])</f>
        <v>Choose Options</v>
      </c>
      <c r="E305" s="44">
        <f>TableOUMUHUSGE[[#This Row],[Credit Points]]</f>
        <v>100</v>
      </c>
      <c r="F305" s="64">
        <v>1</v>
      </c>
      <c r="G305" s="64" t="s">
        <v>492</v>
      </c>
      <c r="H305" s="241">
        <v>0</v>
      </c>
      <c r="I305" s="64" t="s">
        <v>478</v>
      </c>
      <c r="J305" s="64" t="s">
        <v>230</v>
      </c>
      <c r="K305" s="64">
        <v>0</v>
      </c>
      <c r="L305" s="64" t="s">
        <v>533</v>
      </c>
      <c r="M305" s="64">
        <v>100</v>
      </c>
      <c r="N305" s="62"/>
      <c r="O305" s="62"/>
      <c r="P305" s="62"/>
      <c r="Q305" t="s">
        <v>230</v>
      </c>
      <c r="R305">
        <v>0</v>
      </c>
    </row>
    <row r="306" spans="1:18" x14ac:dyDescent="0.25">
      <c r="A306" t="str">
        <f>TableOUMUHUSGE[[#This Row],[Study Package Code]]</f>
        <v>COMS1012</v>
      </c>
      <c r="B306" s="5">
        <f>TableOUMUHUSGE[[#This Row],[Ver]]</f>
        <v>2</v>
      </c>
      <c r="C306" t="str">
        <f>IF(TableOUMUHUSGE[[#This Row],[Ver]]&gt;0,_xlfn.TEXTBEFORE(TableOUMUHUSGE[[#This Row],[Structure Line]]," "),"")</f>
        <v>COM155</v>
      </c>
      <c r="D306" t="str">
        <f>IF(TableOUMUHUSGE[[#This Row],[OUA Code]]&lt;&gt;"",_xlfn.TEXTAFTER(TableOUMUHUSGE[[#This Row],[Structure Line]]," "),TableOUMUHUSGE[[#This Row],[Structure Line]])</f>
        <v>Culture to Cultures</v>
      </c>
      <c r="E306" s="44">
        <f>TableOUMUHUSGE[[#This Row],[Credit Points]]</f>
        <v>25</v>
      </c>
      <c r="F306" s="64">
        <v>2</v>
      </c>
      <c r="G306" s="64" t="s">
        <v>477</v>
      </c>
      <c r="H306" s="241">
        <v>1</v>
      </c>
      <c r="I306" s="64" t="s">
        <v>478</v>
      </c>
      <c r="J306" s="64" t="s">
        <v>187</v>
      </c>
      <c r="K306" s="64">
        <v>2</v>
      </c>
      <c r="L306" s="64" t="s">
        <v>554</v>
      </c>
      <c r="M306" s="64">
        <v>25</v>
      </c>
      <c r="N306" s="62">
        <v>44562</v>
      </c>
      <c r="O306" s="62"/>
      <c r="P306" s="62"/>
      <c r="Q306" t="s">
        <v>187</v>
      </c>
      <c r="R306">
        <v>2</v>
      </c>
    </row>
    <row r="307" spans="1:18" x14ac:dyDescent="0.25">
      <c r="A307" t="str">
        <f>TableOUMUHUSGE[[#This Row],[Study Package Code]]</f>
        <v>EDSC4025</v>
      </c>
      <c r="B307" s="5">
        <f>TableOUMUHUSGE[[#This Row],[Ver]]</f>
        <v>1</v>
      </c>
      <c r="C307" t="str">
        <f>IF(TableOUMUHUSGE[[#This Row],[Ver]]&gt;0,_xlfn.TEXTBEFORE(TableOUMUHUSGE[[#This Row],[Structure Line]]," "),"")</f>
        <v>EDS144</v>
      </c>
      <c r="D307" t="str">
        <f>IF(TableOUMUHUSGE[[#This Row],[OUA Code]]&lt;&gt;"",_xlfn.TEXTAFTER(TableOUMUHUSGE[[#This Row],[Structure Line]]," "),TableOUMUHUSGE[[#This Row],[Structure Line]])</f>
        <v>Curriculum and Instruction Lower Secondary: Humanities and Social Sciences</v>
      </c>
      <c r="E307" s="44">
        <f>TableOUMUHUSGE[[#This Row],[Credit Points]]</f>
        <v>25</v>
      </c>
      <c r="F307" s="64">
        <v>3</v>
      </c>
      <c r="G307" s="64" t="s">
        <v>477</v>
      </c>
      <c r="H307" s="241">
        <v>1</v>
      </c>
      <c r="I307" s="64" t="s">
        <v>478</v>
      </c>
      <c r="J307" s="64" t="s">
        <v>190</v>
      </c>
      <c r="K307" s="64">
        <v>1</v>
      </c>
      <c r="L307" s="64" t="s">
        <v>555</v>
      </c>
      <c r="M307" s="64">
        <v>25</v>
      </c>
      <c r="N307" s="62">
        <v>43556</v>
      </c>
      <c r="O307" s="62"/>
      <c r="P307" s="62"/>
      <c r="Q307" t="s">
        <v>190</v>
      </c>
      <c r="R307">
        <v>1</v>
      </c>
    </row>
    <row r="308" spans="1:18" x14ac:dyDescent="0.25">
      <c r="A308" t="str">
        <f>TableOUMUHUSGE[[#This Row],[Study Package Code]]</f>
        <v>GEOG1001</v>
      </c>
      <c r="B308" s="5">
        <f>TableOUMUHUSGE[[#This Row],[Ver]]</f>
        <v>1</v>
      </c>
      <c r="C308" t="str">
        <f>IF(TableOUMUHUSGE[[#This Row],[Ver]]&gt;0,_xlfn.TEXTBEFORE(TableOUMUHUSGE[[#This Row],[Structure Line]]," "),"")</f>
        <v>GPH100</v>
      </c>
      <c r="D308" t="str">
        <f>IF(TableOUMUHUSGE[[#This Row],[OUA Code]]&lt;&gt;"",_xlfn.TEXTAFTER(TableOUMUHUSGE[[#This Row],[Structure Line]]," "),TableOUMUHUSGE[[#This Row],[Structure Line]])</f>
        <v>Human Geography</v>
      </c>
      <c r="E308" s="44">
        <f>TableOUMUHUSGE[[#This Row],[Credit Points]]</f>
        <v>25</v>
      </c>
      <c r="F308" s="64">
        <v>4</v>
      </c>
      <c r="G308" s="64" t="s">
        <v>477</v>
      </c>
      <c r="H308" s="241">
        <v>1</v>
      </c>
      <c r="I308" s="64" t="s">
        <v>478</v>
      </c>
      <c r="J308" s="64" t="s">
        <v>184</v>
      </c>
      <c r="K308" s="64">
        <v>1</v>
      </c>
      <c r="L308" s="64" t="s">
        <v>556</v>
      </c>
      <c r="M308" s="64">
        <v>25</v>
      </c>
      <c r="N308" s="62">
        <v>42979</v>
      </c>
      <c r="O308" s="62"/>
      <c r="P308" s="62"/>
      <c r="Q308" t="s">
        <v>184</v>
      </c>
      <c r="R308">
        <v>1</v>
      </c>
    </row>
    <row r="309" spans="1:18" x14ac:dyDescent="0.25">
      <c r="A309" t="str">
        <f>TableOUMUHUSGE[[#This Row],[Study Package Code]]</f>
        <v>ECON1000</v>
      </c>
      <c r="B309" s="5">
        <f>TableOUMUHUSGE[[#This Row],[Ver]]</f>
        <v>1</v>
      </c>
      <c r="C309" t="s">
        <v>194</v>
      </c>
      <c r="D309" t="str">
        <f>TableOUMUHUSGE[[#This Row],[Structure Line]]</f>
        <v>Introductory Economics</v>
      </c>
      <c r="E309" s="44">
        <f>TableOUMUHUSGE[[#This Row],[Credit Points]]</f>
        <v>25</v>
      </c>
      <c r="F309" s="64">
        <v>5</v>
      </c>
      <c r="G309" s="64" t="s">
        <v>477</v>
      </c>
      <c r="H309" s="241">
        <v>2</v>
      </c>
      <c r="I309" s="64" t="s">
        <v>478</v>
      </c>
      <c r="J309" s="64" t="s">
        <v>194</v>
      </c>
      <c r="K309" s="64">
        <v>1</v>
      </c>
      <c r="L309" s="64" t="s">
        <v>264</v>
      </c>
      <c r="M309" s="64">
        <v>25</v>
      </c>
      <c r="N309" s="62">
        <v>42005</v>
      </c>
      <c r="O309" s="62"/>
      <c r="P309" s="62"/>
      <c r="Q309" t="s">
        <v>266</v>
      </c>
      <c r="R309">
        <v>1</v>
      </c>
    </row>
    <row r="310" spans="1:18" x14ac:dyDescent="0.25">
      <c r="A310" t="str">
        <f>TableOUMUHUSGE[[#This Row],[Study Package Code]]</f>
        <v>EDSC4027</v>
      </c>
      <c r="B310" s="5">
        <f>TableOUMUHUSGE[[#This Row],[Ver]]</f>
        <v>2</v>
      </c>
      <c r="C310" t="str">
        <f>IF(TableOUMUHUSGE[[#This Row],[Ver]]&gt;0,_xlfn.TEXTBEFORE(TableOUMUHUSGE[[#This Row],[Structure Line]]," "),"")</f>
        <v>EDS375</v>
      </c>
      <c r="D310" t="str">
        <f>IF(TableOUMUHUSGE[[#This Row],[OUA Code]]&lt;&gt;"",_xlfn.TEXTAFTER(TableOUMUHUSGE[[#This Row],[Structure Line]]," "),TableOUMUHUSGE[[#This Row],[Structure Line]])</f>
        <v>Curriculum and Instruction Senior Secondary: Humanities and Social Sciences</v>
      </c>
      <c r="E310" s="44">
        <f>TableOUMUHUSGE[[#This Row],[Credit Points]]</f>
        <v>25</v>
      </c>
      <c r="F310" s="64">
        <v>6</v>
      </c>
      <c r="G310" s="64" t="s">
        <v>477</v>
      </c>
      <c r="H310" s="241">
        <v>2</v>
      </c>
      <c r="I310" s="64" t="s">
        <v>478</v>
      </c>
      <c r="J310" s="64" t="s">
        <v>203</v>
      </c>
      <c r="K310" s="64">
        <v>2</v>
      </c>
      <c r="L310" s="64" t="s">
        <v>557</v>
      </c>
      <c r="M310" s="64">
        <v>25</v>
      </c>
      <c r="N310" s="62">
        <v>43831</v>
      </c>
      <c r="O310" s="62"/>
      <c r="P310" s="62"/>
      <c r="Q310" t="s">
        <v>203</v>
      </c>
      <c r="R310">
        <v>2</v>
      </c>
    </row>
    <row r="311" spans="1:18" x14ac:dyDescent="0.25">
      <c r="A311" t="str">
        <f>TableOUMUHUSGE[[#This Row],[Study Package Code]]</f>
        <v>PHGY1001</v>
      </c>
      <c r="B311" s="5">
        <f>TableOUMUHUSGE[[#This Row],[Ver]]</f>
        <v>1</v>
      </c>
      <c r="C311" t="str">
        <f>IF(TableOUMUHUSGE[[#This Row],[Ver]]&gt;0,_xlfn.TEXTBEFORE(TableOUMUHUSGE[[#This Row],[Structure Line]]," "),"")</f>
        <v>GPH110</v>
      </c>
      <c r="D311" t="str">
        <f>IF(TableOUMUHUSGE[[#This Row],[OUA Code]]&lt;&gt;"",_xlfn.TEXTAFTER(TableOUMUHUSGE[[#This Row],[Structure Line]]," "),TableOUMUHUSGE[[#This Row],[Structure Line]])</f>
        <v>Physical Geography</v>
      </c>
      <c r="E311" s="44">
        <f>TableOUMUHUSGE[[#This Row],[Credit Points]]</f>
        <v>25</v>
      </c>
      <c r="F311" s="64">
        <v>7</v>
      </c>
      <c r="G311" s="64" t="s">
        <v>477</v>
      </c>
      <c r="H311" s="241">
        <v>2</v>
      </c>
      <c r="I311" s="64" t="s">
        <v>478</v>
      </c>
      <c r="J311" s="64" t="s">
        <v>198</v>
      </c>
      <c r="K311" s="64">
        <v>1</v>
      </c>
      <c r="L311" s="64" t="s">
        <v>558</v>
      </c>
      <c r="M311" s="64">
        <v>25</v>
      </c>
      <c r="N311" s="62">
        <v>42979</v>
      </c>
      <c r="O311" s="62"/>
      <c r="P311" s="62"/>
      <c r="Q311" t="s">
        <v>198</v>
      </c>
      <c r="R311">
        <v>1</v>
      </c>
    </row>
    <row r="312" spans="1:18" x14ac:dyDescent="0.25">
      <c r="A312" t="str">
        <f>TableOUMUHUSGE[[#This Row],[Study Package Code]]</f>
        <v>AC-HSGE11</v>
      </c>
      <c r="B312" s="5">
        <f>TableOUMUHUSGE[[#This Row],[Ver]]</f>
        <v>0</v>
      </c>
      <c r="C312" t="str">
        <f>IF(TableOUMUHUSGE[[#This Row],[Ver]]&gt;0,_xlfn.TEXTBEFORE(TableOUMUHUSGE[[#This Row],[Structure Line]]," "),"")</f>
        <v/>
      </c>
      <c r="D312" t="str">
        <f>IF(TableOUMUHUSGE[[#This Row],[OUA Code]]&lt;&gt;"",_xlfn.TEXTAFTER(TableOUMUHUSGE[[#This Row],[Structure Line]]," "),TableOUMUHUSGE[[#This Row],[Structure Line]])</f>
        <v>Choose GEOG2005 or PHGY2001</v>
      </c>
      <c r="E312" s="44">
        <f>TableOUMUHUSGE[[#This Row],[Credit Points]]</f>
        <v>25</v>
      </c>
      <c r="F312" s="64">
        <v>8</v>
      </c>
      <c r="G312" s="64" t="s">
        <v>525</v>
      </c>
      <c r="H312" s="241">
        <v>2</v>
      </c>
      <c r="I312" s="64" t="s">
        <v>478</v>
      </c>
      <c r="J312" s="64" t="s">
        <v>201</v>
      </c>
      <c r="K312" s="64">
        <v>0</v>
      </c>
      <c r="L312" s="64" t="s">
        <v>559</v>
      </c>
      <c r="M312" s="64">
        <v>25</v>
      </c>
      <c r="N312" s="62"/>
      <c r="O312" s="62"/>
      <c r="P312" s="62"/>
      <c r="Q312" t="s">
        <v>201</v>
      </c>
      <c r="R312">
        <v>0</v>
      </c>
    </row>
    <row r="313" spans="1:18" x14ac:dyDescent="0.25">
      <c r="A313" t="str">
        <f>TableOUMUHUSGE[[#This Row],[Study Package Code]]</f>
        <v>EDPR3010</v>
      </c>
      <c r="B313" s="5">
        <f>TableOUMUHUSGE[[#This Row],[Ver]]</f>
        <v>3</v>
      </c>
      <c r="C313" t="str">
        <f>IF(TableOUMUHUSGE[[#This Row],[Ver]]&gt;0,_xlfn.TEXTBEFORE(TableOUMUHUSGE[[#This Row],[Structure Line]]," "),"")</f>
        <v>EDP373</v>
      </c>
      <c r="D313" t="str">
        <f>IF(TableOUMUHUSGE[[#This Row],[OUA Code]]&lt;&gt;"",_xlfn.TEXTAFTER(TableOUMUHUSGE[[#This Row],[Structure Line]]," "),TableOUMUHUSGE[[#This Row],[Structure Line]])</f>
        <v>Inquiry in the Humanities and Social Sciences Classroom</v>
      </c>
      <c r="E313" s="44">
        <f>TableOUMUHUSGE[[#This Row],[Credit Points]]</f>
        <v>25</v>
      </c>
      <c r="F313" s="64">
        <v>9</v>
      </c>
      <c r="G313" s="64" t="s">
        <v>477</v>
      </c>
      <c r="H313" s="241">
        <v>3</v>
      </c>
      <c r="I313" s="64" t="s">
        <v>478</v>
      </c>
      <c r="J313" s="64" t="s">
        <v>115</v>
      </c>
      <c r="K313" s="64">
        <v>3</v>
      </c>
      <c r="L313" s="64" t="s">
        <v>516</v>
      </c>
      <c r="M313" s="64">
        <v>25</v>
      </c>
      <c r="N313" s="62">
        <v>43466</v>
      </c>
      <c r="O313" s="62"/>
      <c r="P313" s="62"/>
      <c r="Q313" t="s">
        <v>115</v>
      </c>
      <c r="R313">
        <v>3</v>
      </c>
    </row>
    <row r="314" spans="1:18" x14ac:dyDescent="0.25">
      <c r="A314" t="str">
        <f>TableOUMUHUSGE[[#This Row],[Study Package Code]]</f>
        <v>AC-HSGE12</v>
      </c>
      <c r="B314" s="5">
        <f>TableOUMUHUSGE[[#This Row],[Ver]]</f>
        <v>0</v>
      </c>
      <c r="C314" t="str">
        <f>IF(TableOUMUHUSGE[[#This Row],[Ver]]&gt;0,_xlfn.TEXTBEFORE(TableOUMUHUSGE[[#This Row],[Structure Line]]," "),"")</f>
        <v/>
      </c>
      <c r="D314" t="str">
        <f>IF(TableOUMUHUSGE[[#This Row],[OUA Code]]&lt;&gt;"",_xlfn.TEXTAFTER(TableOUMUHUSGE[[#This Row],[Structure Line]]," "),TableOUMUHUSGE[[#This Row],[Structure Line]])</f>
        <v>Choose GEOG2004 or GEOG2003</v>
      </c>
      <c r="E314" s="44">
        <f>TableOUMUHUSGE[[#This Row],[Credit Points]]</f>
        <v>25</v>
      </c>
      <c r="F314" s="64">
        <v>10</v>
      </c>
      <c r="G314" s="64" t="s">
        <v>525</v>
      </c>
      <c r="H314" s="241">
        <v>3</v>
      </c>
      <c r="I314" s="64" t="s">
        <v>478</v>
      </c>
      <c r="J314" s="64" t="s">
        <v>209</v>
      </c>
      <c r="K314" s="64">
        <v>0</v>
      </c>
      <c r="L314" s="64" t="s">
        <v>560</v>
      </c>
      <c r="M314" s="64">
        <v>25</v>
      </c>
      <c r="N314" s="62"/>
      <c r="O314" s="62"/>
      <c r="Q314" t="s">
        <v>209</v>
      </c>
      <c r="R314">
        <v>0</v>
      </c>
    </row>
    <row r="315" spans="1:18" x14ac:dyDescent="0.25">
      <c r="A315" t="str">
        <f>TableOUMUHUSGE[[#This Row],[Study Package Code]]</f>
        <v>GEOG3003</v>
      </c>
      <c r="B315" s="5">
        <f>TableOUMUHUSGE[[#This Row],[Ver]]</f>
        <v>1</v>
      </c>
      <c r="C315" t="str">
        <f>IF(TableOUMUHUSGE[[#This Row],[Ver]]&gt;0,_xlfn.TEXTBEFORE(TableOUMUHUSGE[[#This Row],[Structure Line]]," "),"")</f>
        <v>GPH300</v>
      </c>
      <c r="D315" t="str">
        <f>IF(TableOUMUHUSGE[[#This Row],[OUA Code]]&lt;&gt;"",_xlfn.TEXTAFTER(TableOUMUHUSGE[[#This Row],[Structure Line]]," "),TableOUMUHUSGE[[#This Row],[Structure Line]])</f>
        <v>Sustainable Livelihoods</v>
      </c>
      <c r="E315" s="44">
        <f>TableOUMUHUSGE[[#This Row],[Credit Points]]</f>
        <v>25</v>
      </c>
      <c r="F315" s="64">
        <v>11</v>
      </c>
      <c r="G315" s="64" t="s">
        <v>477</v>
      </c>
      <c r="H315" s="241">
        <v>4</v>
      </c>
      <c r="I315" s="64" t="s">
        <v>478</v>
      </c>
      <c r="J315" s="64" t="s">
        <v>213</v>
      </c>
      <c r="K315" s="64">
        <v>1</v>
      </c>
      <c r="L315" s="64" t="s">
        <v>561</v>
      </c>
      <c r="M315" s="64">
        <v>25</v>
      </c>
      <c r="N315" s="62">
        <v>42979</v>
      </c>
      <c r="O315" s="62"/>
      <c r="P315" s="49"/>
      <c r="Q315" t="s">
        <v>213</v>
      </c>
      <c r="R315">
        <v>1</v>
      </c>
    </row>
    <row r="316" spans="1:18" x14ac:dyDescent="0.25">
      <c r="A316" t="str">
        <f>TableOUMUHUSGE[[#This Row],[Study Package Code]]</f>
        <v>AC-HSGE13</v>
      </c>
      <c r="B316" s="5">
        <f>TableOUMUHUSGE[[#This Row],[Ver]]</f>
        <v>0</v>
      </c>
      <c r="C316" t="str">
        <f>IF(TableOUMUHUSGE[[#This Row],[Ver]]&gt;0,_xlfn.TEXTBEFORE(TableOUMUHUSGE[[#This Row],[Structure Line]]," "),"")</f>
        <v/>
      </c>
      <c r="D316" t="str">
        <f>IF(TableOUMUHUSGE[[#This Row],[OUA Code]]&lt;&gt;"",_xlfn.TEXTAFTER(TableOUMUHUSGE[[#This Row],[Structure Line]]," "),TableOUMUHUSGE[[#This Row],[Structure Line]])</f>
        <v>Choose PHGY3001 or GEOG3002</v>
      </c>
      <c r="E316" s="44">
        <f>TableOUMUHUSGE[[#This Row],[Credit Points]]</f>
        <v>25</v>
      </c>
      <c r="F316" s="64">
        <v>12</v>
      </c>
      <c r="G316" s="64" t="s">
        <v>525</v>
      </c>
      <c r="H316" s="241">
        <v>4</v>
      </c>
      <c r="I316" s="64" t="s">
        <v>478</v>
      </c>
      <c r="J316" s="64" t="s">
        <v>216</v>
      </c>
      <c r="K316" s="64">
        <v>0</v>
      </c>
      <c r="L316" s="64" t="s">
        <v>562</v>
      </c>
      <c r="M316" s="64">
        <v>25</v>
      </c>
      <c r="N316" s="62"/>
      <c r="O316" s="62"/>
      <c r="P316" s="62"/>
      <c r="Q316" t="s">
        <v>216</v>
      </c>
      <c r="R316">
        <v>0</v>
      </c>
    </row>
    <row r="317" spans="1:18" x14ac:dyDescent="0.25">
      <c r="A317" t="str">
        <f>TableOUMUHUSGE[[#This Row],[Study Package Code]]</f>
        <v>CTED4004</v>
      </c>
      <c r="B317" s="5">
        <f>TableOUMUHUSGE[[#This Row],[Ver]]</f>
        <v>2</v>
      </c>
      <c r="C317" t="str">
        <f>IF(TableOUMUHUSGE[[#This Row],[Ver]]&gt;0,_xlfn.TEXTBEFORE(TableOUMUHUSGE[[#This Row],[Structure Line]]," "),"")</f>
        <v>EDC484</v>
      </c>
      <c r="D317" t="str">
        <f>IF(TableOUMUHUSGE[[#This Row],[OUA Code]]&lt;&gt;"",_xlfn.TEXTAFTER(TableOUMUHUSGE[[#This Row],[Structure Line]]," "),TableOUMUHUSGE[[#This Row],[Structure Line]])</f>
        <v>Teaching About Sacraments in Catholic Schools</v>
      </c>
      <c r="E317" s="44">
        <f>TableOUMUHUSGE[[#This Row],[Credit Points]]</f>
        <v>25</v>
      </c>
      <c r="F317" s="64">
        <v>1</v>
      </c>
      <c r="G317" s="64" t="s">
        <v>492</v>
      </c>
      <c r="H317" s="241">
        <v>0</v>
      </c>
      <c r="I317" s="64" t="s">
        <v>478</v>
      </c>
      <c r="J317" s="64" t="s">
        <v>152</v>
      </c>
      <c r="K317" s="64">
        <v>2</v>
      </c>
      <c r="L317" s="64" t="s">
        <v>497</v>
      </c>
      <c r="M317" s="64">
        <v>25</v>
      </c>
      <c r="N317" s="62">
        <v>45292</v>
      </c>
      <c r="O317" s="62"/>
      <c r="P317" s="62"/>
      <c r="Q317" t="s">
        <v>152</v>
      </c>
      <c r="R317">
        <v>2</v>
      </c>
    </row>
    <row r="318" spans="1:18" x14ac:dyDescent="0.25">
      <c r="A318" t="str">
        <f>TableOUMUHUSGE[[#This Row],[Study Package Code]]</f>
        <v>CTED4007</v>
      </c>
      <c r="B318" s="5">
        <f>TableOUMUHUSGE[[#This Row],[Ver]]</f>
        <v>1</v>
      </c>
      <c r="C318" t="str">
        <f>IF(TableOUMUHUSGE[[#This Row],[Ver]]&gt;0,_xlfn.TEXTBEFORE(TableOUMUHUSGE[[#This Row],[Structure Line]]," "),"")</f>
        <v>EDC430</v>
      </c>
      <c r="D318" t="str">
        <f>IF(TableOUMUHUSGE[[#This Row],[OUA Code]]&lt;&gt;"",_xlfn.TEXTAFTER(TableOUMUHUSGE[[#This Row],[Structure Line]]," "),TableOUMUHUSGE[[#This Row],[Structure Line]])</f>
        <v>Teaching About Jesus in Catholic Schools</v>
      </c>
      <c r="E318" s="44">
        <f>TableOUMUHUSGE[[#This Row],[Credit Points]]</f>
        <v>25</v>
      </c>
      <c r="F318" s="64">
        <v>1</v>
      </c>
      <c r="G318" s="64" t="s">
        <v>492</v>
      </c>
      <c r="H318" s="241">
        <v>0</v>
      </c>
      <c r="I318" s="64" t="s">
        <v>478</v>
      </c>
      <c r="J318" s="64" t="s">
        <v>153</v>
      </c>
      <c r="K318" s="64">
        <v>1</v>
      </c>
      <c r="L318" s="64" t="s">
        <v>498</v>
      </c>
      <c r="M318" s="64">
        <v>25</v>
      </c>
      <c r="N318" s="62">
        <v>45292</v>
      </c>
      <c r="O318" s="62"/>
      <c r="P318" s="62"/>
      <c r="Q318" t="s">
        <v>153</v>
      </c>
      <c r="R318">
        <v>1</v>
      </c>
    </row>
    <row r="319" spans="1:18" x14ac:dyDescent="0.25">
      <c r="A319" t="str">
        <f>TableOUMUHUSGE[[#This Row],[Study Package Code]]</f>
        <v>CTED4009</v>
      </c>
      <c r="B319" s="5">
        <f>TableOUMUHUSGE[[#This Row],[Ver]]</f>
        <v>1</v>
      </c>
      <c r="C319" t="str">
        <f>IF(TableOUMUHUSGE[[#This Row],[Ver]]&gt;0,_xlfn.TEXTBEFORE(TableOUMUHUSGE[[#This Row],[Structure Line]]," "),"")</f>
        <v>EDC435</v>
      </c>
      <c r="D319" t="str">
        <f>IF(TableOUMUHUSGE[[#This Row],[OUA Code]]&lt;&gt;"",_xlfn.TEXTAFTER(TableOUMUHUSGE[[#This Row],[Structure Line]]," "),TableOUMUHUSGE[[#This Row],[Structure Line]])</f>
        <v>Teaching About the Gospels in Catholic Schools</v>
      </c>
      <c r="E319" s="44">
        <f>TableOUMUHUSGE[[#This Row],[Credit Points]]</f>
        <v>25</v>
      </c>
      <c r="F319" s="64">
        <v>1</v>
      </c>
      <c r="G319" s="64" t="s">
        <v>492</v>
      </c>
      <c r="H319" s="241">
        <v>0</v>
      </c>
      <c r="I319" s="64" t="s">
        <v>478</v>
      </c>
      <c r="J319" s="64" t="s">
        <v>154</v>
      </c>
      <c r="K319" s="64">
        <v>1</v>
      </c>
      <c r="L319" s="64" t="s">
        <v>499</v>
      </c>
      <c r="M319" s="64">
        <v>25</v>
      </c>
      <c r="N319" s="62">
        <v>45292</v>
      </c>
      <c r="O319" s="62"/>
      <c r="P319" s="62"/>
      <c r="Q319" t="s">
        <v>154</v>
      </c>
      <c r="R319">
        <v>1</v>
      </c>
    </row>
    <row r="320" spans="1:18" x14ac:dyDescent="0.25">
      <c r="A320" t="str">
        <f>TableOUMUHUSGE[[#This Row],[Study Package Code]]</f>
        <v>EDUC4024</v>
      </c>
      <c r="B320" s="5">
        <f>TableOUMUHUSGE[[#This Row],[Ver]]</f>
        <v>1</v>
      </c>
      <c r="C320" t="str">
        <f>IF(TableOUMUHUSGE[[#This Row],[Ver]]&gt;0,_xlfn.TEXTBEFORE(TableOUMUHUSGE[[#This Row],[Structure Line]]," "),"")</f>
        <v>EDC486</v>
      </c>
      <c r="D320" t="str">
        <f>IF(TableOUMUHUSGE[[#This Row],[OUA Code]]&lt;&gt;"",_xlfn.TEXTAFTER(TableOUMUHUSGE[[#This Row],[Structure Line]]," "),TableOUMUHUSGE[[#This Row],[Structure Line]])</f>
        <v>Creating and Responding to Literature</v>
      </c>
      <c r="E320" s="44">
        <f>TableOUMUHUSGE[[#This Row],[Credit Points]]</f>
        <v>25</v>
      </c>
      <c r="F320" s="64">
        <v>1</v>
      </c>
      <c r="G320" s="64" t="s">
        <v>492</v>
      </c>
      <c r="H320" s="241">
        <v>0</v>
      </c>
      <c r="I320" s="64" t="s">
        <v>478</v>
      </c>
      <c r="J320" s="64" t="s">
        <v>140</v>
      </c>
      <c r="K320" s="64">
        <v>1</v>
      </c>
      <c r="L320" s="64" t="s">
        <v>500</v>
      </c>
      <c r="M320" s="64">
        <v>25</v>
      </c>
      <c r="N320" s="62">
        <v>43282</v>
      </c>
      <c r="O320" s="62"/>
      <c r="P320" s="62"/>
      <c r="Q320" t="s">
        <v>140</v>
      </c>
      <c r="R320">
        <v>1</v>
      </c>
    </row>
    <row r="321" spans="1:18" x14ac:dyDescent="0.25">
      <c r="A321" t="str">
        <f>TableOUMUHUSGE[[#This Row],[Study Package Code]]</f>
        <v>EDUC4025</v>
      </c>
      <c r="B321" s="5">
        <f>TableOUMUHUSGE[[#This Row],[Ver]]</f>
        <v>1</v>
      </c>
      <c r="C321" t="str">
        <f>IF(TableOUMUHUSGE[[#This Row],[Ver]]&gt;0,_xlfn.TEXTBEFORE(TableOUMUHUSGE[[#This Row],[Structure Line]]," "),"")</f>
        <v>EDC487</v>
      </c>
      <c r="D321" t="str">
        <f>IF(TableOUMUHUSGE[[#This Row],[OUA Code]]&lt;&gt;"",_xlfn.TEXTAFTER(TableOUMUHUSGE[[#This Row],[Structure Line]]," "),TableOUMUHUSGE[[#This Row],[Structure Line]])</f>
        <v>Creative Literacies</v>
      </c>
      <c r="E321" s="44">
        <f>TableOUMUHUSGE[[#This Row],[Credit Points]]</f>
        <v>25</v>
      </c>
      <c r="F321" s="64">
        <v>1</v>
      </c>
      <c r="G321" s="64" t="s">
        <v>492</v>
      </c>
      <c r="H321" s="241">
        <v>0</v>
      </c>
      <c r="I321" s="64" t="s">
        <v>478</v>
      </c>
      <c r="J321" s="64" t="s">
        <v>141</v>
      </c>
      <c r="K321" s="64">
        <v>1</v>
      </c>
      <c r="L321" s="64" t="s">
        <v>501</v>
      </c>
      <c r="M321" s="64">
        <v>25</v>
      </c>
      <c r="N321" s="62">
        <v>43282</v>
      </c>
      <c r="O321" s="62"/>
      <c r="P321" s="62"/>
      <c r="Q321" t="s">
        <v>141</v>
      </c>
      <c r="R321">
        <v>1</v>
      </c>
    </row>
    <row r="322" spans="1:18" x14ac:dyDescent="0.25">
      <c r="A322" t="str">
        <f>TableOUMUHUSGE[[#This Row],[Study Package Code]]</f>
        <v>EDUC4026</v>
      </c>
      <c r="B322" s="5">
        <f>TableOUMUHUSGE[[#This Row],[Ver]]</f>
        <v>1</v>
      </c>
      <c r="C322" t="str">
        <f>IF(TableOUMUHUSGE[[#This Row],[Ver]]&gt;0,_xlfn.TEXTBEFORE(TableOUMUHUSGE[[#This Row],[Structure Line]]," "),"")</f>
        <v>EDC488</v>
      </c>
      <c r="D322" t="str">
        <f>IF(TableOUMUHUSGE[[#This Row],[OUA Code]]&lt;&gt;"",_xlfn.TEXTAFTER(TableOUMUHUSGE[[#This Row],[Structure Line]]," "),TableOUMUHUSGE[[#This Row],[Structure Line]])</f>
        <v>Project-based iSTEM Education</v>
      </c>
      <c r="E322" s="44">
        <f>TableOUMUHUSGE[[#This Row],[Credit Points]]</f>
        <v>25</v>
      </c>
      <c r="F322" s="64">
        <v>1</v>
      </c>
      <c r="G322" s="64" t="s">
        <v>492</v>
      </c>
      <c r="H322" s="241">
        <v>0</v>
      </c>
      <c r="I322" s="64" t="s">
        <v>478</v>
      </c>
      <c r="J322" s="64" t="s">
        <v>136</v>
      </c>
      <c r="K322" s="64">
        <v>1</v>
      </c>
      <c r="L322" s="64" t="s">
        <v>502</v>
      </c>
      <c r="M322" s="64">
        <v>25</v>
      </c>
      <c r="N322" s="62">
        <v>43282</v>
      </c>
      <c r="O322" s="62"/>
      <c r="P322" s="62"/>
      <c r="Q322" t="s">
        <v>136</v>
      </c>
      <c r="R322">
        <v>1</v>
      </c>
    </row>
    <row r="323" spans="1:18" x14ac:dyDescent="0.25">
      <c r="A323" t="str">
        <f>TableOUMUHUSGE[[#This Row],[Study Package Code]]</f>
        <v>EDUC4030</v>
      </c>
      <c r="B323" s="5">
        <f>TableOUMUHUSGE[[#This Row],[Ver]]</f>
        <v>1</v>
      </c>
      <c r="C323" t="str">
        <f>IF(TableOUMUHUSGE[[#This Row],[Ver]]&gt;0,_xlfn.TEXTBEFORE(TableOUMUHUSGE[[#This Row],[Structure Line]]," "),"")</f>
        <v>EDC491</v>
      </c>
      <c r="D323" t="str">
        <f>IF(TableOUMUHUSGE[[#This Row],[OUA Code]]&lt;&gt;"",_xlfn.TEXTAFTER(TableOUMUHUSGE[[#This Row],[Structure Line]]," "),TableOUMUHUSGE[[#This Row],[Structure Line]])</f>
        <v>Technologies: Coding for Teachers</v>
      </c>
      <c r="E323" s="44">
        <f>TableOUMUHUSGE[[#This Row],[Credit Points]]</f>
        <v>25</v>
      </c>
      <c r="F323" s="64">
        <v>1</v>
      </c>
      <c r="G323" s="64" t="s">
        <v>492</v>
      </c>
      <c r="H323" s="241">
        <v>0</v>
      </c>
      <c r="I323" s="64" t="s">
        <v>478</v>
      </c>
      <c r="J323" s="64" t="s">
        <v>148</v>
      </c>
      <c r="K323" s="64">
        <v>1</v>
      </c>
      <c r="L323" s="64" t="s">
        <v>504</v>
      </c>
      <c r="M323" s="64">
        <v>25</v>
      </c>
      <c r="N323" s="62">
        <v>43282</v>
      </c>
      <c r="O323" s="62"/>
      <c r="P323" s="62"/>
      <c r="Q323" t="s">
        <v>148</v>
      </c>
      <c r="R323">
        <v>1</v>
      </c>
    </row>
    <row r="324" spans="1:18" x14ac:dyDescent="0.25">
      <c r="A324" t="str">
        <f>TableOUMUHUSGE[[#This Row],[Study Package Code]]</f>
        <v>EDUC4033</v>
      </c>
      <c r="B324" s="5">
        <f>TableOUMUHUSGE[[#This Row],[Ver]]</f>
        <v>1</v>
      </c>
      <c r="C324" t="str">
        <f>IF(TableOUMUHUSGE[[#This Row],[Ver]]&gt;0,_xlfn.TEXTBEFORE(TableOUMUHUSGE[[#This Row],[Structure Line]]," "),"")</f>
        <v>EDC492</v>
      </c>
      <c r="D324" t="str">
        <f>IF(TableOUMUHUSGE[[#This Row],[OUA Code]]&lt;&gt;"",_xlfn.TEXTAFTER(TableOUMUHUSGE[[#This Row],[Structure Line]]," "),TableOUMUHUSGE[[#This Row],[Structure Line]])</f>
        <v>iSTEM Education through Digital Stories</v>
      </c>
      <c r="E324" s="44">
        <f>TableOUMUHUSGE[[#This Row],[Credit Points]]</f>
        <v>25</v>
      </c>
      <c r="F324" s="64">
        <v>1</v>
      </c>
      <c r="G324" s="64" t="s">
        <v>492</v>
      </c>
      <c r="H324" s="241">
        <v>0</v>
      </c>
      <c r="I324" s="64" t="s">
        <v>478</v>
      </c>
      <c r="J324" s="64" t="s">
        <v>137</v>
      </c>
      <c r="K324" s="64">
        <v>1</v>
      </c>
      <c r="L324" s="64" t="s">
        <v>505</v>
      </c>
      <c r="M324" s="64">
        <v>25</v>
      </c>
      <c r="N324" s="62">
        <v>43466</v>
      </c>
      <c r="O324" s="62"/>
      <c r="P324" s="62"/>
      <c r="Q324" t="s">
        <v>137</v>
      </c>
      <c r="R324">
        <v>1</v>
      </c>
    </row>
    <row r="325" spans="1:18" x14ac:dyDescent="0.25">
      <c r="A325" t="str">
        <f>TableOUMUHUSGE[[#This Row],[Study Package Code]]</f>
        <v>EDUC4035</v>
      </c>
      <c r="B325" s="5">
        <f>TableOUMUHUSGE[[#This Row],[Ver]]</f>
        <v>1</v>
      </c>
      <c r="C325" t="str">
        <f>IF(TableOUMUHUSGE[[#This Row],[Ver]]&gt;0,_xlfn.TEXTBEFORE(TableOUMUHUSGE[[#This Row],[Structure Line]]," "),"")</f>
        <v>EDC493</v>
      </c>
      <c r="D325" t="str">
        <f>IF(TableOUMUHUSGE[[#This Row],[OUA Code]]&lt;&gt;"",_xlfn.TEXTAFTER(TableOUMUHUSGE[[#This Row],[Structure Line]]," "),TableOUMUHUSGE[[#This Row],[Structure Line]])</f>
        <v>iSTEM: Social Issues</v>
      </c>
      <c r="E325" s="44">
        <f>TableOUMUHUSGE[[#This Row],[Credit Points]]</f>
        <v>25</v>
      </c>
      <c r="F325" s="64">
        <v>1</v>
      </c>
      <c r="G325" s="64" t="s">
        <v>492</v>
      </c>
      <c r="H325" s="241">
        <v>0</v>
      </c>
      <c r="I325" s="64" t="s">
        <v>478</v>
      </c>
      <c r="J325" s="64" t="s">
        <v>138</v>
      </c>
      <c r="K325" s="64">
        <v>1</v>
      </c>
      <c r="L325" s="64" t="s">
        <v>506</v>
      </c>
      <c r="M325" s="64">
        <v>25</v>
      </c>
      <c r="N325" s="62">
        <v>43466</v>
      </c>
      <c r="O325" s="62"/>
      <c r="P325" s="62"/>
      <c r="Q325" t="s">
        <v>138</v>
      </c>
      <c r="R325">
        <v>1</v>
      </c>
    </row>
    <row r="326" spans="1:18" x14ac:dyDescent="0.25">
      <c r="A326" t="str">
        <f>TableOUMUHUSGE[[#This Row],[Study Package Code]]</f>
        <v>EDUC4037</v>
      </c>
      <c r="B326" s="5">
        <f>TableOUMUHUSGE[[#This Row],[Ver]]</f>
        <v>1</v>
      </c>
      <c r="C326" t="str">
        <f>IF(TableOUMUHUSGE[[#This Row],[Ver]]&gt;0,_xlfn.TEXTBEFORE(TableOUMUHUSGE[[#This Row],[Structure Line]]," "),"")</f>
        <v>EDC494</v>
      </c>
      <c r="D326" t="str">
        <f>IF(TableOUMUHUSGE[[#This Row],[OUA Code]]&lt;&gt;"",_xlfn.TEXTAFTER(TableOUMUHUSGE[[#This Row],[Structure Line]]," "),TableOUMUHUSGE[[#This Row],[Structure Line]])</f>
        <v>Language and Diversity</v>
      </c>
      <c r="E326" s="44">
        <f>TableOUMUHUSGE[[#This Row],[Credit Points]]</f>
        <v>25</v>
      </c>
      <c r="F326" s="64">
        <v>1</v>
      </c>
      <c r="G326" s="64" t="s">
        <v>492</v>
      </c>
      <c r="H326" s="241">
        <v>0</v>
      </c>
      <c r="I326" s="64" t="s">
        <v>478</v>
      </c>
      <c r="J326" s="64" t="s">
        <v>142</v>
      </c>
      <c r="K326" s="64">
        <v>1</v>
      </c>
      <c r="L326" s="64" t="s">
        <v>507</v>
      </c>
      <c r="M326" s="64">
        <v>25</v>
      </c>
      <c r="N326" s="62">
        <v>43466</v>
      </c>
      <c r="O326" s="62"/>
      <c r="P326" s="62"/>
      <c r="Q326" t="s">
        <v>142</v>
      </c>
      <c r="R326">
        <v>1</v>
      </c>
    </row>
    <row r="327" spans="1:18" x14ac:dyDescent="0.25">
      <c r="A327" t="str">
        <f>TableOUMUHUSGE[[#This Row],[Study Package Code]]</f>
        <v>EDUC4039</v>
      </c>
      <c r="B327" s="5">
        <f>TableOUMUHUSGE[[#This Row],[Ver]]</f>
        <v>1</v>
      </c>
      <c r="C327" t="str">
        <f>IF(TableOUMUHUSGE[[#This Row],[Ver]]&gt;0,_xlfn.TEXTBEFORE(TableOUMUHUSGE[[#This Row],[Structure Line]]," "),"")</f>
        <v>EDC495</v>
      </c>
      <c r="D327" t="str">
        <f>IF(TableOUMUHUSGE[[#This Row],[OUA Code]]&lt;&gt;"",_xlfn.TEXTAFTER(TableOUMUHUSGE[[#This Row],[Structure Line]]," "),TableOUMUHUSGE[[#This Row],[Structure Line]])</f>
        <v>Technologies: Design Solutions</v>
      </c>
      <c r="E327" s="44">
        <f>TableOUMUHUSGE[[#This Row],[Credit Points]]</f>
        <v>25</v>
      </c>
      <c r="F327" s="64">
        <v>1</v>
      </c>
      <c r="G327" s="64" t="s">
        <v>492</v>
      </c>
      <c r="H327" s="241">
        <v>0</v>
      </c>
      <c r="I327" s="64" t="s">
        <v>478</v>
      </c>
      <c r="J327" s="64" t="s">
        <v>149</v>
      </c>
      <c r="K327" s="64">
        <v>1</v>
      </c>
      <c r="L327" s="64" t="s">
        <v>508</v>
      </c>
      <c r="M327" s="64">
        <v>25</v>
      </c>
      <c r="N327" s="62">
        <v>43466</v>
      </c>
      <c r="O327" s="62"/>
      <c r="P327" s="62"/>
      <c r="Q327" t="s">
        <v>149</v>
      </c>
      <c r="R327">
        <v>1</v>
      </c>
    </row>
    <row r="328" spans="1:18" x14ac:dyDescent="0.25">
      <c r="A328" t="str">
        <f>TableOUMUHUSGE[[#This Row],[Study Package Code]]</f>
        <v>EDUC4043</v>
      </c>
      <c r="B328" s="5">
        <f>TableOUMUHUSGE[[#This Row],[Ver]]</f>
        <v>1</v>
      </c>
      <c r="C328" t="str">
        <f>IF(TableOUMUHUSGE[[#This Row],[Ver]]&gt;0,_xlfn.TEXTBEFORE(TableOUMUHUSGE[[#This Row],[Structure Line]]," "),"")</f>
        <v>EDC465</v>
      </c>
      <c r="D328" t="str">
        <f>IF(TableOUMUHUSGE[[#This Row],[OUA Code]]&lt;&gt;"",_xlfn.TEXTAFTER(TableOUMUHUSGE[[#This Row],[Structure Line]]," "),TableOUMUHUSGE[[#This Row],[Structure Line]])</f>
        <v>Alternative Approaches to Teaching Literacy and Numeracy</v>
      </c>
      <c r="E328" s="44">
        <f>TableOUMUHUSGE[[#This Row],[Credit Points]]</f>
        <v>25</v>
      </c>
      <c r="F328" s="64">
        <v>1</v>
      </c>
      <c r="G328" s="64" t="s">
        <v>492</v>
      </c>
      <c r="H328" s="241">
        <v>0</v>
      </c>
      <c r="I328" s="64" t="s">
        <v>478</v>
      </c>
      <c r="J328" s="64" t="s">
        <v>145</v>
      </c>
      <c r="K328" s="64">
        <v>1</v>
      </c>
      <c r="L328" s="64" t="s">
        <v>509</v>
      </c>
      <c r="M328" s="64">
        <v>25</v>
      </c>
      <c r="N328" s="62">
        <v>43466</v>
      </c>
      <c r="O328" s="62"/>
      <c r="P328" s="62"/>
      <c r="Q328" t="s">
        <v>145</v>
      </c>
      <c r="R328">
        <v>1</v>
      </c>
    </row>
    <row r="329" spans="1:18" x14ac:dyDescent="0.25">
      <c r="A329" t="str">
        <f>TableOUMUHUSGE[[#This Row],[Study Package Code]]</f>
        <v>EDUC4045</v>
      </c>
      <c r="B329" s="5">
        <f>TableOUMUHUSGE[[#This Row],[Ver]]</f>
        <v>2</v>
      </c>
      <c r="C329" t="str">
        <f>IF(TableOUMUHUSGE[[#This Row],[Ver]]&gt;0,_xlfn.TEXTBEFORE(TableOUMUHUSGE[[#This Row],[Structure Line]]," "),"")</f>
        <v>EDC460</v>
      </c>
      <c r="D329" t="str">
        <f>IF(TableOUMUHUSGE[[#This Row],[OUA Code]]&lt;&gt;"",_xlfn.TEXTAFTER(TableOUMUHUSGE[[#This Row],[Structure Line]]," "),TableOUMUHUSGE[[#This Row],[Structure Line]])</f>
        <v>Literacy and Numeracy for First Nations Peoples of Australia</v>
      </c>
      <c r="E329" s="44">
        <f>TableOUMUHUSGE[[#This Row],[Credit Points]]</f>
        <v>25</v>
      </c>
      <c r="F329" s="64">
        <v>1</v>
      </c>
      <c r="G329" s="64" t="s">
        <v>492</v>
      </c>
      <c r="H329" s="241">
        <v>0</v>
      </c>
      <c r="I329" s="64" t="s">
        <v>478</v>
      </c>
      <c r="J329" s="64" t="s">
        <v>146</v>
      </c>
      <c r="K329" s="64">
        <v>2</v>
      </c>
      <c r="L329" s="64" t="s">
        <v>510</v>
      </c>
      <c r="M329" s="64">
        <v>25</v>
      </c>
      <c r="N329" s="62">
        <v>44927</v>
      </c>
      <c r="O329" s="62"/>
      <c r="P329" s="62"/>
      <c r="Q329" t="s">
        <v>146</v>
      </c>
      <c r="R329">
        <v>2</v>
      </c>
    </row>
    <row r="330" spans="1:18" x14ac:dyDescent="0.25">
      <c r="A330" t="str">
        <f>TableOUMUHUSGE[[#This Row],[Study Package Code]]</f>
        <v>EDUC4047</v>
      </c>
      <c r="B330" s="5">
        <f>TableOUMUHUSGE[[#This Row],[Ver]]</f>
        <v>1</v>
      </c>
      <c r="C330" t="str">
        <f>IF(TableOUMUHUSGE[[#This Row],[Ver]]&gt;0,_xlfn.TEXTBEFORE(TableOUMUHUSGE[[#This Row],[Structure Line]]," "),"")</f>
        <v>EDC470</v>
      </c>
      <c r="D330" t="str">
        <f>IF(TableOUMUHUSGE[[#This Row],[OUA Code]]&lt;&gt;"",_xlfn.TEXTAFTER(TableOUMUHUSGE[[#This Row],[Structure Line]]," "),TableOUMUHUSGE[[#This Row],[Structure Line]])</f>
        <v>Technologies: Digital Solutions</v>
      </c>
      <c r="E330" s="44">
        <f>TableOUMUHUSGE[[#This Row],[Credit Points]]</f>
        <v>25</v>
      </c>
      <c r="F330" s="64">
        <v>1</v>
      </c>
      <c r="G330" s="64" t="s">
        <v>492</v>
      </c>
      <c r="H330" s="241">
        <v>0</v>
      </c>
      <c r="I330" s="64" t="s">
        <v>478</v>
      </c>
      <c r="J330" s="64" t="s">
        <v>150</v>
      </c>
      <c r="K330" s="64">
        <v>1</v>
      </c>
      <c r="L330" s="64" t="s">
        <v>511</v>
      </c>
      <c r="M330" s="64">
        <v>25</v>
      </c>
      <c r="N330" s="62">
        <v>43466</v>
      </c>
      <c r="O330" s="62"/>
      <c r="P330" s="62"/>
      <c r="Q330" t="s">
        <v>150</v>
      </c>
      <c r="R330">
        <v>1</v>
      </c>
    </row>
    <row r="331" spans="1:18" x14ac:dyDescent="0.25">
      <c r="A331" t="str">
        <f>TableOUMUHUSGE[[#This Row],[Study Package Code]]</f>
        <v>GEOG2005</v>
      </c>
      <c r="B331" s="5">
        <f>TableOUMUHUSGE[[#This Row],[Ver]]</f>
        <v>1</v>
      </c>
      <c r="C331" t="str">
        <f>IF(TableOUMUHUSGE[[#This Row],[Ver]]&gt;0,_xlfn.TEXTBEFORE(TableOUMUHUSGE[[#This Row],[Structure Line]]," "),"")</f>
        <v>GPH210</v>
      </c>
      <c r="D331" t="str">
        <f>IF(TableOUMUHUSGE[[#This Row],[OUA Code]]&lt;&gt;"",_xlfn.TEXTAFTER(TableOUMUHUSGE[[#This Row],[Structure Line]]," "),TableOUMUHUSGE[[#This Row],[Structure Line]])</f>
        <v>Fieldwork Skills</v>
      </c>
      <c r="E331" s="44">
        <f>TableOUMUHUSGE[[#This Row],[Credit Points]]</f>
        <v>25</v>
      </c>
      <c r="F331" s="64">
        <v>8</v>
      </c>
      <c r="G331" s="64" t="s">
        <v>525</v>
      </c>
      <c r="H331" s="241">
        <v>2</v>
      </c>
      <c r="I331" s="64" t="s">
        <v>478</v>
      </c>
      <c r="J331" s="64" t="s">
        <v>221</v>
      </c>
      <c r="K331" s="64">
        <v>1</v>
      </c>
      <c r="L331" s="64" t="s">
        <v>563</v>
      </c>
      <c r="M331" s="64">
        <v>25</v>
      </c>
      <c r="N331" s="62">
        <v>42979</v>
      </c>
      <c r="O331" s="62"/>
      <c r="P331" s="62"/>
      <c r="Q331" t="s">
        <v>221</v>
      </c>
      <c r="R331">
        <v>1</v>
      </c>
    </row>
    <row r="332" spans="1:18" x14ac:dyDescent="0.25">
      <c r="A332" t="str">
        <f>TableOUMUHUSGE[[#This Row],[Study Package Code]]</f>
        <v>PHGY2001</v>
      </c>
      <c r="B332" s="5">
        <f>TableOUMUHUSGE[[#This Row],[Ver]]</f>
        <v>1</v>
      </c>
      <c r="C332" t="str">
        <f>IF(TableOUMUHUSGE[[#This Row],[Ver]]&gt;0,_xlfn.TEXTBEFORE(TableOUMUHUSGE[[#This Row],[Structure Line]]," "),"")</f>
        <v>GPH230</v>
      </c>
      <c r="D332" t="str">
        <f>IF(TableOUMUHUSGE[[#This Row],[OUA Code]]&lt;&gt;"",_xlfn.TEXTAFTER(TableOUMUHUSGE[[#This Row],[Structure Line]]," "),TableOUMUHUSGE[[#This Row],[Structure Line]])</f>
        <v>Natural Hazards</v>
      </c>
      <c r="E332" s="44">
        <f>TableOUMUHUSGE[[#This Row],[Credit Points]]</f>
        <v>25</v>
      </c>
      <c r="F332" s="64">
        <v>8</v>
      </c>
      <c r="G332" s="64" t="s">
        <v>525</v>
      </c>
      <c r="H332" s="241">
        <v>2</v>
      </c>
      <c r="I332" s="64" t="s">
        <v>478</v>
      </c>
      <c r="J332" s="64" t="s">
        <v>223</v>
      </c>
      <c r="K332" s="64">
        <v>1</v>
      </c>
      <c r="L332" s="64" t="s">
        <v>564</v>
      </c>
      <c r="M332" s="64">
        <v>25</v>
      </c>
      <c r="N332" s="62">
        <v>42979</v>
      </c>
      <c r="O332" s="62"/>
      <c r="P332" s="62"/>
      <c r="Q332" t="s">
        <v>223</v>
      </c>
      <c r="R332">
        <v>1</v>
      </c>
    </row>
    <row r="333" spans="1:18" x14ac:dyDescent="0.25">
      <c r="A333" t="str">
        <f>TableOUMUHUSGE[[#This Row],[Study Package Code]]</f>
        <v>GEOG2003</v>
      </c>
      <c r="B333" s="5">
        <f>TableOUMUHUSGE[[#This Row],[Ver]]</f>
        <v>1</v>
      </c>
      <c r="C333" t="str">
        <f>IF(TableOUMUHUSGE[[#This Row],[Ver]]&gt;0,_xlfn.TEXTBEFORE(TableOUMUHUSGE[[#This Row],[Structure Line]]," "),"")</f>
        <v>GPH220</v>
      </c>
      <c r="D333" t="str">
        <f>IF(TableOUMUHUSGE[[#This Row],[OUA Code]]&lt;&gt;"",_xlfn.TEXTAFTER(TableOUMUHUSGE[[#This Row],[Structure Line]]," "),TableOUMUHUSGE[[#This Row],[Structure Line]])</f>
        <v>Geographies of Migration</v>
      </c>
      <c r="E333" s="44">
        <f>TableOUMUHUSGE[[#This Row],[Credit Points]]</f>
        <v>25</v>
      </c>
      <c r="F333" s="64">
        <v>10</v>
      </c>
      <c r="G333" s="64" t="s">
        <v>525</v>
      </c>
      <c r="H333" s="241">
        <v>3</v>
      </c>
      <c r="I333" s="64" t="s">
        <v>478</v>
      </c>
      <c r="J333" s="64" t="s">
        <v>226</v>
      </c>
      <c r="K333" s="64">
        <v>1</v>
      </c>
      <c r="L333" s="64" t="s">
        <v>565</v>
      </c>
      <c r="M333" s="64">
        <v>25</v>
      </c>
      <c r="N333" s="62">
        <v>42979</v>
      </c>
      <c r="O333" s="62"/>
      <c r="P333" s="62"/>
      <c r="Q333" t="s">
        <v>226</v>
      </c>
      <c r="R333">
        <v>1</v>
      </c>
    </row>
    <row r="334" spans="1:18" x14ac:dyDescent="0.25">
      <c r="A334" t="str">
        <f>TableOUMUHUSGE[[#This Row],[Study Package Code]]</f>
        <v>GEOG2004</v>
      </c>
      <c r="B334" s="5">
        <f>TableOUMUHUSGE[[#This Row],[Ver]]</f>
        <v>1</v>
      </c>
      <c r="C334" t="str">
        <f>IF(TableOUMUHUSGE[[#This Row],[Ver]]&gt;0,_xlfn.TEXTBEFORE(TableOUMUHUSGE[[#This Row],[Structure Line]]," "),"")</f>
        <v>GPH200</v>
      </c>
      <c r="D334" t="str">
        <f>IF(TableOUMUHUSGE[[#This Row],[OUA Code]]&lt;&gt;"",_xlfn.TEXTAFTER(TableOUMUHUSGE[[#This Row],[Structure Line]]," "),TableOUMUHUSGE[[#This Row],[Structure Line]])</f>
        <v>Geographies of Food Security</v>
      </c>
      <c r="E334" s="44">
        <f>TableOUMUHUSGE[[#This Row],[Credit Points]]</f>
        <v>25</v>
      </c>
      <c r="F334" s="64">
        <v>10</v>
      </c>
      <c r="G334" s="64" t="s">
        <v>525</v>
      </c>
      <c r="H334" s="241">
        <v>3</v>
      </c>
      <c r="I334" s="64" t="s">
        <v>478</v>
      </c>
      <c r="J334" s="64" t="s">
        <v>227</v>
      </c>
      <c r="K334" s="64">
        <v>1</v>
      </c>
      <c r="L334" s="64" t="s">
        <v>566</v>
      </c>
      <c r="M334" s="64">
        <v>25</v>
      </c>
      <c r="N334" s="62">
        <v>42979</v>
      </c>
      <c r="O334" s="62"/>
      <c r="P334" s="62"/>
      <c r="Q334" t="s">
        <v>227</v>
      </c>
      <c r="R334">
        <v>1</v>
      </c>
    </row>
    <row r="335" spans="1:18" x14ac:dyDescent="0.25">
      <c r="A335" t="str">
        <f>TableOUMUHUSGE[[#This Row],[Study Package Code]]</f>
        <v>GEOG3002</v>
      </c>
      <c r="B335" s="5">
        <f>TableOUMUHUSGE[[#This Row],[Ver]]</f>
        <v>2</v>
      </c>
      <c r="C335" t="str">
        <f>IF(TableOUMUHUSGE[[#This Row],[Ver]]&gt;0,_xlfn.TEXTBEFORE(TableOUMUHUSGE[[#This Row],[Structure Line]]," "),"")</f>
        <v>GPH320</v>
      </c>
      <c r="D335" t="str">
        <f>IF(TableOUMUHUSGE[[#This Row],[OUA Code]]&lt;&gt;"",_xlfn.TEXTAFTER(TableOUMUHUSGE[[#This Row],[Structure Line]]," "),TableOUMUHUSGE[[#This Row],[Structure Line]])</f>
        <v>Urban Geographies</v>
      </c>
      <c r="E335" s="44">
        <f>TableOUMUHUSGE[[#This Row],[Credit Points]]</f>
        <v>25</v>
      </c>
      <c r="F335" s="64">
        <v>12</v>
      </c>
      <c r="G335" s="64" t="s">
        <v>525</v>
      </c>
      <c r="H335" s="241">
        <v>4</v>
      </c>
      <c r="I335" s="64" t="s">
        <v>478</v>
      </c>
      <c r="J335" s="64" t="s">
        <v>228</v>
      </c>
      <c r="K335" s="64">
        <v>2</v>
      </c>
      <c r="L335" s="64" t="s">
        <v>567</v>
      </c>
      <c r="M335" s="64">
        <v>25</v>
      </c>
      <c r="N335" s="62">
        <v>44562</v>
      </c>
      <c r="O335" s="62"/>
      <c r="P335" s="62"/>
      <c r="Q335" t="s">
        <v>228</v>
      </c>
      <c r="R335">
        <v>2</v>
      </c>
    </row>
    <row r="336" spans="1:18" x14ac:dyDescent="0.25">
      <c r="A336" t="str">
        <f>TableOUMUHUSGE[[#This Row],[Study Package Code]]</f>
        <v>PHGY3001</v>
      </c>
      <c r="B336" s="5">
        <f>TableOUMUHUSGE[[#This Row],[Ver]]</f>
        <v>3</v>
      </c>
      <c r="C336" t="str">
        <f>IF(TableOUMUHUSGE[[#This Row],[Ver]]&gt;0,_xlfn.TEXTBEFORE(TableOUMUHUSGE[[#This Row],[Structure Line]]," "),"")</f>
        <v>GPH311</v>
      </c>
      <c r="D336" t="str">
        <f>IF(TableOUMUHUSGE[[#This Row],[OUA Code]]&lt;&gt;"",_xlfn.TEXTAFTER(TableOUMUHUSGE[[#This Row],[Structure Line]]," "),TableOUMUHUSGE[[#This Row],[Structure Line]])</f>
        <v>Cultural Landscapes</v>
      </c>
      <c r="E336" s="44">
        <f>TableOUMUHUSGE[[#This Row],[Credit Points]]</f>
        <v>25</v>
      </c>
      <c r="F336" s="64">
        <v>12</v>
      </c>
      <c r="G336" s="64" t="s">
        <v>525</v>
      </c>
      <c r="H336" s="241">
        <v>4</v>
      </c>
      <c r="I336" s="64" t="s">
        <v>478</v>
      </c>
      <c r="J336" s="64" t="s">
        <v>229</v>
      </c>
      <c r="K336" s="64">
        <v>3</v>
      </c>
      <c r="L336" s="64" t="s">
        <v>568</v>
      </c>
      <c r="M336" s="64">
        <v>25</v>
      </c>
      <c r="N336" s="62">
        <v>44562</v>
      </c>
      <c r="O336" s="62"/>
      <c r="P336" s="62"/>
      <c r="Q336" t="s">
        <v>229</v>
      </c>
      <c r="R336">
        <v>3</v>
      </c>
    </row>
    <row r="337" spans="16:16" x14ac:dyDescent="0.25">
      <c r="P337" s="62"/>
    </row>
    <row r="338" spans="16:16" x14ac:dyDescent="0.25">
      <c r="P338" s="62"/>
    </row>
    <row r="339" spans="16:16" x14ac:dyDescent="0.25">
      <c r="P339" s="62"/>
    </row>
    <row r="340" spans="16:16" x14ac:dyDescent="0.25">
      <c r="P340" s="62"/>
    </row>
    <row r="341" spans="16:16" x14ac:dyDescent="0.25">
      <c r="P341" s="62"/>
    </row>
    <row r="342" spans="16:16" x14ac:dyDescent="0.25">
      <c r="P342" s="62"/>
    </row>
    <row r="343" spans="16:16" x14ac:dyDescent="0.25">
      <c r="P343" s="62"/>
    </row>
    <row r="344" spans="16:16" x14ac:dyDescent="0.25">
      <c r="P344" s="62"/>
    </row>
    <row r="345" spans="16:16" x14ac:dyDescent="0.25">
      <c r="P345" s="62"/>
    </row>
    <row r="346" spans="16:16" x14ac:dyDescent="0.25">
      <c r="P346" s="62"/>
    </row>
    <row r="347" spans="16:16" x14ac:dyDescent="0.25">
      <c r="P347" s="62"/>
    </row>
    <row r="348" spans="16:16" x14ac:dyDescent="0.25">
      <c r="P348" s="62"/>
    </row>
    <row r="349" spans="16:16" x14ac:dyDescent="0.25">
      <c r="P349" s="62"/>
    </row>
    <row r="351" spans="16:16" x14ac:dyDescent="0.25">
      <c r="P351" s="49"/>
    </row>
    <row r="352" spans="16:16" x14ac:dyDescent="0.25">
      <c r="P352" s="62"/>
    </row>
    <row r="353" spans="16:16" x14ac:dyDescent="0.25">
      <c r="P353" s="62"/>
    </row>
    <row r="354" spans="16:16" x14ac:dyDescent="0.25">
      <c r="P354" s="62"/>
    </row>
    <row r="355" spans="16:16" x14ac:dyDescent="0.25">
      <c r="P355" s="62"/>
    </row>
    <row r="356" spans="16:16" x14ac:dyDescent="0.25">
      <c r="P356" s="62"/>
    </row>
  </sheetData>
  <conditionalFormatting sqref="J3:J46">
    <cfRule type="duplicateValues" dxfId="65" priority="231"/>
  </conditionalFormatting>
  <conditionalFormatting sqref="J49:J92">
    <cfRule type="duplicateValues" dxfId="64" priority="5"/>
  </conditionalFormatting>
  <conditionalFormatting sqref="J95:J139">
    <cfRule type="duplicateValues" dxfId="63" priority="242"/>
  </conditionalFormatting>
  <conditionalFormatting sqref="J142:J174">
    <cfRule type="duplicateValues" dxfId="62" priority="311"/>
  </conditionalFormatting>
  <conditionalFormatting sqref="J177:J179">
    <cfRule type="duplicateValues" dxfId="61" priority="239"/>
  </conditionalFormatting>
  <conditionalFormatting sqref="J182:J184">
    <cfRule type="duplicateValues" dxfId="60" priority="25"/>
  </conditionalFormatting>
  <conditionalFormatting sqref="J187:J189">
    <cfRule type="duplicateValues" dxfId="59" priority="22"/>
  </conditionalFormatting>
  <conditionalFormatting sqref="J192:J194">
    <cfRule type="duplicateValues" dxfId="58" priority="19"/>
  </conditionalFormatting>
  <conditionalFormatting sqref="J197:J199">
    <cfRule type="duplicateValues" dxfId="57" priority="16"/>
  </conditionalFormatting>
  <conditionalFormatting sqref="J202:J204">
    <cfRule type="duplicateValues" dxfId="56" priority="13"/>
  </conditionalFormatting>
  <conditionalFormatting sqref="J207:J224">
    <cfRule type="duplicateValues" dxfId="55" priority="45"/>
  </conditionalFormatting>
  <conditionalFormatting sqref="J227:J244">
    <cfRule type="duplicateValues" dxfId="54" priority="3"/>
  </conditionalFormatting>
  <conditionalFormatting sqref="J247:J275">
    <cfRule type="duplicateValues" dxfId="53" priority="229"/>
  </conditionalFormatting>
  <conditionalFormatting sqref="J278:J302">
    <cfRule type="duplicateValues" dxfId="52" priority="39"/>
  </conditionalFormatting>
  <conditionalFormatting sqref="J305:J316 J318:J336">
    <cfRule type="duplicateValues" dxfId="51" priority="163"/>
  </conditionalFormatting>
  <conditionalFormatting sqref="J317">
    <cfRule type="duplicateValues" dxfId="50" priority="33"/>
  </conditionalFormatting>
  <conditionalFormatting sqref="N3:N46 N49:N92 N95:N139 N142:N174 N247:N275">
    <cfRule type="cellIs" dxfId="49" priority="51" operator="greaterThan">
      <formula>$P$1</formula>
    </cfRule>
  </conditionalFormatting>
  <conditionalFormatting sqref="N177:N179">
    <cfRule type="cellIs" dxfId="48" priority="26" operator="greaterThan">
      <formula>$P$1</formula>
    </cfRule>
  </conditionalFormatting>
  <conditionalFormatting sqref="N182:N184">
    <cfRule type="cellIs" dxfId="47" priority="23" operator="greaterThan">
      <formula>$P$1</formula>
    </cfRule>
  </conditionalFormatting>
  <conditionalFormatting sqref="N187:N189">
    <cfRule type="cellIs" dxfId="46" priority="20" operator="greaterThan">
      <formula>$P$1</formula>
    </cfRule>
  </conditionalFormatting>
  <conditionalFormatting sqref="N192:N194">
    <cfRule type="cellIs" dxfId="45" priority="17" operator="greaterThan">
      <formula>$P$1</formula>
    </cfRule>
  </conditionalFormatting>
  <conditionalFormatting sqref="N197:N199">
    <cfRule type="cellIs" dxfId="44" priority="14" operator="greaterThan">
      <formula>$P$1</formula>
    </cfRule>
  </conditionalFormatting>
  <conditionalFormatting sqref="N202:N204">
    <cfRule type="cellIs" dxfId="43" priority="11" operator="greaterThan">
      <formula>$P$1</formula>
    </cfRule>
  </conditionalFormatting>
  <conditionalFormatting sqref="N207:N224">
    <cfRule type="cellIs" dxfId="42" priority="43" operator="greaterThan">
      <formula>$P$1</formula>
    </cfRule>
  </conditionalFormatting>
  <conditionalFormatting sqref="N227:N244">
    <cfRule type="cellIs" dxfId="41" priority="1" operator="greaterThan">
      <formula>$P$1</formula>
    </cfRule>
  </conditionalFormatting>
  <conditionalFormatting sqref="N278:N302">
    <cfRule type="cellIs" dxfId="40" priority="37" operator="greaterThan">
      <formula>$P$1</formula>
    </cfRule>
  </conditionalFormatting>
  <conditionalFormatting sqref="N305:N336">
    <cfRule type="cellIs" dxfId="39" priority="34" operator="greaterThan">
      <formula>$P$1</formula>
    </cfRule>
  </conditionalFormatting>
  <conditionalFormatting sqref="O3:O46 O49:O92 O95:O139 O142:O174 O247:O275">
    <cfRule type="notContainsBlanks" dxfId="38" priority="83">
      <formula>LEN(TRIM(O3))&gt;0</formula>
    </cfRule>
  </conditionalFormatting>
  <conditionalFormatting sqref="O177:O179">
    <cfRule type="notContainsBlanks" dxfId="37" priority="27">
      <formula>LEN(TRIM(O177))&gt;0</formula>
    </cfRule>
  </conditionalFormatting>
  <conditionalFormatting sqref="O182:O184">
    <cfRule type="notContainsBlanks" dxfId="36" priority="24">
      <formula>LEN(TRIM(O182))&gt;0</formula>
    </cfRule>
  </conditionalFormatting>
  <conditionalFormatting sqref="O187:O189">
    <cfRule type="notContainsBlanks" dxfId="35" priority="21">
      <formula>LEN(TRIM(O187))&gt;0</formula>
    </cfRule>
  </conditionalFormatting>
  <conditionalFormatting sqref="O192:O194">
    <cfRule type="notContainsBlanks" dxfId="34" priority="18">
      <formula>LEN(TRIM(O192))&gt;0</formula>
    </cfRule>
  </conditionalFormatting>
  <conditionalFormatting sqref="O197:O199">
    <cfRule type="notContainsBlanks" dxfId="33" priority="15">
      <formula>LEN(TRIM(O197))&gt;0</formula>
    </cfRule>
  </conditionalFormatting>
  <conditionalFormatting sqref="O202:O204">
    <cfRule type="notContainsBlanks" dxfId="32" priority="12">
      <formula>LEN(TRIM(O202))&gt;0</formula>
    </cfRule>
  </conditionalFormatting>
  <conditionalFormatting sqref="O207:O224">
    <cfRule type="notContainsBlanks" dxfId="31" priority="44">
      <formula>LEN(TRIM(O207))&gt;0</formula>
    </cfRule>
  </conditionalFormatting>
  <conditionalFormatting sqref="O227:O244">
    <cfRule type="notContainsBlanks" dxfId="30" priority="2">
      <formula>LEN(TRIM(O227))&gt;0</formula>
    </cfRule>
  </conditionalFormatting>
  <conditionalFormatting sqref="O278:O302">
    <cfRule type="notContainsBlanks" dxfId="29" priority="38">
      <formula>LEN(TRIM(O278))&gt;0</formula>
    </cfRule>
  </conditionalFormatting>
  <conditionalFormatting sqref="O305:O336">
    <cfRule type="notContainsBlanks" dxfId="28" priority="35">
      <formula>LEN(TRIM(O305))&gt;0</formula>
    </cfRule>
  </conditionalFormatting>
  <conditionalFormatting sqref="Q3:R46 Q49:R92 Q95:R139 Q142:R174 Q177:R179 Q227:R244 Q305:R336">
    <cfRule type="expression" dxfId="27" priority="233">
      <formula>Q3&lt;&gt;J3</formula>
    </cfRule>
  </conditionalFormatting>
  <conditionalFormatting sqref="Q182:R184">
    <cfRule type="expression" dxfId="26" priority="10">
      <formula>Q182&lt;&gt;J182</formula>
    </cfRule>
  </conditionalFormatting>
  <conditionalFormatting sqref="Q187:R189">
    <cfRule type="expression" dxfId="25" priority="9">
      <formula>Q187&lt;&gt;J187</formula>
    </cfRule>
  </conditionalFormatting>
  <conditionalFormatting sqref="Q192:R194">
    <cfRule type="expression" dxfId="24" priority="8">
      <formula>Q192&lt;&gt;J192</formula>
    </cfRule>
  </conditionalFormatting>
  <conditionalFormatting sqref="Q197:R199">
    <cfRule type="expression" dxfId="23" priority="7">
      <formula>Q197&lt;&gt;J197</formula>
    </cfRule>
  </conditionalFormatting>
  <conditionalFormatting sqref="Q202:R204">
    <cfRule type="expression" dxfId="22" priority="6">
      <formula>Q202&lt;&gt;J202</formula>
    </cfRule>
  </conditionalFormatting>
  <conditionalFormatting sqref="Q207:R224">
    <cfRule type="expression" dxfId="21" priority="46">
      <formula>Q207&lt;&gt;J207</formula>
    </cfRule>
  </conditionalFormatting>
  <conditionalFormatting sqref="Q247:R275">
    <cfRule type="expression" dxfId="20" priority="77">
      <formula>Q247&lt;&gt;J247</formula>
    </cfRule>
  </conditionalFormatting>
  <conditionalFormatting sqref="Q278:R302">
    <cfRule type="expression" dxfId="19" priority="31">
      <formula>Q278&lt;&gt;J278</formula>
    </cfRule>
  </conditionalFormatting>
  <pageMargins left="0.7" right="0.7" top="0.75" bottom="0.75" header="0.3" footer="0.3"/>
  <pageSetup paperSize="9"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K103"/>
  <sheetViews>
    <sheetView workbookViewId="0">
      <selection activeCell="B49" sqref="B49"/>
    </sheetView>
  </sheetViews>
  <sheetFormatPr defaultRowHeight="15.75" x14ac:dyDescent="0.25"/>
  <cols>
    <col min="1" max="1" width="12.125" bestFit="1" customWidth="1"/>
    <col min="2" max="5" width="4.875" bestFit="1" customWidth="1"/>
    <col min="6" max="6" width="11.5" bestFit="1" customWidth="1"/>
    <col min="7" max="7" width="9.75" bestFit="1" customWidth="1"/>
    <col min="8" max="11" width="1.875" bestFit="1" customWidth="1"/>
  </cols>
  <sheetData>
    <row r="1" spans="1:11" x14ac:dyDescent="0.25">
      <c r="A1" s="228" t="s">
        <v>464</v>
      </c>
    </row>
    <row r="2" spans="1:11" x14ac:dyDescent="0.25">
      <c r="A2" s="229">
        <v>46035</v>
      </c>
    </row>
    <row r="3" spans="1:11" ht="72.75" x14ac:dyDescent="0.25">
      <c r="A3" s="67" t="s">
        <v>569</v>
      </c>
      <c r="B3" s="148" t="s">
        <v>570</v>
      </c>
      <c r="C3" s="148" t="s">
        <v>571</v>
      </c>
      <c r="D3" s="148" t="s">
        <v>572</v>
      </c>
      <c r="E3" s="148" t="s">
        <v>573</v>
      </c>
      <c r="G3" t="s">
        <v>583</v>
      </c>
    </row>
    <row r="4" spans="1:11" x14ac:dyDescent="0.25">
      <c r="A4" s="68" t="s">
        <v>187</v>
      </c>
      <c r="B4" s="149">
        <v>2</v>
      </c>
      <c r="C4" s="149">
        <v>2</v>
      </c>
      <c r="D4" s="149">
        <v>2</v>
      </c>
      <c r="E4" s="149">
        <v>2</v>
      </c>
      <c r="G4" t="s">
        <v>187</v>
      </c>
      <c r="H4">
        <v>2</v>
      </c>
      <c r="I4">
        <v>2</v>
      </c>
      <c r="J4">
        <v>2</v>
      </c>
      <c r="K4">
        <v>2</v>
      </c>
    </row>
    <row r="5" spans="1:11" x14ac:dyDescent="0.25">
      <c r="A5" t="s">
        <v>152</v>
      </c>
      <c r="B5" s="5"/>
      <c r="C5" s="5">
        <v>1</v>
      </c>
      <c r="D5" s="5"/>
      <c r="E5" s="5"/>
      <c r="G5" t="s">
        <v>152</v>
      </c>
      <c r="I5">
        <v>1</v>
      </c>
    </row>
    <row r="6" spans="1:11" x14ac:dyDescent="0.25">
      <c r="A6" t="s">
        <v>153</v>
      </c>
      <c r="B6" s="5"/>
      <c r="C6" s="5"/>
      <c r="D6" s="5"/>
      <c r="E6" s="5">
        <v>1</v>
      </c>
      <c r="G6" t="s">
        <v>153</v>
      </c>
      <c r="K6">
        <v>1</v>
      </c>
    </row>
    <row r="7" spans="1:11" x14ac:dyDescent="0.25">
      <c r="A7" t="s">
        <v>154</v>
      </c>
      <c r="B7" s="5">
        <v>1</v>
      </c>
      <c r="C7" s="5"/>
      <c r="D7" s="5"/>
      <c r="E7" s="5"/>
      <c r="G7" t="s">
        <v>154</v>
      </c>
      <c r="H7">
        <v>1</v>
      </c>
    </row>
    <row r="8" spans="1:11" x14ac:dyDescent="0.25">
      <c r="A8" t="s">
        <v>635</v>
      </c>
      <c r="B8" s="5">
        <v>1</v>
      </c>
      <c r="C8" s="5"/>
      <c r="D8" s="5">
        <v>1</v>
      </c>
      <c r="E8" s="5"/>
      <c r="G8" t="s">
        <v>183</v>
      </c>
      <c r="H8">
        <v>1</v>
      </c>
      <c r="J8">
        <v>1</v>
      </c>
    </row>
    <row r="9" spans="1:11" x14ac:dyDescent="0.25">
      <c r="A9" t="s">
        <v>194</v>
      </c>
      <c r="B9" s="5">
        <v>1</v>
      </c>
      <c r="C9" s="5"/>
      <c r="D9" s="5">
        <v>1</v>
      </c>
      <c r="E9" s="5"/>
      <c r="G9" t="s">
        <v>194</v>
      </c>
      <c r="H9">
        <v>1</v>
      </c>
      <c r="J9">
        <v>1</v>
      </c>
    </row>
    <row r="10" spans="1:11" x14ac:dyDescent="0.25">
      <c r="A10" t="s">
        <v>82</v>
      </c>
      <c r="B10" s="5"/>
      <c r="C10" s="5">
        <v>1</v>
      </c>
      <c r="D10" s="5"/>
      <c r="E10" s="5">
        <v>1</v>
      </c>
      <c r="G10" t="s">
        <v>82</v>
      </c>
      <c r="I10">
        <v>1</v>
      </c>
      <c r="K10">
        <v>1</v>
      </c>
    </row>
    <row r="11" spans="1:11" x14ac:dyDescent="0.25">
      <c r="A11" t="s">
        <v>88</v>
      </c>
      <c r="B11" s="5"/>
      <c r="C11" s="5">
        <v>1</v>
      </c>
      <c r="D11" s="5"/>
      <c r="E11" s="5">
        <v>1</v>
      </c>
      <c r="G11" t="s">
        <v>98</v>
      </c>
      <c r="H11">
        <v>1</v>
      </c>
      <c r="J11">
        <v>1</v>
      </c>
    </row>
    <row r="12" spans="1:11" x14ac:dyDescent="0.25">
      <c r="A12" t="s">
        <v>100</v>
      </c>
      <c r="B12" s="5"/>
      <c r="C12" s="5">
        <v>1</v>
      </c>
      <c r="D12" s="5"/>
      <c r="E12" s="5">
        <v>1</v>
      </c>
      <c r="G12" t="s">
        <v>88</v>
      </c>
      <c r="I12">
        <v>1</v>
      </c>
      <c r="K12">
        <v>1</v>
      </c>
    </row>
    <row r="13" spans="1:11" x14ac:dyDescent="0.25">
      <c r="A13" t="s">
        <v>102</v>
      </c>
      <c r="B13" s="5">
        <v>1</v>
      </c>
      <c r="C13" s="5"/>
      <c r="D13" s="5">
        <v>1</v>
      </c>
      <c r="E13" s="5"/>
      <c r="G13" t="s">
        <v>100</v>
      </c>
      <c r="I13">
        <v>1</v>
      </c>
      <c r="K13">
        <v>1</v>
      </c>
    </row>
    <row r="14" spans="1:11" x14ac:dyDescent="0.25">
      <c r="A14" t="s">
        <v>591</v>
      </c>
      <c r="B14" s="5">
        <v>1</v>
      </c>
      <c r="C14" s="5"/>
      <c r="D14" s="5">
        <v>1</v>
      </c>
      <c r="E14" s="5"/>
      <c r="G14" t="s">
        <v>99</v>
      </c>
      <c r="H14">
        <v>1</v>
      </c>
      <c r="J14">
        <v>1</v>
      </c>
    </row>
    <row r="15" spans="1:11" x14ac:dyDescent="0.25">
      <c r="A15" t="s">
        <v>593</v>
      </c>
      <c r="B15" s="5">
        <v>1</v>
      </c>
      <c r="C15" s="5"/>
      <c r="D15" s="5">
        <v>1</v>
      </c>
      <c r="E15" s="5"/>
      <c r="G15" t="s">
        <v>102</v>
      </c>
      <c r="I15">
        <v>1</v>
      </c>
      <c r="K15">
        <v>1</v>
      </c>
    </row>
    <row r="16" spans="1:11" x14ac:dyDescent="0.25">
      <c r="A16" t="s">
        <v>595</v>
      </c>
      <c r="B16" s="5"/>
      <c r="C16" s="5">
        <v>1</v>
      </c>
      <c r="D16" s="5"/>
      <c r="E16" s="5">
        <v>1</v>
      </c>
      <c r="G16" t="s">
        <v>120</v>
      </c>
      <c r="I16">
        <v>1</v>
      </c>
      <c r="K16">
        <v>1</v>
      </c>
    </row>
    <row r="17" spans="1:11" x14ac:dyDescent="0.25">
      <c r="A17" t="s">
        <v>120</v>
      </c>
      <c r="B17" s="5"/>
      <c r="C17" s="5">
        <v>1</v>
      </c>
      <c r="D17" s="5"/>
      <c r="E17" s="5">
        <v>1</v>
      </c>
      <c r="G17" t="s">
        <v>114</v>
      </c>
      <c r="I17">
        <v>1</v>
      </c>
      <c r="K17">
        <v>1</v>
      </c>
    </row>
    <row r="18" spans="1:11" x14ac:dyDescent="0.25">
      <c r="A18" t="s">
        <v>117</v>
      </c>
      <c r="B18" s="5">
        <v>1</v>
      </c>
      <c r="C18" s="5"/>
      <c r="D18" s="5">
        <v>1</v>
      </c>
      <c r="E18" s="5"/>
      <c r="G18" t="s">
        <v>117</v>
      </c>
      <c r="H18">
        <v>1</v>
      </c>
      <c r="J18">
        <v>1</v>
      </c>
    </row>
    <row r="19" spans="1:11" x14ac:dyDescent="0.25">
      <c r="A19" t="s">
        <v>119</v>
      </c>
      <c r="B19" s="5"/>
      <c r="C19" s="5">
        <v>1</v>
      </c>
      <c r="D19" s="5"/>
      <c r="E19" s="5">
        <v>1</v>
      </c>
      <c r="G19" t="s">
        <v>119</v>
      </c>
      <c r="H19">
        <v>1</v>
      </c>
      <c r="J19">
        <v>1</v>
      </c>
    </row>
    <row r="20" spans="1:11" x14ac:dyDescent="0.25">
      <c r="A20" t="s">
        <v>600</v>
      </c>
      <c r="B20" s="5">
        <v>1</v>
      </c>
      <c r="C20" s="5"/>
      <c r="D20" s="5">
        <v>1</v>
      </c>
      <c r="E20" s="5"/>
      <c r="G20" t="s">
        <v>106</v>
      </c>
      <c r="H20">
        <v>1</v>
      </c>
      <c r="J20">
        <v>1</v>
      </c>
    </row>
    <row r="21" spans="1:11" x14ac:dyDescent="0.25">
      <c r="A21" t="s">
        <v>602</v>
      </c>
      <c r="B21" s="5"/>
      <c r="C21" s="5">
        <v>1</v>
      </c>
      <c r="D21" s="5"/>
      <c r="E21" s="5">
        <v>1</v>
      </c>
      <c r="G21" t="s">
        <v>108</v>
      </c>
      <c r="I21">
        <v>1</v>
      </c>
      <c r="K21">
        <v>1</v>
      </c>
    </row>
    <row r="22" spans="1:11" x14ac:dyDescent="0.25">
      <c r="A22" t="s">
        <v>598</v>
      </c>
      <c r="B22" s="5">
        <v>1</v>
      </c>
      <c r="C22" s="5"/>
      <c r="D22" s="5">
        <v>1</v>
      </c>
      <c r="E22" s="5"/>
      <c r="G22" t="s">
        <v>130</v>
      </c>
      <c r="I22">
        <v>1</v>
      </c>
      <c r="K22">
        <v>1</v>
      </c>
    </row>
    <row r="23" spans="1:11" x14ac:dyDescent="0.25">
      <c r="A23" t="s">
        <v>130</v>
      </c>
      <c r="B23" s="5"/>
      <c r="C23" s="5">
        <v>1</v>
      </c>
      <c r="D23" s="5"/>
      <c r="E23" s="5">
        <v>1</v>
      </c>
      <c r="G23" t="s">
        <v>124</v>
      </c>
      <c r="H23">
        <v>1</v>
      </c>
      <c r="J23">
        <v>1</v>
      </c>
    </row>
    <row r="24" spans="1:11" x14ac:dyDescent="0.25">
      <c r="A24" t="s">
        <v>124</v>
      </c>
      <c r="B24" s="5">
        <v>1</v>
      </c>
      <c r="C24" s="5"/>
      <c r="D24" s="5">
        <v>1</v>
      </c>
      <c r="E24" s="5"/>
      <c r="G24" t="s">
        <v>89</v>
      </c>
      <c r="H24">
        <v>1</v>
      </c>
      <c r="J24">
        <v>1</v>
      </c>
    </row>
    <row r="25" spans="1:11" x14ac:dyDescent="0.25">
      <c r="A25" t="s">
        <v>89</v>
      </c>
      <c r="B25" s="5">
        <v>1</v>
      </c>
      <c r="C25" s="5"/>
      <c r="D25" s="5">
        <v>1</v>
      </c>
      <c r="E25" s="5"/>
      <c r="G25" t="s">
        <v>87</v>
      </c>
      <c r="I25">
        <v>1</v>
      </c>
      <c r="K25">
        <v>1</v>
      </c>
    </row>
    <row r="26" spans="1:11" x14ac:dyDescent="0.25">
      <c r="A26" t="s">
        <v>607</v>
      </c>
      <c r="B26" s="5">
        <v>1</v>
      </c>
      <c r="C26" s="5"/>
      <c r="D26" s="5">
        <v>1</v>
      </c>
      <c r="E26" s="5"/>
      <c r="G26" t="s">
        <v>86</v>
      </c>
      <c r="H26">
        <v>1</v>
      </c>
      <c r="I26">
        <v>1</v>
      </c>
    </row>
    <row r="27" spans="1:11" x14ac:dyDescent="0.25">
      <c r="A27" t="s">
        <v>87</v>
      </c>
      <c r="B27" s="5"/>
      <c r="C27" s="5">
        <v>1</v>
      </c>
      <c r="D27" s="5"/>
      <c r="E27" s="5">
        <v>1</v>
      </c>
      <c r="G27" t="s">
        <v>92</v>
      </c>
      <c r="I27">
        <v>1</v>
      </c>
      <c r="J27">
        <v>1</v>
      </c>
    </row>
    <row r="28" spans="1:11" x14ac:dyDescent="0.25">
      <c r="A28" t="s">
        <v>90</v>
      </c>
      <c r="B28" s="5">
        <v>1</v>
      </c>
      <c r="C28" s="5"/>
      <c r="D28" s="5">
        <v>1</v>
      </c>
      <c r="E28" s="5"/>
      <c r="G28" t="s">
        <v>90</v>
      </c>
      <c r="I28">
        <v>1</v>
      </c>
      <c r="K28">
        <v>1</v>
      </c>
    </row>
    <row r="29" spans="1:11" x14ac:dyDescent="0.25">
      <c r="A29" t="s">
        <v>609</v>
      </c>
      <c r="B29" s="5">
        <v>1</v>
      </c>
      <c r="C29" s="5">
        <v>1</v>
      </c>
      <c r="D29" s="5"/>
      <c r="E29" s="5"/>
      <c r="G29" t="s">
        <v>118</v>
      </c>
      <c r="I29">
        <v>1</v>
      </c>
      <c r="K29">
        <v>1</v>
      </c>
    </row>
    <row r="30" spans="1:11" x14ac:dyDescent="0.25">
      <c r="A30" t="s">
        <v>611</v>
      </c>
      <c r="B30" s="5"/>
      <c r="C30" s="5">
        <v>1</v>
      </c>
      <c r="D30" s="5">
        <v>1</v>
      </c>
      <c r="E30" s="5"/>
      <c r="G30" t="s">
        <v>111</v>
      </c>
      <c r="H30">
        <v>1</v>
      </c>
      <c r="J30">
        <v>1</v>
      </c>
    </row>
    <row r="31" spans="1:11" x14ac:dyDescent="0.25">
      <c r="A31" t="s">
        <v>118</v>
      </c>
      <c r="B31" s="5"/>
      <c r="C31" s="5">
        <v>1</v>
      </c>
      <c r="D31" s="5"/>
      <c r="E31" s="5">
        <v>1</v>
      </c>
      <c r="G31" t="s">
        <v>115</v>
      </c>
      <c r="I31">
        <v>1</v>
      </c>
      <c r="K31">
        <v>1</v>
      </c>
    </row>
    <row r="32" spans="1:11" x14ac:dyDescent="0.25">
      <c r="A32" t="s">
        <v>111</v>
      </c>
      <c r="B32" s="5">
        <v>1</v>
      </c>
      <c r="C32" s="5"/>
      <c r="D32" s="5">
        <v>1</v>
      </c>
      <c r="E32" s="5"/>
      <c r="G32" t="s">
        <v>112</v>
      </c>
      <c r="I32">
        <v>1</v>
      </c>
      <c r="K32">
        <v>1</v>
      </c>
    </row>
    <row r="33" spans="1:11" x14ac:dyDescent="0.25">
      <c r="A33" t="s">
        <v>115</v>
      </c>
      <c r="B33" s="5"/>
      <c r="C33" s="5">
        <v>1</v>
      </c>
      <c r="D33" s="5"/>
      <c r="E33" s="5">
        <v>1</v>
      </c>
      <c r="G33" t="s">
        <v>121</v>
      </c>
      <c r="H33">
        <v>1</v>
      </c>
      <c r="J33">
        <v>1</v>
      </c>
    </row>
    <row r="34" spans="1:11" x14ac:dyDescent="0.25">
      <c r="A34" t="s">
        <v>122</v>
      </c>
      <c r="B34" s="5"/>
      <c r="C34" s="5">
        <v>1</v>
      </c>
      <c r="D34" s="5"/>
      <c r="E34" s="5">
        <v>1</v>
      </c>
      <c r="G34" t="s">
        <v>122</v>
      </c>
      <c r="I34">
        <v>1</v>
      </c>
      <c r="K34">
        <v>1</v>
      </c>
    </row>
    <row r="35" spans="1:11" x14ac:dyDescent="0.25">
      <c r="A35" t="s">
        <v>614</v>
      </c>
      <c r="B35" s="5">
        <v>1</v>
      </c>
      <c r="C35" s="5"/>
      <c r="D35" s="5">
        <v>1</v>
      </c>
      <c r="E35" s="5"/>
      <c r="G35" t="s">
        <v>131</v>
      </c>
      <c r="H35">
        <v>1</v>
      </c>
      <c r="J35">
        <v>1</v>
      </c>
    </row>
    <row r="36" spans="1:11" x14ac:dyDescent="0.25">
      <c r="A36" t="s">
        <v>616</v>
      </c>
      <c r="B36" s="5">
        <v>1</v>
      </c>
      <c r="C36" s="5"/>
      <c r="D36" s="5">
        <v>1</v>
      </c>
      <c r="E36" s="5"/>
      <c r="G36" t="s">
        <v>129</v>
      </c>
      <c r="H36">
        <v>1</v>
      </c>
      <c r="J36">
        <v>1</v>
      </c>
    </row>
    <row r="37" spans="1:11" x14ac:dyDescent="0.25">
      <c r="A37" t="s">
        <v>131</v>
      </c>
      <c r="B37" s="5">
        <v>1</v>
      </c>
      <c r="C37" s="5">
        <v>1</v>
      </c>
      <c r="D37" s="5"/>
      <c r="E37" s="5">
        <v>1</v>
      </c>
      <c r="G37" t="s">
        <v>191</v>
      </c>
      <c r="H37">
        <v>1</v>
      </c>
      <c r="J37">
        <v>1</v>
      </c>
    </row>
    <row r="38" spans="1:11" x14ac:dyDescent="0.25">
      <c r="A38" t="s">
        <v>129</v>
      </c>
      <c r="B38" s="5">
        <v>1</v>
      </c>
      <c r="C38" s="5"/>
      <c r="D38" s="5">
        <v>1</v>
      </c>
      <c r="E38" s="5"/>
      <c r="G38" t="s">
        <v>199</v>
      </c>
      <c r="J38">
        <v>1</v>
      </c>
    </row>
    <row r="39" spans="1:11" x14ac:dyDescent="0.25">
      <c r="A39" t="s">
        <v>191</v>
      </c>
      <c r="B39" s="5">
        <v>1</v>
      </c>
      <c r="C39" s="5"/>
      <c r="D39" s="5">
        <v>1</v>
      </c>
      <c r="E39" s="5"/>
      <c r="G39" t="s">
        <v>211</v>
      </c>
      <c r="H39">
        <v>1</v>
      </c>
      <c r="J39">
        <v>1</v>
      </c>
    </row>
    <row r="40" spans="1:11" x14ac:dyDescent="0.25">
      <c r="A40" t="s">
        <v>195</v>
      </c>
      <c r="B40" s="5"/>
      <c r="C40" s="5">
        <v>1</v>
      </c>
      <c r="D40" s="5"/>
      <c r="E40" s="5">
        <v>1</v>
      </c>
      <c r="G40" t="s">
        <v>205</v>
      </c>
      <c r="I40">
        <v>1</v>
      </c>
      <c r="K40">
        <v>1</v>
      </c>
    </row>
    <row r="41" spans="1:11" x14ac:dyDescent="0.25">
      <c r="A41" t="s">
        <v>199</v>
      </c>
      <c r="B41" s="5">
        <v>1</v>
      </c>
      <c r="C41" s="5"/>
      <c r="D41" s="5">
        <v>1</v>
      </c>
      <c r="E41" s="5"/>
      <c r="G41" t="s">
        <v>190</v>
      </c>
      <c r="I41">
        <v>1</v>
      </c>
      <c r="K41">
        <v>1</v>
      </c>
    </row>
    <row r="42" spans="1:11" x14ac:dyDescent="0.25">
      <c r="A42" t="s">
        <v>211</v>
      </c>
      <c r="B42" s="5">
        <v>1</v>
      </c>
      <c r="C42" s="5"/>
      <c r="D42" s="5">
        <v>1</v>
      </c>
      <c r="E42" s="5"/>
      <c r="G42" t="s">
        <v>203</v>
      </c>
      <c r="I42">
        <v>1</v>
      </c>
      <c r="K42">
        <v>1</v>
      </c>
    </row>
    <row r="43" spans="1:11" x14ac:dyDescent="0.25">
      <c r="A43" t="s">
        <v>208</v>
      </c>
      <c r="B43" s="5"/>
      <c r="C43" s="5">
        <v>1</v>
      </c>
      <c r="D43" s="5"/>
      <c r="E43" s="5">
        <v>1</v>
      </c>
      <c r="G43" t="s">
        <v>204</v>
      </c>
      <c r="I43">
        <v>1</v>
      </c>
      <c r="K43">
        <v>1</v>
      </c>
    </row>
    <row r="44" spans="1:11" x14ac:dyDescent="0.25">
      <c r="A44" t="s">
        <v>210</v>
      </c>
      <c r="B44" s="5"/>
      <c r="C44" s="5"/>
      <c r="D44" s="5">
        <v>1</v>
      </c>
      <c r="E44" s="5"/>
      <c r="G44" t="s">
        <v>189</v>
      </c>
      <c r="I44">
        <v>1</v>
      </c>
      <c r="K44">
        <v>1</v>
      </c>
    </row>
    <row r="45" spans="1:11" x14ac:dyDescent="0.25">
      <c r="A45" t="s">
        <v>205</v>
      </c>
      <c r="B45" s="5"/>
      <c r="C45" s="5">
        <v>1</v>
      </c>
      <c r="D45" s="5"/>
      <c r="E45" s="5">
        <v>1</v>
      </c>
      <c r="G45" t="s">
        <v>188</v>
      </c>
      <c r="I45">
        <v>1</v>
      </c>
      <c r="K45">
        <v>1</v>
      </c>
    </row>
    <row r="46" spans="1:11" x14ac:dyDescent="0.25">
      <c r="A46" t="s">
        <v>190</v>
      </c>
      <c r="B46" s="5"/>
      <c r="C46" s="5">
        <v>1</v>
      </c>
      <c r="D46" s="5"/>
      <c r="E46" s="5">
        <v>1</v>
      </c>
      <c r="G46" t="s">
        <v>46</v>
      </c>
      <c r="H46">
        <v>1</v>
      </c>
      <c r="J46">
        <v>1</v>
      </c>
    </row>
    <row r="47" spans="1:11" x14ac:dyDescent="0.25">
      <c r="A47" t="s">
        <v>203</v>
      </c>
      <c r="B47" s="5"/>
      <c r="C47" s="5">
        <v>1</v>
      </c>
      <c r="D47" s="5"/>
      <c r="E47" s="5">
        <v>1</v>
      </c>
      <c r="G47" t="s">
        <v>51</v>
      </c>
      <c r="H47">
        <v>1</v>
      </c>
      <c r="J47">
        <v>1</v>
      </c>
    </row>
    <row r="48" spans="1:11" x14ac:dyDescent="0.25">
      <c r="A48" t="s">
        <v>204</v>
      </c>
      <c r="B48" s="5"/>
      <c r="C48" s="5">
        <v>1</v>
      </c>
      <c r="D48" s="5"/>
      <c r="E48" s="5">
        <v>1</v>
      </c>
      <c r="G48" t="s">
        <v>48</v>
      </c>
      <c r="I48">
        <v>1</v>
      </c>
      <c r="K48">
        <v>1</v>
      </c>
    </row>
    <row r="49" spans="1:11" x14ac:dyDescent="0.25">
      <c r="A49" t="s">
        <v>188</v>
      </c>
      <c r="B49" s="5"/>
      <c r="C49" s="5">
        <v>1</v>
      </c>
      <c r="D49" s="5"/>
      <c r="E49" s="5">
        <v>1</v>
      </c>
      <c r="G49" t="s">
        <v>53</v>
      </c>
      <c r="I49">
        <v>1</v>
      </c>
      <c r="K49">
        <v>1</v>
      </c>
    </row>
    <row r="50" spans="1:11" x14ac:dyDescent="0.25">
      <c r="A50" t="s">
        <v>637</v>
      </c>
      <c r="B50" s="5"/>
      <c r="C50" s="5">
        <v>1</v>
      </c>
      <c r="D50" s="5"/>
      <c r="E50" s="5">
        <v>1</v>
      </c>
      <c r="G50" t="s">
        <v>67</v>
      </c>
      <c r="H50">
        <v>1</v>
      </c>
      <c r="J50">
        <v>1</v>
      </c>
    </row>
    <row r="51" spans="1:11" x14ac:dyDescent="0.25">
      <c r="A51" t="s">
        <v>46</v>
      </c>
      <c r="B51" s="5">
        <v>1</v>
      </c>
      <c r="C51" s="5"/>
      <c r="D51" s="5">
        <v>1</v>
      </c>
      <c r="E51" s="5"/>
      <c r="G51" t="s">
        <v>70</v>
      </c>
      <c r="H51">
        <v>1</v>
      </c>
      <c r="J51">
        <v>1</v>
      </c>
    </row>
    <row r="52" spans="1:11" x14ac:dyDescent="0.25">
      <c r="A52" t="s">
        <v>51</v>
      </c>
      <c r="B52" s="5">
        <v>1</v>
      </c>
      <c r="C52" s="5"/>
      <c r="D52" s="5">
        <v>1</v>
      </c>
      <c r="E52" s="5"/>
      <c r="G52" t="s">
        <v>65</v>
      </c>
      <c r="I52">
        <v>1</v>
      </c>
      <c r="K52">
        <v>1</v>
      </c>
    </row>
    <row r="53" spans="1:11" x14ac:dyDescent="0.25">
      <c r="A53" t="s">
        <v>53</v>
      </c>
      <c r="B53" s="5"/>
      <c r="C53" s="5">
        <v>1</v>
      </c>
      <c r="D53" s="5"/>
      <c r="E53" s="5">
        <v>1</v>
      </c>
      <c r="G53" t="s">
        <v>180</v>
      </c>
      <c r="J53">
        <v>1</v>
      </c>
    </row>
    <row r="54" spans="1:11" x14ac:dyDescent="0.25">
      <c r="A54" t="s">
        <v>67</v>
      </c>
      <c r="B54" s="5">
        <v>1</v>
      </c>
      <c r="C54" s="5"/>
      <c r="D54" s="5">
        <v>1</v>
      </c>
      <c r="E54" s="5"/>
      <c r="G54" t="s">
        <v>179</v>
      </c>
      <c r="I54">
        <v>1</v>
      </c>
      <c r="K54">
        <v>1</v>
      </c>
    </row>
    <row r="55" spans="1:11" x14ac:dyDescent="0.25">
      <c r="A55" t="s">
        <v>70</v>
      </c>
      <c r="B55" s="5">
        <v>1</v>
      </c>
      <c r="C55" s="5"/>
      <c r="D55" s="5">
        <v>1</v>
      </c>
      <c r="E55" s="5"/>
      <c r="G55" t="s">
        <v>71</v>
      </c>
      <c r="I55">
        <v>1</v>
      </c>
      <c r="K55">
        <v>1</v>
      </c>
    </row>
    <row r="56" spans="1:11" x14ac:dyDescent="0.25">
      <c r="A56" t="s">
        <v>65</v>
      </c>
      <c r="B56" s="5"/>
      <c r="C56" s="5">
        <v>1</v>
      </c>
      <c r="D56" s="5"/>
      <c r="E56" s="5">
        <v>1</v>
      </c>
      <c r="G56" t="s">
        <v>80</v>
      </c>
      <c r="H56">
        <v>1</v>
      </c>
      <c r="J56">
        <v>1</v>
      </c>
    </row>
    <row r="57" spans="1:11" x14ac:dyDescent="0.25">
      <c r="A57" t="s">
        <v>180</v>
      </c>
      <c r="B57" s="5">
        <v>1</v>
      </c>
      <c r="C57" s="5"/>
      <c r="D57" s="5">
        <v>1</v>
      </c>
      <c r="E57" s="5"/>
      <c r="G57" t="s">
        <v>85</v>
      </c>
      <c r="H57">
        <v>1</v>
      </c>
      <c r="J57">
        <v>1</v>
      </c>
    </row>
    <row r="58" spans="1:11" x14ac:dyDescent="0.25">
      <c r="A58" t="s">
        <v>179</v>
      </c>
      <c r="B58" s="5"/>
      <c r="C58" s="5">
        <v>1</v>
      </c>
      <c r="D58" s="5"/>
      <c r="E58" s="5">
        <v>1</v>
      </c>
      <c r="G58" t="s">
        <v>140</v>
      </c>
      <c r="I58">
        <v>1</v>
      </c>
    </row>
    <row r="59" spans="1:11" x14ac:dyDescent="0.25">
      <c r="A59" t="s">
        <v>71</v>
      </c>
      <c r="B59" s="5"/>
      <c r="C59" s="5">
        <v>1</v>
      </c>
      <c r="D59" s="5"/>
      <c r="E59" s="5">
        <v>1</v>
      </c>
      <c r="G59" t="s">
        <v>141</v>
      </c>
      <c r="J59">
        <v>1</v>
      </c>
    </row>
    <row r="60" spans="1:11" x14ac:dyDescent="0.25">
      <c r="A60" t="s">
        <v>589</v>
      </c>
      <c r="B60" s="5"/>
      <c r="C60" s="5">
        <v>1</v>
      </c>
      <c r="D60" s="5"/>
      <c r="E60" s="5">
        <v>1</v>
      </c>
      <c r="G60" t="s">
        <v>136</v>
      </c>
      <c r="J60">
        <v>1</v>
      </c>
    </row>
    <row r="61" spans="1:11" x14ac:dyDescent="0.25">
      <c r="A61" t="s">
        <v>604</v>
      </c>
      <c r="B61" s="5"/>
      <c r="C61" s="5">
        <v>1</v>
      </c>
      <c r="D61" s="5"/>
      <c r="E61" s="5">
        <v>1</v>
      </c>
      <c r="G61" t="s">
        <v>144</v>
      </c>
      <c r="K61">
        <v>1</v>
      </c>
    </row>
    <row r="62" spans="1:11" x14ac:dyDescent="0.25">
      <c r="A62" t="s">
        <v>156</v>
      </c>
      <c r="B62" s="5"/>
      <c r="C62" s="5">
        <v>1</v>
      </c>
      <c r="D62" s="5"/>
      <c r="E62" s="5"/>
      <c r="G62" t="s">
        <v>148</v>
      </c>
      <c r="I62">
        <v>1</v>
      </c>
    </row>
    <row r="63" spans="1:11" x14ac:dyDescent="0.25">
      <c r="A63" t="s">
        <v>157</v>
      </c>
      <c r="B63" s="5">
        <v>1</v>
      </c>
      <c r="C63" s="5"/>
      <c r="D63" s="5"/>
      <c r="E63" s="5"/>
      <c r="G63" t="s">
        <v>137</v>
      </c>
      <c r="I63">
        <v>1</v>
      </c>
    </row>
    <row r="64" spans="1:11" x14ac:dyDescent="0.25">
      <c r="A64" t="s">
        <v>140</v>
      </c>
      <c r="B64" s="5"/>
      <c r="C64" s="5">
        <v>1</v>
      </c>
      <c r="D64" s="5"/>
      <c r="E64" s="5"/>
      <c r="G64" t="s">
        <v>138</v>
      </c>
      <c r="H64">
        <v>1</v>
      </c>
    </row>
    <row r="65" spans="1:11" x14ac:dyDescent="0.25">
      <c r="A65" t="s">
        <v>141</v>
      </c>
      <c r="B65" s="5"/>
      <c r="C65" s="5"/>
      <c r="D65" s="5">
        <v>1</v>
      </c>
      <c r="E65" s="5"/>
      <c r="G65" t="s">
        <v>142</v>
      </c>
      <c r="K65">
        <v>1</v>
      </c>
    </row>
    <row r="66" spans="1:11" x14ac:dyDescent="0.25">
      <c r="A66" t="s">
        <v>136</v>
      </c>
      <c r="B66" s="5"/>
      <c r="C66" s="5"/>
      <c r="D66" s="5">
        <v>1</v>
      </c>
      <c r="E66" s="5"/>
      <c r="G66" t="s">
        <v>149</v>
      </c>
      <c r="H66">
        <v>1</v>
      </c>
    </row>
    <row r="67" spans="1:11" x14ac:dyDescent="0.25">
      <c r="A67" t="s">
        <v>144</v>
      </c>
      <c r="B67" s="5"/>
      <c r="C67" s="5"/>
      <c r="D67" s="5"/>
      <c r="E67" s="5">
        <v>1</v>
      </c>
      <c r="G67" t="s">
        <v>132</v>
      </c>
      <c r="H67">
        <v>1</v>
      </c>
      <c r="I67">
        <v>1</v>
      </c>
      <c r="J67">
        <v>1</v>
      </c>
      <c r="K67">
        <v>1</v>
      </c>
    </row>
    <row r="68" spans="1:11" x14ac:dyDescent="0.25">
      <c r="A68" t="s">
        <v>148</v>
      </c>
      <c r="B68" s="5"/>
      <c r="C68" s="5">
        <v>1</v>
      </c>
      <c r="D68" s="5"/>
      <c r="E68" s="5"/>
      <c r="G68" t="s">
        <v>145</v>
      </c>
      <c r="I68">
        <v>1</v>
      </c>
    </row>
    <row r="69" spans="1:11" x14ac:dyDescent="0.25">
      <c r="A69" t="s">
        <v>137</v>
      </c>
      <c r="B69" s="5"/>
      <c r="C69" s="5">
        <v>1</v>
      </c>
      <c r="D69" s="5"/>
      <c r="E69" s="5"/>
      <c r="G69" t="s">
        <v>146</v>
      </c>
      <c r="J69">
        <v>1</v>
      </c>
    </row>
    <row r="70" spans="1:11" x14ac:dyDescent="0.25">
      <c r="A70" t="s">
        <v>138</v>
      </c>
      <c r="B70" s="5">
        <v>1</v>
      </c>
      <c r="C70" s="5"/>
      <c r="D70" s="5"/>
      <c r="E70" s="5"/>
      <c r="G70" t="s">
        <v>150</v>
      </c>
      <c r="K70">
        <v>1</v>
      </c>
    </row>
    <row r="71" spans="1:11" x14ac:dyDescent="0.25">
      <c r="A71" t="s">
        <v>142</v>
      </c>
      <c r="B71" s="5"/>
      <c r="C71" s="5"/>
      <c r="D71" s="5"/>
      <c r="E71" s="5">
        <v>1</v>
      </c>
      <c r="G71" t="s">
        <v>126</v>
      </c>
      <c r="I71">
        <v>1</v>
      </c>
      <c r="K71">
        <v>1</v>
      </c>
    </row>
    <row r="72" spans="1:11" x14ac:dyDescent="0.25">
      <c r="A72" t="s">
        <v>149</v>
      </c>
      <c r="B72" s="5">
        <v>1</v>
      </c>
      <c r="C72" s="5"/>
      <c r="D72" s="5"/>
      <c r="E72" s="5"/>
      <c r="G72" t="s">
        <v>184</v>
      </c>
      <c r="H72">
        <v>1</v>
      </c>
      <c r="J72">
        <v>1</v>
      </c>
    </row>
    <row r="73" spans="1:11" x14ac:dyDescent="0.25">
      <c r="A73" t="s">
        <v>132</v>
      </c>
      <c r="B73" s="5">
        <v>1</v>
      </c>
      <c r="C73" s="5">
        <v>1</v>
      </c>
      <c r="D73" s="5">
        <v>1</v>
      </c>
      <c r="E73" s="5">
        <v>1</v>
      </c>
      <c r="G73" t="s">
        <v>226</v>
      </c>
      <c r="K73">
        <v>1</v>
      </c>
    </row>
    <row r="74" spans="1:11" x14ac:dyDescent="0.25">
      <c r="A74" t="s">
        <v>145</v>
      </c>
      <c r="B74" s="5"/>
      <c r="C74" s="5">
        <v>1</v>
      </c>
      <c r="D74" s="5"/>
      <c r="E74" s="5"/>
      <c r="G74" t="s">
        <v>227</v>
      </c>
      <c r="I74">
        <v>1</v>
      </c>
    </row>
    <row r="75" spans="1:11" x14ac:dyDescent="0.25">
      <c r="A75" t="s">
        <v>146</v>
      </c>
      <c r="B75" s="5"/>
      <c r="C75" s="5"/>
      <c r="D75" s="5">
        <v>1</v>
      </c>
      <c r="E75" s="5"/>
      <c r="G75" t="s">
        <v>221</v>
      </c>
      <c r="H75">
        <v>1</v>
      </c>
    </row>
    <row r="76" spans="1:11" x14ac:dyDescent="0.25">
      <c r="A76" t="s">
        <v>150</v>
      </c>
      <c r="B76" s="5"/>
      <c r="C76" s="5"/>
      <c r="D76" s="5"/>
      <c r="E76" s="5">
        <v>1</v>
      </c>
      <c r="G76" t="s">
        <v>228</v>
      </c>
      <c r="H76">
        <v>1</v>
      </c>
    </row>
    <row r="77" spans="1:11" x14ac:dyDescent="0.25">
      <c r="A77" t="s">
        <v>126</v>
      </c>
      <c r="B77" s="5"/>
      <c r="C77" s="5">
        <v>1</v>
      </c>
      <c r="D77" s="5"/>
      <c r="E77" s="5">
        <v>1</v>
      </c>
      <c r="G77" t="s">
        <v>213</v>
      </c>
      <c r="I77">
        <v>1</v>
      </c>
    </row>
    <row r="78" spans="1:11" x14ac:dyDescent="0.25">
      <c r="A78" t="s">
        <v>158</v>
      </c>
      <c r="B78" s="5"/>
      <c r="C78" s="5"/>
      <c r="D78" s="5">
        <v>1</v>
      </c>
      <c r="E78" s="5"/>
      <c r="G78" t="s">
        <v>113</v>
      </c>
      <c r="H78">
        <v>1</v>
      </c>
      <c r="J78">
        <v>1</v>
      </c>
    </row>
    <row r="79" spans="1:11" x14ac:dyDescent="0.25">
      <c r="A79" t="s">
        <v>184</v>
      </c>
      <c r="B79" s="5">
        <v>1</v>
      </c>
      <c r="C79" s="5"/>
      <c r="D79" s="5">
        <v>1</v>
      </c>
      <c r="E79" s="5"/>
      <c r="G79" t="s">
        <v>186</v>
      </c>
      <c r="I79">
        <v>1</v>
      </c>
      <c r="K79">
        <v>1</v>
      </c>
    </row>
    <row r="80" spans="1:11" x14ac:dyDescent="0.25">
      <c r="A80" t="s">
        <v>226</v>
      </c>
      <c r="B80" s="5"/>
      <c r="C80" s="5"/>
      <c r="D80" s="5"/>
      <c r="E80" s="5">
        <v>1</v>
      </c>
      <c r="G80" t="s">
        <v>197</v>
      </c>
      <c r="I80">
        <v>1</v>
      </c>
      <c r="K80">
        <v>1</v>
      </c>
    </row>
    <row r="81" spans="1:11" x14ac:dyDescent="0.25">
      <c r="A81" t="s">
        <v>227</v>
      </c>
      <c r="B81" s="5"/>
      <c r="C81" s="5">
        <v>1</v>
      </c>
      <c r="D81" s="5"/>
      <c r="E81" s="5"/>
      <c r="G81" t="s">
        <v>200</v>
      </c>
      <c r="H81">
        <v>1</v>
      </c>
      <c r="J81">
        <v>1</v>
      </c>
    </row>
    <row r="82" spans="1:11" x14ac:dyDescent="0.25">
      <c r="A82" t="s">
        <v>221</v>
      </c>
      <c r="B82" s="5">
        <v>1</v>
      </c>
      <c r="C82" s="5"/>
      <c r="D82" s="5"/>
      <c r="E82" s="5"/>
      <c r="G82" t="s">
        <v>215</v>
      </c>
      <c r="H82">
        <v>1</v>
      </c>
      <c r="J82">
        <v>1</v>
      </c>
    </row>
    <row r="83" spans="1:11" x14ac:dyDescent="0.25">
      <c r="A83" t="s">
        <v>228</v>
      </c>
      <c r="B83" s="5">
        <v>1</v>
      </c>
      <c r="C83" s="5"/>
      <c r="D83" s="5"/>
      <c r="E83" s="5"/>
      <c r="G83" t="s">
        <v>218</v>
      </c>
      <c r="I83">
        <v>1</v>
      </c>
      <c r="K83">
        <v>1</v>
      </c>
    </row>
    <row r="84" spans="1:11" x14ac:dyDescent="0.25">
      <c r="A84" t="s">
        <v>213</v>
      </c>
      <c r="B84" s="5"/>
      <c r="C84" s="5">
        <v>1</v>
      </c>
      <c r="D84" s="5"/>
      <c r="E84" s="5"/>
      <c r="G84" t="s">
        <v>198</v>
      </c>
      <c r="I84">
        <v>1</v>
      </c>
      <c r="K84">
        <v>1</v>
      </c>
    </row>
    <row r="85" spans="1:11" x14ac:dyDescent="0.25">
      <c r="A85" t="s">
        <v>113</v>
      </c>
      <c r="B85" s="5">
        <v>1</v>
      </c>
      <c r="C85" s="5"/>
      <c r="D85" s="5">
        <v>1</v>
      </c>
      <c r="E85" s="5"/>
      <c r="G85" t="s">
        <v>223</v>
      </c>
      <c r="J85">
        <v>1</v>
      </c>
    </row>
    <row r="86" spans="1:11" x14ac:dyDescent="0.25">
      <c r="A86" t="s">
        <v>638</v>
      </c>
      <c r="B86" s="5">
        <v>1</v>
      </c>
      <c r="C86" s="5"/>
      <c r="D86" s="5">
        <v>1</v>
      </c>
      <c r="E86" s="5"/>
      <c r="G86" t="s">
        <v>229</v>
      </c>
      <c r="J86">
        <v>1</v>
      </c>
    </row>
    <row r="87" spans="1:11" x14ac:dyDescent="0.25">
      <c r="A87" t="s">
        <v>186</v>
      </c>
      <c r="B87" s="5"/>
      <c r="C87" s="5">
        <v>1</v>
      </c>
      <c r="D87" s="5"/>
      <c r="E87" s="5">
        <v>1</v>
      </c>
      <c r="G87" t="s">
        <v>193</v>
      </c>
      <c r="H87">
        <v>1</v>
      </c>
      <c r="J87">
        <v>1</v>
      </c>
    </row>
    <row r="88" spans="1:11" x14ac:dyDescent="0.25">
      <c r="A88" t="s">
        <v>197</v>
      </c>
      <c r="B88" s="5"/>
      <c r="C88" s="5">
        <v>1</v>
      </c>
      <c r="D88" s="5"/>
      <c r="E88" s="5">
        <v>1</v>
      </c>
      <c r="G88" t="s">
        <v>196</v>
      </c>
      <c r="H88">
        <v>1</v>
      </c>
      <c r="I88">
        <v>1</v>
      </c>
      <c r="J88">
        <v>1</v>
      </c>
      <c r="K88">
        <v>1</v>
      </c>
    </row>
    <row r="89" spans="1:11" x14ac:dyDescent="0.25">
      <c r="A89" t="s">
        <v>200</v>
      </c>
      <c r="B89" s="5">
        <v>1</v>
      </c>
      <c r="C89" s="5"/>
      <c r="D89" s="5">
        <v>1</v>
      </c>
      <c r="E89" s="5"/>
      <c r="G89" t="s">
        <v>185</v>
      </c>
      <c r="H89">
        <v>1</v>
      </c>
      <c r="I89">
        <v>1</v>
      </c>
      <c r="K89">
        <v>1</v>
      </c>
    </row>
    <row r="90" spans="1:11" x14ac:dyDescent="0.25">
      <c r="A90" t="s">
        <v>215</v>
      </c>
      <c r="B90" s="5">
        <v>1</v>
      </c>
      <c r="C90" s="5"/>
      <c r="D90" s="5">
        <v>1</v>
      </c>
      <c r="E90" s="5"/>
      <c r="G90" t="s">
        <v>182</v>
      </c>
      <c r="H90">
        <v>1</v>
      </c>
      <c r="J90">
        <v>1</v>
      </c>
    </row>
    <row r="91" spans="1:11" x14ac:dyDescent="0.25">
      <c r="A91" t="s">
        <v>218</v>
      </c>
      <c r="B91" s="5"/>
      <c r="C91" s="5">
        <v>1</v>
      </c>
      <c r="D91" s="5"/>
      <c r="E91" s="5">
        <v>1</v>
      </c>
      <c r="G91" t="s">
        <v>220</v>
      </c>
      <c r="H91">
        <v>1</v>
      </c>
      <c r="J91">
        <v>1</v>
      </c>
    </row>
    <row r="92" spans="1:11" x14ac:dyDescent="0.25">
      <c r="A92" t="s">
        <v>198</v>
      </c>
      <c r="B92" s="5"/>
      <c r="C92" s="5">
        <v>1</v>
      </c>
      <c r="D92" s="5"/>
      <c r="E92" s="5">
        <v>1</v>
      </c>
      <c r="G92" t="s">
        <v>222</v>
      </c>
      <c r="H92">
        <v>1</v>
      </c>
      <c r="J92">
        <v>1</v>
      </c>
    </row>
    <row r="93" spans="1:11" x14ac:dyDescent="0.25">
      <c r="A93" t="s">
        <v>223</v>
      </c>
      <c r="B93" s="5"/>
      <c r="C93" s="5"/>
      <c r="D93" s="5">
        <v>1</v>
      </c>
      <c r="E93" s="5"/>
      <c r="G93" t="s">
        <v>202</v>
      </c>
      <c r="I93">
        <v>1</v>
      </c>
      <c r="K93">
        <v>1</v>
      </c>
    </row>
    <row r="94" spans="1:11" x14ac:dyDescent="0.25">
      <c r="A94" t="s">
        <v>229</v>
      </c>
      <c r="B94" s="5"/>
      <c r="C94" s="5"/>
      <c r="D94" s="5">
        <v>1</v>
      </c>
      <c r="E94" s="5"/>
      <c r="G94" t="s">
        <v>206</v>
      </c>
      <c r="H94">
        <v>1</v>
      </c>
      <c r="J94">
        <v>1</v>
      </c>
    </row>
    <row r="95" spans="1:11" x14ac:dyDescent="0.25">
      <c r="A95" t="s">
        <v>196</v>
      </c>
      <c r="B95" s="5">
        <v>1</v>
      </c>
      <c r="C95" s="5">
        <v>1</v>
      </c>
      <c r="D95" s="5">
        <v>1</v>
      </c>
      <c r="E95" s="5">
        <v>1</v>
      </c>
      <c r="G95" t="s">
        <v>214</v>
      </c>
      <c r="H95">
        <v>1</v>
      </c>
      <c r="J95">
        <v>1</v>
      </c>
    </row>
    <row r="96" spans="1:11" x14ac:dyDescent="0.25">
      <c r="A96" t="s">
        <v>185</v>
      </c>
      <c r="B96" s="5">
        <v>1</v>
      </c>
      <c r="C96" s="5">
        <v>1</v>
      </c>
      <c r="D96" s="5"/>
      <c r="E96" s="5">
        <v>1</v>
      </c>
      <c r="G96" t="s">
        <v>217</v>
      </c>
      <c r="H96">
        <v>1</v>
      </c>
      <c r="J96">
        <v>1</v>
      </c>
    </row>
    <row r="97" spans="1:5" x14ac:dyDescent="0.25">
      <c r="A97" t="s">
        <v>182</v>
      </c>
      <c r="B97" s="5">
        <v>1</v>
      </c>
      <c r="C97" s="5"/>
      <c r="D97" s="5">
        <v>1</v>
      </c>
      <c r="E97" s="5"/>
    </row>
    <row r="98" spans="1:5" x14ac:dyDescent="0.25">
      <c r="A98" t="s">
        <v>220</v>
      </c>
      <c r="B98" s="5">
        <v>1</v>
      </c>
      <c r="C98" s="5"/>
      <c r="D98" s="5">
        <v>1</v>
      </c>
      <c r="E98" s="5"/>
    </row>
    <row r="99" spans="1:5" x14ac:dyDescent="0.25">
      <c r="A99" t="s">
        <v>222</v>
      </c>
      <c r="B99" s="5">
        <v>1</v>
      </c>
      <c r="C99" s="5"/>
      <c r="D99" s="5">
        <v>1</v>
      </c>
      <c r="E99" s="5"/>
    </row>
    <row r="100" spans="1:5" x14ac:dyDescent="0.25">
      <c r="A100" t="s">
        <v>202</v>
      </c>
      <c r="B100" s="5"/>
      <c r="C100" s="5">
        <v>1</v>
      </c>
      <c r="D100" s="5"/>
      <c r="E100" s="5">
        <v>1</v>
      </c>
    </row>
    <row r="101" spans="1:5" x14ac:dyDescent="0.25">
      <c r="A101" t="s">
        <v>206</v>
      </c>
      <c r="B101" s="5">
        <v>1</v>
      </c>
      <c r="C101" s="5"/>
      <c r="D101" s="5">
        <v>1</v>
      </c>
      <c r="E101" s="5"/>
    </row>
    <row r="102" spans="1:5" x14ac:dyDescent="0.25">
      <c r="A102" t="s">
        <v>214</v>
      </c>
      <c r="B102" s="5">
        <v>1</v>
      </c>
      <c r="C102" s="5"/>
      <c r="D102" s="5">
        <v>1</v>
      </c>
      <c r="E102" s="5"/>
    </row>
    <row r="103" spans="1:5" x14ac:dyDescent="0.25">
      <c r="A103" t="s">
        <v>217</v>
      </c>
      <c r="B103" s="5">
        <v>1</v>
      </c>
      <c r="C103" s="5"/>
      <c r="D103" s="5">
        <v>1</v>
      </c>
      <c r="E103" s="5"/>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5" tint="-0.249977111117893"/>
  </sheetPr>
  <dimension ref="A2:R75"/>
  <sheetViews>
    <sheetView zoomScale="80" zoomScaleNormal="80" workbookViewId="0">
      <selection activeCell="B49" sqref="B49"/>
    </sheetView>
  </sheetViews>
  <sheetFormatPr defaultRowHeight="15.75" x14ac:dyDescent="0.25"/>
  <cols>
    <col min="1" max="1" width="14" style="8" bestFit="1" customWidth="1"/>
    <col min="2" max="2" width="3.625" customWidth="1"/>
    <col min="3" max="3" width="12.375" bestFit="1" customWidth="1"/>
    <col min="4" max="5" width="12.125" bestFit="1" customWidth="1"/>
    <col min="6" max="6" width="12.5" bestFit="1" customWidth="1"/>
    <col min="7" max="7" width="11.375" bestFit="1" customWidth="1"/>
    <col min="8" max="8" width="12.5" bestFit="1" customWidth="1"/>
    <col min="9" max="9" width="5.625" bestFit="1" customWidth="1"/>
    <col min="10" max="10" width="12.5" bestFit="1" customWidth="1"/>
    <col min="11" max="11" width="5.625" customWidth="1"/>
    <col min="12" max="12" width="12.375" customWidth="1"/>
    <col min="13" max="13" width="5.625" customWidth="1"/>
    <col min="14" max="14" width="12.625" customWidth="1"/>
    <col min="15" max="15" width="5.625" customWidth="1"/>
    <col min="16" max="16" width="12.625" customWidth="1"/>
    <col min="17" max="17" width="5.625" customWidth="1"/>
    <col min="18" max="18" width="12.625" customWidth="1"/>
  </cols>
  <sheetData>
    <row r="2" spans="1:18" x14ac:dyDescent="0.25">
      <c r="C2" s="37"/>
      <c r="D2" s="258">
        <v>2026</v>
      </c>
      <c r="E2" s="12"/>
      <c r="F2" s="258">
        <v>2026</v>
      </c>
      <c r="G2" s="10"/>
      <c r="H2" s="258">
        <v>2026</v>
      </c>
      <c r="I2" s="12"/>
      <c r="J2" s="258">
        <v>2026</v>
      </c>
      <c r="K2" s="11"/>
      <c r="L2" s="258">
        <v>2026</v>
      </c>
      <c r="M2" s="11"/>
      <c r="N2" s="258">
        <v>2026</v>
      </c>
      <c r="O2" s="38"/>
      <c r="P2" s="258">
        <v>2026</v>
      </c>
      <c r="Q2" s="12"/>
      <c r="R2" s="258">
        <v>2026</v>
      </c>
    </row>
    <row r="3" spans="1:18" x14ac:dyDescent="0.25">
      <c r="A3" s="46" t="s">
        <v>36</v>
      </c>
      <c r="B3" s="3">
        <v>1</v>
      </c>
      <c r="C3" s="1"/>
      <c r="D3" s="13" t="s">
        <v>37</v>
      </c>
      <c r="E3" s="21"/>
      <c r="F3" s="14" t="s">
        <v>38</v>
      </c>
      <c r="G3" s="1"/>
      <c r="H3" s="15" t="s">
        <v>39</v>
      </c>
      <c r="I3" s="2"/>
      <c r="J3" s="15" t="s">
        <v>40</v>
      </c>
      <c r="K3" s="39"/>
      <c r="L3" s="13" t="s">
        <v>41</v>
      </c>
      <c r="M3" s="39"/>
      <c r="N3" s="15" t="s">
        <v>42</v>
      </c>
      <c r="O3" s="39"/>
      <c r="P3" s="13" t="s">
        <v>43</v>
      </c>
      <c r="Q3" s="39"/>
      <c r="R3" s="15" t="s">
        <v>44</v>
      </c>
    </row>
    <row r="4" spans="1:18" x14ac:dyDescent="0.25">
      <c r="B4" s="20">
        <v>2</v>
      </c>
      <c r="C4" s="58" t="s">
        <v>45</v>
      </c>
      <c r="D4" s="57" t="s">
        <v>46</v>
      </c>
      <c r="E4" s="70" t="s">
        <v>47</v>
      </c>
      <c r="F4" s="57" t="s">
        <v>589</v>
      </c>
      <c r="G4" s="58" t="s">
        <v>49</v>
      </c>
      <c r="H4" s="253" t="str">
        <f>D4</f>
        <v>EDUC1020</v>
      </c>
      <c r="I4" s="58" t="s">
        <v>50</v>
      </c>
      <c r="J4" s="253" t="str">
        <f>F4</f>
        <v>EDUC1040</v>
      </c>
      <c r="K4" s="58" t="s">
        <v>45</v>
      </c>
      <c r="L4" s="57" t="s">
        <v>51</v>
      </c>
      <c r="M4" s="58" t="s">
        <v>47</v>
      </c>
      <c r="N4" s="57" t="s">
        <v>71</v>
      </c>
      <c r="O4" s="58"/>
      <c r="P4" s="57" t="s">
        <v>51</v>
      </c>
      <c r="Q4" s="58"/>
      <c r="R4" s="57" t="s">
        <v>71</v>
      </c>
    </row>
    <row r="5" spans="1:18" x14ac:dyDescent="0.25">
      <c r="B5" s="20">
        <v>3</v>
      </c>
      <c r="C5" s="60" t="s">
        <v>45</v>
      </c>
      <c r="D5" s="55" t="s">
        <v>51</v>
      </c>
      <c r="E5" s="60" t="s">
        <v>47</v>
      </c>
      <c r="F5" s="55" t="s">
        <v>71</v>
      </c>
      <c r="G5" s="60" t="s">
        <v>49</v>
      </c>
      <c r="H5" s="254" t="str">
        <f t="shared" ref="H5:J33" si="0">D5</f>
        <v>EDUC1022</v>
      </c>
      <c r="I5" s="60" t="s">
        <v>50</v>
      </c>
      <c r="J5" s="254" t="str">
        <f t="shared" si="0"/>
        <v>EDUC1038</v>
      </c>
      <c r="K5" s="60" t="s">
        <v>45</v>
      </c>
      <c r="L5" s="55" t="s">
        <v>46</v>
      </c>
      <c r="M5" s="60" t="s">
        <v>47</v>
      </c>
      <c r="N5" s="55" t="s">
        <v>65</v>
      </c>
      <c r="O5" s="60"/>
      <c r="P5" s="55" t="s">
        <v>46</v>
      </c>
      <c r="Q5" s="60"/>
      <c r="R5" s="55" t="s">
        <v>65</v>
      </c>
    </row>
    <row r="6" spans="1:18" x14ac:dyDescent="0.25">
      <c r="B6" s="20">
        <v>4</v>
      </c>
      <c r="C6" s="69" t="s">
        <v>47</v>
      </c>
      <c r="D6" s="56" t="s">
        <v>589</v>
      </c>
      <c r="E6" s="59" t="s">
        <v>49</v>
      </c>
      <c r="F6" s="56" t="s">
        <v>46</v>
      </c>
      <c r="G6" s="59" t="s">
        <v>50</v>
      </c>
      <c r="H6" s="255" t="str">
        <f t="shared" si="0"/>
        <v>EDUC1040</v>
      </c>
      <c r="I6" s="59" t="s">
        <v>45</v>
      </c>
      <c r="J6" s="255" t="str">
        <f t="shared" si="0"/>
        <v>EDUC1020</v>
      </c>
      <c r="K6" s="59" t="s">
        <v>47</v>
      </c>
      <c r="L6" s="56" t="s">
        <v>71</v>
      </c>
      <c r="M6" s="59" t="s">
        <v>49</v>
      </c>
      <c r="N6" s="56" t="s">
        <v>51</v>
      </c>
      <c r="O6" s="59"/>
      <c r="P6" s="56" t="s">
        <v>71</v>
      </c>
      <c r="Q6" s="59"/>
      <c r="R6" s="56" t="s">
        <v>51</v>
      </c>
    </row>
    <row r="7" spans="1:18" x14ac:dyDescent="0.25">
      <c r="B7" s="20">
        <v>5</v>
      </c>
      <c r="C7" s="60" t="s">
        <v>47</v>
      </c>
      <c r="D7" s="55" t="s">
        <v>71</v>
      </c>
      <c r="E7" s="60" t="s">
        <v>49</v>
      </c>
      <c r="F7" s="55" t="s">
        <v>51</v>
      </c>
      <c r="G7" s="60" t="s">
        <v>50</v>
      </c>
      <c r="H7" s="254" t="str">
        <f t="shared" si="0"/>
        <v>EDUC1038</v>
      </c>
      <c r="I7" s="60" t="s">
        <v>45</v>
      </c>
      <c r="J7" s="254" t="str">
        <f t="shared" si="0"/>
        <v>EDUC1022</v>
      </c>
      <c r="K7" s="60" t="s">
        <v>47</v>
      </c>
      <c r="L7" s="55" t="s">
        <v>65</v>
      </c>
      <c r="M7" s="60" t="s">
        <v>49</v>
      </c>
      <c r="N7" s="55" t="s">
        <v>46</v>
      </c>
      <c r="O7" s="60"/>
      <c r="P7" s="55" t="s">
        <v>65</v>
      </c>
      <c r="Q7" s="60"/>
      <c r="R7" s="55" t="s">
        <v>46</v>
      </c>
    </row>
    <row r="8" spans="1:18" x14ac:dyDescent="0.25">
      <c r="B8" s="20">
        <v>6</v>
      </c>
      <c r="C8" s="58" t="s">
        <v>49</v>
      </c>
      <c r="D8" s="57" t="s">
        <v>67</v>
      </c>
      <c r="E8" s="58" t="s">
        <v>50</v>
      </c>
      <c r="F8" s="57" t="s">
        <v>65</v>
      </c>
      <c r="G8" s="58" t="s">
        <v>45</v>
      </c>
      <c r="H8" s="253" t="str">
        <f t="shared" si="0"/>
        <v>EDUC1028</v>
      </c>
      <c r="I8" s="58" t="s">
        <v>47</v>
      </c>
      <c r="J8" s="253" t="str">
        <f t="shared" si="0"/>
        <v>EDUC1032</v>
      </c>
      <c r="K8" s="58" t="s">
        <v>49</v>
      </c>
      <c r="L8" s="57" t="s">
        <v>67</v>
      </c>
      <c r="M8" s="58" t="s">
        <v>50</v>
      </c>
      <c r="N8" s="57" t="s">
        <v>179</v>
      </c>
      <c r="O8" s="58"/>
      <c r="P8" s="57" t="s">
        <v>67</v>
      </c>
      <c r="Q8" s="58"/>
      <c r="R8" s="57" t="s">
        <v>179</v>
      </c>
    </row>
    <row r="9" spans="1:18" x14ac:dyDescent="0.25">
      <c r="B9" s="20">
        <v>7</v>
      </c>
      <c r="C9" s="60" t="s">
        <v>49</v>
      </c>
      <c r="D9" s="55" t="s">
        <v>70</v>
      </c>
      <c r="E9" s="60" t="s">
        <v>50</v>
      </c>
      <c r="F9" s="55" t="s">
        <v>53</v>
      </c>
      <c r="G9" s="60" t="s">
        <v>45</v>
      </c>
      <c r="H9" s="254" t="str">
        <f t="shared" si="0"/>
        <v>EDUC1030</v>
      </c>
      <c r="I9" s="60" t="s">
        <v>47</v>
      </c>
      <c r="J9" s="254" t="str">
        <f t="shared" si="0"/>
        <v>EDUC1026</v>
      </c>
      <c r="K9" s="60" t="s">
        <v>49</v>
      </c>
      <c r="L9" s="55" t="s">
        <v>70</v>
      </c>
      <c r="M9" s="60" t="s">
        <v>50</v>
      </c>
      <c r="N9" s="55" t="s">
        <v>589</v>
      </c>
      <c r="O9" s="60"/>
      <c r="P9" s="55" t="s">
        <v>70</v>
      </c>
      <c r="Q9" s="60"/>
      <c r="R9" s="55" t="s">
        <v>589</v>
      </c>
    </row>
    <row r="10" spans="1:18" x14ac:dyDescent="0.25">
      <c r="B10" s="20">
        <v>8</v>
      </c>
      <c r="C10" s="59" t="s">
        <v>50</v>
      </c>
      <c r="D10" s="56" t="s">
        <v>53</v>
      </c>
      <c r="E10" s="59" t="s">
        <v>45</v>
      </c>
      <c r="F10" s="56" t="s">
        <v>67</v>
      </c>
      <c r="G10" s="59" t="s">
        <v>47</v>
      </c>
      <c r="H10" s="255" t="str">
        <f t="shared" si="0"/>
        <v>EDUC1026</v>
      </c>
      <c r="I10" s="59" t="s">
        <v>49</v>
      </c>
      <c r="J10" s="255" t="str">
        <f t="shared" si="0"/>
        <v>EDUC1028</v>
      </c>
      <c r="K10" s="59" t="s">
        <v>50</v>
      </c>
      <c r="L10" s="56" t="s">
        <v>179</v>
      </c>
      <c r="M10" s="59" t="s">
        <v>45</v>
      </c>
      <c r="N10" s="56" t="s">
        <v>67</v>
      </c>
      <c r="O10" s="59"/>
      <c r="P10" s="56" t="s">
        <v>179</v>
      </c>
      <c r="Q10" s="59"/>
      <c r="R10" s="56" t="s">
        <v>67</v>
      </c>
    </row>
    <row r="11" spans="1:18" x14ac:dyDescent="0.25">
      <c r="B11" s="20">
        <v>9</v>
      </c>
      <c r="C11" s="60" t="s">
        <v>50</v>
      </c>
      <c r="D11" s="55" t="s">
        <v>65</v>
      </c>
      <c r="E11" s="60" t="s">
        <v>45</v>
      </c>
      <c r="F11" s="55" t="s">
        <v>70</v>
      </c>
      <c r="G11" s="60" t="s">
        <v>47</v>
      </c>
      <c r="H11" s="254" t="str">
        <f t="shared" si="0"/>
        <v>EDUC1032</v>
      </c>
      <c r="I11" s="60" t="s">
        <v>49</v>
      </c>
      <c r="J11" s="254" t="str">
        <f t="shared" si="0"/>
        <v>EDUC1030</v>
      </c>
      <c r="K11" s="60" t="s">
        <v>50</v>
      </c>
      <c r="L11" s="55" t="s">
        <v>589</v>
      </c>
      <c r="M11" s="60" t="s">
        <v>45</v>
      </c>
      <c r="N11" s="55" t="s">
        <v>70</v>
      </c>
      <c r="O11" s="60"/>
      <c r="P11" s="55" t="s">
        <v>589</v>
      </c>
      <c r="Q11" s="60"/>
      <c r="R11" s="55" t="s">
        <v>70</v>
      </c>
    </row>
    <row r="12" spans="1:18" x14ac:dyDescent="0.25">
      <c r="B12" s="20">
        <v>10</v>
      </c>
      <c r="C12" s="58" t="s">
        <v>79</v>
      </c>
      <c r="D12" s="57" t="s">
        <v>102</v>
      </c>
      <c r="E12" s="58" t="s">
        <v>81</v>
      </c>
      <c r="F12" s="57" t="s">
        <v>82</v>
      </c>
      <c r="G12" s="58" t="s">
        <v>83</v>
      </c>
      <c r="H12" s="253" t="str">
        <f t="shared" si="0"/>
        <v>EDEC2028</v>
      </c>
      <c r="I12" s="58" t="s">
        <v>84</v>
      </c>
      <c r="J12" s="253" t="str">
        <f t="shared" si="0"/>
        <v>EDEC2018</v>
      </c>
      <c r="K12" s="58" t="s">
        <v>79</v>
      </c>
      <c r="L12" s="57" t="s">
        <v>607</v>
      </c>
      <c r="M12" s="58" t="s">
        <v>81</v>
      </c>
      <c r="N12" s="57" t="s">
        <v>604</v>
      </c>
      <c r="O12" s="58"/>
      <c r="P12" s="57" t="s">
        <v>607</v>
      </c>
      <c r="Q12" s="58"/>
      <c r="R12" s="57" t="s">
        <v>604</v>
      </c>
    </row>
    <row r="13" spans="1:18" x14ac:dyDescent="0.25">
      <c r="B13" s="20">
        <v>11</v>
      </c>
      <c r="C13" s="60" t="s">
        <v>79</v>
      </c>
      <c r="D13" s="55" t="s">
        <v>591</v>
      </c>
      <c r="E13" s="60" t="s">
        <v>81</v>
      </c>
      <c r="F13" s="55" t="s">
        <v>100</v>
      </c>
      <c r="G13" s="60" t="s">
        <v>83</v>
      </c>
      <c r="H13" s="254" t="str">
        <f t="shared" si="0"/>
        <v>EDEC2030</v>
      </c>
      <c r="I13" s="60" t="s">
        <v>84</v>
      </c>
      <c r="J13" s="254" t="str">
        <f t="shared" si="0"/>
        <v>EDEC2024</v>
      </c>
      <c r="K13" s="60" t="s">
        <v>79</v>
      </c>
      <c r="L13" s="55" t="s">
        <v>89</v>
      </c>
      <c r="M13" s="60" t="s">
        <v>81</v>
      </c>
      <c r="N13" s="55" t="s">
        <v>609</v>
      </c>
      <c r="O13" s="60"/>
      <c r="P13" s="55" t="s">
        <v>89</v>
      </c>
      <c r="Q13" s="60"/>
      <c r="R13" s="55" t="s">
        <v>87</v>
      </c>
    </row>
    <row r="14" spans="1:18" x14ac:dyDescent="0.25">
      <c r="B14" s="20">
        <v>12</v>
      </c>
      <c r="C14" s="59" t="s">
        <v>81</v>
      </c>
      <c r="D14" s="56" t="s">
        <v>82</v>
      </c>
      <c r="E14" s="59" t="s">
        <v>83</v>
      </c>
      <c r="F14" s="56" t="s">
        <v>593</v>
      </c>
      <c r="G14" s="59" t="s">
        <v>84</v>
      </c>
      <c r="H14" s="255" t="str">
        <f t="shared" si="0"/>
        <v>EDEC2018</v>
      </c>
      <c r="I14" s="59" t="s">
        <v>79</v>
      </c>
      <c r="J14" s="255" t="str">
        <f t="shared" si="0"/>
        <v>EDEC2032</v>
      </c>
      <c r="K14" s="59" t="s">
        <v>81</v>
      </c>
      <c r="L14" s="56" t="s">
        <v>604</v>
      </c>
      <c r="M14" s="59" t="s">
        <v>83</v>
      </c>
      <c r="N14" s="56" t="s">
        <v>607</v>
      </c>
      <c r="O14" s="59"/>
      <c r="P14" s="56" t="s">
        <v>604</v>
      </c>
      <c r="Q14" s="59"/>
      <c r="R14" s="56" t="s">
        <v>607</v>
      </c>
    </row>
    <row r="15" spans="1:18" x14ac:dyDescent="0.25">
      <c r="B15" s="20">
        <v>13</v>
      </c>
      <c r="C15" s="59" t="s">
        <v>81</v>
      </c>
      <c r="D15" s="56" t="s">
        <v>595</v>
      </c>
      <c r="E15" s="59" t="s">
        <v>83</v>
      </c>
      <c r="F15" s="56" t="s">
        <v>591</v>
      </c>
      <c r="G15" s="59" t="s">
        <v>84</v>
      </c>
      <c r="H15" s="255" t="str">
        <f t="shared" si="0"/>
        <v>EDEC2034</v>
      </c>
      <c r="I15" s="59" t="s">
        <v>79</v>
      </c>
      <c r="J15" s="255" t="str">
        <f t="shared" si="0"/>
        <v>EDEC2030</v>
      </c>
      <c r="K15" s="59" t="s">
        <v>81</v>
      </c>
      <c r="L15" s="56" t="s">
        <v>609</v>
      </c>
      <c r="M15" s="59" t="s">
        <v>83</v>
      </c>
      <c r="N15" s="56" t="s">
        <v>611</v>
      </c>
      <c r="O15" s="59"/>
      <c r="P15" s="56" t="s">
        <v>87</v>
      </c>
      <c r="Q15" s="59"/>
      <c r="R15" s="56" t="s">
        <v>609</v>
      </c>
    </row>
    <row r="16" spans="1:18" x14ac:dyDescent="0.25">
      <c r="B16" s="20">
        <v>14</v>
      </c>
      <c r="C16" s="58" t="s">
        <v>83</v>
      </c>
      <c r="D16" s="57" t="s">
        <v>593</v>
      </c>
      <c r="E16" s="58" t="s">
        <v>84</v>
      </c>
      <c r="F16" s="57" t="s">
        <v>88</v>
      </c>
      <c r="G16" s="58" t="s">
        <v>79</v>
      </c>
      <c r="H16" s="253" t="str">
        <f t="shared" si="0"/>
        <v>EDEC2032</v>
      </c>
      <c r="I16" s="58" t="s">
        <v>81</v>
      </c>
      <c r="J16" s="253" t="str">
        <f t="shared" si="0"/>
        <v>EDEC2022</v>
      </c>
      <c r="K16" s="58" t="s">
        <v>83</v>
      </c>
      <c r="L16" s="57" t="s">
        <v>90</v>
      </c>
      <c r="M16" s="58" t="s">
        <v>84</v>
      </c>
      <c r="N16" s="57" t="s">
        <v>87</v>
      </c>
      <c r="O16" s="58"/>
      <c r="P16" s="57" t="s">
        <v>90</v>
      </c>
      <c r="Q16" s="58"/>
      <c r="R16" s="57" t="s">
        <v>611</v>
      </c>
    </row>
    <row r="17" spans="2:18" x14ac:dyDescent="0.25">
      <c r="B17" s="20">
        <v>15</v>
      </c>
      <c r="C17" s="60" t="s">
        <v>83</v>
      </c>
      <c r="D17" s="55" t="s">
        <v>103</v>
      </c>
      <c r="E17" s="60" t="s">
        <v>84</v>
      </c>
      <c r="F17" s="55" t="s">
        <v>595</v>
      </c>
      <c r="G17" s="60" t="s">
        <v>79</v>
      </c>
      <c r="H17" s="254" t="str">
        <f t="shared" si="0"/>
        <v>SpecElec</v>
      </c>
      <c r="I17" s="60" t="s">
        <v>81</v>
      </c>
      <c r="J17" s="254" t="str">
        <f t="shared" si="0"/>
        <v>EDEC2034</v>
      </c>
      <c r="K17" s="60" t="s">
        <v>83</v>
      </c>
      <c r="L17" s="55" t="s">
        <v>611</v>
      </c>
      <c r="M17" s="60" t="s">
        <v>84</v>
      </c>
      <c r="N17" s="55" t="s">
        <v>103</v>
      </c>
      <c r="O17" s="60"/>
      <c r="P17" s="55" t="s">
        <v>609</v>
      </c>
      <c r="Q17" s="60"/>
      <c r="R17" s="55" t="s">
        <v>103</v>
      </c>
    </row>
    <row r="18" spans="2:18" x14ac:dyDescent="0.25">
      <c r="B18" s="20">
        <v>16</v>
      </c>
      <c r="C18" s="59" t="s">
        <v>84</v>
      </c>
      <c r="D18" s="56" t="s">
        <v>100</v>
      </c>
      <c r="E18" s="59" t="s">
        <v>79</v>
      </c>
      <c r="F18" s="56" t="s">
        <v>102</v>
      </c>
      <c r="G18" s="59" t="s">
        <v>81</v>
      </c>
      <c r="H18" s="255" t="str">
        <f t="shared" si="0"/>
        <v>EDEC2024</v>
      </c>
      <c r="I18" s="59" t="s">
        <v>83</v>
      </c>
      <c r="J18" s="255" t="str">
        <f t="shared" si="0"/>
        <v>EDEC2028</v>
      </c>
      <c r="K18" s="59" t="s">
        <v>84</v>
      </c>
      <c r="L18" s="56" t="s">
        <v>87</v>
      </c>
      <c r="M18" s="59" t="s">
        <v>79</v>
      </c>
      <c r="N18" s="56" t="s">
        <v>89</v>
      </c>
      <c r="O18" s="59"/>
      <c r="P18" s="56" t="s">
        <v>103</v>
      </c>
      <c r="Q18" s="59"/>
      <c r="R18" s="56" t="s">
        <v>89</v>
      </c>
    </row>
    <row r="19" spans="2:18" x14ac:dyDescent="0.25">
      <c r="B19" s="20">
        <v>17</v>
      </c>
      <c r="C19" s="60" t="s">
        <v>84</v>
      </c>
      <c r="D19" s="56" t="s">
        <v>88</v>
      </c>
      <c r="E19" s="60" t="s">
        <v>79</v>
      </c>
      <c r="F19" s="55" t="s">
        <v>103</v>
      </c>
      <c r="G19" s="60" t="s">
        <v>81</v>
      </c>
      <c r="H19" s="254" t="str">
        <f t="shared" si="0"/>
        <v>EDEC2022</v>
      </c>
      <c r="I19" s="60" t="s">
        <v>83</v>
      </c>
      <c r="J19" s="254" t="str">
        <f t="shared" si="0"/>
        <v>SpecElec</v>
      </c>
      <c r="K19" s="60" t="s">
        <v>84</v>
      </c>
      <c r="L19" s="55" t="s">
        <v>103</v>
      </c>
      <c r="M19" s="60" t="s">
        <v>79</v>
      </c>
      <c r="N19" s="55" t="s">
        <v>90</v>
      </c>
      <c r="O19" s="60"/>
      <c r="P19" s="55" t="s">
        <v>611</v>
      </c>
      <c r="Q19" s="60"/>
      <c r="R19" s="55" t="s">
        <v>90</v>
      </c>
    </row>
    <row r="20" spans="2:18" x14ac:dyDescent="0.25">
      <c r="B20" s="20">
        <v>18</v>
      </c>
      <c r="C20" s="58" t="s">
        <v>105</v>
      </c>
      <c r="D20" s="57" t="s">
        <v>600</v>
      </c>
      <c r="E20" s="58" t="s">
        <v>107</v>
      </c>
      <c r="F20" s="57" t="s">
        <v>602</v>
      </c>
      <c r="G20" s="58" t="s">
        <v>109</v>
      </c>
      <c r="H20" s="253" t="str">
        <f t="shared" si="0"/>
        <v>EDEC3028</v>
      </c>
      <c r="I20" s="58" t="s">
        <v>110</v>
      </c>
      <c r="J20" s="253" t="str">
        <f t="shared" si="0"/>
        <v>EDEC3030</v>
      </c>
      <c r="K20" s="58" t="s">
        <v>105</v>
      </c>
      <c r="L20" s="57" t="s">
        <v>113</v>
      </c>
      <c r="M20" s="58" t="s">
        <v>107</v>
      </c>
      <c r="N20" s="57" t="s">
        <v>115</v>
      </c>
      <c r="O20" s="58"/>
      <c r="P20" s="57" t="s">
        <v>113</v>
      </c>
      <c r="Q20" s="58"/>
      <c r="R20" s="57" t="s">
        <v>115</v>
      </c>
    </row>
    <row r="21" spans="2:18" x14ac:dyDescent="0.25">
      <c r="B21" s="20">
        <v>19</v>
      </c>
      <c r="C21" s="60" t="s">
        <v>105</v>
      </c>
      <c r="D21" s="55" t="s">
        <v>117</v>
      </c>
      <c r="E21" s="60" t="s">
        <v>107</v>
      </c>
      <c r="F21" s="55" t="s">
        <v>120</v>
      </c>
      <c r="G21" s="60" t="s">
        <v>109</v>
      </c>
      <c r="H21" s="254" t="str">
        <f t="shared" si="0"/>
        <v>EDEC3019</v>
      </c>
      <c r="I21" s="60" t="s">
        <v>110</v>
      </c>
      <c r="J21" s="254" t="str">
        <f t="shared" si="0"/>
        <v>EDEC3006</v>
      </c>
      <c r="K21" s="60" t="s">
        <v>105</v>
      </c>
      <c r="L21" s="55" t="s">
        <v>111</v>
      </c>
      <c r="M21" s="60" t="s">
        <v>107</v>
      </c>
      <c r="N21" s="55" t="s">
        <v>118</v>
      </c>
      <c r="O21" s="60"/>
      <c r="P21" s="55" t="s">
        <v>111</v>
      </c>
      <c r="Q21" s="60"/>
      <c r="R21" s="55" t="s">
        <v>118</v>
      </c>
    </row>
    <row r="22" spans="2:18" x14ac:dyDescent="0.25">
      <c r="B22" s="20">
        <v>20</v>
      </c>
      <c r="C22" s="59" t="s">
        <v>107</v>
      </c>
      <c r="D22" s="56" t="s">
        <v>602</v>
      </c>
      <c r="E22" s="59" t="s">
        <v>109</v>
      </c>
      <c r="F22" s="56" t="s">
        <v>600</v>
      </c>
      <c r="G22" s="59" t="s">
        <v>110</v>
      </c>
      <c r="H22" s="255" t="str">
        <f t="shared" si="0"/>
        <v>EDEC3030</v>
      </c>
      <c r="I22" s="59" t="s">
        <v>105</v>
      </c>
      <c r="J22" s="255" t="str">
        <f t="shared" si="0"/>
        <v>EDEC3028</v>
      </c>
      <c r="K22" s="59" t="s">
        <v>107</v>
      </c>
      <c r="L22" s="56" t="s">
        <v>115</v>
      </c>
      <c r="M22" s="59" t="s">
        <v>109</v>
      </c>
      <c r="N22" s="56" t="s">
        <v>111</v>
      </c>
      <c r="O22" s="59"/>
      <c r="P22" s="56" t="s">
        <v>115</v>
      </c>
      <c r="Q22" s="59"/>
      <c r="R22" s="56" t="s">
        <v>111</v>
      </c>
    </row>
    <row r="23" spans="2:18" x14ac:dyDescent="0.25">
      <c r="B23" s="20">
        <v>21</v>
      </c>
      <c r="C23" s="59" t="s">
        <v>107</v>
      </c>
      <c r="D23" s="55" t="s">
        <v>120</v>
      </c>
      <c r="E23" s="59" t="s">
        <v>109</v>
      </c>
      <c r="F23" s="55" t="s">
        <v>117</v>
      </c>
      <c r="G23" s="59" t="s">
        <v>110</v>
      </c>
      <c r="H23" s="254" t="str">
        <f t="shared" si="0"/>
        <v>EDEC3006</v>
      </c>
      <c r="I23" s="59" t="s">
        <v>105</v>
      </c>
      <c r="J23" s="254" t="str">
        <f t="shared" si="0"/>
        <v>EDEC3019</v>
      </c>
      <c r="K23" s="59" t="s">
        <v>107</v>
      </c>
      <c r="L23" s="55" t="s">
        <v>118</v>
      </c>
      <c r="M23" s="59" t="s">
        <v>109</v>
      </c>
      <c r="N23" s="55" t="s">
        <v>616</v>
      </c>
      <c r="O23" s="59"/>
      <c r="P23" s="55" t="s">
        <v>118</v>
      </c>
      <c r="Q23" s="59"/>
      <c r="R23" s="55" t="s">
        <v>616</v>
      </c>
    </row>
    <row r="24" spans="2:18" x14ac:dyDescent="0.25">
      <c r="B24" s="20">
        <v>22</v>
      </c>
      <c r="C24" s="58" t="s">
        <v>109</v>
      </c>
      <c r="D24" s="57" t="s">
        <v>598</v>
      </c>
      <c r="E24" s="58" t="s">
        <v>110</v>
      </c>
      <c r="F24" s="57" t="s">
        <v>604</v>
      </c>
      <c r="G24" s="58" t="s">
        <v>105</v>
      </c>
      <c r="H24" s="253" t="str">
        <f t="shared" si="0"/>
        <v>EDEC3032</v>
      </c>
      <c r="I24" s="58" t="s">
        <v>107</v>
      </c>
      <c r="J24" s="253" t="str">
        <f t="shared" si="0"/>
        <v>EDUC2002</v>
      </c>
      <c r="K24" s="58" t="s">
        <v>109</v>
      </c>
      <c r="L24" s="57" t="s">
        <v>614</v>
      </c>
      <c r="M24" s="58" t="s">
        <v>110</v>
      </c>
      <c r="N24" s="57" t="s">
        <v>131</v>
      </c>
      <c r="O24" s="58"/>
      <c r="P24" s="57" t="s">
        <v>614</v>
      </c>
      <c r="Q24" s="58"/>
      <c r="R24" s="57" t="s">
        <v>131</v>
      </c>
    </row>
    <row r="25" spans="2:18" x14ac:dyDescent="0.25">
      <c r="B25" s="20">
        <v>23</v>
      </c>
      <c r="C25" s="60" t="s">
        <v>109</v>
      </c>
      <c r="D25" s="55" t="s">
        <v>113</v>
      </c>
      <c r="E25" s="60" t="s">
        <v>110</v>
      </c>
      <c r="F25" s="55" t="s">
        <v>119</v>
      </c>
      <c r="G25" s="60" t="s">
        <v>105</v>
      </c>
      <c r="H25" s="254" t="str">
        <f t="shared" si="0"/>
        <v>INED3001</v>
      </c>
      <c r="I25" s="60" t="s">
        <v>107</v>
      </c>
      <c r="J25" s="254" t="str">
        <f t="shared" si="0"/>
        <v>EDEC3021</v>
      </c>
      <c r="K25" s="60" t="s">
        <v>109</v>
      </c>
      <c r="L25" s="55" t="s">
        <v>616</v>
      </c>
      <c r="M25" s="60" t="s">
        <v>110</v>
      </c>
      <c r="N25" s="55" t="s">
        <v>122</v>
      </c>
      <c r="O25" s="60"/>
      <c r="P25" s="55" t="s">
        <v>616</v>
      </c>
      <c r="Q25" s="60"/>
      <c r="R25" s="55" t="s">
        <v>122</v>
      </c>
    </row>
    <row r="26" spans="2:18" x14ac:dyDescent="0.25">
      <c r="B26" s="20">
        <v>24</v>
      </c>
      <c r="C26" s="59" t="s">
        <v>110</v>
      </c>
      <c r="D26" s="56" t="s">
        <v>604</v>
      </c>
      <c r="E26" s="59" t="s">
        <v>105</v>
      </c>
      <c r="F26" s="56" t="s">
        <v>598</v>
      </c>
      <c r="G26" s="59" t="s">
        <v>107</v>
      </c>
      <c r="H26" s="255" t="str">
        <f t="shared" si="0"/>
        <v>EDUC2002</v>
      </c>
      <c r="I26" s="59" t="s">
        <v>109</v>
      </c>
      <c r="J26" s="255" t="str">
        <f t="shared" si="0"/>
        <v>EDEC3032</v>
      </c>
      <c r="K26" s="59" t="s">
        <v>110</v>
      </c>
      <c r="L26" s="56" t="s">
        <v>131</v>
      </c>
      <c r="M26" s="59" t="s">
        <v>105</v>
      </c>
      <c r="N26" s="56" t="s">
        <v>614</v>
      </c>
      <c r="O26" s="59"/>
      <c r="P26" s="56" t="s">
        <v>131</v>
      </c>
      <c r="Q26" s="59"/>
      <c r="R26" s="56" t="s">
        <v>614</v>
      </c>
    </row>
    <row r="27" spans="2:18" x14ac:dyDescent="0.25">
      <c r="B27" s="20">
        <v>25</v>
      </c>
      <c r="C27" s="60" t="s">
        <v>110</v>
      </c>
      <c r="D27" s="55" t="s">
        <v>119</v>
      </c>
      <c r="E27" s="60" t="s">
        <v>105</v>
      </c>
      <c r="F27" s="55" t="s">
        <v>113</v>
      </c>
      <c r="G27" s="60" t="s">
        <v>107</v>
      </c>
      <c r="H27" s="254" t="str">
        <f t="shared" si="0"/>
        <v>EDEC3021</v>
      </c>
      <c r="I27" s="60" t="s">
        <v>109</v>
      </c>
      <c r="J27" s="254" t="str">
        <f t="shared" si="0"/>
        <v>INED3001</v>
      </c>
      <c r="K27" s="60" t="s">
        <v>110</v>
      </c>
      <c r="L27" s="55" t="s">
        <v>122</v>
      </c>
      <c r="M27" s="60" t="s">
        <v>105</v>
      </c>
      <c r="N27" s="55" t="s">
        <v>113</v>
      </c>
      <c r="O27" s="60"/>
      <c r="P27" s="55" t="s">
        <v>122</v>
      </c>
      <c r="Q27" s="60"/>
      <c r="R27" s="55" t="s">
        <v>113</v>
      </c>
    </row>
    <row r="28" spans="2:18" x14ac:dyDescent="0.25">
      <c r="B28" s="20">
        <v>26</v>
      </c>
      <c r="C28" s="58" t="s">
        <v>123</v>
      </c>
      <c r="D28" s="257" t="s">
        <v>124</v>
      </c>
      <c r="E28" s="58" t="s">
        <v>125</v>
      </c>
      <c r="F28" s="57" t="s">
        <v>130</v>
      </c>
      <c r="G28" s="58" t="s">
        <v>127</v>
      </c>
      <c r="H28" s="253" t="str">
        <f t="shared" si="0"/>
        <v>EDEC4007</v>
      </c>
      <c r="I28" s="58" t="s">
        <v>128</v>
      </c>
      <c r="J28" s="253" t="str">
        <f t="shared" si="0"/>
        <v>EDEC4005</v>
      </c>
      <c r="K28" s="58" t="s">
        <v>123</v>
      </c>
      <c r="L28" s="57" t="s">
        <v>129</v>
      </c>
      <c r="M28" s="58" t="s">
        <v>125</v>
      </c>
      <c r="N28" s="57" t="s">
        <v>126</v>
      </c>
      <c r="O28" s="58"/>
      <c r="P28" s="57" t="s">
        <v>129</v>
      </c>
      <c r="Q28" s="58"/>
      <c r="R28" s="57" t="s">
        <v>126</v>
      </c>
    </row>
    <row r="29" spans="2:18" x14ac:dyDescent="0.25">
      <c r="B29" s="20">
        <v>27</v>
      </c>
      <c r="C29" s="60" t="s">
        <v>123</v>
      </c>
      <c r="D29" s="55" t="s">
        <v>103</v>
      </c>
      <c r="E29" s="60" t="s">
        <v>125</v>
      </c>
      <c r="F29" s="55" t="s">
        <v>126</v>
      </c>
      <c r="G29" s="60" t="s">
        <v>127</v>
      </c>
      <c r="H29" s="254" t="str">
        <f t="shared" si="0"/>
        <v>SpecElec</v>
      </c>
      <c r="I29" s="60" t="s">
        <v>128</v>
      </c>
      <c r="J29" s="254" t="str">
        <f t="shared" si="0"/>
        <v>EDUC4050</v>
      </c>
      <c r="K29" s="60" t="s">
        <v>123</v>
      </c>
      <c r="L29" s="55" t="s">
        <v>103</v>
      </c>
      <c r="M29" s="60" t="s">
        <v>125</v>
      </c>
      <c r="N29" s="55" t="s">
        <v>103</v>
      </c>
      <c r="O29" s="60"/>
      <c r="P29" s="55" t="s">
        <v>103</v>
      </c>
      <c r="Q29" s="60"/>
      <c r="R29" s="55" t="s">
        <v>103</v>
      </c>
    </row>
    <row r="30" spans="2:18" x14ac:dyDescent="0.25">
      <c r="B30" s="20">
        <v>28</v>
      </c>
      <c r="C30" s="59" t="s">
        <v>125</v>
      </c>
      <c r="D30" s="56" t="s">
        <v>130</v>
      </c>
      <c r="E30" s="59" t="s">
        <v>127</v>
      </c>
      <c r="F30" s="56" t="s">
        <v>124</v>
      </c>
      <c r="G30" s="59" t="s">
        <v>128</v>
      </c>
      <c r="H30" s="255" t="str">
        <f>D30</f>
        <v>EDEC4005</v>
      </c>
      <c r="I30" s="59" t="s">
        <v>123</v>
      </c>
      <c r="J30" s="255" t="str">
        <f t="shared" si="0"/>
        <v>EDEC4007</v>
      </c>
      <c r="K30" s="59" t="s">
        <v>125</v>
      </c>
      <c r="L30" s="56" t="s">
        <v>126</v>
      </c>
      <c r="M30" s="59" t="s">
        <v>127</v>
      </c>
      <c r="N30" s="56" t="s">
        <v>129</v>
      </c>
      <c r="O30" s="59"/>
      <c r="P30" s="56" t="s">
        <v>126</v>
      </c>
      <c r="Q30" s="59"/>
      <c r="R30" s="56" t="s">
        <v>129</v>
      </c>
    </row>
    <row r="31" spans="2:18" x14ac:dyDescent="0.25">
      <c r="B31" s="20">
        <v>29</v>
      </c>
      <c r="C31" s="59" t="s">
        <v>125</v>
      </c>
      <c r="D31" s="55" t="s">
        <v>126</v>
      </c>
      <c r="E31" s="59" t="s">
        <v>127</v>
      </c>
      <c r="F31" s="55" t="s">
        <v>103</v>
      </c>
      <c r="G31" s="59" t="s">
        <v>128</v>
      </c>
      <c r="H31" s="254" t="str">
        <f t="shared" si="0"/>
        <v>EDUC4050</v>
      </c>
      <c r="I31" s="59" t="s">
        <v>123</v>
      </c>
      <c r="J31" s="254" t="str">
        <f t="shared" si="0"/>
        <v>SpecElec</v>
      </c>
      <c r="K31" s="59" t="s">
        <v>125</v>
      </c>
      <c r="L31" s="55" t="s">
        <v>103</v>
      </c>
      <c r="M31" s="59" t="s">
        <v>127</v>
      </c>
      <c r="N31" s="55" t="s">
        <v>103</v>
      </c>
      <c r="O31" s="59"/>
      <c r="P31" s="55" t="s">
        <v>103</v>
      </c>
      <c r="Q31" s="59"/>
      <c r="R31" s="55" t="s">
        <v>103</v>
      </c>
    </row>
    <row r="32" spans="2:18" x14ac:dyDescent="0.25">
      <c r="B32" s="20">
        <v>30</v>
      </c>
      <c r="C32" s="58" t="s">
        <v>127</v>
      </c>
      <c r="D32" s="57" t="s">
        <v>132</v>
      </c>
      <c r="E32" s="58" t="s">
        <v>128</v>
      </c>
      <c r="F32" s="57" t="s">
        <v>132</v>
      </c>
      <c r="G32" s="58" t="s">
        <v>123</v>
      </c>
      <c r="H32" s="253" t="str">
        <f t="shared" si="0"/>
        <v>EDUC4041</v>
      </c>
      <c r="I32" s="58" t="s">
        <v>125</v>
      </c>
      <c r="J32" s="253" t="str">
        <f t="shared" si="0"/>
        <v>EDUC4041</v>
      </c>
      <c r="K32" s="58" t="s">
        <v>127</v>
      </c>
      <c r="L32" s="57" t="s">
        <v>132</v>
      </c>
      <c r="M32" s="58" t="s">
        <v>128</v>
      </c>
      <c r="N32" s="57" t="s">
        <v>132</v>
      </c>
      <c r="O32" s="58"/>
      <c r="P32" s="57" t="s">
        <v>132</v>
      </c>
      <c r="Q32" s="58"/>
      <c r="R32" s="57" t="s">
        <v>132</v>
      </c>
    </row>
    <row r="33" spans="1:18" x14ac:dyDescent="0.25">
      <c r="B33" s="20">
        <v>31</v>
      </c>
      <c r="C33" s="60" t="s">
        <v>127</v>
      </c>
      <c r="D33" s="55" t="s">
        <v>133</v>
      </c>
      <c r="E33" s="60" t="s">
        <v>128</v>
      </c>
      <c r="F33" s="55" t="s">
        <v>133</v>
      </c>
      <c r="G33" s="60" t="s">
        <v>123</v>
      </c>
      <c r="H33" s="256" t="str">
        <f t="shared" si="0"/>
        <v>-</v>
      </c>
      <c r="I33" s="60" t="s">
        <v>125</v>
      </c>
      <c r="J33" s="256" t="str">
        <f t="shared" si="0"/>
        <v>-</v>
      </c>
      <c r="K33" s="60" t="s">
        <v>127</v>
      </c>
      <c r="L33" s="71" t="s">
        <v>133</v>
      </c>
      <c r="M33" s="60" t="s">
        <v>128</v>
      </c>
      <c r="N33" s="55"/>
      <c r="O33" s="60"/>
      <c r="P33" s="71"/>
      <c r="Q33" s="60"/>
      <c r="R33" s="55"/>
    </row>
    <row r="34" spans="1:18" ht="15.75" customHeight="1" x14ac:dyDescent="0.25">
      <c r="B34" s="20">
        <v>32</v>
      </c>
      <c r="C34" s="59" t="s">
        <v>128</v>
      </c>
      <c r="D34" s="56"/>
      <c r="E34" s="59" t="s">
        <v>123</v>
      </c>
      <c r="F34" s="56"/>
      <c r="G34" s="59" t="s">
        <v>125</v>
      </c>
      <c r="H34" s="255"/>
      <c r="I34" s="59" t="s">
        <v>127</v>
      </c>
      <c r="J34" s="255"/>
      <c r="K34" s="59" t="s">
        <v>128</v>
      </c>
      <c r="L34" s="56"/>
      <c r="M34" s="59" t="s">
        <v>123</v>
      </c>
      <c r="N34" s="56"/>
      <c r="O34" s="59"/>
      <c r="P34" s="56"/>
      <c r="Q34" s="59"/>
      <c r="R34" s="56"/>
    </row>
    <row r="35" spans="1:18" x14ac:dyDescent="0.25">
      <c r="B35" s="20">
        <v>33</v>
      </c>
      <c r="C35" s="60" t="s">
        <v>128</v>
      </c>
      <c r="D35" s="55"/>
      <c r="E35" s="60" t="s">
        <v>123</v>
      </c>
      <c r="F35" s="55"/>
      <c r="G35" s="60" t="s">
        <v>125</v>
      </c>
      <c r="H35" s="254"/>
      <c r="I35" s="60" t="s">
        <v>127</v>
      </c>
      <c r="J35" s="254"/>
      <c r="K35" s="60" t="s">
        <v>128</v>
      </c>
      <c r="L35" s="55"/>
      <c r="M35" s="60" t="s">
        <v>123</v>
      </c>
      <c r="N35" s="55"/>
      <c r="O35" s="60"/>
      <c r="P35" s="55"/>
      <c r="Q35" s="60"/>
      <c r="R35" s="55"/>
    </row>
    <row r="36" spans="1:18" ht="15.75" customHeight="1" x14ac:dyDescent="0.25"/>
    <row r="37" spans="1:18" ht="15.75" customHeight="1" x14ac:dyDescent="0.25">
      <c r="C37" s="258">
        <v>2026</v>
      </c>
      <c r="D37" s="258">
        <v>2026</v>
      </c>
      <c r="E37" s="258">
        <v>2026</v>
      </c>
      <c r="F37" s="258">
        <v>2026</v>
      </c>
      <c r="G37" s="258">
        <v>2026</v>
      </c>
      <c r="H37" s="258">
        <v>2026</v>
      </c>
    </row>
    <row r="38" spans="1:18" ht="15.75" customHeight="1" x14ac:dyDescent="0.25">
      <c r="A38" s="46" t="s">
        <v>662</v>
      </c>
      <c r="B38" s="3">
        <v>1</v>
      </c>
      <c r="C38" s="249" t="s">
        <v>620</v>
      </c>
      <c r="D38" s="250" t="s">
        <v>622</v>
      </c>
      <c r="E38" s="249" t="s">
        <v>624</v>
      </c>
      <c r="F38" s="249" t="s">
        <v>626</v>
      </c>
      <c r="G38" s="249" t="s">
        <v>628</v>
      </c>
      <c r="H38" s="249" t="s">
        <v>630</v>
      </c>
    </row>
    <row r="39" spans="1:18" ht="15.75" customHeight="1" x14ac:dyDescent="0.25">
      <c r="B39" s="20">
        <v>2</v>
      </c>
      <c r="C39" s="248" t="s">
        <v>153</v>
      </c>
      <c r="D39" s="57" t="s">
        <v>140</v>
      </c>
      <c r="E39" s="248" t="s">
        <v>156</v>
      </c>
      <c r="F39" s="248" t="s">
        <v>136</v>
      </c>
      <c r="G39" s="248" t="s">
        <v>146</v>
      </c>
      <c r="H39" s="248" t="s">
        <v>150</v>
      </c>
    </row>
    <row r="40" spans="1:18" ht="15.75" customHeight="1" x14ac:dyDescent="0.25">
      <c r="B40" s="20">
        <v>3</v>
      </c>
      <c r="C40" s="85" t="s">
        <v>154</v>
      </c>
      <c r="D40" s="56" t="s">
        <v>141</v>
      </c>
      <c r="E40" s="85" t="s">
        <v>157</v>
      </c>
      <c r="F40" s="85" t="s">
        <v>137</v>
      </c>
      <c r="G40" s="85" t="s">
        <v>145</v>
      </c>
      <c r="H40" s="85" t="s">
        <v>148</v>
      </c>
    </row>
    <row r="41" spans="1:18" ht="15.75" customHeight="1" x14ac:dyDescent="0.25">
      <c r="B41" s="20">
        <v>4</v>
      </c>
      <c r="C41" s="86" t="s">
        <v>152</v>
      </c>
      <c r="D41" s="55" t="s">
        <v>142</v>
      </c>
      <c r="E41" s="86" t="s">
        <v>158</v>
      </c>
      <c r="F41" s="86" t="s">
        <v>138</v>
      </c>
      <c r="G41" s="86" t="s">
        <v>144</v>
      </c>
      <c r="H41" s="86" t="s">
        <v>149</v>
      </c>
    </row>
    <row r="42" spans="1:18" ht="15.75" customHeight="1" x14ac:dyDescent="0.25"/>
    <row r="43" spans="1:18" ht="15.75" customHeight="1" thickBot="1" x14ac:dyDescent="0.3">
      <c r="C43" s="258">
        <v>2026</v>
      </c>
      <c r="D43" s="20"/>
      <c r="E43" s="4"/>
      <c r="F43" s="3"/>
    </row>
    <row r="44" spans="1:18" x14ac:dyDescent="0.25">
      <c r="A44" s="46" t="s">
        <v>134</v>
      </c>
      <c r="B44" s="3">
        <v>1</v>
      </c>
      <c r="C44" s="259" t="s">
        <v>66</v>
      </c>
    </row>
    <row r="45" spans="1:18" x14ac:dyDescent="0.25">
      <c r="A45" s="45"/>
      <c r="B45" s="3">
        <v>2</v>
      </c>
      <c r="C45" s="252" t="s">
        <v>135</v>
      </c>
    </row>
    <row r="46" spans="1:18" x14ac:dyDescent="0.25">
      <c r="B46" s="3">
        <v>3</v>
      </c>
      <c r="C46" s="252" t="s">
        <v>136</v>
      </c>
    </row>
    <row r="47" spans="1:18" x14ac:dyDescent="0.25">
      <c r="B47" s="3">
        <v>4</v>
      </c>
      <c r="C47" s="252" t="s">
        <v>137</v>
      </c>
    </row>
    <row r="48" spans="1:18" x14ac:dyDescent="0.25">
      <c r="B48" s="3">
        <v>5</v>
      </c>
      <c r="C48" s="252" t="s">
        <v>138</v>
      </c>
    </row>
    <row r="49" spans="2:3" x14ac:dyDescent="0.25">
      <c r="B49" s="3">
        <v>6</v>
      </c>
      <c r="C49" s="252" t="s">
        <v>139</v>
      </c>
    </row>
    <row r="50" spans="2:3" x14ac:dyDescent="0.25">
      <c r="B50" s="3">
        <v>7</v>
      </c>
      <c r="C50" s="252" t="s">
        <v>140</v>
      </c>
    </row>
    <row r="51" spans="2:3" x14ac:dyDescent="0.25">
      <c r="B51" s="3">
        <v>8</v>
      </c>
      <c r="C51" s="252" t="s">
        <v>141</v>
      </c>
    </row>
    <row r="52" spans="2:3" x14ac:dyDescent="0.25">
      <c r="B52" s="3">
        <v>9</v>
      </c>
      <c r="C52" s="252" t="s">
        <v>142</v>
      </c>
    </row>
    <row r="53" spans="2:3" x14ac:dyDescent="0.25">
      <c r="B53" s="3">
        <v>10</v>
      </c>
      <c r="C53" s="252" t="s">
        <v>143</v>
      </c>
    </row>
    <row r="54" spans="2:3" x14ac:dyDescent="0.25">
      <c r="B54" s="3">
        <v>11</v>
      </c>
      <c r="C54" s="252" t="s">
        <v>144</v>
      </c>
    </row>
    <row r="55" spans="2:3" x14ac:dyDescent="0.25">
      <c r="B55" s="3">
        <v>12</v>
      </c>
      <c r="C55" s="252" t="s">
        <v>145</v>
      </c>
    </row>
    <row r="56" spans="2:3" x14ac:dyDescent="0.25">
      <c r="B56" s="3">
        <v>13</v>
      </c>
      <c r="C56" s="252" t="s">
        <v>146</v>
      </c>
    </row>
    <row r="57" spans="2:3" x14ac:dyDescent="0.25">
      <c r="B57" s="3">
        <v>14</v>
      </c>
      <c r="C57" s="252" t="s">
        <v>147</v>
      </c>
    </row>
    <row r="58" spans="2:3" x14ac:dyDescent="0.25">
      <c r="B58" s="3">
        <v>15</v>
      </c>
      <c r="C58" s="252" t="s">
        <v>148</v>
      </c>
    </row>
    <row r="59" spans="2:3" x14ac:dyDescent="0.25">
      <c r="B59" s="3">
        <v>16</v>
      </c>
      <c r="C59" s="252" t="s">
        <v>149</v>
      </c>
    </row>
    <row r="60" spans="2:3" x14ac:dyDescent="0.25">
      <c r="B60" s="3">
        <v>17</v>
      </c>
      <c r="C60" s="252" t="s">
        <v>150</v>
      </c>
    </row>
    <row r="61" spans="2:3" x14ac:dyDescent="0.25">
      <c r="B61" s="3">
        <v>18</v>
      </c>
      <c r="C61" s="252" t="s">
        <v>151</v>
      </c>
    </row>
    <row r="62" spans="2:3" x14ac:dyDescent="0.25">
      <c r="B62" s="3">
        <v>19</v>
      </c>
      <c r="C62" s="252" t="s">
        <v>152</v>
      </c>
    </row>
    <row r="63" spans="2:3" x14ac:dyDescent="0.25">
      <c r="B63" s="3">
        <v>20</v>
      </c>
      <c r="C63" s="252" t="s">
        <v>153</v>
      </c>
    </row>
    <row r="64" spans="2:3" x14ac:dyDescent="0.25">
      <c r="B64" s="3">
        <v>21</v>
      </c>
      <c r="C64" s="252" t="s">
        <v>154</v>
      </c>
    </row>
    <row r="65" spans="2:4" ht="16.5" thickBot="1" x14ac:dyDescent="0.3">
      <c r="B65" s="3">
        <v>22</v>
      </c>
      <c r="C65" s="251"/>
    </row>
    <row r="66" spans="2:4" x14ac:dyDescent="0.25">
      <c r="B66" s="3"/>
      <c r="C66" s="5"/>
      <c r="D66" s="5"/>
    </row>
    <row r="67" spans="2:4" x14ac:dyDescent="0.25">
      <c r="B67" s="3"/>
    </row>
    <row r="68" spans="2:4" x14ac:dyDescent="0.25">
      <c r="B68" s="3"/>
    </row>
    <row r="69" spans="2:4" x14ac:dyDescent="0.25">
      <c r="B69" s="3"/>
    </row>
    <row r="70" spans="2:4" x14ac:dyDescent="0.25">
      <c r="B70" s="3"/>
    </row>
    <row r="71" spans="2:4" x14ac:dyDescent="0.25">
      <c r="B71" s="3"/>
    </row>
    <row r="72" spans="2:4" x14ac:dyDescent="0.25">
      <c r="B72" s="3"/>
    </row>
    <row r="73" spans="2:4" x14ac:dyDescent="0.25">
      <c r="B73" s="3"/>
    </row>
    <row r="74" spans="2:4" x14ac:dyDescent="0.25">
      <c r="B74" s="3"/>
    </row>
    <row r="75" spans="2:4" x14ac:dyDescent="0.25">
      <c r="B75" s="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pageSetUpPr fitToPage="1"/>
  </sheetPr>
  <dimension ref="A1:W78"/>
  <sheetViews>
    <sheetView showGridLines="0" topLeftCell="A3" zoomScaleNormal="100" workbookViewId="0">
      <selection activeCell="D6" sqref="D6"/>
    </sheetView>
  </sheetViews>
  <sheetFormatPr defaultColWidth="9" defaultRowHeight="15" x14ac:dyDescent="0.25"/>
  <cols>
    <col min="1" max="1" width="11.375" style="23" customWidth="1"/>
    <col min="2" max="2" width="3.25" style="23" customWidth="1"/>
    <col min="3" max="3" width="11.875" style="23" bestFit="1" customWidth="1"/>
    <col min="4" max="4" width="56" style="22" customWidth="1"/>
    <col min="5" max="5" width="7" style="22" customWidth="1"/>
    <col min="6" max="6" width="24.25" style="22" customWidth="1"/>
    <col min="7" max="7" width="5.625" style="22" customWidth="1"/>
    <col min="8" max="8" width="3.25" style="22" customWidth="1"/>
    <col min="9" max="11" width="3.25" style="22" bestFit="1" customWidth="1"/>
    <col min="12" max="12" width="18.625" style="22" customWidth="1"/>
    <col min="13" max="13" width="2.5" style="22" hidden="1" customWidth="1"/>
    <col min="14" max="16384" width="9" style="22"/>
  </cols>
  <sheetData>
    <row r="1" spans="1:23" hidden="1" x14ac:dyDescent="0.25">
      <c r="A1" s="53" t="s">
        <v>0</v>
      </c>
      <c r="B1" s="53" t="s">
        <v>1</v>
      </c>
      <c r="C1" s="53" t="s">
        <v>2</v>
      </c>
      <c r="D1" s="54" t="s">
        <v>3</v>
      </c>
      <c r="E1" s="54"/>
      <c r="F1" s="54" t="s">
        <v>4</v>
      </c>
      <c r="G1" s="54" t="s">
        <v>5</v>
      </c>
      <c r="H1" s="54" t="s">
        <v>6</v>
      </c>
      <c r="I1" s="54"/>
      <c r="J1" s="54"/>
      <c r="K1" s="54"/>
      <c r="L1" s="54" t="s">
        <v>7</v>
      </c>
    </row>
    <row r="2" spans="1:23" hidden="1" x14ac:dyDescent="0.25">
      <c r="A2" s="52"/>
      <c r="B2" s="52">
        <v>2</v>
      </c>
      <c r="C2" s="52">
        <v>3</v>
      </c>
      <c r="D2" s="52">
        <v>4</v>
      </c>
      <c r="E2" s="52"/>
      <c r="F2" s="52">
        <v>6</v>
      </c>
      <c r="G2" s="52">
        <v>5</v>
      </c>
      <c r="H2" s="52">
        <v>7</v>
      </c>
      <c r="I2" s="52">
        <v>8</v>
      </c>
      <c r="J2" s="52">
        <v>9</v>
      </c>
      <c r="K2" s="52">
        <v>10</v>
      </c>
      <c r="L2" s="52"/>
    </row>
    <row r="3" spans="1:23" ht="39.950000000000003" customHeight="1" x14ac:dyDescent="0.25">
      <c r="A3" s="267" t="s">
        <v>8</v>
      </c>
      <c r="B3" s="267"/>
      <c r="C3" s="267"/>
      <c r="D3" s="267"/>
      <c r="E3" s="88"/>
      <c r="F3" s="88"/>
      <c r="G3" s="88"/>
      <c r="H3" s="88"/>
      <c r="I3" s="88"/>
      <c r="J3" s="88"/>
      <c r="K3" s="88"/>
      <c r="L3" s="88"/>
    </row>
    <row r="4" spans="1:23" ht="26.25" x14ac:dyDescent="0.25">
      <c r="A4" s="165"/>
      <c r="B4" s="166"/>
      <c r="C4" s="166"/>
      <c r="D4" s="169" t="s">
        <v>585</v>
      </c>
      <c r="E4" s="167"/>
      <c r="F4" s="166"/>
      <c r="G4" s="168"/>
      <c r="H4" s="168"/>
      <c r="I4" s="168"/>
      <c r="J4" s="168"/>
      <c r="K4" s="168"/>
      <c r="L4" s="168"/>
    </row>
    <row r="5" spans="1:23" ht="20.100000000000001" customHeight="1" x14ac:dyDescent="0.25">
      <c r="B5" s="89"/>
      <c r="C5" s="90" t="s">
        <v>9</v>
      </c>
      <c r="D5" s="91" t="s">
        <v>10</v>
      </c>
      <c r="E5" s="92"/>
      <c r="F5" s="90" t="s">
        <v>11</v>
      </c>
      <c r="G5" s="92" t="str">
        <f>IFERROR(CONCATENATE(VLOOKUP(D5,TableCourses[],2,FALSE)," ",VLOOKUP(D5,TableCourses[],3,FALSE)),"")</f>
        <v>OB-EDEC v.4</v>
      </c>
      <c r="H5" s="92"/>
      <c r="I5" s="92"/>
      <c r="J5" s="92"/>
      <c r="K5" s="92"/>
      <c r="L5" s="170" t="e">
        <f>CONCATENATE(VLOOKUP(D5,TableCourses[],2,FALSE),VLOOKUP(D6,TableStudyPeriods[],2,FALSE))</f>
        <v>#N/A</v>
      </c>
    </row>
    <row r="6" spans="1:23" ht="20.100000000000001" customHeight="1" x14ac:dyDescent="0.25">
      <c r="A6" s="94"/>
      <c r="B6" s="95"/>
      <c r="C6" s="90" t="s">
        <v>12</v>
      </c>
      <c r="D6" s="145" t="s">
        <v>93</v>
      </c>
      <c r="E6" s="96"/>
      <c r="F6" s="90" t="s">
        <v>14</v>
      </c>
      <c r="G6" s="92" t="str">
        <f>IFERROR(VLOOKUP($D$5,TableCourses[],7,FALSE),"")</f>
        <v xml:space="preserve">800 credit points required </v>
      </c>
      <c r="H6" s="97"/>
      <c r="I6" s="97"/>
      <c r="J6" s="97"/>
      <c r="K6" s="97"/>
      <c r="L6" s="171"/>
      <c r="W6" s="24"/>
    </row>
    <row r="7" spans="1:23" s="26" customFormat="1" ht="14.1" customHeight="1" x14ac:dyDescent="0.25">
      <c r="A7" s="98"/>
      <c r="B7" s="98"/>
      <c r="C7" s="98"/>
      <c r="D7" s="99"/>
      <c r="E7" s="100"/>
      <c r="F7" s="98"/>
      <c r="G7" s="98"/>
      <c r="H7" s="101" t="s">
        <v>584</v>
      </c>
      <c r="I7" s="102"/>
      <c r="J7" s="102"/>
      <c r="K7" s="103"/>
      <c r="L7" s="100"/>
      <c r="M7" s="104"/>
      <c r="N7" s="104"/>
      <c r="O7" s="104"/>
      <c r="W7" s="25"/>
    </row>
    <row r="8" spans="1:23" s="26" customFormat="1" ht="21" x14ac:dyDescent="0.25">
      <c r="A8" s="98" t="s">
        <v>15</v>
      </c>
      <c r="B8" s="98"/>
      <c r="C8" s="105" t="s">
        <v>16</v>
      </c>
      <c r="D8" s="157" t="s">
        <v>3</v>
      </c>
      <c r="E8" s="105" t="s">
        <v>17</v>
      </c>
      <c r="F8" s="98" t="s">
        <v>18</v>
      </c>
      <c r="G8" s="98" t="s">
        <v>19</v>
      </c>
      <c r="H8" s="191" t="s">
        <v>20</v>
      </c>
      <c r="I8" s="192" t="s">
        <v>21</v>
      </c>
      <c r="J8" s="192" t="s">
        <v>22</v>
      </c>
      <c r="K8" s="193" t="s">
        <v>23</v>
      </c>
      <c r="L8" s="98" t="s">
        <v>24</v>
      </c>
      <c r="M8" s="104"/>
      <c r="N8" s="104"/>
      <c r="O8" s="104"/>
      <c r="W8" s="25"/>
    </row>
    <row r="9" spans="1:23" s="28" customFormat="1" ht="20.100000000000001" customHeight="1" x14ac:dyDescent="0.15">
      <c r="A9" s="106" t="str">
        <f>IFERROR(IF(HLOOKUP($L$5,RangeUnitsets,M9,FALSE)=0,"",HLOOKUP($L$5,RangeUnitsets,M9,FALSE)),"")</f>
        <v/>
      </c>
      <c r="B9" s="107" t="str">
        <f>IFERROR(IF(VLOOKUP($A9,TableHandbook[],B$2,FALSE)=0,"",VLOOKUP($A9,TableHandbook[],B$2,FALSE)),"")</f>
        <v/>
      </c>
      <c r="C9" s="107" t="str">
        <f>IFERROR(IF(VLOOKUP($A9,TableHandbook[],C$2,FALSE)=0,"",VLOOKUP($A9,TableHandbook[],C$2,FALSE)),"")</f>
        <v/>
      </c>
      <c r="D9" s="158" t="str">
        <f>IFERROR(IF(VLOOKUP($A9,TableHandbook[],D$2,FALSE)=0,"",VLOOKUP($A9,TableHandbook[],D$2,FALSE)),"")</f>
        <v/>
      </c>
      <c r="E9" s="107" t="str">
        <f>IF(OR(A9="",A9="-"),"",VLOOKUP($D$6,TableStudyPeriods[],2,FALSE))</f>
        <v/>
      </c>
      <c r="F9" s="109" t="str">
        <f>IFERROR(IF(VLOOKUP($A9,TableHandbook[],F$2,FALSE)=0,"",VLOOKUP($A9,TableHandbook[],F$2,FALSE)),"")</f>
        <v/>
      </c>
      <c r="G9" s="107" t="str">
        <f>IFERROR(IF(VLOOKUP($A9,TableHandbook[],G$2,FALSE)=0,"",VLOOKUP($A9,TableHandbook[],G$2,FALSE)),"")</f>
        <v/>
      </c>
      <c r="H9" s="194" t="str">
        <f>IFERROR(VLOOKUP($A9,TableHandbook[],H$2,FALSE),"")</f>
        <v/>
      </c>
      <c r="I9" s="195" t="str">
        <f>IFERROR(VLOOKUP($A9,TableHandbook[],I$2,FALSE),"")</f>
        <v/>
      </c>
      <c r="J9" s="195" t="str">
        <f>IFERROR(VLOOKUP($A9,TableHandbook[],J$2,FALSE),"")</f>
        <v/>
      </c>
      <c r="K9" s="196" t="str">
        <f>IFERROR(VLOOKUP($A9,TableHandbook[],K$2,FALSE),"")</f>
        <v/>
      </c>
      <c r="L9" s="40"/>
      <c r="M9" s="146">
        <v>2</v>
      </c>
      <c r="N9" s="111"/>
      <c r="O9" s="111"/>
      <c r="W9" s="27"/>
    </row>
    <row r="10" spans="1:23" s="28" customFormat="1" ht="20.100000000000001" customHeight="1" x14ac:dyDescent="0.15">
      <c r="A10" s="106" t="str">
        <f>IFERROR(IF(HLOOKUP($L$5,RangeUnitsets,M10,FALSE)=0,"",HLOOKUP($L$5,RangeUnitsets,M10,FALSE)),"")</f>
        <v/>
      </c>
      <c r="B10" s="107" t="str">
        <f>IFERROR(IF(VLOOKUP($A10,TableHandbook[],B$2,FALSE)=0,"",VLOOKUP($A10,TableHandbook[],B$2,FALSE)),"")</f>
        <v/>
      </c>
      <c r="C10" s="107" t="str">
        <f>IFERROR(IF(VLOOKUP($A10,TableHandbook[],C$2,FALSE)=0,"",VLOOKUP($A10,TableHandbook[],C$2,FALSE)),"")</f>
        <v/>
      </c>
      <c r="D10" s="158" t="str">
        <f>IFERROR(IF(VLOOKUP($A10,TableHandbook[],D$2,FALSE)=0,"",VLOOKUP($A10,TableHandbook[],D$2,FALSE)),"")</f>
        <v/>
      </c>
      <c r="E10" s="107" t="str">
        <f>IF(OR(A10="",A10="-"),"",E9)</f>
        <v/>
      </c>
      <c r="F10" s="109" t="str">
        <f>IFERROR(IF(VLOOKUP($A10,TableHandbook[],F$2,FALSE)=0,"",VLOOKUP($A10,TableHandbook[],F$2,FALSE)),"")</f>
        <v/>
      </c>
      <c r="G10" s="107" t="str">
        <f>IFERROR(IF(VLOOKUP($A10,TableHandbook[],G$2,FALSE)=0,"",VLOOKUP($A10,TableHandbook[],G$2,FALSE)),"")</f>
        <v/>
      </c>
      <c r="H10" s="194" t="str">
        <f>IFERROR(VLOOKUP($A10,TableHandbook[],H$2,FALSE),"")</f>
        <v/>
      </c>
      <c r="I10" s="195" t="str">
        <f>IFERROR(VLOOKUP($A10,TableHandbook[],I$2,FALSE),"")</f>
        <v/>
      </c>
      <c r="J10" s="195" t="str">
        <f>IFERROR(VLOOKUP($A10,TableHandbook[],J$2,FALSE),"")</f>
        <v/>
      </c>
      <c r="K10" s="196" t="str">
        <f>IFERROR(VLOOKUP($A10,TableHandbook[],K$2,FALSE),"")</f>
        <v/>
      </c>
      <c r="L10" s="40"/>
      <c r="M10" s="146">
        <v>3</v>
      </c>
      <c r="N10" s="111"/>
      <c r="O10" s="111"/>
      <c r="W10" s="27"/>
    </row>
    <row r="11" spans="1:23" s="28" customFormat="1" ht="5.0999999999999996" customHeight="1" x14ac:dyDescent="0.15">
      <c r="A11" s="172"/>
      <c r="B11" s="173"/>
      <c r="C11" s="173"/>
      <c r="D11" s="174"/>
      <c r="E11" s="173"/>
      <c r="F11" s="175"/>
      <c r="G11" s="173"/>
      <c r="H11" s="197"/>
      <c r="I11" s="198"/>
      <c r="J11" s="198"/>
      <c r="K11" s="199"/>
      <c r="L11" s="176"/>
      <c r="M11" s="147"/>
      <c r="N11" s="111"/>
      <c r="O11" s="111"/>
      <c r="P11" s="111"/>
      <c r="W11" s="27"/>
    </row>
    <row r="12" spans="1:23" s="28" customFormat="1" ht="20.100000000000001" customHeight="1" x14ac:dyDescent="0.15">
      <c r="A12" s="106" t="str">
        <f>IFERROR(IF(HLOOKUP($L$5,RangeUnitsets,M12,FALSE)=0,"",HLOOKUP($L$5,RangeUnitsets,M12,FALSE)),"")</f>
        <v/>
      </c>
      <c r="B12" s="107" t="str">
        <f>IFERROR(IF(VLOOKUP($A12,TableHandbook[],B$2,FALSE)=0,"",VLOOKUP($A12,TableHandbook[],B$2,FALSE)),"")</f>
        <v/>
      </c>
      <c r="C12" s="107" t="str">
        <f>IFERROR(IF(VLOOKUP($A12,TableHandbook[],C$2,FALSE)=0,"",VLOOKUP($A12,TableHandbook[],C$2,FALSE)),"")</f>
        <v/>
      </c>
      <c r="D12" s="158" t="str">
        <f>IFERROR(IF(VLOOKUP($A12,TableHandbook[],D$2,FALSE)=0,"",VLOOKUP($A12,TableHandbook[],D$2,FALSE)),"")</f>
        <v/>
      </c>
      <c r="E12" s="107" t="str">
        <f>IF(OR(A12="",A12="-"),"",VLOOKUP($D$6,TableStudyPeriods[],3,FALSE))</f>
        <v/>
      </c>
      <c r="F12" s="109" t="str">
        <f>IFERROR(IF(VLOOKUP($A12,TableHandbook[],F$2,FALSE)=0,"",VLOOKUP($A12,TableHandbook[],F$2,FALSE)),"")</f>
        <v/>
      </c>
      <c r="G12" s="107" t="str">
        <f>IFERROR(IF(VLOOKUP($A12,TableHandbook[],G$2,FALSE)=0,"",VLOOKUP($A12,TableHandbook[],G$2,FALSE)),"")</f>
        <v/>
      </c>
      <c r="H12" s="194" t="str">
        <f>IFERROR(VLOOKUP($A12,TableHandbook[],H$2,FALSE),"")</f>
        <v/>
      </c>
      <c r="I12" s="195" t="str">
        <f>IFERROR(VLOOKUP($A12,TableHandbook[],I$2,FALSE),"")</f>
        <v/>
      </c>
      <c r="J12" s="195" t="str">
        <f>IFERROR(VLOOKUP($A12,TableHandbook[],J$2,FALSE),"")</f>
        <v/>
      </c>
      <c r="K12" s="196" t="str">
        <f>IFERROR(VLOOKUP($A12,TableHandbook[],K$2,FALSE),"")</f>
        <v/>
      </c>
      <c r="L12" s="41"/>
      <c r="M12" s="146">
        <v>4</v>
      </c>
      <c r="N12" s="111"/>
      <c r="O12" s="111"/>
      <c r="W12" s="27"/>
    </row>
    <row r="13" spans="1:23" s="28" customFormat="1" ht="20.100000000000001" customHeight="1" x14ac:dyDescent="0.15">
      <c r="A13" s="106" t="str">
        <f>IFERROR(IF(HLOOKUP($L$5,RangeUnitsets,M13,FALSE)=0,"",HLOOKUP($L$5,RangeUnitsets,M13,FALSE)),"")</f>
        <v/>
      </c>
      <c r="B13" s="107" t="str">
        <f>IFERROR(IF(VLOOKUP($A13,TableHandbook[],B$2,FALSE)=0,"",VLOOKUP($A13,TableHandbook[],B$2,FALSE)),"")</f>
        <v/>
      </c>
      <c r="C13" s="107" t="str">
        <f>IFERROR(IF(VLOOKUP($A13,TableHandbook[],C$2,FALSE)=0,"",VLOOKUP($A13,TableHandbook[],C$2,FALSE)),"")</f>
        <v/>
      </c>
      <c r="D13" s="158" t="str">
        <f>IFERROR(IF(VLOOKUP($A13,TableHandbook[],D$2,FALSE)=0,"",VLOOKUP($A13,TableHandbook[],D$2,FALSE)),"")</f>
        <v/>
      </c>
      <c r="E13" s="107" t="str">
        <f>IF(OR(A13="",A13="-"),"",E12)</f>
        <v/>
      </c>
      <c r="F13" s="109" t="str">
        <f>IFERROR(IF(VLOOKUP($A13,TableHandbook[],F$2,FALSE)=0,"",VLOOKUP($A13,TableHandbook[],F$2,FALSE)),"")</f>
        <v/>
      </c>
      <c r="G13" s="107" t="str">
        <f>IFERROR(IF(VLOOKUP($A13,TableHandbook[],G$2,FALSE)=0,"",VLOOKUP($A13,TableHandbook[],G$2,FALSE)),"")</f>
        <v/>
      </c>
      <c r="H13" s="194" t="str">
        <f>IFERROR(VLOOKUP($A13,TableHandbook[],H$2,FALSE),"")</f>
        <v/>
      </c>
      <c r="I13" s="195" t="str">
        <f>IFERROR(VLOOKUP($A13,TableHandbook[],I$2,FALSE),"")</f>
        <v/>
      </c>
      <c r="J13" s="195" t="str">
        <f>IFERROR(VLOOKUP($A13,TableHandbook[],J$2,FALSE),"")</f>
        <v/>
      </c>
      <c r="K13" s="196" t="str">
        <f>IFERROR(VLOOKUP($A13,TableHandbook[],K$2,FALSE),"")</f>
        <v/>
      </c>
      <c r="L13" s="40"/>
      <c r="M13" s="146">
        <v>5</v>
      </c>
      <c r="N13" s="111"/>
      <c r="O13" s="111"/>
      <c r="W13" s="27"/>
    </row>
    <row r="14" spans="1:23" s="28" customFormat="1" ht="5.0999999999999996" customHeight="1" x14ac:dyDescent="0.15">
      <c r="A14" s="172"/>
      <c r="B14" s="173"/>
      <c r="C14" s="173"/>
      <c r="D14" s="174"/>
      <c r="E14" s="173"/>
      <c r="F14" s="175"/>
      <c r="G14" s="173"/>
      <c r="H14" s="197"/>
      <c r="I14" s="198"/>
      <c r="J14" s="198"/>
      <c r="K14" s="199"/>
      <c r="L14" s="176"/>
      <c r="M14" s="147"/>
      <c r="N14" s="111"/>
      <c r="O14" s="111"/>
      <c r="P14" s="111"/>
      <c r="W14" s="27"/>
    </row>
    <row r="15" spans="1:23" s="28" customFormat="1" ht="20.100000000000001" customHeight="1" x14ac:dyDescent="0.15">
      <c r="A15" s="106" t="str">
        <f>IFERROR(IF(HLOOKUP($L$5,RangeUnitsets,M15,FALSE)=0,"",HLOOKUP($L$5,RangeUnitsets,M15,FALSE)),"")</f>
        <v/>
      </c>
      <c r="B15" s="112" t="str">
        <f>IFERROR(IF(VLOOKUP($A15,TableHandbook[],B$2,FALSE)=0,"",VLOOKUP($A15,TableHandbook[],B$2,FALSE)),"")</f>
        <v/>
      </c>
      <c r="C15" s="112" t="str">
        <f>IFERROR(IF(VLOOKUP($A15,TableHandbook[],C$2,FALSE)=0,"",VLOOKUP($A15,TableHandbook[],C$2,FALSE)),"")</f>
        <v/>
      </c>
      <c r="D15" s="158" t="str">
        <f>IFERROR(IF(VLOOKUP($A15,TableHandbook[],D$2,FALSE)=0,"",VLOOKUP($A15,TableHandbook[],D$2,FALSE)),"")</f>
        <v/>
      </c>
      <c r="E15" s="107" t="str">
        <f>IF(OR(A15="",A15="-"),"",VLOOKUP($D$6,TableStudyPeriods[],4,FALSE))</f>
        <v/>
      </c>
      <c r="F15" s="109" t="str">
        <f>IFERROR(IF(VLOOKUP($A15,TableHandbook[],F$2,FALSE)=0,"",VLOOKUP($A15,TableHandbook[],F$2,FALSE)),"")</f>
        <v/>
      </c>
      <c r="G15" s="112" t="str">
        <f>IFERROR(IF(VLOOKUP($A15,TableHandbook[],G$2,FALSE)=0,"",VLOOKUP($A15,TableHandbook[],G$2,FALSE)),"")</f>
        <v/>
      </c>
      <c r="H15" s="200" t="str">
        <f>IFERROR(VLOOKUP($A15,TableHandbook[],H$2,FALSE),"")</f>
        <v/>
      </c>
      <c r="I15" s="201" t="str">
        <f>IFERROR(VLOOKUP($A15,TableHandbook[],I$2,FALSE),"")</f>
        <v/>
      </c>
      <c r="J15" s="201" t="str">
        <f>IFERROR(VLOOKUP($A15,TableHandbook[],J$2,FALSE),"")</f>
        <v/>
      </c>
      <c r="K15" s="202" t="str">
        <f>IFERROR(VLOOKUP($A15,TableHandbook[],K$2,FALSE),"")</f>
        <v/>
      </c>
      <c r="L15" s="41"/>
      <c r="M15" s="146">
        <v>6</v>
      </c>
      <c r="N15" s="111"/>
      <c r="O15" s="111"/>
      <c r="W15" s="27"/>
    </row>
    <row r="16" spans="1:23" s="30" customFormat="1" ht="20.100000000000001" customHeight="1" x14ac:dyDescent="0.15">
      <c r="A16" s="106" t="str">
        <f>IFERROR(IF(HLOOKUP($L$5,RangeUnitsets,M16,FALSE)=0,"",HLOOKUP($L$5,RangeUnitsets,M16,FALSE)),"")</f>
        <v/>
      </c>
      <c r="B16" s="112" t="str">
        <f>IFERROR(IF(VLOOKUP($A16,TableHandbook[],B$2,FALSE)=0,"",VLOOKUP($A16,TableHandbook[],B$2,FALSE)),"")</f>
        <v/>
      </c>
      <c r="C16" s="112" t="str">
        <f>IFERROR(IF(VLOOKUP($A16,TableHandbook[],C$2,FALSE)=0,"",VLOOKUP($A16,TableHandbook[],C$2,FALSE)),"")</f>
        <v/>
      </c>
      <c r="D16" s="158" t="str">
        <f>IFERROR(IF(VLOOKUP($A16,TableHandbook[],D$2,FALSE)=0,"",VLOOKUP($A16,TableHandbook[],D$2,FALSE)),"")</f>
        <v/>
      </c>
      <c r="E16" s="107" t="str">
        <f>IF(OR(A16="",A16="-"),"",E15)</f>
        <v/>
      </c>
      <c r="F16" s="109" t="str">
        <f>IFERROR(IF(VLOOKUP($A16,TableHandbook[],F$2,FALSE)=0,"",VLOOKUP($A16,TableHandbook[],F$2,FALSE)),"")</f>
        <v/>
      </c>
      <c r="G16" s="112" t="str">
        <f>IFERROR(IF(VLOOKUP($A16,TableHandbook[],G$2,FALSE)=0,"",VLOOKUP($A16,TableHandbook[],G$2,FALSE)),"")</f>
        <v/>
      </c>
      <c r="H16" s="200" t="str">
        <f>IFERROR(VLOOKUP($A16,TableHandbook[],H$2,FALSE),"")</f>
        <v/>
      </c>
      <c r="I16" s="201" t="str">
        <f>IFERROR(VLOOKUP($A16,TableHandbook[],I$2,FALSE),"")</f>
        <v/>
      </c>
      <c r="J16" s="201" t="str">
        <f>IFERROR(VLOOKUP($A16,TableHandbook[],J$2,FALSE),"")</f>
        <v/>
      </c>
      <c r="K16" s="202" t="str">
        <f>IFERROR(VLOOKUP($A16,TableHandbook[],K$2,FALSE),"")</f>
        <v/>
      </c>
      <c r="L16" s="41"/>
      <c r="M16" s="146">
        <v>7</v>
      </c>
      <c r="N16" s="114"/>
      <c r="O16" s="114"/>
      <c r="W16" s="29"/>
    </row>
    <row r="17" spans="1:23" s="28" customFormat="1" ht="5.0999999999999996" customHeight="1" x14ac:dyDescent="0.15">
      <c r="A17" s="172"/>
      <c r="B17" s="173"/>
      <c r="C17" s="173"/>
      <c r="D17" s="174"/>
      <c r="E17" s="173"/>
      <c r="F17" s="175"/>
      <c r="G17" s="173"/>
      <c r="H17" s="197"/>
      <c r="I17" s="198"/>
      <c r="J17" s="198"/>
      <c r="K17" s="199"/>
      <c r="L17" s="176"/>
      <c r="M17" s="147"/>
      <c r="N17" s="111"/>
      <c r="O17" s="111"/>
      <c r="P17" s="111"/>
      <c r="W17" s="27"/>
    </row>
    <row r="18" spans="1:23" s="30" customFormat="1" ht="20.100000000000001" customHeight="1" x14ac:dyDescent="0.15">
      <c r="A18" s="106" t="str">
        <f>IFERROR(IF(HLOOKUP($L$5,RangeUnitsets,M18,FALSE)=0,"",HLOOKUP($L$5,RangeUnitsets,M18,FALSE)),"")</f>
        <v/>
      </c>
      <c r="B18" s="112" t="str">
        <f>IFERROR(IF(VLOOKUP($A18,TableHandbook[],B$2,FALSE)=0,"",VLOOKUP($A18,TableHandbook[],B$2,FALSE)),"")</f>
        <v/>
      </c>
      <c r="C18" s="112" t="str">
        <f>IFERROR(IF(VLOOKUP($A18,TableHandbook[],C$2,FALSE)=0,"",VLOOKUP($A18,TableHandbook[],C$2,FALSE)),"")</f>
        <v/>
      </c>
      <c r="D18" s="158" t="str">
        <f>IFERROR(IF(VLOOKUP($A18,TableHandbook[],D$2,FALSE)=0,"",VLOOKUP($A18,TableHandbook[],D$2,FALSE)),"")</f>
        <v/>
      </c>
      <c r="E18" s="107" t="str">
        <f>IF(OR(A18="",A18="-"),"",VLOOKUP($D$6,TableStudyPeriods[],5,FALSE))</f>
        <v/>
      </c>
      <c r="F18" s="109" t="str">
        <f>IFERROR(IF(VLOOKUP($A18,TableHandbook[],F$2,FALSE)=0,"",VLOOKUP($A18,TableHandbook[],F$2,FALSE)),"")</f>
        <v/>
      </c>
      <c r="G18" s="112" t="str">
        <f>IFERROR(IF(VLOOKUP($A18,TableHandbook[],G$2,FALSE)=0,"",VLOOKUP($A18,TableHandbook[],G$2,FALSE)),"")</f>
        <v/>
      </c>
      <c r="H18" s="200" t="str">
        <f>IFERROR(VLOOKUP($A18,TableHandbook[],H$2,FALSE),"")</f>
        <v/>
      </c>
      <c r="I18" s="201" t="str">
        <f>IFERROR(VLOOKUP($A18,TableHandbook[],I$2,FALSE),"")</f>
        <v/>
      </c>
      <c r="J18" s="201" t="str">
        <f>IFERROR(VLOOKUP($A18,TableHandbook[],J$2,FALSE),"")</f>
        <v/>
      </c>
      <c r="K18" s="202" t="str">
        <f>IFERROR(VLOOKUP($A18,TableHandbook[],K$2,FALSE),"")</f>
        <v/>
      </c>
      <c r="L18" s="41"/>
      <c r="M18" s="146">
        <v>8</v>
      </c>
      <c r="N18" s="114"/>
      <c r="O18" s="114"/>
      <c r="W18" s="29"/>
    </row>
    <row r="19" spans="1:23" s="30" customFormat="1" ht="20.100000000000001" customHeight="1" x14ac:dyDescent="0.15">
      <c r="A19" s="106" t="str">
        <f>IFERROR(IF(HLOOKUP($L$5,RangeUnitsets,M19,FALSE)=0,"",HLOOKUP($L$5,RangeUnitsets,M19,FALSE)),"")</f>
        <v/>
      </c>
      <c r="B19" s="112" t="str">
        <f>IFERROR(IF(VLOOKUP($A19,TableHandbook[],B$2,FALSE)=0,"",VLOOKUP($A19,TableHandbook[],B$2,FALSE)),"")</f>
        <v/>
      </c>
      <c r="C19" s="112" t="str">
        <f>IFERROR(IF(VLOOKUP($A19,TableHandbook[],C$2,FALSE)=0,"",VLOOKUP($A19,TableHandbook[],C$2,FALSE)),"")</f>
        <v/>
      </c>
      <c r="D19" s="159" t="str">
        <f>IFERROR(IF(VLOOKUP($A19,TableHandbook[],D$2,FALSE)=0,"",VLOOKUP($A19,TableHandbook[],D$2,FALSE)),"")</f>
        <v/>
      </c>
      <c r="E19" s="112" t="str">
        <f>IF(OR(A19="",A19="-"),"",E18)</f>
        <v/>
      </c>
      <c r="F19" s="109" t="str">
        <f>IFERROR(IF(VLOOKUP($A19,TableHandbook[],F$2,FALSE)=0,"",VLOOKUP($A19,TableHandbook[],F$2,FALSE)),"")</f>
        <v/>
      </c>
      <c r="G19" s="112" t="str">
        <f>IFERROR(IF(VLOOKUP($A19,TableHandbook[],G$2,FALSE)=0,"",VLOOKUP($A19,TableHandbook[],G$2,FALSE)),"")</f>
        <v/>
      </c>
      <c r="H19" s="200" t="str">
        <f>IFERROR(VLOOKUP($A19,TableHandbook[],H$2,FALSE),"")</f>
        <v/>
      </c>
      <c r="I19" s="201" t="str">
        <f>IFERROR(VLOOKUP($A19,TableHandbook[],I$2,FALSE),"")</f>
        <v/>
      </c>
      <c r="J19" s="201" t="str">
        <f>IFERROR(VLOOKUP($A19,TableHandbook[],J$2,FALSE),"")</f>
        <v/>
      </c>
      <c r="K19" s="202" t="str">
        <f>IFERROR(VLOOKUP($A19,TableHandbook[],K$2,FALSE),"")</f>
        <v/>
      </c>
      <c r="L19" s="41"/>
      <c r="M19" s="146">
        <v>9</v>
      </c>
      <c r="N19" s="114"/>
      <c r="O19" s="114"/>
      <c r="W19" s="29"/>
    </row>
    <row r="20" spans="1:23" s="26" customFormat="1" ht="21" x14ac:dyDescent="0.25">
      <c r="A20" s="98" t="s">
        <v>25</v>
      </c>
      <c r="B20" s="98"/>
      <c r="C20" s="105" t="s">
        <v>16</v>
      </c>
      <c r="D20" s="157" t="s">
        <v>3</v>
      </c>
      <c r="E20" s="105" t="s">
        <v>17</v>
      </c>
      <c r="F20" s="98" t="s">
        <v>18</v>
      </c>
      <c r="G20" s="98" t="s">
        <v>19</v>
      </c>
      <c r="H20" s="191" t="str">
        <f>H$8</f>
        <v>SP1</v>
      </c>
      <c r="I20" s="192" t="str">
        <f t="shared" ref="I20:L20" si="0">I$8</f>
        <v>SP2</v>
      </c>
      <c r="J20" s="192" t="str">
        <f t="shared" si="0"/>
        <v>SP3</v>
      </c>
      <c r="K20" s="193" t="str">
        <f t="shared" si="0"/>
        <v>SP4</v>
      </c>
      <c r="L20" s="98" t="str">
        <f t="shared" si="0"/>
        <v>Notes / Progress</v>
      </c>
      <c r="M20" s="104"/>
      <c r="N20" s="104"/>
      <c r="O20" s="104"/>
      <c r="W20" s="25"/>
    </row>
    <row r="21" spans="1:23" s="28" customFormat="1" ht="20.100000000000001" customHeight="1" x14ac:dyDescent="0.15">
      <c r="A21" s="106" t="str">
        <f>IFERROR(IF(HLOOKUP($L$5,RangeUnitsets,M21,FALSE)=0,"",HLOOKUP($L$5,RangeUnitsets,M21,FALSE)),"")</f>
        <v/>
      </c>
      <c r="B21" s="112" t="str">
        <f>IFERROR(IF(VLOOKUP($A21,TableHandbook[],B$2,FALSE)=0,"",VLOOKUP($A21,TableHandbook[],B$2,FALSE)),"")</f>
        <v/>
      </c>
      <c r="C21" s="112" t="str">
        <f>IFERROR(IF(VLOOKUP($A21,TableHandbook[],C$2,FALSE)=0,"",VLOOKUP($A21,TableHandbook[],C$2,FALSE)),"")</f>
        <v/>
      </c>
      <c r="D21" s="160" t="str">
        <f>IFERROR(IF(VLOOKUP($A21,TableHandbook[],D$2,FALSE)=0,"",VLOOKUP($A21,TableHandbook[],D$2,FALSE)),"")</f>
        <v/>
      </c>
      <c r="E21" s="112" t="str">
        <f>IF(OR(A21="",A21="-"),"",VLOOKUP($D$6,TableStudyPeriods[],2,FALSE))</f>
        <v/>
      </c>
      <c r="F21" s="109" t="str">
        <f>IFERROR(IF(VLOOKUP($A21,TableHandbook[],F$2,FALSE)=0,"",VLOOKUP($A21,TableHandbook[],F$2,FALSE)),"")</f>
        <v/>
      </c>
      <c r="G21" s="107" t="str">
        <f>IFERROR(IF(VLOOKUP($A21,TableHandbook[],G$2,FALSE)=0,"",VLOOKUP($A21,TableHandbook[],G$2,FALSE)),"")</f>
        <v/>
      </c>
      <c r="H21" s="194" t="str">
        <f>IFERROR(VLOOKUP($A21,TableHandbook[],H$2,FALSE),"")</f>
        <v/>
      </c>
      <c r="I21" s="195" t="str">
        <f>IFERROR(VLOOKUP($A21,TableHandbook[],I$2,FALSE),"")</f>
        <v/>
      </c>
      <c r="J21" s="195" t="str">
        <f>IFERROR(VLOOKUP($A21,TableHandbook[],J$2,FALSE),"")</f>
        <v/>
      </c>
      <c r="K21" s="196" t="str">
        <f>IFERROR(VLOOKUP($A21,TableHandbook[],K$2,FALSE),"")</f>
        <v/>
      </c>
      <c r="L21" s="40"/>
      <c r="M21" s="146">
        <v>10</v>
      </c>
      <c r="N21" s="111"/>
      <c r="O21" s="111"/>
      <c r="W21" s="27"/>
    </row>
    <row r="22" spans="1:23" s="28" customFormat="1" ht="19.5" customHeight="1" x14ac:dyDescent="0.15">
      <c r="A22" s="106" t="str">
        <f>IFERROR(IF(HLOOKUP($L$5,RangeUnitsets,M22,FALSE)=0,"",HLOOKUP($L$5,RangeUnitsets,M22,FALSE)),"")</f>
        <v/>
      </c>
      <c r="B22" s="112" t="str">
        <f>IFERROR(IF(VLOOKUP($A22,TableHandbook[],B$2,FALSE)=0,"",VLOOKUP($A22,TableHandbook[],B$2,FALSE)),"")</f>
        <v/>
      </c>
      <c r="C22" s="112" t="str">
        <f>IFERROR(IF(VLOOKUP($A22,TableHandbook[],C$2,FALSE)=0,"",VLOOKUP($A22,TableHandbook[],C$2,FALSE)),"")</f>
        <v/>
      </c>
      <c r="D22" s="159" t="str">
        <f>IFERROR(IF(VLOOKUP($A22,TableHandbook[],D$2,FALSE)=0,"",VLOOKUP($A22,TableHandbook[],D$2,FALSE)),"")</f>
        <v/>
      </c>
      <c r="E22" s="112" t="str">
        <f>IF(OR(A22="",A22="-"),"",E21)</f>
        <v/>
      </c>
      <c r="F22" s="109" t="str">
        <f>IFERROR(IF(VLOOKUP($A22,TableHandbook[],F$2,FALSE)=0,"",VLOOKUP($A22,TableHandbook[],F$2,FALSE)),"")</f>
        <v/>
      </c>
      <c r="G22" s="107" t="str">
        <f>IFERROR(IF(VLOOKUP($A22,TableHandbook[],G$2,FALSE)=0,"",VLOOKUP($A22,TableHandbook[],G$2,FALSE)),"")</f>
        <v/>
      </c>
      <c r="H22" s="194" t="str">
        <f>IFERROR(VLOOKUP($A22,TableHandbook[],H$2,FALSE),"")</f>
        <v/>
      </c>
      <c r="I22" s="195" t="str">
        <f>IFERROR(VLOOKUP($A22,TableHandbook[],I$2,FALSE),"")</f>
        <v/>
      </c>
      <c r="J22" s="195" t="str">
        <f>IFERROR(VLOOKUP($A22,TableHandbook[],J$2,FALSE),"")</f>
        <v/>
      </c>
      <c r="K22" s="196" t="str">
        <f>IFERROR(VLOOKUP($A22,TableHandbook[],K$2,FALSE),"")</f>
        <v/>
      </c>
      <c r="L22" s="40"/>
      <c r="M22" s="146">
        <v>11</v>
      </c>
      <c r="N22" s="111"/>
      <c r="O22" s="111"/>
      <c r="W22" s="27"/>
    </row>
    <row r="23" spans="1:23" s="28" customFormat="1" ht="5.0999999999999996" customHeight="1" x14ac:dyDescent="0.15">
      <c r="A23" s="172"/>
      <c r="B23" s="173"/>
      <c r="C23" s="173"/>
      <c r="D23" s="174"/>
      <c r="E23" s="173"/>
      <c r="F23" s="175"/>
      <c r="G23" s="173"/>
      <c r="H23" s="197"/>
      <c r="I23" s="198"/>
      <c r="J23" s="198"/>
      <c r="K23" s="199"/>
      <c r="L23" s="176"/>
      <c r="M23" s="147"/>
      <c r="N23" s="111"/>
      <c r="O23" s="111"/>
      <c r="P23" s="111"/>
      <c r="W23" s="27"/>
    </row>
    <row r="24" spans="1:23" s="28" customFormat="1" ht="20.100000000000001" customHeight="1" x14ac:dyDescent="0.15">
      <c r="A24" s="106" t="str">
        <f>IFERROR(IF(HLOOKUP($L$5,RangeUnitsets,M24,FALSE)=0,"",HLOOKUP($L$5,RangeUnitsets,M24,FALSE)),"")</f>
        <v/>
      </c>
      <c r="B24" s="112" t="str">
        <f>IFERROR(IF(VLOOKUP($A24,TableHandbook[],B$2,FALSE)=0,"",VLOOKUP($A24,TableHandbook[],B$2,FALSE)),"")</f>
        <v/>
      </c>
      <c r="C24" s="112" t="str">
        <f>IFERROR(IF(VLOOKUP($A24,TableHandbook[],C$2,FALSE)=0,"",VLOOKUP($A24,TableHandbook[],C$2,FALSE)),"")</f>
        <v/>
      </c>
      <c r="D24" s="159" t="str">
        <f>IFERROR(IF(VLOOKUP($A24,TableHandbook[],D$2,FALSE)=0,"",VLOOKUP($A24,TableHandbook[],D$2,FALSE)),"")</f>
        <v/>
      </c>
      <c r="E24" s="112" t="str">
        <f>IF(OR(A24="",A24="-"),"",VLOOKUP($D$6,TableStudyPeriods[],3,FALSE))</f>
        <v/>
      </c>
      <c r="F24" s="109" t="str">
        <f>IFERROR(IF(VLOOKUP($A24,TableHandbook[],F$2,FALSE)=0,"",VLOOKUP($A24,TableHandbook[],F$2,FALSE)),"")</f>
        <v/>
      </c>
      <c r="G24" s="107" t="str">
        <f>IFERROR(IF(VLOOKUP($A24,TableHandbook[],G$2,FALSE)=0,"",VLOOKUP($A24,TableHandbook[],G$2,FALSE)),"")</f>
        <v/>
      </c>
      <c r="H24" s="194" t="str">
        <f>IFERROR(VLOOKUP($A24,TableHandbook[],H$2,FALSE),"")</f>
        <v/>
      </c>
      <c r="I24" s="195" t="str">
        <f>IFERROR(VLOOKUP($A24,TableHandbook[],I$2,FALSE),"")</f>
        <v/>
      </c>
      <c r="J24" s="195" t="str">
        <f>IFERROR(VLOOKUP($A24,TableHandbook[],J$2,FALSE),"")</f>
        <v/>
      </c>
      <c r="K24" s="196" t="str">
        <f>IFERROR(VLOOKUP($A24,TableHandbook[],K$2,FALSE),"")</f>
        <v/>
      </c>
      <c r="L24" s="40"/>
      <c r="M24" s="146">
        <v>12</v>
      </c>
      <c r="N24" s="111"/>
      <c r="O24" s="111"/>
      <c r="W24" s="27"/>
    </row>
    <row r="25" spans="1:23" s="28" customFormat="1" ht="20.100000000000001" customHeight="1" x14ac:dyDescent="0.15">
      <c r="A25" s="106" t="str">
        <f>IFERROR(IF(HLOOKUP($L$5,RangeUnitsets,M25,FALSE)=0,"",HLOOKUP($L$5,RangeUnitsets,M25,FALSE)),"")</f>
        <v/>
      </c>
      <c r="B25" s="112" t="str">
        <f>IFERROR(IF(VLOOKUP($A25,TableHandbook[],B$2,FALSE)=0,"",VLOOKUP($A25,TableHandbook[],B$2,FALSE)),"")</f>
        <v/>
      </c>
      <c r="C25" s="112" t="str">
        <f>IFERROR(IF(VLOOKUP($A25,TableHandbook[],C$2,FALSE)=0,"",VLOOKUP($A25,TableHandbook[],C$2,FALSE)),"")</f>
        <v/>
      </c>
      <c r="D25" s="159" t="str">
        <f>IFERROR(IF(VLOOKUP($A25,TableHandbook[],D$2,FALSE)=0,"",VLOOKUP($A25,TableHandbook[],D$2,FALSE)),"")</f>
        <v/>
      </c>
      <c r="E25" s="112" t="str">
        <f>IF(OR(A25="",A25="-"),"",E24)</f>
        <v/>
      </c>
      <c r="F25" s="109" t="str">
        <f>IFERROR(IF(VLOOKUP($A25,TableHandbook[],F$2,FALSE)=0,"",VLOOKUP($A25,TableHandbook[],F$2,FALSE)),"")</f>
        <v/>
      </c>
      <c r="G25" s="107" t="str">
        <f>IFERROR(IF(VLOOKUP($A25,TableHandbook[],G$2,FALSE)=0,"",VLOOKUP($A25,TableHandbook[],G$2,FALSE)),"")</f>
        <v/>
      </c>
      <c r="H25" s="194" t="str">
        <f>IFERROR(VLOOKUP($A25,TableHandbook[],H$2,FALSE),"")</f>
        <v/>
      </c>
      <c r="I25" s="195" t="str">
        <f>IFERROR(VLOOKUP($A25,TableHandbook[],I$2,FALSE),"")</f>
        <v/>
      </c>
      <c r="J25" s="195" t="str">
        <f>IFERROR(VLOOKUP($A25,TableHandbook[],J$2,FALSE),"")</f>
        <v/>
      </c>
      <c r="K25" s="196" t="str">
        <f>IFERROR(VLOOKUP($A25,TableHandbook[],K$2,FALSE),"")</f>
        <v/>
      </c>
      <c r="L25" s="40"/>
      <c r="M25" s="146">
        <v>13</v>
      </c>
      <c r="N25" s="111"/>
      <c r="O25" s="111"/>
      <c r="W25" s="27"/>
    </row>
    <row r="26" spans="1:23" s="28" customFormat="1" ht="5.0999999999999996" customHeight="1" x14ac:dyDescent="0.15">
      <c r="A26" s="172"/>
      <c r="B26" s="173"/>
      <c r="C26" s="173"/>
      <c r="D26" s="174"/>
      <c r="E26" s="173"/>
      <c r="F26" s="175"/>
      <c r="G26" s="173"/>
      <c r="H26" s="197"/>
      <c r="I26" s="198"/>
      <c r="J26" s="198"/>
      <c r="K26" s="199"/>
      <c r="L26" s="176"/>
      <c r="M26" s="147"/>
      <c r="N26" s="111"/>
      <c r="O26" s="111"/>
      <c r="P26" s="111"/>
      <c r="W26" s="27"/>
    </row>
    <row r="27" spans="1:23" s="28" customFormat="1" ht="20.100000000000001" customHeight="1" x14ac:dyDescent="0.15">
      <c r="A27" s="106" t="str">
        <f>IFERROR(IF(HLOOKUP($L$5,RangeUnitsets,M27,FALSE)=0,"",HLOOKUP($L$5,RangeUnitsets,M27,FALSE)),"")</f>
        <v/>
      </c>
      <c r="B27" s="112" t="str">
        <f>IFERROR(IF(VLOOKUP($A27,TableHandbook[],B$2,FALSE)=0,"",VLOOKUP($A27,TableHandbook[],B$2,FALSE)),"")</f>
        <v/>
      </c>
      <c r="C27" s="112" t="str">
        <f>IFERROR(IF(VLOOKUP($A27,TableHandbook[],C$2,FALSE)=0,"",VLOOKUP($A27,TableHandbook[],C$2,FALSE)),"")</f>
        <v/>
      </c>
      <c r="D27" s="159" t="str">
        <f>IFERROR(IF(VLOOKUP($A27,TableHandbook[],D$2,FALSE)=0,"",VLOOKUP($A27,TableHandbook[],D$2,FALSE)),"")</f>
        <v/>
      </c>
      <c r="E27" s="112" t="str">
        <f>IF(OR(A27="",A27="-"),"",VLOOKUP($D$6,TableStudyPeriods[],4,FALSE))</f>
        <v/>
      </c>
      <c r="F27" s="109" t="str">
        <f>IFERROR(IF(VLOOKUP($A27,TableHandbook[],F$2,FALSE)=0,"",VLOOKUP($A27,TableHandbook[],F$2,FALSE)),"")</f>
        <v/>
      </c>
      <c r="G27" s="107" t="str">
        <f>IFERROR(IF(VLOOKUP($A27,TableHandbook[],G$2,FALSE)=0,"",VLOOKUP($A27,TableHandbook[],G$2,FALSE)),"")</f>
        <v/>
      </c>
      <c r="H27" s="194" t="str">
        <f>IFERROR(VLOOKUP($A27,TableHandbook[],H$2,FALSE),"")</f>
        <v/>
      </c>
      <c r="I27" s="195" t="str">
        <f>IFERROR(VLOOKUP($A27,TableHandbook[],I$2,FALSE),"")</f>
        <v/>
      </c>
      <c r="J27" s="195" t="str">
        <f>IFERROR(VLOOKUP($A27,TableHandbook[],J$2,FALSE),"")</f>
        <v/>
      </c>
      <c r="K27" s="196" t="str">
        <f>IFERROR(VLOOKUP($A27,TableHandbook[],K$2,FALSE),"")</f>
        <v/>
      </c>
      <c r="L27" s="40"/>
      <c r="M27" s="146">
        <v>14</v>
      </c>
      <c r="N27" s="111"/>
      <c r="O27" s="111"/>
      <c r="W27" s="27"/>
    </row>
    <row r="28" spans="1:23" s="28" customFormat="1" ht="20.100000000000001" customHeight="1" x14ac:dyDescent="0.15">
      <c r="A28" s="106" t="str">
        <f>IFERROR(IF(HLOOKUP($L$5,RangeUnitsets,M28,FALSE)=0,"",HLOOKUP($L$5,RangeUnitsets,M28,FALSE)),"")</f>
        <v/>
      </c>
      <c r="B28" s="112" t="str">
        <f>IFERROR(IF(VLOOKUP($A28,TableHandbook[],B$2,FALSE)=0,"",VLOOKUP($A28,TableHandbook[],B$2,FALSE)),"")</f>
        <v/>
      </c>
      <c r="C28" s="112" t="str">
        <f>IFERROR(IF(VLOOKUP($A28,TableHandbook[],C$2,FALSE)=0,"",VLOOKUP($A28,TableHandbook[],C$2,FALSE)),"")</f>
        <v/>
      </c>
      <c r="D28" s="159" t="str">
        <f>IFERROR(IF(VLOOKUP($A28,TableHandbook[],D$2,FALSE)=0,"",VLOOKUP($A28,TableHandbook[],D$2,FALSE)),"")</f>
        <v/>
      </c>
      <c r="E28" s="112" t="str">
        <f>IF(OR(A28="",A28="-"),"",E27)</f>
        <v/>
      </c>
      <c r="F28" s="109" t="str">
        <f>IFERROR(IF(VLOOKUP($A28,TableHandbook[],F$2,FALSE)=0,"",VLOOKUP($A28,TableHandbook[],F$2,FALSE)),"")</f>
        <v/>
      </c>
      <c r="G28" s="107" t="str">
        <f>IFERROR(IF(VLOOKUP($A28,TableHandbook[],G$2,FALSE)=0,"",VLOOKUP($A28,TableHandbook[],G$2,FALSE)),"")</f>
        <v/>
      </c>
      <c r="H28" s="194" t="str">
        <f>IFERROR(VLOOKUP($A28,TableHandbook[],H$2,FALSE),"")</f>
        <v/>
      </c>
      <c r="I28" s="195" t="str">
        <f>IFERROR(VLOOKUP($A28,TableHandbook[],I$2,FALSE),"")</f>
        <v/>
      </c>
      <c r="J28" s="195" t="str">
        <f>IFERROR(VLOOKUP($A28,TableHandbook[],J$2,FALSE),"")</f>
        <v/>
      </c>
      <c r="K28" s="196" t="str">
        <f>IFERROR(VLOOKUP($A28,TableHandbook[],K$2,FALSE),"")</f>
        <v/>
      </c>
      <c r="L28" s="40"/>
      <c r="M28" s="146">
        <v>15</v>
      </c>
      <c r="N28" s="111"/>
      <c r="O28" s="111"/>
      <c r="W28" s="27"/>
    </row>
    <row r="29" spans="1:23" s="28" customFormat="1" ht="5.0999999999999996" customHeight="1" x14ac:dyDescent="0.15">
      <c r="A29" s="172"/>
      <c r="B29" s="173"/>
      <c r="C29" s="173"/>
      <c r="D29" s="174"/>
      <c r="E29" s="173"/>
      <c r="F29" s="175"/>
      <c r="G29" s="173"/>
      <c r="H29" s="197"/>
      <c r="I29" s="198"/>
      <c r="J29" s="198"/>
      <c r="K29" s="199"/>
      <c r="L29" s="176"/>
      <c r="M29" s="147"/>
      <c r="N29" s="111"/>
      <c r="O29" s="111"/>
      <c r="P29" s="111"/>
      <c r="W29" s="27"/>
    </row>
    <row r="30" spans="1:23" s="30" customFormat="1" ht="20.100000000000001" customHeight="1" x14ac:dyDescent="0.15">
      <c r="A30" s="106" t="str">
        <f>IFERROR(IF(HLOOKUP($L$5,RangeUnitsets,M30,FALSE)=0,"",HLOOKUP($L$5,RangeUnitsets,M30,FALSE)),"")</f>
        <v/>
      </c>
      <c r="B30" s="112" t="str">
        <f>IFERROR(IF(VLOOKUP($A30,TableHandbook[],B$2,FALSE)=0,"",VLOOKUP($A30,TableHandbook[],B$2,FALSE)),"")</f>
        <v/>
      </c>
      <c r="C30" s="112" t="str">
        <f>IFERROR(IF(VLOOKUP($A30,TableHandbook[],C$2,FALSE)=0,"",VLOOKUP($A30,TableHandbook[],C$2,FALSE)),"")</f>
        <v/>
      </c>
      <c r="D30" s="159" t="str">
        <f>IFERROR(IF(VLOOKUP($A30,TableHandbook[],D$2,FALSE)=0,"",VLOOKUP($A30,TableHandbook[],D$2,FALSE)),"")</f>
        <v/>
      </c>
      <c r="E30" s="112" t="str">
        <f>IF(OR(A30="",A30="-"),"",VLOOKUP($D$6,TableStudyPeriods[],5,FALSE))</f>
        <v/>
      </c>
      <c r="F30" s="109" t="str">
        <f>IFERROR(IF(VLOOKUP($A30,TableHandbook[],F$2,FALSE)=0,"",VLOOKUP($A30,TableHandbook[],F$2,FALSE)),"")</f>
        <v/>
      </c>
      <c r="G30" s="107" t="str">
        <f>IFERROR(IF(VLOOKUP($A30,TableHandbook[],G$2,FALSE)=0,"",VLOOKUP($A30,TableHandbook[],G$2,FALSE)),"")</f>
        <v/>
      </c>
      <c r="H30" s="194" t="str">
        <f>IFERROR(VLOOKUP($A30,TableHandbook[],H$2,FALSE),"")</f>
        <v/>
      </c>
      <c r="I30" s="195" t="str">
        <f>IFERROR(VLOOKUP($A30,TableHandbook[],I$2,FALSE),"")</f>
        <v/>
      </c>
      <c r="J30" s="195" t="str">
        <f>IFERROR(VLOOKUP($A30,TableHandbook[],J$2,FALSE),"")</f>
        <v/>
      </c>
      <c r="K30" s="196" t="str">
        <f>IFERROR(VLOOKUP($A30,TableHandbook[],K$2,FALSE),"")</f>
        <v/>
      </c>
      <c r="L30" s="40"/>
      <c r="M30" s="146">
        <v>16</v>
      </c>
      <c r="N30" s="114"/>
      <c r="O30" s="114"/>
      <c r="W30" s="29"/>
    </row>
    <row r="31" spans="1:23" s="30" customFormat="1" ht="20.100000000000001" customHeight="1" x14ac:dyDescent="0.15">
      <c r="A31" s="106" t="str">
        <f>IFERROR(IF(HLOOKUP($L$5,RangeUnitsets,M31,FALSE)=0,"",HLOOKUP($L$5,RangeUnitsets,M31,FALSE)),"")</f>
        <v/>
      </c>
      <c r="B31" s="112" t="str">
        <f>IFERROR(IF(VLOOKUP($A31,TableHandbook[],B$2,FALSE)=0,"",VLOOKUP($A31,TableHandbook[],B$2,FALSE)),"")</f>
        <v/>
      </c>
      <c r="C31" s="112" t="str">
        <f>IFERROR(IF(VLOOKUP($A31,TableHandbook[],C$2,FALSE)=0,"",VLOOKUP($A31,TableHandbook[],C$2,FALSE)),"")</f>
        <v/>
      </c>
      <c r="D31" s="159" t="str">
        <f>IFERROR(IF(VLOOKUP($A31,TableHandbook[],D$2,FALSE)=0,"",VLOOKUP($A31,TableHandbook[],D$2,FALSE)),"")</f>
        <v/>
      </c>
      <c r="E31" s="107" t="str">
        <f>IF(OR(A31="",A31="-"),"",E30)</f>
        <v/>
      </c>
      <c r="F31" s="109" t="str">
        <f>IFERROR(IF(VLOOKUP($A31,TableHandbook[],F$2,FALSE)=0,"",VLOOKUP($A31,TableHandbook[],F$2,FALSE)),"")</f>
        <v/>
      </c>
      <c r="G31" s="107" t="str">
        <f>IFERROR(IF(VLOOKUP($A31,TableHandbook[],G$2,FALSE)=0,"",VLOOKUP($A31,TableHandbook[],G$2,FALSE)),"")</f>
        <v/>
      </c>
      <c r="H31" s="194" t="str">
        <f>IFERROR(VLOOKUP($A31,TableHandbook[],H$2,FALSE),"")</f>
        <v/>
      </c>
      <c r="I31" s="195" t="str">
        <f>IFERROR(VLOOKUP($A31,TableHandbook[],I$2,FALSE),"")</f>
        <v/>
      </c>
      <c r="J31" s="195" t="str">
        <f>IFERROR(VLOOKUP($A31,TableHandbook[],J$2,FALSE),"")</f>
        <v/>
      </c>
      <c r="K31" s="196" t="str">
        <f>IFERROR(VLOOKUP($A31,TableHandbook[],K$2,FALSE),"")</f>
        <v/>
      </c>
      <c r="L31" s="40"/>
      <c r="M31" s="146">
        <v>17</v>
      </c>
      <c r="N31" s="114"/>
      <c r="O31" s="114"/>
      <c r="W31" s="29"/>
    </row>
    <row r="32" spans="1:23" s="26" customFormat="1" ht="21" x14ac:dyDescent="0.25">
      <c r="A32" s="98" t="s">
        <v>26</v>
      </c>
      <c r="B32" s="98"/>
      <c r="C32" s="105" t="s">
        <v>16</v>
      </c>
      <c r="D32" s="157" t="s">
        <v>3</v>
      </c>
      <c r="E32" s="105" t="s">
        <v>17</v>
      </c>
      <c r="F32" s="98" t="s">
        <v>18</v>
      </c>
      <c r="G32" s="98" t="s">
        <v>19</v>
      </c>
      <c r="H32" s="191" t="str">
        <f>H$8</f>
        <v>SP1</v>
      </c>
      <c r="I32" s="192" t="str">
        <f t="shared" ref="I32:L32" si="1">I$8</f>
        <v>SP2</v>
      </c>
      <c r="J32" s="192" t="str">
        <f t="shared" si="1"/>
        <v>SP3</v>
      </c>
      <c r="K32" s="193" t="str">
        <f t="shared" si="1"/>
        <v>SP4</v>
      </c>
      <c r="L32" s="98" t="str">
        <f t="shared" si="1"/>
        <v>Notes / Progress</v>
      </c>
      <c r="M32" s="104"/>
      <c r="N32" s="104"/>
      <c r="O32" s="104"/>
      <c r="W32" s="25"/>
    </row>
    <row r="33" spans="1:23" s="28" customFormat="1" ht="20.100000000000001" customHeight="1" x14ac:dyDescent="0.15">
      <c r="A33" s="106" t="str">
        <f>IFERROR(IF(HLOOKUP($L$5,RangeUnitsets,M33,FALSE)=0,"",HLOOKUP($L$5,RangeUnitsets,M33,FALSE)),"")</f>
        <v/>
      </c>
      <c r="B33" s="112" t="str">
        <f>IFERROR(IF(VLOOKUP($A33,TableHandbook[],B$2,FALSE)=0,"",VLOOKUP($A33,TableHandbook[],B$2,FALSE)),"")</f>
        <v/>
      </c>
      <c r="C33" s="112" t="str">
        <f>IFERROR(IF(VLOOKUP($A33,TableHandbook[],C$2,FALSE)=0,"",VLOOKUP($A33,TableHandbook[],C$2,FALSE)),"")</f>
        <v/>
      </c>
      <c r="D33" s="160" t="str">
        <f>IFERROR(IF(VLOOKUP($A33,TableHandbook[],D$2,FALSE)=0,"",VLOOKUP($A33,TableHandbook[],D$2,FALSE)),"")</f>
        <v/>
      </c>
      <c r="E33" s="112" t="str">
        <f>IF(OR(A33="",A33="-"),"",VLOOKUP($D$6,TableStudyPeriods[],2,FALSE))</f>
        <v/>
      </c>
      <c r="F33" s="109" t="str">
        <f>IFERROR(IF(VLOOKUP($A33,TableHandbook[],F$2,FALSE)=0,"",VLOOKUP($A33,TableHandbook[],F$2,FALSE)),"")</f>
        <v/>
      </c>
      <c r="G33" s="107" t="str">
        <f>IFERROR(IF(VLOOKUP($A33,TableHandbook[],G$2,FALSE)=0,"",VLOOKUP($A33,TableHandbook[],G$2,FALSE)),"")</f>
        <v/>
      </c>
      <c r="H33" s="194" t="str">
        <f>IFERROR(VLOOKUP($A33,TableHandbook[],H$2,FALSE),"")</f>
        <v/>
      </c>
      <c r="I33" s="195" t="str">
        <f>IFERROR(VLOOKUP($A33,TableHandbook[],I$2,FALSE),"")</f>
        <v/>
      </c>
      <c r="J33" s="195" t="str">
        <f>IFERROR(VLOOKUP($A33,TableHandbook[],J$2,FALSE),"")</f>
        <v/>
      </c>
      <c r="K33" s="196" t="str">
        <f>IFERROR(VLOOKUP($A33,TableHandbook[],K$2,FALSE),"")</f>
        <v/>
      </c>
      <c r="L33" s="40"/>
      <c r="M33" s="146">
        <v>18</v>
      </c>
      <c r="N33" s="111"/>
      <c r="O33" s="111"/>
      <c r="W33" s="27"/>
    </row>
    <row r="34" spans="1:23" s="28" customFormat="1" ht="19.5" customHeight="1" x14ac:dyDescent="0.15">
      <c r="A34" s="106" t="str">
        <f>IFERROR(IF(HLOOKUP($L$5,RangeUnitsets,M34,FALSE)=0,"",HLOOKUP($L$5,RangeUnitsets,M34,FALSE)),"")</f>
        <v/>
      </c>
      <c r="B34" s="112" t="str">
        <f>IFERROR(IF(VLOOKUP($A34,TableHandbook[],B$2,FALSE)=0,"",VLOOKUP($A34,TableHandbook[],B$2,FALSE)),"")</f>
        <v/>
      </c>
      <c r="C34" s="112" t="str">
        <f>IFERROR(IF(VLOOKUP($A34,TableHandbook[],C$2,FALSE)=0,"",VLOOKUP($A34,TableHandbook[],C$2,FALSE)),"")</f>
        <v/>
      </c>
      <c r="D34" s="159" t="str">
        <f>IFERROR(IF(VLOOKUP($A34,TableHandbook[],D$2,FALSE)=0,"",VLOOKUP($A34,TableHandbook[],D$2,FALSE)),"")</f>
        <v/>
      </c>
      <c r="E34" s="112" t="str">
        <f>IF(OR(A34="",A34="-"),"",E33)</f>
        <v/>
      </c>
      <c r="F34" s="109" t="str">
        <f>IFERROR(IF(VLOOKUP($A34,TableHandbook[],F$2,FALSE)=0,"",VLOOKUP($A34,TableHandbook[],F$2,FALSE)),"")</f>
        <v/>
      </c>
      <c r="G34" s="107" t="str">
        <f>IFERROR(IF(VLOOKUP($A34,TableHandbook[],G$2,FALSE)=0,"",VLOOKUP($A34,TableHandbook[],G$2,FALSE)),"")</f>
        <v/>
      </c>
      <c r="H34" s="194" t="str">
        <f>IFERROR(VLOOKUP($A34,TableHandbook[],H$2,FALSE),"")</f>
        <v/>
      </c>
      <c r="I34" s="195" t="str">
        <f>IFERROR(VLOOKUP($A34,TableHandbook[],I$2,FALSE),"")</f>
        <v/>
      </c>
      <c r="J34" s="195" t="str">
        <f>IFERROR(VLOOKUP($A34,TableHandbook[],J$2,FALSE),"")</f>
        <v/>
      </c>
      <c r="K34" s="196" t="str">
        <f>IFERROR(VLOOKUP($A34,TableHandbook[],K$2,FALSE),"")</f>
        <v/>
      </c>
      <c r="L34" s="40"/>
      <c r="M34" s="146">
        <v>19</v>
      </c>
      <c r="N34" s="111"/>
      <c r="O34" s="111"/>
      <c r="W34" s="27"/>
    </row>
    <row r="35" spans="1:23" s="28" customFormat="1" ht="5.0999999999999996" customHeight="1" x14ac:dyDescent="0.15">
      <c r="A35" s="172"/>
      <c r="B35" s="173"/>
      <c r="C35" s="173"/>
      <c r="D35" s="174"/>
      <c r="E35" s="173"/>
      <c r="F35" s="175"/>
      <c r="G35" s="173"/>
      <c r="H35" s="197"/>
      <c r="I35" s="198"/>
      <c r="J35" s="198"/>
      <c r="K35" s="199"/>
      <c r="L35" s="176"/>
      <c r="M35" s="147"/>
      <c r="N35" s="111"/>
      <c r="O35" s="111"/>
      <c r="P35" s="111"/>
      <c r="W35" s="27"/>
    </row>
    <row r="36" spans="1:23" s="28" customFormat="1" ht="20.100000000000001" customHeight="1" x14ac:dyDescent="0.15">
      <c r="A36" s="106" t="str">
        <f>IFERROR(IF(HLOOKUP($L$5,RangeUnitsets,M36,FALSE)=0,"",HLOOKUP($L$5,RangeUnitsets,M36,FALSE)),"")</f>
        <v/>
      </c>
      <c r="B36" s="112" t="str">
        <f>IFERROR(IF(VLOOKUP($A36,TableHandbook[],B$2,FALSE)=0,"",VLOOKUP($A36,TableHandbook[],B$2,FALSE)),"")</f>
        <v/>
      </c>
      <c r="C36" s="112" t="str">
        <f>IFERROR(IF(VLOOKUP($A36,TableHandbook[],C$2,FALSE)=0,"",VLOOKUP($A36,TableHandbook[],C$2,FALSE)),"")</f>
        <v/>
      </c>
      <c r="D36" s="159" t="str">
        <f>IFERROR(IF(VLOOKUP($A36,TableHandbook[],D$2,FALSE)=0,"",VLOOKUP($A36,TableHandbook[],D$2,FALSE)),"")</f>
        <v/>
      </c>
      <c r="E36" s="112" t="str">
        <f>IF(OR(A36="",A36="-"),"",VLOOKUP($D$6,TableStudyPeriods[],3,FALSE))</f>
        <v/>
      </c>
      <c r="F36" s="109" t="str">
        <f>IFERROR(IF(VLOOKUP($A36,TableHandbook[],F$2,FALSE)=0,"",VLOOKUP($A36,TableHandbook[],F$2,FALSE)),"")</f>
        <v/>
      </c>
      <c r="G36" s="107" t="str">
        <f>IFERROR(IF(VLOOKUP($A36,TableHandbook[],G$2,FALSE)=0,"",VLOOKUP($A36,TableHandbook[],G$2,FALSE)),"")</f>
        <v/>
      </c>
      <c r="H36" s="194" t="str">
        <f>IFERROR(VLOOKUP($A36,TableHandbook[],H$2,FALSE),"")</f>
        <v/>
      </c>
      <c r="I36" s="195" t="str">
        <f>IFERROR(VLOOKUP($A36,TableHandbook[],I$2,FALSE),"")</f>
        <v/>
      </c>
      <c r="J36" s="195" t="str">
        <f>IFERROR(VLOOKUP($A36,TableHandbook[],J$2,FALSE),"")</f>
        <v/>
      </c>
      <c r="K36" s="196" t="str">
        <f>IFERROR(VLOOKUP($A36,TableHandbook[],K$2,FALSE),"")</f>
        <v/>
      </c>
      <c r="L36" s="40"/>
      <c r="M36" s="146">
        <v>20</v>
      </c>
      <c r="N36" s="111"/>
      <c r="O36" s="111"/>
      <c r="W36" s="27"/>
    </row>
    <row r="37" spans="1:23" s="28" customFormat="1" ht="20.100000000000001" customHeight="1" x14ac:dyDescent="0.15">
      <c r="A37" s="106" t="str">
        <f>IFERROR(IF(HLOOKUP($L$5,RangeUnitsets,M37,FALSE)=0,"",HLOOKUP($L$5,RangeUnitsets,M37,FALSE)),"")</f>
        <v/>
      </c>
      <c r="B37" s="112" t="str">
        <f>IFERROR(IF(VLOOKUP($A37,TableHandbook[],B$2,FALSE)=0,"",VLOOKUP($A37,TableHandbook[],B$2,FALSE)),"")</f>
        <v/>
      </c>
      <c r="C37" s="112" t="str">
        <f>IFERROR(IF(VLOOKUP($A37,TableHandbook[],C$2,FALSE)=0,"",VLOOKUP($A37,TableHandbook[],C$2,FALSE)),"")</f>
        <v/>
      </c>
      <c r="D37" s="159" t="str">
        <f>IFERROR(IF(VLOOKUP($A37,TableHandbook[],D$2,FALSE)=0,"",VLOOKUP($A37,TableHandbook[],D$2,FALSE)),"")</f>
        <v/>
      </c>
      <c r="E37" s="112" t="str">
        <f>IF(OR(A37="",A37="-"),"",E36)</f>
        <v/>
      </c>
      <c r="F37" s="109" t="str">
        <f>IFERROR(IF(VLOOKUP($A37,TableHandbook[],F$2,FALSE)=0,"",VLOOKUP($A37,TableHandbook[],F$2,FALSE)),"")</f>
        <v/>
      </c>
      <c r="G37" s="107" t="str">
        <f>IFERROR(IF(VLOOKUP($A37,TableHandbook[],G$2,FALSE)=0,"",VLOOKUP($A37,TableHandbook[],G$2,FALSE)),"")</f>
        <v/>
      </c>
      <c r="H37" s="194" t="str">
        <f>IFERROR(VLOOKUP($A37,TableHandbook[],H$2,FALSE),"")</f>
        <v/>
      </c>
      <c r="I37" s="195" t="str">
        <f>IFERROR(VLOOKUP($A37,TableHandbook[],I$2,FALSE),"")</f>
        <v/>
      </c>
      <c r="J37" s="195" t="str">
        <f>IFERROR(VLOOKUP($A37,TableHandbook[],J$2,FALSE),"")</f>
        <v/>
      </c>
      <c r="K37" s="196" t="str">
        <f>IFERROR(VLOOKUP($A37,TableHandbook[],K$2,FALSE),"")</f>
        <v/>
      </c>
      <c r="L37" s="40"/>
      <c r="M37" s="146">
        <v>21</v>
      </c>
      <c r="N37" s="111"/>
      <c r="O37" s="111"/>
      <c r="W37" s="27"/>
    </row>
    <row r="38" spans="1:23" s="28" customFormat="1" ht="5.0999999999999996" customHeight="1" x14ac:dyDescent="0.15">
      <c r="A38" s="172"/>
      <c r="B38" s="173"/>
      <c r="C38" s="173"/>
      <c r="D38" s="174"/>
      <c r="E38" s="173"/>
      <c r="F38" s="175"/>
      <c r="G38" s="173"/>
      <c r="H38" s="197"/>
      <c r="I38" s="198"/>
      <c r="J38" s="198"/>
      <c r="K38" s="199"/>
      <c r="L38" s="176"/>
      <c r="M38" s="147"/>
      <c r="N38" s="111"/>
      <c r="O38" s="111"/>
      <c r="P38" s="111"/>
      <c r="W38" s="27"/>
    </row>
    <row r="39" spans="1:23" s="28" customFormat="1" ht="20.100000000000001" customHeight="1" x14ac:dyDescent="0.15">
      <c r="A39" s="106" t="str">
        <f>IFERROR(IF(HLOOKUP($L$5,RangeUnitsets,M39,FALSE)=0,"",HLOOKUP($L$5,RangeUnitsets,M39,FALSE)),"")</f>
        <v/>
      </c>
      <c r="B39" s="112" t="str">
        <f>IFERROR(IF(VLOOKUP($A39,TableHandbook[],B$2,FALSE)=0,"",VLOOKUP($A39,TableHandbook[],B$2,FALSE)),"")</f>
        <v/>
      </c>
      <c r="C39" s="112" t="str">
        <f>IFERROR(IF(VLOOKUP($A39,TableHandbook[],C$2,FALSE)=0,"",VLOOKUP($A39,TableHandbook[],C$2,FALSE)),"")</f>
        <v/>
      </c>
      <c r="D39" s="159" t="str">
        <f>IFERROR(IF(VLOOKUP($A39,TableHandbook[],D$2,FALSE)=0,"",VLOOKUP($A39,TableHandbook[],D$2,FALSE)),"")</f>
        <v/>
      </c>
      <c r="E39" s="112" t="str">
        <f>IF(OR(A39="",A39="-"),"",VLOOKUP($D$6,TableStudyPeriods[],4,FALSE))</f>
        <v/>
      </c>
      <c r="F39" s="109" t="str">
        <f>IFERROR(IF(VLOOKUP($A39,TableHandbook[],F$2,FALSE)=0,"",VLOOKUP($A39,TableHandbook[],F$2,FALSE)),"")</f>
        <v/>
      </c>
      <c r="G39" s="107" t="str">
        <f>IFERROR(IF(VLOOKUP($A39,TableHandbook[],G$2,FALSE)=0,"",VLOOKUP($A39,TableHandbook[],G$2,FALSE)),"")</f>
        <v/>
      </c>
      <c r="H39" s="194" t="str">
        <f>IFERROR(VLOOKUP($A39,TableHandbook[],H$2,FALSE),"")</f>
        <v/>
      </c>
      <c r="I39" s="195" t="str">
        <f>IFERROR(VLOOKUP($A39,TableHandbook[],I$2,FALSE),"")</f>
        <v/>
      </c>
      <c r="J39" s="195" t="str">
        <f>IFERROR(VLOOKUP($A39,TableHandbook[],J$2,FALSE),"")</f>
        <v/>
      </c>
      <c r="K39" s="196" t="str">
        <f>IFERROR(VLOOKUP($A39,TableHandbook[],K$2,FALSE),"")</f>
        <v/>
      </c>
      <c r="L39" s="40"/>
      <c r="M39" s="146">
        <v>22</v>
      </c>
      <c r="N39" s="111"/>
      <c r="O39" s="111"/>
      <c r="W39" s="27"/>
    </row>
    <row r="40" spans="1:23" s="28" customFormat="1" ht="20.100000000000001" customHeight="1" x14ac:dyDescent="0.15">
      <c r="A40" s="106" t="str">
        <f>IFERROR(IF(HLOOKUP($L$5,RangeUnitsets,M40,FALSE)=0,"",HLOOKUP($L$5,RangeUnitsets,M40,FALSE)),"")</f>
        <v/>
      </c>
      <c r="B40" s="112" t="str">
        <f>IFERROR(IF(VLOOKUP($A40,TableHandbook[],B$2,FALSE)=0,"",VLOOKUP($A40,TableHandbook[],B$2,FALSE)),"")</f>
        <v/>
      </c>
      <c r="C40" s="112" t="str">
        <f>IFERROR(IF(VLOOKUP($A40,TableHandbook[],C$2,FALSE)=0,"",VLOOKUP($A40,TableHandbook[],C$2,FALSE)),"")</f>
        <v/>
      </c>
      <c r="D40" s="159" t="str">
        <f>IFERROR(IF(VLOOKUP($A40,TableHandbook[],D$2,FALSE)=0,"",VLOOKUP($A40,TableHandbook[],D$2,FALSE)),"")</f>
        <v/>
      </c>
      <c r="E40" s="112" t="str">
        <f>IF(OR(A40="",A40="-"),"",E39)</f>
        <v/>
      </c>
      <c r="F40" s="109" t="str">
        <f>IFERROR(IF(VLOOKUP($A40,TableHandbook[],F$2,FALSE)=0,"",VLOOKUP($A40,TableHandbook[],F$2,FALSE)),"")</f>
        <v/>
      </c>
      <c r="G40" s="107" t="str">
        <f>IFERROR(IF(VLOOKUP($A40,TableHandbook[],G$2,FALSE)=0,"",VLOOKUP($A40,TableHandbook[],G$2,FALSE)),"")</f>
        <v/>
      </c>
      <c r="H40" s="194" t="str">
        <f>IFERROR(VLOOKUP($A40,TableHandbook[],H$2,FALSE),"")</f>
        <v/>
      </c>
      <c r="I40" s="195" t="str">
        <f>IFERROR(VLOOKUP($A40,TableHandbook[],I$2,FALSE),"")</f>
        <v/>
      </c>
      <c r="J40" s="195" t="str">
        <f>IFERROR(VLOOKUP($A40,TableHandbook[],J$2,FALSE),"")</f>
        <v/>
      </c>
      <c r="K40" s="196" t="str">
        <f>IFERROR(VLOOKUP($A40,TableHandbook[],K$2,FALSE),"")</f>
        <v/>
      </c>
      <c r="L40" s="40"/>
      <c r="M40" s="146">
        <v>23</v>
      </c>
      <c r="N40" s="111"/>
      <c r="O40" s="111"/>
      <c r="W40" s="27"/>
    </row>
    <row r="41" spans="1:23" s="28" customFormat="1" ht="5.0999999999999996" customHeight="1" x14ac:dyDescent="0.15">
      <c r="A41" s="172"/>
      <c r="B41" s="173"/>
      <c r="C41" s="173"/>
      <c r="D41" s="174"/>
      <c r="E41" s="173"/>
      <c r="F41" s="175"/>
      <c r="G41" s="173"/>
      <c r="H41" s="197"/>
      <c r="I41" s="198"/>
      <c r="J41" s="198"/>
      <c r="K41" s="199"/>
      <c r="L41" s="176"/>
      <c r="M41" s="147"/>
      <c r="N41" s="111"/>
      <c r="O41" s="111"/>
      <c r="P41" s="111"/>
      <c r="W41" s="27"/>
    </row>
    <row r="42" spans="1:23" s="30" customFormat="1" ht="20.100000000000001" customHeight="1" x14ac:dyDescent="0.15">
      <c r="A42" s="106" t="str">
        <f>IFERROR(IF(HLOOKUP($L$5,RangeUnitsets,M42,FALSE)=0,"",HLOOKUP($L$5,RangeUnitsets,M42,FALSE)),"")</f>
        <v/>
      </c>
      <c r="B42" s="112" t="str">
        <f>IFERROR(IF(VLOOKUP($A42,TableHandbook[],B$2,FALSE)=0,"",VLOOKUP($A42,TableHandbook[],B$2,FALSE)),"")</f>
        <v/>
      </c>
      <c r="C42" s="112" t="str">
        <f>IFERROR(IF(VLOOKUP($A42,TableHandbook[],C$2,FALSE)=0,"",VLOOKUP($A42,TableHandbook[],C$2,FALSE)),"")</f>
        <v/>
      </c>
      <c r="D42" s="159" t="str">
        <f>IFERROR(IF(VLOOKUP($A42,TableHandbook[],D$2,FALSE)=0,"",VLOOKUP($A42,TableHandbook[],D$2,FALSE)),"")</f>
        <v/>
      </c>
      <c r="E42" s="112" t="str">
        <f>IF(OR(A42="",A42="-"),"",VLOOKUP($D$6,TableStudyPeriods[],5,FALSE))</f>
        <v/>
      </c>
      <c r="F42" s="109" t="str">
        <f>IFERROR(IF(VLOOKUP($A42,TableHandbook[],F$2,FALSE)=0,"",VLOOKUP($A42,TableHandbook[],F$2,FALSE)),"")</f>
        <v/>
      </c>
      <c r="G42" s="107" t="str">
        <f>IFERROR(IF(VLOOKUP($A42,TableHandbook[],G$2,FALSE)=0,"",VLOOKUP($A42,TableHandbook[],G$2,FALSE)),"")</f>
        <v/>
      </c>
      <c r="H42" s="194" t="str">
        <f>IFERROR(VLOOKUP($A42,TableHandbook[],H$2,FALSE),"")</f>
        <v/>
      </c>
      <c r="I42" s="195" t="str">
        <f>IFERROR(VLOOKUP($A42,TableHandbook[],I$2,FALSE),"")</f>
        <v/>
      </c>
      <c r="J42" s="195" t="str">
        <f>IFERROR(VLOOKUP($A42,TableHandbook[],J$2,FALSE),"")</f>
        <v/>
      </c>
      <c r="K42" s="196" t="str">
        <f>IFERROR(VLOOKUP($A42,TableHandbook[],K$2,FALSE),"")</f>
        <v/>
      </c>
      <c r="L42" s="40"/>
      <c r="M42" s="146">
        <v>24</v>
      </c>
      <c r="N42" s="114"/>
      <c r="O42" s="114"/>
      <c r="W42" s="29"/>
    </row>
    <row r="43" spans="1:23" s="30" customFormat="1" ht="20.100000000000001" customHeight="1" x14ac:dyDescent="0.15">
      <c r="A43" s="106" t="str">
        <f>IFERROR(IF(HLOOKUP($L$5,RangeUnitsets,M43,FALSE)=0,"",HLOOKUP($L$5,RangeUnitsets,M43,FALSE)),"")</f>
        <v/>
      </c>
      <c r="B43" s="112" t="str">
        <f>IFERROR(IF(VLOOKUP($A43,TableHandbook[],B$2,FALSE)=0,"",VLOOKUP($A43,TableHandbook[],B$2,FALSE)),"")</f>
        <v/>
      </c>
      <c r="C43" s="112" t="str">
        <f>IFERROR(IF(VLOOKUP($A43,TableHandbook[],C$2,FALSE)=0,"",VLOOKUP($A43,TableHandbook[],C$2,FALSE)),"")</f>
        <v/>
      </c>
      <c r="D43" s="159" t="str">
        <f>IFERROR(IF(VLOOKUP($A43,TableHandbook[],D$2,FALSE)=0,"",VLOOKUP($A43,TableHandbook[],D$2,FALSE)),"")</f>
        <v/>
      </c>
      <c r="E43" s="107" t="str">
        <f>IF(OR(A43="",A43="-"),"",E42)</f>
        <v/>
      </c>
      <c r="F43" s="109" t="str">
        <f>IFERROR(IF(VLOOKUP($A43,TableHandbook[],F$2,FALSE)=0,"",VLOOKUP($A43,TableHandbook[],F$2,FALSE)),"")</f>
        <v/>
      </c>
      <c r="G43" s="107" t="str">
        <f>IFERROR(IF(VLOOKUP($A43,TableHandbook[],G$2,FALSE)=0,"",VLOOKUP($A43,TableHandbook[],G$2,FALSE)),"")</f>
        <v/>
      </c>
      <c r="H43" s="194" t="str">
        <f>IFERROR(VLOOKUP($A43,TableHandbook[],H$2,FALSE),"")</f>
        <v/>
      </c>
      <c r="I43" s="195" t="str">
        <f>IFERROR(VLOOKUP($A43,TableHandbook[],I$2,FALSE),"")</f>
        <v/>
      </c>
      <c r="J43" s="195" t="str">
        <f>IFERROR(VLOOKUP($A43,TableHandbook[],J$2,FALSE),"")</f>
        <v/>
      </c>
      <c r="K43" s="196" t="str">
        <f>IFERROR(VLOOKUP($A43,TableHandbook[],K$2,FALSE),"")</f>
        <v/>
      </c>
      <c r="L43" s="40"/>
      <c r="M43" s="146">
        <v>25</v>
      </c>
      <c r="N43" s="114"/>
      <c r="O43" s="114"/>
      <c r="W43" s="29"/>
    </row>
    <row r="44" spans="1:23" s="26" customFormat="1" ht="21" x14ac:dyDescent="0.25">
      <c r="A44" s="98" t="s">
        <v>27</v>
      </c>
      <c r="B44" s="98"/>
      <c r="C44" s="105" t="s">
        <v>16</v>
      </c>
      <c r="D44" s="157" t="s">
        <v>3</v>
      </c>
      <c r="E44" s="105" t="s">
        <v>17</v>
      </c>
      <c r="F44" s="98" t="s">
        <v>18</v>
      </c>
      <c r="G44" s="98" t="s">
        <v>19</v>
      </c>
      <c r="H44" s="191" t="str">
        <f>H$8</f>
        <v>SP1</v>
      </c>
      <c r="I44" s="192" t="str">
        <f t="shared" ref="I44:L44" si="2">I$8</f>
        <v>SP2</v>
      </c>
      <c r="J44" s="192" t="str">
        <f t="shared" si="2"/>
        <v>SP3</v>
      </c>
      <c r="K44" s="193" t="str">
        <f t="shared" si="2"/>
        <v>SP4</v>
      </c>
      <c r="L44" s="98" t="str">
        <f t="shared" si="2"/>
        <v>Notes / Progress</v>
      </c>
      <c r="M44" s="104"/>
      <c r="N44" s="104"/>
      <c r="O44" s="104"/>
      <c r="W44" s="25"/>
    </row>
    <row r="45" spans="1:23" s="28" customFormat="1" ht="20.100000000000001" customHeight="1" x14ac:dyDescent="0.15">
      <c r="A45" s="106" t="str">
        <f>IFERROR(IF(HLOOKUP($L$5,RangeUnitsets,M45,FALSE)=0,"",HLOOKUP($L$5,RangeUnitsets,M45,FALSE)),"")</f>
        <v/>
      </c>
      <c r="B45" s="112" t="str">
        <f>IFERROR(IF(VLOOKUP($A45,TableHandbook[],B$2,FALSE)=0,"",VLOOKUP($A45,TableHandbook[],B$2,FALSE)),"")</f>
        <v/>
      </c>
      <c r="C45" s="112" t="str">
        <f>IFERROR(IF(VLOOKUP($A45,TableHandbook[],C$2,FALSE)=0,"",VLOOKUP($A45,TableHandbook[],C$2,FALSE)),"")</f>
        <v/>
      </c>
      <c r="D45" s="160" t="str">
        <f>IFERROR(IF(VLOOKUP($A45,TableHandbook[],D$2,FALSE)=0,"",VLOOKUP($A45,TableHandbook[],D$2,FALSE)),"")</f>
        <v/>
      </c>
      <c r="E45" s="112" t="str">
        <f>IF(OR(A45="",A45="-"),"",VLOOKUP($D$6,TableStudyPeriods[],2,FALSE))</f>
        <v/>
      </c>
      <c r="F45" s="109" t="str">
        <f>IFERROR(IF(VLOOKUP($A45,TableHandbook[],F$2,FALSE)=0,"",VLOOKUP($A45,TableHandbook[],F$2,FALSE)),"")</f>
        <v/>
      </c>
      <c r="G45" s="107" t="str">
        <f>IFERROR(IF(VLOOKUP($A45,TableHandbook[],G$2,FALSE)=0,"",VLOOKUP($A45,TableHandbook[],G$2,FALSE)),"")</f>
        <v/>
      </c>
      <c r="H45" s="194" t="str">
        <f>IFERROR(VLOOKUP($A45,TableHandbook[],H$2,FALSE),"")</f>
        <v/>
      </c>
      <c r="I45" s="195" t="str">
        <f>IFERROR(VLOOKUP($A45,TableHandbook[],I$2,FALSE),"")</f>
        <v/>
      </c>
      <c r="J45" s="195" t="str">
        <f>IFERROR(VLOOKUP($A45,TableHandbook[],J$2,FALSE),"")</f>
        <v/>
      </c>
      <c r="K45" s="196" t="str">
        <f>IFERROR(VLOOKUP($A45,TableHandbook[],K$2,FALSE),"")</f>
        <v/>
      </c>
      <c r="L45" s="40"/>
      <c r="M45" s="146">
        <v>26</v>
      </c>
      <c r="N45" s="111"/>
      <c r="O45" s="111"/>
      <c r="W45" s="27"/>
    </row>
    <row r="46" spans="1:23" s="28" customFormat="1" ht="19.5" customHeight="1" x14ac:dyDescent="0.15">
      <c r="A46" s="106" t="str">
        <f>IFERROR(IF(HLOOKUP($L$5,RangeUnitsets,M46,FALSE)=0,"",HLOOKUP($L$5,RangeUnitsets,M46,FALSE)),"")</f>
        <v/>
      </c>
      <c r="B46" s="112" t="str">
        <f>IFERROR(IF(VLOOKUP($A46,TableHandbook[],B$2,FALSE)=0,"",VLOOKUP($A46,TableHandbook[],B$2,FALSE)),"")</f>
        <v/>
      </c>
      <c r="C46" s="112" t="str">
        <f>IFERROR(IF(VLOOKUP($A46,TableHandbook[],C$2,FALSE)=0,"",VLOOKUP($A46,TableHandbook[],C$2,FALSE)),"")</f>
        <v/>
      </c>
      <c r="D46" s="159" t="str">
        <f>IFERROR(IF(VLOOKUP($A46,TableHandbook[],D$2,FALSE)=0,"",VLOOKUP($A46,TableHandbook[],D$2,FALSE)),"")</f>
        <v/>
      </c>
      <c r="E46" s="112" t="str">
        <f>IF(OR(A46="",A46="-"),"",E45)</f>
        <v/>
      </c>
      <c r="F46" s="109" t="str">
        <f>IFERROR(IF(VLOOKUP($A46,TableHandbook[],F$2,FALSE)=0,"",VLOOKUP($A46,TableHandbook[],F$2,FALSE)),"")</f>
        <v/>
      </c>
      <c r="G46" s="107" t="str">
        <f>IFERROR(IF(VLOOKUP($A46,TableHandbook[],G$2,FALSE)=0,"",VLOOKUP($A46,TableHandbook[],G$2,FALSE)),"")</f>
        <v/>
      </c>
      <c r="H46" s="194" t="str">
        <f>IFERROR(VLOOKUP($A46,TableHandbook[],H$2,FALSE),"")</f>
        <v/>
      </c>
      <c r="I46" s="195" t="str">
        <f>IFERROR(VLOOKUP($A46,TableHandbook[],I$2,FALSE),"")</f>
        <v/>
      </c>
      <c r="J46" s="195" t="str">
        <f>IFERROR(VLOOKUP($A46,TableHandbook[],J$2,FALSE),"")</f>
        <v/>
      </c>
      <c r="K46" s="196" t="str">
        <f>IFERROR(VLOOKUP($A46,TableHandbook[],K$2,FALSE),"")</f>
        <v/>
      </c>
      <c r="L46" s="40"/>
      <c r="M46" s="146">
        <v>27</v>
      </c>
      <c r="N46" s="111"/>
      <c r="O46" s="111"/>
      <c r="W46" s="27"/>
    </row>
    <row r="47" spans="1:23" s="28" customFormat="1" ht="5.0999999999999996" customHeight="1" x14ac:dyDescent="0.15">
      <c r="A47" s="172"/>
      <c r="B47" s="173"/>
      <c r="C47" s="173"/>
      <c r="D47" s="174"/>
      <c r="E47" s="173"/>
      <c r="F47" s="175"/>
      <c r="G47" s="173"/>
      <c r="H47" s="197"/>
      <c r="I47" s="198"/>
      <c r="J47" s="198"/>
      <c r="K47" s="199"/>
      <c r="L47" s="176"/>
      <c r="M47" s="147"/>
      <c r="N47" s="111"/>
      <c r="O47" s="111"/>
      <c r="P47" s="111"/>
      <c r="W47" s="27"/>
    </row>
    <row r="48" spans="1:23" s="28" customFormat="1" ht="20.100000000000001" customHeight="1" x14ac:dyDescent="0.15">
      <c r="A48" s="106" t="str">
        <f>IFERROR(IF(HLOOKUP($L$5,RangeUnitsets,M48,FALSE)=0,"",HLOOKUP($L$5,RangeUnitsets,M48,FALSE)),"")</f>
        <v/>
      </c>
      <c r="B48" s="112" t="str">
        <f>IFERROR(IF(VLOOKUP($A48,TableHandbook[],B$2,FALSE)=0,"",VLOOKUP($A48,TableHandbook[],B$2,FALSE)),"")</f>
        <v/>
      </c>
      <c r="C48" s="112" t="str">
        <f>IFERROR(IF(VLOOKUP($A48,TableHandbook[],C$2,FALSE)=0,"",VLOOKUP($A48,TableHandbook[],C$2,FALSE)),"")</f>
        <v/>
      </c>
      <c r="D48" s="159" t="str">
        <f>IFERROR(IF(VLOOKUP($A48,TableHandbook[],D$2,FALSE)=0,"",VLOOKUP($A48,TableHandbook[],D$2,FALSE)),"")</f>
        <v/>
      </c>
      <c r="E48" s="112" t="str">
        <f>IF(OR(A48="",A48="-"),"",VLOOKUP($D$6,TableStudyPeriods[],3,FALSE))</f>
        <v/>
      </c>
      <c r="F48" s="109" t="str">
        <f>IFERROR(IF(VLOOKUP($A48,TableHandbook[],F$2,FALSE)=0,"",VLOOKUP($A48,TableHandbook[],F$2,FALSE)),"")</f>
        <v/>
      </c>
      <c r="G48" s="107" t="str">
        <f>IFERROR(IF(VLOOKUP($A48,TableHandbook[],G$2,FALSE)=0,"",VLOOKUP($A48,TableHandbook[],G$2,FALSE)),"")</f>
        <v/>
      </c>
      <c r="H48" s="194" t="str">
        <f>IFERROR(VLOOKUP($A48,TableHandbook[],H$2,FALSE),"")</f>
        <v/>
      </c>
      <c r="I48" s="195" t="str">
        <f>IFERROR(VLOOKUP($A48,TableHandbook[],I$2,FALSE),"")</f>
        <v/>
      </c>
      <c r="J48" s="195" t="str">
        <f>IFERROR(VLOOKUP($A48,TableHandbook[],J$2,FALSE),"")</f>
        <v/>
      </c>
      <c r="K48" s="196" t="str">
        <f>IFERROR(VLOOKUP($A48,TableHandbook[],K$2,FALSE),"")</f>
        <v/>
      </c>
      <c r="L48" s="40"/>
      <c r="M48" s="146">
        <v>28</v>
      </c>
      <c r="N48" s="111"/>
      <c r="O48" s="111"/>
      <c r="W48" s="27"/>
    </row>
    <row r="49" spans="1:23" s="28" customFormat="1" ht="20.100000000000001" customHeight="1" x14ac:dyDescent="0.15">
      <c r="A49" s="106" t="str">
        <f>IFERROR(IF(HLOOKUP($L$5,RangeUnitsets,M49,FALSE)=0,"",HLOOKUP($L$5,RangeUnitsets,M49,FALSE)),"")</f>
        <v/>
      </c>
      <c r="B49" s="112" t="str">
        <f>IFERROR(IF(VLOOKUP($A49,TableHandbook[],B$2,FALSE)=0,"",VLOOKUP($A49,TableHandbook[],B$2,FALSE)),"")</f>
        <v/>
      </c>
      <c r="C49" s="112" t="str">
        <f>IFERROR(IF(VLOOKUP($A49,TableHandbook[],C$2,FALSE)=0,"",VLOOKUP($A49,TableHandbook[],C$2,FALSE)),"")</f>
        <v/>
      </c>
      <c r="D49" s="159" t="str">
        <f>IFERROR(IF(VLOOKUP($A49,TableHandbook[],D$2,FALSE)=0,"",VLOOKUP($A49,TableHandbook[],D$2,FALSE)),"")</f>
        <v/>
      </c>
      <c r="E49" s="112" t="str">
        <f>IF(OR(A49="",A49="-"),"",E48)</f>
        <v/>
      </c>
      <c r="F49" s="109" t="str">
        <f>IFERROR(IF(VLOOKUP($A49,TableHandbook[],F$2,FALSE)=0,"",VLOOKUP($A49,TableHandbook[],F$2,FALSE)),"")</f>
        <v/>
      </c>
      <c r="G49" s="107" t="str">
        <f>IFERROR(IF(VLOOKUP($A49,TableHandbook[],G$2,FALSE)=0,"",VLOOKUP($A49,TableHandbook[],G$2,FALSE)),"")</f>
        <v/>
      </c>
      <c r="H49" s="194" t="str">
        <f>IFERROR(VLOOKUP($A49,TableHandbook[],H$2,FALSE),"")</f>
        <v/>
      </c>
      <c r="I49" s="195" t="str">
        <f>IFERROR(VLOOKUP($A49,TableHandbook[],I$2,FALSE),"")</f>
        <v/>
      </c>
      <c r="J49" s="195" t="str">
        <f>IFERROR(VLOOKUP($A49,TableHandbook[],J$2,FALSE),"")</f>
        <v/>
      </c>
      <c r="K49" s="196" t="str">
        <f>IFERROR(VLOOKUP($A49,TableHandbook[],K$2,FALSE),"")</f>
        <v/>
      </c>
      <c r="L49" s="40"/>
      <c r="M49" s="146">
        <v>29</v>
      </c>
      <c r="N49" s="111"/>
      <c r="O49" s="111"/>
      <c r="W49" s="27"/>
    </row>
    <row r="50" spans="1:23" s="28" customFormat="1" ht="4.5" customHeight="1" x14ac:dyDescent="0.15">
      <c r="A50" s="172"/>
      <c r="B50" s="173"/>
      <c r="C50" s="173"/>
      <c r="D50" s="174"/>
      <c r="E50" s="173"/>
      <c r="F50" s="175"/>
      <c r="G50" s="173"/>
      <c r="H50" s="197"/>
      <c r="I50" s="198"/>
      <c r="J50" s="198"/>
      <c r="K50" s="199"/>
      <c r="L50" s="176"/>
      <c r="M50" s="147"/>
      <c r="N50" s="111"/>
      <c r="O50" s="111"/>
      <c r="P50" s="111"/>
      <c r="W50" s="27"/>
    </row>
    <row r="51" spans="1:23" s="28" customFormat="1" ht="20.100000000000001" customHeight="1" x14ac:dyDescent="0.15">
      <c r="A51" s="106" t="str">
        <f>IFERROR(IF(HLOOKUP($L$5,RangeUnitsets,M51,FALSE)=0,"",HLOOKUP($L$5,RangeUnitsets,M51,FALSE)),"")</f>
        <v/>
      </c>
      <c r="B51" s="112" t="str">
        <f>IFERROR(IF(VLOOKUP($A51,TableHandbook[],B$2,FALSE)=0,"",VLOOKUP($A51,TableHandbook[],B$2,FALSE)),"")</f>
        <v/>
      </c>
      <c r="C51" s="112" t="str">
        <f>IFERROR(IF(VLOOKUP($A51,TableHandbook[],C$2,FALSE)=0,"",VLOOKUP($A51,TableHandbook[],C$2,FALSE)),"")</f>
        <v/>
      </c>
      <c r="D51" s="159" t="str">
        <f>IFERROR(IF(VLOOKUP($A51,TableHandbook[],D$2,FALSE)=0,"",VLOOKUP($A51,TableHandbook[],D$2,FALSE)),"")</f>
        <v/>
      </c>
      <c r="E51" s="112" t="str">
        <f>IF(OR(A51="",A51="-"),"",VLOOKUP($D$6,TableStudyPeriods[],4,FALSE))</f>
        <v/>
      </c>
      <c r="F51" s="109" t="str">
        <f>IFERROR(IF(VLOOKUP($A51,TableHandbook[],F$2,FALSE)=0,"",VLOOKUP($A51,TableHandbook[],F$2,FALSE)),"")</f>
        <v/>
      </c>
      <c r="G51" s="107" t="str">
        <f>IFERROR(IF(VLOOKUP($A51,TableHandbook[],G$2,FALSE)=0,"",VLOOKUP($A51,TableHandbook[],G$2,FALSE)),"")</f>
        <v/>
      </c>
      <c r="H51" s="194" t="str">
        <f>IFERROR(VLOOKUP($A51,TableHandbook[],H$2,FALSE),"")</f>
        <v/>
      </c>
      <c r="I51" s="195" t="str">
        <f>IFERROR(VLOOKUP($A51,TableHandbook[],I$2,FALSE),"")</f>
        <v/>
      </c>
      <c r="J51" s="195" t="str">
        <f>IFERROR(VLOOKUP($A51,TableHandbook[],J$2,FALSE),"")</f>
        <v/>
      </c>
      <c r="K51" s="196" t="str">
        <f>IFERROR(VLOOKUP($A51,TableHandbook[],K$2,FALSE),"")</f>
        <v/>
      </c>
      <c r="L51" s="40"/>
      <c r="M51" s="146">
        <v>30</v>
      </c>
      <c r="N51" s="111"/>
      <c r="O51" s="111"/>
      <c r="W51" s="27"/>
    </row>
    <row r="52" spans="1:23" s="28" customFormat="1" ht="20.100000000000001" customHeight="1" x14ac:dyDescent="0.15">
      <c r="A52" s="106" t="str">
        <f>IFERROR(IF(HLOOKUP($L$5,RangeUnitsets,M52,FALSE)=0,"",HLOOKUP($L$5,RangeUnitsets,M52,FALSE)),"")</f>
        <v/>
      </c>
      <c r="B52" s="112" t="str">
        <f>IFERROR(IF(VLOOKUP($A52,TableHandbook[],B$2,FALSE)=0,"",VLOOKUP($A52,TableHandbook[],B$2,FALSE)),"")</f>
        <v/>
      </c>
      <c r="C52" s="112" t="str">
        <f>IFERROR(IF(VLOOKUP($A52,TableHandbook[],C$2,FALSE)=0,"",VLOOKUP($A52,TableHandbook[],C$2,FALSE)),"")</f>
        <v/>
      </c>
      <c r="D52" s="159" t="str">
        <f>IFERROR(IF(VLOOKUP($A52,TableHandbook[],D$2,FALSE)=0,"",VLOOKUP($A52,TableHandbook[],D$2,FALSE)),"")</f>
        <v/>
      </c>
      <c r="E52" s="112" t="str">
        <f>IF(OR(A52="",A52="-"),"",E51)</f>
        <v/>
      </c>
      <c r="F52" s="109" t="str">
        <f>IFERROR(IF(VLOOKUP($A52,TableHandbook[],F$2,FALSE)=0,"",VLOOKUP($A52,TableHandbook[],F$2,FALSE)),"")</f>
        <v/>
      </c>
      <c r="G52" s="107" t="str">
        <f>IFERROR(IF(VLOOKUP($A52,TableHandbook[],G$2,FALSE)=0,"",VLOOKUP($A52,TableHandbook[],G$2,FALSE)),"")</f>
        <v/>
      </c>
      <c r="H52" s="194" t="str">
        <f>IFERROR(VLOOKUP($A52,TableHandbook[],H$2,FALSE),"")</f>
        <v/>
      </c>
      <c r="I52" s="195" t="str">
        <f>IFERROR(VLOOKUP($A52,TableHandbook[],I$2,FALSE),"")</f>
        <v/>
      </c>
      <c r="J52" s="195" t="str">
        <f>IFERROR(VLOOKUP($A52,TableHandbook[],J$2,FALSE),"")</f>
        <v/>
      </c>
      <c r="K52" s="196" t="str">
        <f>IFERROR(VLOOKUP($A52,TableHandbook[],K$2,FALSE),"")</f>
        <v/>
      </c>
      <c r="L52" s="40"/>
      <c r="M52" s="146">
        <v>31</v>
      </c>
      <c r="N52" s="111"/>
      <c r="O52" s="111"/>
      <c r="W52" s="27"/>
    </row>
    <row r="53" spans="1:23" s="34" customFormat="1" ht="13.9" customHeight="1" x14ac:dyDescent="0.2">
      <c r="A53" s="121"/>
      <c r="B53" s="121"/>
      <c r="C53" s="121"/>
      <c r="D53" s="161"/>
      <c r="E53" s="122"/>
      <c r="F53" s="123"/>
      <c r="G53" s="123"/>
      <c r="H53" s="123"/>
      <c r="I53" s="123"/>
      <c r="J53" s="123"/>
      <c r="K53" s="123"/>
      <c r="L53" s="123"/>
      <c r="M53" s="125"/>
      <c r="N53" s="125"/>
      <c r="O53" s="125"/>
      <c r="W53" s="33"/>
    </row>
    <row r="54" spans="1:23" ht="16.5" x14ac:dyDescent="0.25">
      <c r="A54" s="126" t="s">
        <v>28</v>
      </c>
      <c r="B54" s="127"/>
      <c r="C54" s="127"/>
      <c r="D54" s="162"/>
      <c r="E54" s="129"/>
      <c r="F54" s="129"/>
      <c r="G54" s="129"/>
      <c r="H54" s="130" t="str">
        <f>H7</f>
        <v>2026 Availabilities</v>
      </c>
      <c r="I54" s="178"/>
      <c r="J54" s="178"/>
      <c r="K54" s="179"/>
      <c r="L54" s="131" t="str">
        <f>VLOOKUP(D5,TableCourses[],2,FALSE)</f>
        <v>OB-EDEC</v>
      </c>
      <c r="W54" s="24"/>
    </row>
    <row r="55" spans="1:23" s="36" customFormat="1" x14ac:dyDescent="0.25">
      <c r="A55" s="133"/>
      <c r="B55" s="133"/>
      <c r="C55" s="133" t="s">
        <v>16</v>
      </c>
      <c r="D55" s="163" t="s">
        <v>3</v>
      </c>
      <c r="E55" s="133"/>
      <c r="F55" s="133" t="s">
        <v>18</v>
      </c>
      <c r="G55" s="133" t="s">
        <v>19</v>
      </c>
      <c r="H55" s="203" t="str">
        <f>H$8</f>
        <v>SP1</v>
      </c>
      <c r="I55" s="204" t="str">
        <f t="shared" ref="I55:L55" si="3">I$8</f>
        <v>SP2</v>
      </c>
      <c r="J55" s="204" t="str">
        <f t="shared" si="3"/>
        <v>SP3</v>
      </c>
      <c r="K55" s="205" t="str">
        <f t="shared" si="3"/>
        <v>SP4</v>
      </c>
      <c r="L55" s="181" t="str">
        <f t="shared" si="3"/>
        <v>Notes / Progress</v>
      </c>
      <c r="W55" s="35"/>
    </row>
    <row r="56" spans="1:23" x14ac:dyDescent="0.25">
      <c r="A56" s="135" t="str">
        <f t="shared" ref="A56:A75" si="4">IFERROR(IF(HLOOKUP($L$54,RangeOptions,$M56,FALSE)=0,"",HLOOKUP($L$54,RangeOptions,$M56,FALSE)),"")</f>
        <v>SE.iStem</v>
      </c>
      <c r="B56" s="136" t="str">
        <f>IFERROR(IF(VLOOKUP($A56,TableHandbook[],2,FALSE)=0,"",VLOOKUP($A56,TableHandbook[],2,FALSE)),"")</f>
        <v/>
      </c>
      <c r="C56" s="140" t="str">
        <f>IFERROR(IF(VLOOKUP($A56,TableHandbook[],3,FALSE)=0,"",VLOOKUP($A56,TableHandbook[],3,FALSE)),"")</f>
        <v/>
      </c>
      <c r="D56" s="164" t="str">
        <f>IFERROR(IF(VLOOKUP($A56,TableHandbook[],4,FALSE)=0,"",VLOOKUP($A56,TableHandbook[],4,FALSE)),"")</f>
        <v>iSTEM Specified Electives</v>
      </c>
      <c r="E56" s="138"/>
      <c r="F56" s="139" t="str">
        <f>IFERROR(IF(VLOOKUP($A56,TableHandbook[],6,FALSE)=0,"",VLOOKUP($A56,TableHandbook[],6,FALSE)),"")</f>
        <v/>
      </c>
      <c r="G56" s="139" t="str">
        <f>IFERROR(IF(VLOOKUP($A56,TableHandbook[],5,FALSE)=0,"",VLOOKUP($A56,TableHandbook[],5,FALSE)),"")</f>
        <v/>
      </c>
      <c r="H56" s="207" t="str">
        <f>IFERROR(VLOOKUP($A56,TableHandbook[],H$2,FALSE),"")</f>
        <v/>
      </c>
      <c r="I56" s="207" t="str">
        <f>IFERROR(VLOOKUP($A56,TableHandbook[],I$2,FALSE),"")</f>
        <v/>
      </c>
      <c r="J56" s="207" t="str">
        <f>IFERROR(VLOOKUP($A56,TableHandbook[],J$2,FALSE),"")</f>
        <v/>
      </c>
      <c r="K56" s="207" t="str">
        <f>IFERROR(VLOOKUP($A56,TableHandbook[],K$2,FALSE),"")</f>
        <v/>
      </c>
      <c r="L56" s="41"/>
      <c r="M56" s="146">
        <v>2</v>
      </c>
      <c r="W56" s="24"/>
    </row>
    <row r="57" spans="1:23" x14ac:dyDescent="0.25">
      <c r="A57" s="135" t="str">
        <f t="shared" si="4"/>
        <v>EDUC4026</v>
      </c>
      <c r="B57" s="136">
        <f>IFERROR(IF(VLOOKUP($A57,TableHandbook[],2,FALSE)=0,"",VLOOKUP($A57,TableHandbook[],2,FALSE)),"")</f>
        <v>1</v>
      </c>
      <c r="C57" s="140" t="str">
        <f>IFERROR(IF(VLOOKUP($A57,TableHandbook[],3,FALSE)=0,"",VLOOKUP($A57,TableHandbook[],3,FALSE)),"")</f>
        <v>EDC488</v>
      </c>
      <c r="D57" s="164" t="str">
        <f>IFERROR(IF(VLOOKUP($A57,TableHandbook[],4,FALSE)=0,"",VLOOKUP($A57,TableHandbook[],4,FALSE)),"")</f>
        <v>Project-based iSTEM Education</v>
      </c>
      <c r="E57" s="138"/>
      <c r="F57" s="139" t="str">
        <f>IFERROR(IF(VLOOKUP($A57,TableHandbook[],6,FALSE)=0,"",VLOOKUP($A57,TableHandbook[],6,FALSE)),"")</f>
        <v>Nil</v>
      </c>
      <c r="G57" s="139">
        <f>IFERROR(IF(VLOOKUP($A57,TableHandbook[],5,FALSE)=0,"",VLOOKUP($A57,TableHandbook[],5,FALSE)),"")</f>
        <v>25</v>
      </c>
      <c r="H57" s="207" t="str">
        <f>IFERROR(VLOOKUP($A57,TableHandbook[],H$2,FALSE),"")</f>
        <v/>
      </c>
      <c r="I57" s="207" t="str">
        <f>IFERROR(VLOOKUP($A57,TableHandbook[],I$2,FALSE),"")</f>
        <v/>
      </c>
      <c r="J57" s="207" t="str">
        <f>IFERROR(VLOOKUP($A57,TableHandbook[],J$2,FALSE),"")</f>
        <v>Y</v>
      </c>
      <c r="K57" s="207" t="str">
        <f>IFERROR(VLOOKUP($A57,TableHandbook[],K$2,FALSE),"")</f>
        <v/>
      </c>
      <c r="L57" s="41"/>
      <c r="M57" s="146">
        <v>3</v>
      </c>
      <c r="W57" s="24"/>
    </row>
    <row r="58" spans="1:23" x14ac:dyDescent="0.25">
      <c r="A58" s="135" t="str">
        <f t="shared" si="4"/>
        <v>EDUC4033</v>
      </c>
      <c r="B58" s="136">
        <f>IFERROR(IF(VLOOKUP($A58,TableHandbook[],2,FALSE)=0,"",VLOOKUP($A58,TableHandbook[],2,FALSE)),"")</f>
        <v>1</v>
      </c>
      <c r="C58" s="140" t="str">
        <f>IFERROR(IF(VLOOKUP($A58,TableHandbook[],3,FALSE)=0,"",VLOOKUP($A58,TableHandbook[],3,FALSE)),"")</f>
        <v>EDC492</v>
      </c>
      <c r="D58" s="164" t="str">
        <f>IFERROR(IF(VLOOKUP($A58,TableHandbook[],4,FALSE)=0,"",VLOOKUP($A58,TableHandbook[],4,FALSE)),"")</f>
        <v>iSTEM Education through Digital Stories</v>
      </c>
      <c r="E58" s="138"/>
      <c r="F58" s="139" t="str">
        <f>IFERROR(IF(VLOOKUP($A58,TableHandbook[],6,FALSE)=0,"",VLOOKUP($A58,TableHandbook[],6,FALSE)),"")</f>
        <v>Nil</v>
      </c>
      <c r="G58" s="139">
        <f>IFERROR(IF(VLOOKUP($A58,TableHandbook[],5,FALSE)=0,"",VLOOKUP($A58,TableHandbook[],5,FALSE)),"")</f>
        <v>25</v>
      </c>
      <c r="H58" s="207" t="str">
        <f>IFERROR(VLOOKUP($A58,TableHandbook[],H$2,FALSE),"")</f>
        <v/>
      </c>
      <c r="I58" s="207" t="str">
        <f>IFERROR(VLOOKUP($A58,TableHandbook[],I$2,FALSE),"")</f>
        <v>Y</v>
      </c>
      <c r="J58" s="207" t="str">
        <f>IFERROR(VLOOKUP($A58,TableHandbook[],J$2,FALSE),"")</f>
        <v/>
      </c>
      <c r="K58" s="207" t="str">
        <f>IFERROR(VLOOKUP($A58,TableHandbook[],K$2,FALSE),"")</f>
        <v/>
      </c>
      <c r="L58" s="41"/>
      <c r="M58" s="146">
        <v>4</v>
      </c>
      <c r="W58" s="24"/>
    </row>
    <row r="59" spans="1:23" x14ac:dyDescent="0.25">
      <c r="A59" s="135" t="str">
        <f t="shared" si="4"/>
        <v>EDUC4035</v>
      </c>
      <c r="B59" s="136">
        <f>IFERROR(IF(VLOOKUP($A59,TableHandbook[],2,FALSE)=0,"",VLOOKUP($A59,TableHandbook[],2,FALSE)),"")</f>
        <v>1</v>
      </c>
      <c r="C59" s="140" t="str">
        <f>IFERROR(IF(VLOOKUP($A59,TableHandbook[],3,FALSE)=0,"",VLOOKUP($A59,TableHandbook[],3,FALSE)),"")</f>
        <v>EDC493</v>
      </c>
      <c r="D59" s="164" t="str">
        <f>IFERROR(IF(VLOOKUP($A59,TableHandbook[],4,FALSE)=0,"",VLOOKUP($A59,TableHandbook[],4,FALSE)),"")</f>
        <v>iSTEM: Social Issues</v>
      </c>
      <c r="E59" s="138"/>
      <c r="F59" s="139" t="str">
        <f>IFERROR(IF(VLOOKUP($A59,TableHandbook[],6,FALSE)=0,"",VLOOKUP($A59,TableHandbook[],6,FALSE)),"")</f>
        <v>Nil</v>
      </c>
      <c r="G59" s="139">
        <f>IFERROR(IF(VLOOKUP($A59,TableHandbook[],5,FALSE)=0,"",VLOOKUP($A59,TableHandbook[],5,FALSE)),"")</f>
        <v>25</v>
      </c>
      <c r="H59" s="207" t="str">
        <f>IFERROR(VLOOKUP($A59,TableHandbook[],H$2,FALSE),"")</f>
        <v>Y</v>
      </c>
      <c r="I59" s="207" t="str">
        <f>IFERROR(VLOOKUP($A59,TableHandbook[],I$2,FALSE),"")</f>
        <v/>
      </c>
      <c r="J59" s="207" t="str">
        <f>IFERROR(VLOOKUP($A59,TableHandbook[],J$2,FALSE),"")</f>
        <v/>
      </c>
      <c r="K59" s="207" t="str">
        <f>IFERROR(VLOOKUP($A59,TableHandbook[],K$2,FALSE),"")</f>
        <v/>
      </c>
      <c r="L59" s="41"/>
      <c r="M59" s="146">
        <v>5</v>
      </c>
      <c r="W59" s="24"/>
    </row>
    <row r="60" spans="1:23" x14ac:dyDescent="0.25">
      <c r="A60" s="135" t="str">
        <f t="shared" si="4"/>
        <v>SE.ELL</v>
      </c>
      <c r="B60" s="136" t="str">
        <f>IFERROR(IF(VLOOKUP($A60,TableHandbook[],2,FALSE)=0,"",VLOOKUP($A60,TableHandbook[],2,FALSE)),"")</f>
        <v/>
      </c>
      <c r="C60" s="140" t="str">
        <f>IFERROR(IF(VLOOKUP($A60,TableHandbook[],3,FALSE)=0,"",VLOOKUP($A60,TableHandbook[],3,FALSE)),"")</f>
        <v/>
      </c>
      <c r="D60" s="164" t="str">
        <f>IFERROR(IF(VLOOKUP($A60,TableHandbook[],4,FALSE)=0,"",VLOOKUP($A60,TableHandbook[],4,FALSE)),"")</f>
        <v>English Language and Literacy Specified Electives</v>
      </c>
      <c r="E60" s="138"/>
      <c r="F60" s="139" t="str">
        <f>IFERROR(IF(VLOOKUP($A60,TableHandbook[],6,FALSE)=0,"",VLOOKUP($A60,TableHandbook[],6,FALSE)),"")</f>
        <v/>
      </c>
      <c r="G60" s="139" t="str">
        <f>IFERROR(IF(VLOOKUP($A60,TableHandbook[],5,FALSE)=0,"",VLOOKUP($A60,TableHandbook[],5,FALSE)),"")</f>
        <v/>
      </c>
      <c r="H60" s="207" t="str">
        <f>IFERROR(VLOOKUP($A60,TableHandbook[],H$2,FALSE),"")</f>
        <v/>
      </c>
      <c r="I60" s="207" t="str">
        <f>IFERROR(VLOOKUP($A60,TableHandbook[],I$2,FALSE),"")</f>
        <v/>
      </c>
      <c r="J60" s="207" t="str">
        <f>IFERROR(VLOOKUP($A60,TableHandbook[],J$2,FALSE),"")</f>
        <v/>
      </c>
      <c r="K60" s="207" t="str">
        <f>IFERROR(VLOOKUP($A60,TableHandbook[],K$2,FALSE),"")</f>
        <v/>
      </c>
      <c r="L60" s="41"/>
      <c r="M60" s="146">
        <v>6</v>
      </c>
      <c r="W60" s="24"/>
    </row>
    <row r="61" spans="1:23" x14ac:dyDescent="0.25">
      <c r="A61" s="135" t="str">
        <f t="shared" si="4"/>
        <v>EDUC4024</v>
      </c>
      <c r="B61" s="136">
        <f>IFERROR(IF(VLOOKUP($A61,TableHandbook[],2,FALSE)=0,"",VLOOKUP($A61,TableHandbook[],2,FALSE)),"")</f>
        <v>1</v>
      </c>
      <c r="C61" s="140" t="str">
        <f>IFERROR(IF(VLOOKUP($A61,TableHandbook[],3,FALSE)=0,"",VLOOKUP($A61,TableHandbook[],3,FALSE)),"")</f>
        <v>EDC486</v>
      </c>
      <c r="D61" s="164" t="str">
        <f>IFERROR(IF(VLOOKUP($A61,TableHandbook[],4,FALSE)=0,"",VLOOKUP($A61,TableHandbook[],4,FALSE)),"")</f>
        <v>Creating and Responding to Literature</v>
      </c>
      <c r="E61" s="138"/>
      <c r="F61" s="139" t="str">
        <f>IFERROR(IF(VLOOKUP($A61,TableHandbook[],6,FALSE)=0,"",VLOOKUP($A61,TableHandbook[],6,FALSE)),"")</f>
        <v>Nil</v>
      </c>
      <c r="G61" s="139">
        <f>IFERROR(IF(VLOOKUP($A61,TableHandbook[],5,FALSE)=0,"",VLOOKUP($A61,TableHandbook[],5,FALSE)),"")</f>
        <v>25</v>
      </c>
      <c r="H61" s="207" t="str">
        <f>IFERROR(VLOOKUP($A61,TableHandbook[],H$2,FALSE),"")</f>
        <v/>
      </c>
      <c r="I61" s="207" t="str">
        <f>IFERROR(VLOOKUP($A61,TableHandbook[],I$2,FALSE),"")</f>
        <v>Y</v>
      </c>
      <c r="J61" s="207" t="str">
        <f>IFERROR(VLOOKUP($A61,TableHandbook[],J$2,FALSE),"")</f>
        <v/>
      </c>
      <c r="K61" s="207" t="str">
        <f>IFERROR(VLOOKUP($A61,TableHandbook[],K$2,FALSE),"")</f>
        <v/>
      </c>
      <c r="L61" s="41"/>
      <c r="M61" s="146">
        <v>7</v>
      </c>
      <c r="W61" s="24"/>
    </row>
    <row r="62" spans="1:23" x14ac:dyDescent="0.25">
      <c r="A62" s="135" t="str">
        <f t="shared" si="4"/>
        <v>EDUC4025</v>
      </c>
      <c r="B62" s="136">
        <f>IFERROR(IF(VLOOKUP($A62,TableHandbook[],2,FALSE)=0,"",VLOOKUP($A62,TableHandbook[],2,FALSE)),"")</f>
        <v>1</v>
      </c>
      <c r="C62" s="140" t="str">
        <f>IFERROR(IF(VLOOKUP($A62,TableHandbook[],3,FALSE)=0,"",VLOOKUP($A62,TableHandbook[],3,FALSE)),"")</f>
        <v>EDC487</v>
      </c>
      <c r="D62" s="164" t="str">
        <f>IFERROR(IF(VLOOKUP($A62,TableHandbook[],4,FALSE)=0,"",VLOOKUP($A62,TableHandbook[],4,FALSE)),"")</f>
        <v>Creative Literacies</v>
      </c>
      <c r="E62" s="137"/>
      <c r="F62" s="139" t="str">
        <f>IFERROR(IF(VLOOKUP($A62,TableHandbook[],6,FALSE)=0,"",VLOOKUP($A62,TableHandbook[],6,FALSE)),"")</f>
        <v>Nil</v>
      </c>
      <c r="G62" s="140">
        <f>IFERROR(IF(VLOOKUP($A62,TableHandbook[],5,FALSE)=0,"",VLOOKUP($A62,TableHandbook[],5,FALSE)),"")</f>
        <v>25</v>
      </c>
      <c r="H62" s="207" t="str">
        <f>IFERROR(VLOOKUP($A62,TableHandbook[],H$2,FALSE),"")</f>
        <v/>
      </c>
      <c r="I62" s="207" t="str">
        <f>IFERROR(VLOOKUP($A62,TableHandbook[],I$2,FALSE),"")</f>
        <v/>
      </c>
      <c r="J62" s="207" t="str">
        <f>IFERROR(VLOOKUP($A62,TableHandbook[],J$2,FALSE),"")</f>
        <v>Y</v>
      </c>
      <c r="K62" s="207" t="str">
        <f>IFERROR(VLOOKUP($A62,TableHandbook[],K$2,FALSE),"")</f>
        <v/>
      </c>
      <c r="L62" s="40"/>
      <c r="M62" s="146">
        <v>8</v>
      </c>
      <c r="W62" s="24"/>
    </row>
    <row r="63" spans="1:23" x14ac:dyDescent="0.25">
      <c r="A63" s="135" t="str">
        <f t="shared" si="4"/>
        <v>EDUC4037</v>
      </c>
      <c r="B63" s="136">
        <f>IFERROR(IF(VLOOKUP($A63,TableHandbook[],2,FALSE)=0,"",VLOOKUP($A63,TableHandbook[],2,FALSE)),"")</f>
        <v>1</v>
      </c>
      <c r="C63" s="140" t="str">
        <f>IFERROR(IF(VLOOKUP($A63,TableHandbook[],3,FALSE)=0,"",VLOOKUP($A63,TableHandbook[],3,FALSE)),"")</f>
        <v>EDC494</v>
      </c>
      <c r="D63" s="164" t="str">
        <f>IFERROR(IF(VLOOKUP($A63,TableHandbook[],4,FALSE)=0,"",VLOOKUP($A63,TableHandbook[],4,FALSE)),"")</f>
        <v>Language and Diversity</v>
      </c>
      <c r="E63" s="138"/>
      <c r="F63" s="139" t="str">
        <f>IFERROR(IF(VLOOKUP($A63,TableHandbook[],6,FALSE)=0,"",VLOOKUP($A63,TableHandbook[],6,FALSE)),"")</f>
        <v>Nil</v>
      </c>
      <c r="G63" s="139">
        <f>IFERROR(IF(VLOOKUP($A63,TableHandbook[],5,FALSE)=0,"",VLOOKUP($A63,TableHandbook[],5,FALSE)),"")</f>
        <v>25</v>
      </c>
      <c r="H63" s="207" t="str">
        <f>IFERROR(VLOOKUP($A63,TableHandbook[],H$2,FALSE),"")</f>
        <v/>
      </c>
      <c r="I63" s="207" t="str">
        <f>IFERROR(VLOOKUP($A63,TableHandbook[],I$2,FALSE),"")</f>
        <v/>
      </c>
      <c r="J63" s="207" t="str">
        <f>IFERROR(VLOOKUP($A63,TableHandbook[],J$2,FALSE),"")</f>
        <v/>
      </c>
      <c r="K63" s="207" t="str">
        <f>IFERROR(VLOOKUP($A63,TableHandbook[],K$2,FALSE),"")</f>
        <v>Y</v>
      </c>
      <c r="L63" s="40"/>
      <c r="M63" s="146">
        <v>9</v>
      </c>
      <c r="W63" s="24"/>
    </row>
    <row r="64" spans="1:23" x14ac:dyDescent="0.25">
      <c r="A64" s="135" t="str">
        <f t="shared" si="4"/>
        <v>SE.LNDP</v>
      </c>
      <c r="B64" s="136" t="str">
        <f>IFERROR(IF(VLOOKUP($A64,TableHandbook[],2,FALSE)=0,"",VLOOKUP($A64,TableHandbook[],2,FALSE)),"")</f>
        <v/>
      </c>
      <c r="C64" s="140" t="str">
        <f>IFERROR(IF(VLOOKUP($A64,TableHandbook[],3,FALSE)=0,"",VLOOKUP($A64,TableHandbook[],3,FALSE)),"")</f>
        <v/>
      </c>
      <c r="D64" s="164" t="str">
        <f>IFERROR(IF(VLOOKUP($A64,TableHandbook[],4,FALSE)=0,"",VLOOKUP($A64,TableHandbook[],4,FALSE)),"")</f>
        <v>Literacy and Numeracy in Diverse Populations Specified Electives</v>
      </c>
      <c r="E64" s="138"/>
      <c r="F64" s="139" t="str">
        <f>IFERROR(IF(VLOOKUP($A64,TableHandbook[],6,FALSE)=0,"",VLOOKUP($A64,TableHandbook[],6,FALSE)),"")</f>
        <v/>
      </c>
      <c r="G64" s="139" t="str">
        <f>IFERROR(IF(VLOOKUP($A64,TableHandbook[],5,FALSE)=0,"",VLOOKUP($A64,TableHandbook[],5,FALSE)),"")</f>
        <v/>
      </c>
      <c r="H64" s="207" t="str">
        <f>IFERROR(VLOOKUP($A64,TableHandbook[],H$2,FALSE),"")</f>
        <v/>
      </c>
      <c r="I64" s="207" t="str">
        <f>IFERROR(VLOOKUP($A64,TableHandbook[],I$2,FALSE),"")</f>
        <v/>
      </c>
      <c r="J64" s="207" t="str">
        <f>IFERROR(VLOOKUP($A64,TableHandbook[],J$2,FALSE),"")</f>
        <v/>
      </c>
      <c r="K64" s="207" t="str">
        <f>IFERROR(VLOOKUP($A64,TableHandbook[],K$2,FALSE),"")</f>
        <v/>
      </c>
      <c r="L64" s="41"/>
      <c r="M64" s="146">
        <v>10</v>
      </c>
      <c r="W64" s="24"/>
    </row>
    <row r="65" spans="1:23" x14ac:dyDescent="0.25">
      <c r="A65" s="135" t="str">
        <f t="shared" si="4"/>
        <v>EDUC4028</v>
      </c>
      <c r="B65" s="136">
        <f>IFERROR(IF(VLOOKUP($A65,TableHandbook[],2,FALSE)=0,"",VLOOKUP($A65,TableHandbook[],2,FALSE)),"")</f>
        <v>1</v>
      </c>
      <c r="C65" s="140" t="str">
        <f>IFERROR(IF(VLOOKUP($A65,TableHandbook[],3,FALSE)=0,"",VLOOKUP($A65,TableHandbook[],3,FALSE)),"")</f>
        <v>EDC490</v>
      </c>
      <c r="D65" s="164" t="str">
        <f>IFERROR(IF(VLOOKUP($A65,TableHandbook[],4,FALSE)=0,"",VLOOKUP($A65,TableHandbook[],4,FALSE)),"")</f>
        <v>Supporting Literacy and Numeracy Development for Diverse Learners</v>
      </c>
      <c r="E65" s="138"/>
      <c r="F65" s="139" t="str">
        <f>IFERROR(IF(VLOOKUP($A65,TableHandbook[],6,FALSE)=0,"",VLOOKUP($A65,TableHandbook[],6,FALSE)),"")</f>
        <v>Nil</v>
      </c>
      <c r="G65" s="139">
        <f>IFERROR(IF(VLOOKUP($A65,TableHandbook[],5,FALSE)=0,"",VLOOKUP($A65,TableHandbook[],5,FALSE)),"")</f>
        <v>25</v>
      </c>
      <c r="H65" s="207" t="str">
        <f>IFERROR(VLOOKUP($A65,TableHandbook[],H$2,FALSE),"")</f>
        <v/>
      </c>
      <c r="I65" s="207" t="str">
        <f>IFERROR(VLOOKUP($A65,TableHandbook[],I$2,FALSE),"")</f>
        <v/>
      </c>
      <c r="J65" s="207" t="str">
        <f>IFERROR(VLOOKUP($A65,TableHandbook[],J$2,FALSE),"")</f>
        <v/>
      </c>
      <c r="K65" s="207" t="str">
        <f>IFERROR(VLOOKUP($A65,TableHandbook[],K$2,FALSE),"")</f>
        <v>Y</v>
      </c>
      <c r="L65" s="41"/>
      <c r="M65" s="146">
        <v>11</v>
      </c>
      <c r="W65" s="24"/>
    </row>
    <row r="66" spans="1:23" x14ac:dyDescent="0.25">
      <c r="A66" s="135" t="str">
        <f t="shared" si="4"/>
        <v>EDUC4043</v>
      </c>
      <c r="B66" s="136">
        <f>IFERROR(IF(VLOOKUP($A66,TableHandbook[],2,FALSE)=0,"",VLOOKUP($A66,TableHandbook[],2,FALSE)),"")</f>
        <v>1</v>
      </c>
      <c r="C66" s="140" t="str">
        <f>IFERROR(IF(VLOOKUP($A66,TableHandbook[],3,FALSE)=0,"",VLOOKUP($A66,TableHandbook[],3,FALSE)),"")</f>
        <v>EDC465</v>
      </c>
      <c r="D66" s="164" t="str">
        <f>IFERROR(IF(VLOOKUP($A66,TableHandbook[],4,FALSE)=0,"",VLOOKUP($A66,TableHandbook[],4,FALSE)),"")</f>
        <v>Alternative Approaches to Teaching Literacy and Numeracy</v>
      </c>
      <c r="E66" s="137"/>
      <c r="F66" s="139" t="str">
        <f>IFERROR(IF(VLOOKUP($A66,TableHandbook[],6,FALSE)=0,"",VLOOKUP($A66,TableHandbook[],6,FALSE)),"")</f>
        <v>Nil</v>
      </c>
      <c r="G66" s="139">
        <f>IFERROR(IF(VLOOKUP($A66,TableHandbook[],5,FALSE)=0,"",VLOOKUP($A66,TableHandbook[],5,FALSE)),"")</f>
        <v>25</v>
      </c>
      <c r="H66" s="207" t="str">
        <f>IFERROR(VLOOKUP($A66,TableHandbook[],H$2,FALSE),"")</f>
        <v/>
      </c>
      <c r="I66" s="207" t="str">
        <f>IFERROR(VLOOKUP($A66,TableHandbook[],I$2,FALSE),"")</f>
        <v>Y</v>
      </c>
      <c r="J66" s="207" t="str">
        <f>IFERROR(VLOOKUP($A66,TableHandbook[],J$2,FALSE),"")</f>
        <v/>
      </c>
      <c r="K66" s="207" t="str">
        <f>IFERROR(VLOOKUP($A66,TableHandbook[],K$2,FALSE),"")</f>
        <v/>
      </c>
      <c r="L66" s="41"/>
      <c r="M66" s="146">
        <v>12</v>
      </c>
      <c r="W66" s="24"/>
    </row>
    <row r="67" spans="1:23" x14ac:dyDescent="0.25">
      <c r="A67" s="135" t="str">
        <f t="shared" si="4"/>
        <v>EDUC4045</v>
      </c>
      <c r="B67" s="136">
        <f>IFERROR(IF(VLOOKUP($A67,TableHandbook[],2,FALSE)=0,"",VLOOKUP($A67,TableHandbook[],2,FALSE)),"")</f>
        <v>2</v>
      </c>
      <c r="C67" s="140" t="str">
        <f>IFERROR(IF(VLOOKUP($A67,TableHandbook[],3,FALSE)=0,"",VLOOKUP($A67,TableHandbook[],3,FALSE)),"")</f>
        <v>EDC460</v>
      </c>
      <c r="D67" s="164" t="str">
        <f>IFERROR(IF(VLOOKUP($A67,TableHandbook[],4,FALSE)=0,"",VLOOKUP($A67,TableHandbook[],4,FALSE)),"")</f>
        <v>Literacy and Numeracy for First Nations Peoples of Australia</v>
      </c>
      <c r="E67" s="137"/>
      <c r="F67" s="139" t="str">
        <f>IFERROR(IF(VLOOKUP($A67,TableHandbook[],6,FALSE)=0,"",VLOOKUP($A67,TableHandbook[],6,FALSE)),"")</f>
        <v>Nil</v>
      </c>
      <c r="G67" s="139">
        <f>IFERROR(IF(VLOOKUP($A67,TableHandbook[],5,FALSE)=0,"",VLOOKUP($A67,TableHandbook[],5,FALSE)),"")</f>
        <v>25</v>
      </c>
      <c r="H67" s="207" t="str">
        <f>IFERROR(VLOOKUP($A67,TableHandbook[],H$2,FALSE),"")</f>
        <v/>
      </c>
      <c r="I67" s="207" t="str">
        <f>IFERROR(VLOOKUP($A67,TableHandbook[],I$2,FALSE),"")</f>
        <v/>
      </c>
      <c r="J67" s="207" t="str">
        <f>IFERROR(VLOOKUP($A67,TableHandbook[],J$2,FALSE),"")</f>
        <v>Y</v>
      </c>
      <c r="K67" s="207" t="str">
        <f>IFERROR(VLOOKUP($A67,TableHandbook[],K$2,FALSE),"")</f>
        <v/>
      </c>
      <c r="L67" s="41"/>
      <c r="M67" s="146">
        <v>13</v>
      </c>
      <c r="W67" s="24"/>
    </row>
    <row r="68" spans="1:23" x14ac:dyDescent="0.25">
      <c r="A68" s="135" t="str">
        <f t="shared" si="4"/>
        <v>SE.T</v>
      </c>
      <c r="B68" s="136" t="str">
        <f>IFERROR(IF(VLOOKUP($A68,TableHandbook[],2,FALSE)=0,"",VLOOKUP($A68,TableHandbook[],2,FALSE)),"")</f>
        <v/>
      </c>
      <c r="C68" s="140" t="str">
        <f>IFERROR(IF(VLOOKUP($A68,TableHandbook[],3,FALSE)=0,"",VLOOKUP($A68,TableHandbook[],3,FALSE)),"")</f>
        <v/>
      </c>
      <c r="D68" s="164" t="str">
        <f>IFERROR(IF(VLOOKUP($A68,TableHandbook[],4,FALSE)=0,"",VLOOKUP($A68,TableHandbook[],4,FALSE)),"")</f>
        <v>Technologies Specified Electives</v>
      </c>
      <c r="E68" s="137"/>
      <c r="F68" s="139" t="str">
        <f>IFERROR(IF(VLOOKUP($A68,TableHandbook[],6,FALSE)=0,"",VLOOKUP($A68,TableHandbook[],6,FALSE)),"")</f>
        <v/>
      </c>
      <c r="G68" s="139" t="str">
        <f>IFERROR(IF(VLOOKUP($A68,TableHandbook[],5,FALSE)=0,"",VLOOKUP($A68,TableHandbook[],5,FALSE)),"")</f>
        <v/>
      </c>
      <c r="H68" s="207" t="str">
        <f>IFERROR(VLOOKUP($A68,TableHandbook[],H$2,FALSE),"")</f>
        <v/>
      </c>
      <c r="I68" s="207" t="str">
        <f>IFERROR(VLOOKUP($A68,TableHandbook[],I$2,FALSE),"")</f>
        <v/>
      </c>
      <c r="J68" s="207" t="str">
        <f>IFERROR(VLOOKUP($A68,TableHandbook[],J$2,FALSE),"")</f>
        <v/>
      </c>
      <c r="K68" s="207" t="str">
        <f>IFERROR(VLOOKUP($A68,TableHandbook[],K$2,FALSE),"")</f>
        <v/>
      </c>
      <c r="L68" s="41"/>
      <c r="M68" s="146">
        <v>14</v>
      </c>
      <c r="W68" s="24"/>
    </row>
    <row r="69" spans="1:23" x14ac:dyDescent="0.25">
      <c r="A69" s="135" t="str">
        <f t="shared" si="4"/>
        <v>EDUC4030</v>
      </c>
      <c r="B69" s="136">
        <f>IFERROR(IF(VLOOKUP($A69,TableHandbook[],2,FALSE)=0,"",VLOOKUP($A69,TableHandbook[],2,FALSE)),"")</f>
        <v>1</v>
      </c>
      <c r="C69" s="140" t="str">
        <f>IFERROR(IF(VLOOKUP($A69,TableHandbook[],3,FALSE)=0,"",VLOOKUP($A69,TableHandbook[],3,FALSE)),"")</f>
        <v>EDC491</v>
      </c>
      <c r="D69" s="164" t="str">
        <f>IFERROR(IF(VLOOKUP($A69,TableHandbook[],4,FALSE)=0,"",VLOOKUP($A69,TableHandbook[],4,FALSE)),"")</f>
        <v>Technologies: Coding for Teachers</v>
      </c>
      <c r="E69" s="137"/>
      <c r="F69" s="139" t="str">
        <f>IFERROR(IF(VLOOKUP($A69,TableHandbook[],6,FALSE)=0,"",VLOOKUP($A69,TableHandbook[],6,FALSE)),"")</f>
        <v>Nil</v>
      </c>
      <c r="G69" s="139">
        <f>IFERROR(IF(VLOOKUP($A69,TableHandbook[],5,FALSE)=0,"",VLOOKUP($A69,TableHandbook[],5,FALSE)),"")</f>
        <v>25</v>
      </c>
      <c r="H69" s="207" t="str">
        <f>IFERROR(VLOOKUP($A69,TableHandbook[],H$2,FALSE),"")</f>
        <v/>
      </c>
      <c r="I69" s="207" t="str">
        <f>IFERROR(VLOOKUP($A69,TableHandbook[],I$2,FALSE),"")</f>
        <v>Y</v>
      </c>
      <c r="J69" s="207" t="str">
        <f>IFERROR(VLOOKUP($A69,TableHandbook[],J$2,FALSE),"")</f>
        <v/>
      </c>
      <c r="K69" s="207" t="str">
        <f>IFERROR(VLOOKUP($A69,TableHandbook[],K$2,FALSE),"")</f>
        <v/>
      </c>
      <c r="L69" s="41"/>
      <c r="M69" s="146">
        <v>15</v>
      </c>
      <c r="W69" s="24"/>
    </row>
    <row r="70" spans="1:23" x14ac:dyDescent="0.25">
      <c r="A70" s="135" t="str">
        <f t="shared" si="4"/>
        <v>EDUC4039</v>
      </c>
      <c r="B70" s="136">
        <f>IFERROR(IF(VLOOKUP($A70,TableHandbook[],2,FALSE)=0,"",VLOOKUP($A70,TableHandbook[],2,FALSE)),"")</f>
        <v>1</v>
      </c>
      <c r="C70" s="140" t="str">
        <f>IFERROR(IF(VLOOKUP($A70,TableHandbook[],3,FALSE)=0,"",VLOOKUP($A70,TableHandbook[],3,FALSE)),"")</f>
        <v>EDC495</v>
      </c>
      <c r="D70" s="164" t="str">
        <f>IFERROR(IF(VLOOKUP($A70,TableHandbook[],4,FALSE)=0,"",VLOOKUP($A70,TableHandbook[],4,FALSE)),"")</f>
        <v>Technologies: Design Solutions</v>
      </c>
      <c r="E70" s="137"/>
      <c r="F70" s="139" t="str">
        <f>IFERROR(IF(VLOOKUP($A70,TableHandbook[],6,FALSE)=0,"",VLOOKUP($A70,TableHandbook[],6,FALSE)),"")</f>
        <v>Nil</v>
      </c>
      <c r="G70" s="139">
        <f>IFERROR(IF(VLOOKUP($A70,TableHandbook[],5,FALSE)=0,"",VLOOKUP($A70,TableHandbook[],5,FALSE)),"")</f>
        <v>25</v>
      </c>
      <c r="H70" s="207" t="str">
        <f>IFERROR(VLOOKUP($A70,TableHandbook[],H$2,FALSE),"")</f>
        <v>Y</v>
      </c>
      <c r="I70" s="207" t="str">
        <f>IFERROR(VLOOKUP($A70,TableHandbook[],I$2,FALSE),"")</f>
        <v/>
      </c>
      <c r="J70" s="207" t="str">
        <f>IFERROR(VLOOKUP($A70,TableHandbook[],J$2,FALSE),"")</f>
        <v/>
      </c>
      <c r="K70" s="207" t="str">
        <f>IFERROR(VLOOKUP($A70,TableHandbook[],K$2,FALSE),"")</f>
        <v/>
      </c>
      <c r="L70" s="41"/>
      <c r="M70" s="146">
        <v>16</v>
      </c>
      <c r="W70" s="24"/>
    </row>
    <row r="71" spans="1:23" x14ac:dyDescent="0.25">
      <c r="A71" s="135" t="str">
        <f t="shared" si="4"/>
        <v>EDUC4047</v>
      </c>
      <c r="B71" s="136">
        <f>IFERROR(IF(VLOOKUP($A71,TableHandbook[],2,FALSE)=0,"",VLOOKUP($A71,TableHandbook[],2,FALSE)),"")</f>
        <v>1</v>
      </c>
      <c r="C71" s="140" t="str">
        <f>IFERROR(IF(VLOOKUP($A71,TableHandbook[],3,FALSE)=0,"",VLOOKUP($A71,TableHandbook[],3,FALSE)),"")</f>
        <v>EDC470</v>
      </c>
      <c r="D71" s="164" t="str">
        <f>IFERROR(IF(VLOOKUP($A71,TableHandbook[],4,FALSE)=0,"",VLOOKUP($A71,TableHandbook[],4,FALSE)),"")</f>
        <v>Technologies: Digital Solutions</v>
      </c>
      <c r="E71" s="137"/>
      <c r="F71" s="139" t="str">
        <f>IFERROR(IF(VLOOKUP($A71,TableHandbook[],6,FALSE)=0,"",VLOOKUP($A71,TableHandbook[],6,FALSE)),"")</f>
        <v>Nil</v>
      </c>
      <c r="G71" s="139">
        <f>IFERROR(IF(VLOOKUP($A71,TableHandbook[],5,FALSE)=0,"",VLOOKUP($A71,TableHandbook[],5,FALSE)),"")</f>
        <v>25</v>
      </c>
      <c r="H71" s="207" t="str">
        <f>IFERROR(VLOOKUP($A71,TableHandbook[],H$2,FALSE),"")</f>
        <v/>
      </c>
      <c r="I71" s="207" t="str">
        <f>IFERROR(VLOOKUP($A71,TableHandbook[],I$2,FALSE),"")</f>
        <v/>
      </c>
      <c r="J71" s="207" t="str">
        <f>IFERROR(VLOOKUP($A71,TableHandbook[],J$2,FALSE),"")</f>
        <v/>
      </c>
      <c r="K71" s="207" t="str">
        <f>IFERROR(VLOOKUP($A71,TableHandbook[],K$2,FALSE),"")</f>
        <v>Y</v>
      </c>
      <c r="L71" s="41"/>
      <c r="M71" s="146">
        <v>17</v>
      </c>
      <c r="W71" s="24"/>
    </row>
    <row r="72" spans="1:23" x14ac:dyDescent="0.25">
      <c r="A72" s="135" t="str">
        <f t="shared" si="4"/>
        <v>SE.CE</v>
      </c>
      <c r="B72" s="136" t="str">
        <f>IFERROR(IF(VLOOKUP($A72,TableHandbook[],2,FALSE)=0,"",VLOOKUP($A72,TableHandbook[],2,FALSE)),"")</f>
        <v/>
      </c>
      <c r="C72" s="140" t="str">
        <f>IFERROR(IF(VLOOKUP($A72,TableHandbook[],3,FALSE)=0,"",VLOOKUP($A72,TableHandbook[],3,FALSE)),"")</f>
        <v/>
      </c>
      <c r="D72" s="164" t="str">
        <f>IFERROR(IF(VLOOKUP($A72,TableHandbook[],4,FALSE)=0,"",VLOOKUP($A72,TableHandbook[],4,FALSE)),"")</f>
        <v>Catholic Education Specified Electives</v>
      </c>
      <c r="E72" s="137"/>
      <c r="F72" s="139" t="str">
        <f>IFERROR(IF(VLOOKUP($A72,TableHandbook[],6,FALSE)=0,"",VLOOKUP($A72,TableHandbook[],6,FALSE)),"")</f>
        <v/>
      </c>
      <c r="G72" s="139" t="str">
        <f>IFERROR(IF(VLOOKUP($A72,TableHandbook[],5,FALSE)=0,"",VLOOKUP($A72,TableHandbook[],5,FALSE)),"")</f>
        <v/>
      </c>
      <c r="H72" s="207" t="str">
        <f>IFERROR(VLOOKUP($A72,TableHandbook[],H$2,FALSE),"")</f>
        <v/>
      </c>
      <c r="I72" s="207" t="str">
        <f>IFERROR(VLOOKUP($A72,TableHandbook[],I$2,FALSE),"")</f>
        <v/>
      </c>
      <c r="J72" s="207" t="str">
        <f>IFERROR(VLOOKUP($A72,TableHandbook[],J$2,FALSE),"")</f>
        <v/>
      </c>
      <c r="K72" s="207" t="str">
        <f>IFERROR(VLOOKUP($A72,TableHandbook[],K$2,FALSE),"")</f>
        <v/>
      </c>
      <c r="L72" s="41"/>
      <c r="M72" s="146">
        <v>18</v>
      </c>
      <c r="W72" s="24"/>
    </row>
    <row r="73" spans="1:23" x14ac:dyDescent="0.25">
      <c r="A73" s="135" t="str">
        <f t="shared" si="4"/>
        <v>CTED4004</v>
      </c>
      <c r="B73" s="136">
        <f>IFERROR(IF(VLOOKUP($A73,TableHandbook[],2,FALSE)=0,"",VLOOKUP($A73,TableHandbook[],2,FALSE)),"")</f>
        <v>2</v>
      </c>
      <c r="C73" s="140" t="str">
        <f>IFERROR(IF(VLOOKUP($A73,TableHandbook[],3,FALSE)=0,"",VLOOKUP($A73,TableHandbook[],3,FALSE)),"")</f>
        <v>EDC484</v>
      </c>
      <c r="D73" s="164" t="str">
        <f>IFERROR(IF(VLOOKUP($A73,TableHandbook[],4,FALSE)=0,"",VLOOKUP($A73,TableHandbook[],4,FALSE)),"")</f>
        <v>Teaching About Sacraments in Catholic Schools</v>
      </c>
      <c r="E73" s="137"/>
      <c r="F73" s="139" t="str">
        <f>IFERROR(IF(VLOOKUP($A73,TableHandbook[],6,FALSE)=0,"",VLOOKUP($A73,TableHandbook[],6,FALSE)),"")</f>
        <v>Nil</v>
      </c>
      <c r="G73" s="139">
        <f>IFERROR(IF(VLOOKUP($A73,TableHandbook[],5,FALSE)=0,"",VLOOKUP($A73,TableHandbook[],5,FALSE)),"")</f>
        <v>25</v>
      </c>
      <c r="H73" s="207" t="str">
        <f>IFERROR(VLOOKUP($A73,TableHandbook[],H$2,FALSE),"")</f>
        <v/>
      </c>
      <c r="I73" s="207" t="str">
        <f>IFERROR(VLOOKUP($A73,TableHandbook[],I$2,FALSE),"")</f>
        <v>Y</v>
      </c>
      <c r="J73" s="207" t="str">
        <f>IFERROR(VLOOKUP($A73,TableHandbook[],J$2,FALSE),"")</f>
        <v/>
      </c>
      <c r="K73" s="207" t="str">
        <f>IFERROR(VLOOKUP($A73,TableHandbook[],K$2,FALSE),"")</f>
        <v/>
      </c>
      <c r="L73" s="41"/>
      <c r="M73" s="146">
        <v>19</v>
      </c>
      <c r="W73" s="24"/>
    </row>
    <row r="74" spans="1:23" x14ac:dyDescent="0.25">
      <c r="A74" s="135" t="str">
        <f t="shared" si="4"/>
        <v>CTED4007</v>
      </c>
      <c r="B74" s="136">
        <f>IFERROR(IF(VLOOKUP($A74,TableHandbook[],2,FALSE)=0,"",VLOOKUP($A74,TableHandbook[],2,FALSE)),"")</f>
        <v>1</v>
      </c>
      <c r="C74" s="140" t="str">
        <f>IFERROR(IF(VLOOKUP($A74,TableHandbook[],3,FALSE)=0,"",VLOOKUP($A74,TableHandbook[],3,FALSE)),"")</f>
        <v>EDC430</v>
      </c>
      <c r="D74" s="164" t="str">
        <f>IFERROR(IF(VLOOKUP($A74,TableHandbook[],4,FALSE)=0,"",VLOOKUP($A74,TableHandbook[],4,FALSE)),"")</f>
        <v>Teaching About Jesus in Catholic Schools</v>
      </c>
      <c r="E74" s="137"/>
      <c r="F74" s="139" t="str">
        <f>IFERROR(IF(VLOOKUP($A74,TableHandbook[],6,FALSE)=0,"",VLOOKUP($A74,TableHandbook[],6,FALSE)),"")</f>
        <v>Nil</v>
      </c>
      <c r="G74" s="139">
        <f>IFERROR(IF(VLOOKUP($A74,TableHandbook[],5,FALSE)=0,"",VLOOKUP($A74,TableHandbook[],5,FALSE)),"")</f>
        <v>25</v>
      </c>
      <c r="H74" s="207" t="str">
        <f>IFERROR(VLOOKUP($A74,TableHandbook[],H$2,FALSE),"")</f>
        <v/>
      </c>
      <c r="I74" s="207" t="str">
        <f>IFERROR(VLOOKUP($A74,TableHandbook[],I$2,FALSE),"")</f>
        <v/>
      </c>
      <c r="J74" s="207" t="str">
        <f>IFERROR(VLOOKUP($A74,TableHandbook[],J$2,FALSE),"")</f>
        <v/>
      </c>
      <c r="K74" s="207" t="str">
        <f>IFERROR(VLOOKUP($A74,TableHandbook[],K$2,FALSE),"")</f>
        <v>Y</v>
      </c>
      <c r="L74" s="41"/>
      <c r="M74" s="146">
        <v>20</v>
      </c>
      <c r="W74" s="24"/>
    </row>
    <row r="75" spans="1:23" x14ac:dyDescent="0.25">
      <c r="A75" s="135" t="str">
        <f t="shared" si="4"/>
        <v>CTED4009</v>
      </c>
      <c r="B75" s="136">
        <f>IFERROR(IF(VLOOKUP($A75,TableHandbook[],2,FALSE)=0,"",VLOOKUP($A75,TableHandbook[],2,FALSE)),"")</f>
        <v>1</v>
      </c>
      <c r="C75" s="140" t="str">
        <f>IFERROR(IF(VLOOKUP($A75,TableHandbook[],3,FALSE)=0,"",VLOOKUP($A75,TableHandbook[],3,FALSE)),"")</f>
        <v>EDC435</v>
      </c>
      <c r="D75" s="164" t="str">
        <f>IFERROR(IF(VLOOKUP($A75,TableHandbook[],4,FALSE)=0,"",VLOOKUP($A75,TableHandbook[],4,FALSE)),"")</f>
        <v>Teaching About the Gospels in Catholic Schools</v>
      </c>
      <c r="E75" s="137"/>
      <c r="F75" s="139" t="str">
        <f>IFERROR(IF(VLOOKUP($A75,TableHandbook[],6,FALSE)=0,"",VLOOKUP($A75,TableHandbook[],6,FALSE)),"")</f>
        <v>Nil</v>
      </c>
      <c r="G75" s="139">
        <f>IFERROR(IF(VLOOKUP($A75,TableHandbook[],5,FALSE)=0,"",VLOOKUP($A75,TableHandbook[],5,FALSE)),"")</f>
        <v>25</v>
      </c>
      <c r="H75" s="207" t="str">
        <f>IFERROR(VLOOKUP($A75,TableHandbook[],H$2,FALSE),"")</f>
        <v>Y</v>
      </c>
      <c r="I75" s="207" t="str">
        <f>IFERROR(VLOOKUP($A75,TableHandbook[],I$2,FALSE),"")</f>
        <v/>
      </c>
      <c r="J75" s="207" t="str">
        <f>IFERROR(VLOOKUP($A75,TableHandbook[],J$2,FALSE),"")</f>
        <v/>
      </c>
      <c r="K75" s="207" t="str">
        <f>IFERROR(VLOOKUP($A75,TableHandbook[],K$2,FALSE),"")</f>
        <v/>
      </c>
      <c r="L75" s="41"/>
      <c r="M75" s="146">
        <v>21</v>
      </c>
      <c r="W75" s="24"/>
    </row>
    <row r="76" spans="1:23" s="24" customFormat="1" ht="32.25" customHeight="1" x14ac:dyDescent="0.25">
      <c r="A76" s="268" t="s">
        <v>29</v>
      </c>
      <c r="B76" s="268"/>
      <c r="C76" s="268"/>
      <c r="D76" s="268"/>
      <c r="E76" s="268"/>
      <c r="F76" s="268"/>
      <c r="G76" s="268"/>
      <c r="H76" s="268"/>
      <c r="I76" s="268"/>
      <c r="J76" s="268"/>
      <c r="K76" s="268"/>
      <c r="L76" s="268"/>
      <c r="M76" s="22"/>
      <c r="N76" s="22"/>
      <c r="O76" s="22"/>
      <c r="P76" s="22"/>
      <c r="Q76" s="22"/>
      <c r="R76" s="22"/>
      <c r="S76" s="22"/>
      <c r="T76" s="22"/>
      <c r="U76" s="22"/>
      <c r="V76" s="22"/>
    </row>
    <row r="77" spans="1:23" s="32" customFormat="1" ht="24.95" customHeight="1" x14ac:dyDescent="0.3">
      <c r="A77" s="47" t="s">
        <v>30</v>
      </c>
      <c r="B77" s="47"/>
      <c r="C77" s="47"/>
      <c r="D77" s="48"/>
      <c r="E77" s="48"/>
      <c r="F77" s="48"/>
      <c r="G77" s="48"/>
      <c r="H77" s="48"/>
      <c r="I77" s="48"/>
      <c r="J77" s="48"/>
      <c r="K77" s="48"/>
      <c r="L77" s="48"/>
      <c r="M77" s="141"/>
      <c r="N77" s="141"/>
      <c r="O77" s="141"/>
      <c r="W77" s="31"/>
    </row>
    <row r="78" spans="1:23" s="24" customFormat="1" ht="15" customHeight="1" x14ac:dyDescent="0.25">
      <c r="A78" s="142" t="s">
        <v>31</v>
      </c>
      <c r="B78" s="142"/>
      <c r="C78" s="142"/>
      <c r="D78" s="142"/>
      <c r="E78" s="143"/>
      <c r="F78" s="123"/>
      <c r="G78" s="144"/>
      <c r="H78" s="144"/>
      <c r="I78" s="144"/>
      <c r="J78" s="144"/>
      <c r="K78" s="144"/>
      <c r="L78" s="144" t="s">
        <v>32</v>
      </c>
      <c r="M78" s="22"/>
      <c r="N78" s="22"/>
      <c r="O78" s="22"/>
      <c r="P78" s="22"/>
      <c r="Q78" s="22"/>
      <c r="R78" s="22"/>
      <c r="S78" s="22"/>
      <c r="T78" s="22"/>
      <c r="U78" s="22"/>
      <c r="V78" s="22"/>
    </row>
  </sheetData>
  <sheetProtection formatCells="0"/>
  <mergeCells count="2">
    <mergeCell ref="A3:D3"/>
    <mergeCell ref="A76:L76"/>
  </mergeCells>
  <conditionalFormatting sqref="A56:L75">
    <cfRule type="expression" dxfId="18" priority="2">
      <formula>LEFT($D56,8)="Bachelor"</formula>
    </cfRule>
    <cfRule type="expression" dxfId="17" priority="3">
      <formula>RIGHT($D56,9)="Electives"</formula>
    </cfRule>
    <cfRule type="expression" dxfId="16" priority="4">
      <formula>LEFT($D56,5)="Study"</formula>
    </cfRule>
  </conditionalFormatting>
  <conditionalFormatting sqref="D5:D6">
    <cfRule type="containsText" dxfId="15" priority="5" operator="containsText" text="Choose">
      <formula>NOT(ISERROR(SEARCH("Choose",D5)))</formula>
    </cfRule>
  </conditionalFormatting>
  <conditionalFormatting sqref="H9:K52">
    <cfRule type="expression" dxfId="14" priority="1">
      <formula>$E9=H$8</formula>
    </cfRule>
  </conditionalFormatting>
  <dataValidations count="1">
    <dataValidation type="list" allowBlank="1" showInputMessage="1" showErrorMessage="1" sqref="L26 L14 L38 L50 L11 L17 L23 L29 L35 L41 L47" xr:uid="{00000000-0002-0000-0000-000000000000}"/>
  </dataValidations>
  <hyperlinks>
    <hyperlink ref="A77:L7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60" orientation="portrait" r:id="rId2"/>
  <rowBreaks count="1" manualBreakCount="1">
    <brk id="52" max="10" man="1"/>
  </rowBreaks>
  <ignoredErrors>
    <ignoredError sqref="E20 E32 E44 E14 E9:E13 E15:E19 E21:E31 E33:E43 E45:E52" formula="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CourseDetails!$A$28:$A$32</xm:f>
          </x14:formula1>
          <xm:sqref>D6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pageSetUpPr fitToPage="1"/>
  </sheetPr>
  <dimension ref="A1:P63"/>
  <sheetViews>
    <sheetView showGridLines="0" tabSelected="1" topLeftCell="A3" zoomScaleNormal="100" workbookViewId="0">
      <selection activeCell="D6" sqref="D6"/>
    </sheetView>
  </sheetViews>
  <sheetFormatPr defaultColWidth="9" defaultRowHeight="15" x14ac:dyDescent="0.25"/>
  <cols>
    <col min="1" max="1" width="11.375" style="280" customWidth="1"/>
    <col min="2" max="2" width="3.25" style="280" customWidth="1"/>
    <col min="3" max="3" width="11.875" style="280" bestFit="1" customWidth="1"/>
    <col min="4" max="4" width="54.75" style="271" customWidth="1"/>
    <col min="5" max="5" width="7" style="271" customWidth="1"/>
    <col min="6" max="6" width="22.375" style="271" bestFit="1" customWidth="1"/>
    <col min="7" max="7" width="5.625" style="271" customWidth="1"/>
    <col min="8" max="8" width="3.25" style="271" customWidth="1"/>
    <col min="9" max="11" width="3.25" style="271" bestFit="1" customWidth="1"/>
    <col min="12" max="12" width="18.625" style="271" customWidth="1"/>
    <col min="13" max="13" width="2.5" style="271" hidden="1" customWidth="1"/>
    <col min="14" max="16384" width="9" style="271"/>
  </cols>
  <sheetData>
    <row r="1" spans="1:16" hidden="1" x14ac:dyDescent="0.25">
      <c r="A1" s="269" t="s">
        <v>0</v>
      </c>
      <c r="B1" s="269" t="s">
        <v>1</v>
      </c>
      <c r="C1" s="269" t="s">
        <v>2</v>
      </c>
      <c r="D1" s="270" t="s">
        <v>3</v>
      </c>
      <c r="E1" s="270"/>
      <c r="F1" s="270" t="s">
        <v>4</v>
      </c>
      <c r="G1" s="270" t="s">
        <v>5</v>
      </c>
      <c r="H1" s="270" t="s">
        <v>6</v>
      </c>
      <c r="I1" s="270"/>
      <c r="J1" s="270"/>
      <c r="K1" s="270"/>
      <c r="L1" s="270" t="s">
        <v>7</v>
      </c>
    </row>
    <row r="2" spans="1:16" hidden="1" x14ac:dyDescent="0.25">
      <c r="A2" s="272"/>
      <c r="B2" s="272">
        <v>2</v>
      </c>
      <c r="C2" s="272">
        <v>3</v>
      </c>
      <c r="D2" s="272">
        <v>4</v>
      </c>
      <c r="E2" s="272"/>
      <c r="F2" s="272">
        <v>6</v>
      </c>
      <c r="G2" s="272">
        <v>5</v>
      </c>
      <c r="H2" s="272">
        <v>7</v>
      </c>
      <c r="I2" s="272">
        <v>8</v>
      </c>
      <c r="J2" s="272">
        <v>9</v>
      </c>
      <c r="K2" s="272">
        <v>10</v>
      </c>
      <c r="L2" s="272"/>
    </row>
    <row r="3" spans="1:16" ht="39.950000000000003" customHeight="1" x14ac:dyDescent="0.25">
      <c r="A3" s="273" t="s">
        <v>8</v>
      </c>
      <c r="B3" s="273"/>
      <c r="C3" s="273"/>
      <c r="D3" s="273"/>
      <c r="E3" s="274"/>
      <c r="F3" s="274"/>
      <c r="G3" s="274"/>
      <c r="H3" s="274"/>
      <c r="I3" s="274"/>
      <c r="J3" s="274"/>
      <c r="K3" s="274"/>
      <c r="L3" s="274"/>
    </row>
    <row r="4" spans="1:16" ht="26.25" x14ac:dyDescent="0.25">
      <c r="A4" s="275"/>
      <c r="B4" s="276"/>
      <c r="C4" s="276"/>
      <c r="D4" s="277" t="s">
        <v>585</v>
      </c>
      <c r="E4" s="278"/>
      <c r="F4" s="276"/>
      <c r="G4" s="279"/>
      <c r="H4" s="279"/>
      <c r="I4" s="279"/>
      <c r="J4" s="279"/>
      <c r="K4" s="279"/>
      <c r="L4" s="279"/>
    </row>
    <row r="5" spans="1:16" ht="20.100000000000001" customHeight="1" x14ac:dyDescent="0.25">
      <c r="B5" s="281"/>
      <c r="C5" s="282" t="s">
        <v>9</v>
      </c>
      <c r="D5" s="283" t="s">
        <v>33</v>
      </c>
      <c r="E5" s="284"/>
      <c r="F5" s="282" t="s">
        <v>11</v>
      </c>
      <c r="G5" s="284" t="str">
        <f>IFERROR(CONCATENATE(VLOOKUP(D5,TableCourses[],2,FALSE)," ",VLOOKUP(D5,TableCourses[],3,FALSE)),"")</f>
        <v>OB-EDPR v.4</v>
      </c>
      <c r="H5" s="284"/>
      <c r="I5" s="284"/>
      <c r="J5" s="284"/>
      <c r="K5" s="284"/>
      <c r="L5" s="285" t="e">
        <f>CONCATENATE(VLOOKUP(D5,TableCourses[],2,FALSE),VLOOKUP(D7,TableStudyPeriods[],2,FALSE))</f>
        <v>#N/A</v>
      </c>
    </row>
    <row r="6" spans="1:16" ht="20.100000000000001" customHeight="1" x14ac:dyDescent="0.25">
      <c r="B6" s="281"/>
      <c r="C6" s="282" t="s">
        <v>666</v>
      </c>
      <c r="D6" s="367" t="s">
        <v>663</v>
      </c>
      <c r="E6" s="284"/>
      <c r="F6" s="282" t="s">
        <v>664</v>
      </c>
      <c r="G6" s="284" t="str">
        <f>IFERROR(CONCATENATE(VLOOKUP(D6,TableStreams[],2,FALSE)," ",VLOOKUP(D6,TableStreams[],3,FALSE)),"")</f>
        <v/>
      </c>
      <c r="H6" s="284"/>
      <c r="I6" s="284"/>
      <c r="J6" s="284"/>
      <c r="K6" s="284"/>
      <c r="L6" s="285" t="e">
        <f>VLOOKUP(D6,TableStreams[],2,FALSE)</f>
        <v>#N/A</v>
      </c>
    </row>
    <row r="7" spans="1:16" ht="20.100000000000001" customHeight="1" x14ac:dyDescent="0.25">
      <c r="A7" s="286"/>
      <c r="B7" s="287"/>
      <c r="C7" s="282" t="s">
        <v>12</v>
      </c>
      <c r="D7" s="145" t="s">
        <v>93</v>
      </c>
      <c r="E7" s="288"/>
      <c r="F7" s="282" t="s">
        <v>14</v>
      </c>
      <c r="G7" s="284" t="str">
        <f>IFERROR(VLOOKUP($D$5,TableCourses[],7,FALSE),"")</f>
        <v xml:space="preserve">800 credit points required </v>
      </c>
      <c r="H7" s="289"/>
      <c r="I7" s="289"/>
      <c r="J7" s="289"/>
      <c r="K7" s="289"/>
      <c r="L7" s="290"/>
    </row>
    <row r="8" spans="1:16" s="298" customFormat="1" ht="14.1" customHeight="1" x14ac:dyDescent="0.25">
      <c r="A8" s="291"/>
      <c r="B8" s="291"/>
      <c r="C8" s="291"/>
      <c r="D8" s="292"/>
      <c r="E8" s="293"/>
      <c r="F8" s="291"/>
      <c r="G8" s="291"/>
      <c r="H8" s="294" t="s">
        <v>584</v>
      </c>
      <c r="I8" s="295"/>
      <c r="J8" s="295"/>
      <c r="K8" s="296"/>
      <c r="L8" s="293"/>
      <c r="M8" s="297"/>
      <c r="N8" s="297"/>
      <c r="O8" s="297"/>
    </row>
    <row r="9" spans="1:16" s="298" customFormat="1" ht="21" x14ac:dyDescent="0.25">
      <c r="A9" s="291" t="s">
        <v>15</v>
      </c>
      <c r="B9" s="291"/>
      <c r="C9" s="299" t="s">
        <v>16</v>
      </c>
      <c r="D9" s="292" t="s">
        <v>3</v>
      </c>
      <c r="E9" s="299" t="s">
        <v>17</v>
      </c>
      <c r="F9" s="291" t="s">
        <v>18</v>
      </c>
      <c r="G9" s="291" t="s">
        <v>19</v>
      </c>
      <c r="H9" s="300" t="s">
        <v>20</v>
      </c>
      <c r="I9" s="301" t="s">
        <v>21</v>
      </c>
      <c r="J9" s="301" t="s">
        <v>22</v>
      </c>
      <c r="K9" s="302" t="s">
        <v>23</v>
      </c>
      <c r="L9" s="291" t="s">
        <v>24</v>
      </c>
      <c r="M9" s="297"/>
      <c r="N9" s="297"/>
      <c r="O9" s="297"/>
    </row>
    <row r="10" spans="1:16" s="312" customFormat="1" ht="20.100000000000001" customHeight="1" x14ac:dyDescent="0.15">
      <c r="A10" s="303" t="str">
        <f>IFERROR(IF(HLOOKUP($L$5,RangeUnitsets,M10,FALSE)=0,"",HLOOKUP($L$5,RangeUnitsets,M10,FALSE)),"")</f>
        <v/>
      </c>
      <c r="B10" s="304" t="str">
        <f>IFERROR(IF(VLOOKUP($A10,TableHandbook[],B$2,FALSE)=0,"",VLOOKUP($A10,TableHandbook[],B$2,FALSE)),"")</f>
        <v/>
      </c>
      <c r="C10" s="304" t="str">
        <f>IFERROR(IF(VLOOKUP($A10,TableHandbook[],C$2,FALSE)=0,"",VLOOKUP($A10,TableHandbook[],C$2,FALSE)),"")</f>
        <v/>
      </c>
      <c r="D10" s="305" t="str">
        <f>IFERROR(IF(VLOOKUP($A10,TableHandbook[],D$2,FALSE)=0,"",VLOOKUP($A10,TableHandbook[],D$2,FALSE)),"")</f>
        <v/>
      </c>
      <c r="E10" s="304" t="str">
        <f>IF(OR(A10="",A10="--"),"",VLOOKUP($D$7,TableStudyPeriods[],2,FALSE))</f>
        <v/>
      </c>
      <c r="F10" s="306" t="str">
        <f>IFERROR(IF(VLOOKUP($A10,TableHandbook[],F$2,FALSE)=0,"",VLOOKUP($A10,TableHandbook[],F$2,FALSE)),"")</f>
        <v/>
      </c>
      <c r="G10" s="304" t="str">
        <f>IFERROR(IF(VLOOKUP($A10,TableHandbook[],G$2,FALSE)=0,"",VLOOKUP($A10,TableHandbook[],G$2,FALSE)),"")</f>
        <v/>
      </c>
      <c r="H10" s="307" t="str">
        <f>IFERROR(VLOOKUP($A10,TableHandbook[],H$2,FALSE),"")</f>
        <v/>
      </c>
      <c r="I10" s="308" t="str">
        <f>IFERROR(VLOOKUP($A10,TableHandbook[],I$2,FALSE),"")</f>
        <v/>
      </c>
      <c r="J10" s="308" t="str">
        <f>IFERROR(VLOOKUP($A10,TableHandbook[],J$2,FALSE),"")</f>
        <v/>
      </c>
      <c r="K10" s="309" t="str">
        <f>IFERROR(VLOOKUP($A10,TableHandbook[],K$2,FALSE),"")</f>
        <v/>
      </c>
      <c r="L10" s="40"/>
      <c r="M10" s="310">
        <v>2</v>
      </c>
      <c r="N10" s="311"/>
      <c r="O10" s="311"/>
    </row>
    <row r="11" spans="1:16" s="312" customFormat="1" ht="20.100000000000001" customHeight="1" x14ac:dyDescent="0.15">
      <c r="A11" s="303" t="str">
        <f>IFERROR(IF(HLOOKUP($L$5,RangeUnitsets,M11,FALSE)=0,"",HLOOKUP($L$5,RangeUnitsets,M11,FALSE)),"")</f>
        <v/>
      </c>
      <c r="B11" s="304" t="str">
        <f>IFERROR(IF(VLOOKUP($A11,TableHandbook[],B$2,FALSE)=0,"",VLOOKUP($A11,TableHandbook[],B$2,FALSE)),"")</f>
        <v/>
      </c>
      <c r="C11" s="304" t="str">
        <f>IFERROR(IF(VLOOKUP($A11,TableHandbook[],C$2,FALSE)=0,"",VLOOKUP($A11,TableHandbook[],C$2,FALSE)),"")</f>
        <v/>
      </c>
      <c r="D11" s="305" t="str">
        <f>IFERROR(IF(VLOOKUP($A11,TableHandbook[],D$2,FALSE)=0,"",VLOOKUP($A11,TableHandbook[],D$2,FALSE)),"")</f>
        <v/>
      </c>
      <c r="E11" s="304" t="str">
        <f>IF(OR(A11="",A11="-"),"",E10)</f>
        <v/>
      </c>
      <c r="F11" s="306" t="str">
        <f>IFERROR(IF(VLOOKUP($A11,TableHandbook[],F$2,FALSE)=0,"",VLOOKUP($A11,TableHandbook[],F$2,FALSE)),"")</f>
        <v/>
      </c>
      <c r="G11" s="304" t="str">
        <f>IFERROR(IF(VLOOKUP($A11,TableHandbook[],G$2,FALSE)=0,"",VLOOKUP($A11,TableHandbook[],G$2,FALSE)),"")</f>
        <v/>
      </c>
      <c r="H11" s="307" t="str">
        <f>IFERROR(VLOOKUP($A11,TableHandbook[],H$2,FALSE),"")</f>
        <v/>
      </c>
      <c r="I11" s="308" t="str">
        <f>IFERROR(VLOOKUP($A11,TableHandbook[],I$2,FALSE),"")</f>
        <v/>
      </c>
      <c r="J11" s="308" t="str">
        <f>IFERROR(VLOOKUP($A11,TableHandbook[],J$2,FALSE),"")</f>
        <v/>
      </c>
      <c r="K11" s="309" t="str">
        <f>IFERROR(VLOOKUP($A11,TableHandbook[],K$2,FALSE),"")</f>
        <v/>
      </c>
      <c r="L11" s="40"/>
      <c r="M11" s="310">
        <v>3</v>
      </c>
      <c r="N11" s="311"/>
      <c r="O11" s="311"/>
    </row>
    <row r="12" spans="1:16" s="312" customFormat="1" ht="5.0999999999999996" customHeight="1" x14ac:dyDescent="0.15">
      <c r="A12" s="313"/>
      <c r="B12" s="314"/>
      <c r="C12" s="314"/>
      <c r="D12" s="315"/>
      <c r="E12" s="314"/>
      <c r="F12" s="316"/>
      <c r="G12" s="314"/>
      <c r="H12" s="317"/>
      <c r="I12" s="318"/>
      <c r="J12" s="318"/>
      <c r="K12" s="319"/>
      <c r="L12" s="176"/>
      <c r="M12" s="310"/>
      <c r="N12" s="311"/>
      <c r="O12" s="311"/>
      <c r="P12" s="311"/>
    </row>
    <row r="13" spans="1:16" s="312" customFormat="1" ht="20.100000000000001" customHeight="1" x14ac:dyDescent="0.15">
      <c r="A13" s="303" t="str">
        <f>IFERROR(IF(HLOOKUP($L$5,RangeUnitsets,M13,FALSE)=0,"",HLOOKUP($L$5,RangeUnitsets,M13,FALSE)),"")</f>
        <v/>
      </c>
      <c r="B13" s="304" t="str">
        <f>IFERROR(IF(VLOOKUP($A13,TableHandbook[],B$2,FALSE)=0,"",VLOOKUP($A13,TableHandbook[],B$2,FALSE)),"")</f>
        <v/>
      </c>
      <c r="C13" s="304" t="str">
        <f>IFERROR(IF(VLOOKUP($A13,TableHandbook[],C$2,FALSE)=0,"",VLOOKUP($A13,TableHandbook[],C$2,FALSE)),"")</f>
        <v/>
      </c>
      <c r="D13" s="305" t="str">
        <f>IFERROR(IF(VLOOKUP($A13,TableHandbook[],D$2,FALSE)=0,"",VLOOKUP($A13,TableHandbook[],D$2,FALSE)),"")</f>
        <v/>
      </c>
      <c r="E13" s="304" t="str">
        <f>IF(OR(A13="",A13="--"),"",VLOOKUP($D$7,TableStudyPeriods[],3,FALSE))</f>
        <v/>
      </c>
      <c r="F13" s="306" t="str">
        <f>IFERROR(IF(VLOOKUP($A13,TableHandbook[],F$2,FALSE)=0,"",VLOOKUP($A13,TableHandbook[],F$2,FALSE)),"")</f>
        <v/>
      </c>
      <c r="G13" s="304" t="str">
        <f>IFERROR(IF(VLOOKUP($A13,TableHandbook[],G$2,FALSE)=0,"",VLOOKUP($A13,TableHandbook[],G$2,FALSE)),"")</f>
        <v/>
      </c>
      <c r="H13" s="307" t="str">
        <f>IFERROR(VLOOKUP($A13,TableHandbook[],H$2,FALSE),"")</f>
        <v/>
      </c>
      <c r="I13" s="308" t="str">
        <f>IFERROR(VLOOKUP($A13,TableHandbook[],I$2,FALSE),"")</f>
        <v/>
      </c>
      <c r="J13" s="308" t="str">
        <f>IFERROR(VLOOKUP($A13,TableHandbook[],J$2,FALSE),"")</f>
        <v/>
      </c>
      <c r="K13" s="309" t="str">
        <f>IFERROR(VLOOKUP($A13,TableHandbook[],K$2,FALSE),"")</f>
        <v/>
      </c>
      <c r="L13" s="41"/>
      <c r="M13" s="310">
        <v>4</v>
      </c>
      <c r="N13" s="311"/>
      <c r="O13" s="311"/>
    </row>
    <row r="14" spans="1:16" s="312" customFormat="1" ht="20.100000000000001" customHeight="1" x14ac:dyDescent="0.15">
      <c r="A14" s="303" t="str">
        <f>IFERROR(IF(HLOOKUP($L$5,RangeUnitsets,M14,FALSE)=0,"",HLOOKUP($L$5,RangeUnitsets,M14,FALSE)),"")</f>
        <v/>
      </c>
      <c r="B14" s="304" t="str">
        <f>IFERROR(IF(VLOOKUP($A14,TableHandbook[],B$2,FALSE)=0,"",VLOOKUP($A14,TableHandbook[],B$2,FALSE)),"")</f>
        <v/>
      </c>
      <c r="C14" s="304" t="str">
        <f>IFERROR(IF(VLOOKUP($A14,TableHandbook[],C$2,FALSE)=0,"",VLOOKUP($A14,TableHandbook[],C$2,FALSE)),"")</f>
        <v/>
      </c>
      <c r="D14" s="305" t="str">
        <f>IFERROR(IF(VLOOKUP($A14,TableHandbook[],D$2,FALSE)=0,"",VLOOKUP($A14,TableHandbook[],D$2,FALSE)),"")</f>
        <v/>
      </c>
      <c r="E14" s="304" t="str">
        <f>IF(OR(A14="",A14="-"),"",E13)</f>
        <v/>
      </c>
      <c r="F14" s="306" t="str">
        <f>IFERROR(IF(VLOOKUP($A14,TableHandbook[],F$2,FALSE)=0,"",VLOOKUP($A14,TableHandbook[],F$2,FALSE)),"")</f>
        <v/>
      </c>
      <c r="G14" s="304" t="str">
        <f>IFERROR(IF(VLOOKUP($A14,TableHandbook[],G$2,FALSE)=0,"",VLOOKUP($A14,TableHandbook[],G$2,FALSE)),"")</f>
        <v/>
      </c>
      <c r="H14" s="307" t="str">
        <f>IFERROR(VLOOKUP($A14,TableHandbook[],H$2,FALSE),"")</f>
        <v/>
      </c>
      <c r="I14" s="308" t="str">
        <f>IFERROR(VLOOKUP($A14,TableHandbook[],I$2,FALSE),"")</f>
        <v/>
      </c>
      <c r="J14" s="308" t="str">
        <f>IFERROR(VLOOKUP($A14,TableHandbook[],J$2,FALSE),"")</f>
        <v/>
      </c>
      <c r="K14" s="309" t="str">
        <f>IFERROR(VLOOKUP($A14,TableHandbook[],K$2,FALSE),"")</f>
        <v/>
      </c>
      <c r="L14" s="40"/>
      <c r="M14" s="310">
        <v>5</v>
      </c>
      <c r="N14" s="311"/>
      <c r="O14" s="311"/>
    </row>
    <row r="15" spans="1:16" s="312" customFormat="1" ht="5.0999999999999996" customHeight="1" x14ac:dyDescent="0.15">
      <c r="A15" s="313"/>
      <c r="B15" s="314"/>
      <c r="C15" s="314"/>
      <c r="D15" s="315"/>
      <c r="E15" s="314"/>
      <c r="F15" s="316"/>
      <c r="G15" s="314"/>
      <c r="H15" s="317"/>
      <c r="I15" s="318"/>
      <c r="J15" s="318"/>
      <c r="K15" s="319"/>
      <c r="L15" s="176"/>
      <c r="M15" s="310"/>
      <c r="N15" s="311"/>
      <c r="O15" s="311"/>
      <c r="P15" s="311"/>
    </row>
    <row r="16" spans="1:16" s="312" customFormat="1" ht="20.100000000000001" customHeight="1" x14ac:dyDescent="0.15">
      <c r="A16" s="303" t="str">
        <f>IFERROR(IF(HLOOKUP($L$5,RangeUnitsets,M16,FALSE)=0,"",HLOOKUP($L$5,RangeUnitsets,M16,FALSE)),"")</f>
        <v/>
      </c>
      <c r="B16" s="320" t="str">
        <f>IFERROR(IF(VLOOKUP($A16,TableHandbook[],B$2,FALSE)=0,"",VLOOKUP($A16,TableHandbook[],B$2,FALSE)),"")</f>
        <v/>
      </c>
      <c r="C16" s="320" t="str">
        <f>IFERROR(IF(VLOOKUP($A16,TableHandbook[],C$2,FALSE)=0,"",VLOOKUP($A16,TableHandbook[],C$2,FALSE)),"")</f>
        <v/>
      </c>
      <c r="D16" s="305" t="str">
        <f>IFERROR(IF(VLOOKUP($A16,TableHandbook[],D$2,FALSE)=0,"",VLOOKUP($A16,TableHandbook[],D$2,FALSE)),"")</f>
        <v/>
      </c>
      <c r="E16" s="304" t="str">
        <f>IF(OR(A16="",A16="--"),"",VLOOKUP($D$7,TableStudyPeriods[],4,FALSE))</f>
        <v/>
      </c>
      <c r="F16" s="306" t="str">
        <f>IFERROR(IF(VLOOKUP($A16,TableHandbook[],F$2,FALSE)=0,"",VLOOKUP($A16,TableHandbook[],F$2,FALSE)),"")</f>
        <v/>
      </c>
      <c r="G16" s="320" t="str">
        <f>IFERROR(IF(VLOOKUP($A16,TableHandbook[],G$2,FALSE)=0,"",VLOOKUP($A16,TableHandbook[],G$2,FALSE)),"")</f>
        <v/>
      </c>
      <c r="H16" s="321" t="str">
        <f>IFERROR(VLOOKUP($A16,TableHandbook[],H$2,FALSE),"")</f>
        <v/>
      </c>
      <c r="I16" s="322" t="str">
        <f>IFERROR(VLOOKUP($A16,TableHandbook[],I$2,FALSE),"")</f>
        <v/>
      </c>
      <c r="J16" s="322" t="str">
        <f>IFERROR(VLOOKUP($A16,TableHandbook[],J$2,FALSE),"")</f>
        <v/>
      </c>
      <c r="K16" s="323" t="str">
        <f>IFERROR(VLOOKUP($A16,TableHandbook[],K$2,FALSE),"")</f>
        <v/>
      </c>
      <c r="L16" s="41"/>
      <c r="M16" s="310">
        <v>6</v>
      </c>
      <c r="N16" s="311"/>
      <c r="O16" s="311"/>
    </row>
    <row r="17" spans="1:16" s="325" customFormat="1" ht="20.100000000000001" customHeight="1" x14ac:dyDescent="0.15">
      <c r="A17" s="303" t="str">
        <f>IFERROR(IF(HLOOKUP($L$5,RangeUnitsets,M17,FALSE)=0,"",HLOOKUP($L$5,RangeUnitsets,M17,FALSE)),"")</f>
        <v/>
      </c>
      <c r="B17" s="320" t="str">
        <f>IFERROR(IF(VLOOKUP($A17,TableHandbook[],B$2,FALSE)=0,"",VLOOKUP($A17,TableHandbook[],B$2,FALSE)),"")</f>
        <v/>
      </c>
      <c r="C17" s="320" t="str">
        <f>IFERROR(IF(VLOOKUP($A17,TableHandbook[],C$2,FALSE)=0,"",VLOOKUP($A17,TableHandbook[],C$2,FALSE)),"")</f>
        <v/>
      </c>
      <c r="D17" s="305" t="str">
        <f>IFERROR(IF(VLOOKUP($A17,TableHandbook[],D$2,FALSE)=0,"",VLOOKUP($A17,TableHandbook[],D$2,FALSE)),"")</f>
        <v/>
      </c>
      <c r="E17" s="304" t="str">
        <f>IF(OR(A17="",A17="-"),"",E16)</f>
        <v/>
      </c>
      <c r="F17" s="306" t="str">
        <f>IFERROR(IF(VLOOKUP($A17,TableHandbook[],F$2,FALSE)=0,"",VLOOKUP($A17,TableHandbook[],F$2,FALSE)),"")</f>
        <v/>
      </c>
      <c r="G17" s="320" t="str">
        <f>IFERROR(IF(VLOOKUP($A17,TableHandbook[],G$2,FALSE)=0,"",VLOOKUP($A17,TableHandbook[],G$2,FALSE)),"")</f>
        <v/>
      </c>
      <c r="H17" s="321" t="str">
        <f>IFERROR(VLOOKUP($A17,TableHandbook[],H$2,FALSE),"")</f>
        <v/>
      </c>
      <c r="I17" s="322" t="str">
        <f>IFERROR(VLOOKUP($A17,TableHandbook[],I$2,FALSE),"")</f>
        <v/>
      </c>
      <c r="J17" s="322" t="str">
        <f>IFERROR(VLOOKUP($A17,TableHandbook[],J$2,FALSE),"")</f>
        <v/>
      </c>
      <c r="K17" s="323" t="str">
        <f>IFERROR(VLOOKUP($A17,TableHandbook[],K$2,FALSE),"")</f>
        <v/>
      </c>
      <c r="L17" s="41"/>
      <c r="M17" s="310">
        <v>7</v>
      </c>
      <c r="N17" s="324"/>
      <c r="O17" s="324"/>
    </row>
    <row r="18" spans="1:16" s="312" customFormat="1" ht="5.0999999999999996" customHeight="1" x14ac:dyDescent="0.15">
      <c r="A18" s="313"/>
      <c r="B18" s="314"/>
      <c r="C18" s="314"/>
      <c r="D18" s="315"/>
      <c r="E18" s="314"/>
      <c r="F18" s="316"/>
      <c r="G18" s="314"/>
      <c r="H18" s="317"/>
      <c r="I18" s="318"/>
      <c r="J18" s="318"/>
      <c r="K18" s="319"/>
      <c r="L18" s="176"/>
      <c r="M18" s="310"/>
      <c r="N18" s="311"/>
      <c r="O18" s="311"/>
      <c r="P18" s="311"/>
    </row>
    <row r="19" spans="1:16" s="325" customFormat="1" ht="20.100000000000001" customHeight="1" x14ac:dyDescent="0.15">
      <c r="A19" s="303" t="str">
        <f>IFERROR(IF(HLOOKUP($L$5,RangeUnitsets,M19,FALSE)=0,"",HLOOKUP($L$5,RangeUnitsets,M19,FALSE)),"")</f>
        <v/>
      </c>
      <c r="B19" s="320" t="str">
        <f>IFERROR(IF(VLOOKUP($A19,TableHandbook[],B$2,FALSE)=0,"",VLOOKUP($A19,TableHandbook[],B$2,FALSE)),"")</f>
        <v/>
      </c>
      <c r="C19" s="320" t="str">
        <f>IFERROR(IF(VLOOKUP($A19,TableHandbook[],C$2,FALSE)=0,"",VLOOKUP($A19,TableHandbook[],C$2,FALSE)),"")</f>
        <v/>
      </c>
      <c r="D19" s="305" t="str">
        <f>IFERROR(IF(VLOOKUP($A19,TableHandbook[],D$2,FALSE)=0,"",VLOOKUP($A19,TableHandbook[],D$2,FALSE)),"")</f>
        <v/>
      </c>
      <c r="E19" s="304" t="str">
        <f>IF(OR(A19="",A19="--"),"",VLOOKUP($D$7,TableStudyPeriods[],5,FALSE))</f>
        <v/>
      </c>
      <c r="F19" s="306" t="str">
        <f>IFERROR(IF(VLOOKUP($A19,TableHandbook[],F$2,FALSE)=0,"",VLOOKUP($A19,TableHandbook[],F$2,FALSE)),"")</f>
        <v/>
      </c>
      <c r="G19" s="320" t="str">
        <f>IFERROR(IF(VLOOKUP($A19,TableHandbook[],G$2,FALSE)=0,"",VLOOKUP($A19,TableHandbook[],G$2,FALSE)),"")</f>
        <v/>
      </c>
      <c r="H19" s="321" t="str">
        <f>IFERROR(VLOOKUP($A19,TableHandbook[],H$2,FALSE),"")</f>
        <v/>
      </c>
      <c r="I19" s="322" t="str">
        <f>IFERROR(VLOOKUP($A19,TableHandbook[],I$2,FALSE),"")</f>
        <v/>
      </c>
      <c r="J19" s="322" t="str">
        <f>IFERROR(VLOOKUP($A19,TableHandbook[],J$2,FALSE),"")</f>
        <v/>
      </c>
      <c r="K19" s="323" t="str">
        <f>IFERROR(VLOOKUP($A19,TableHandbook[],K$2,FALSE),"")</f>
        <v/>
      </c>
      <c r="L19" s="41"/>
      <c r="M19" s="310">
        <v>8</v>
      </c>
      <c r="N19" s="324"/>
      <c r="O19" s="324"/>
    </row>
    <row r="20" spans="1:16" s="325" customFormat="1" ht="20.100000000000001" customHeight="1" x14ac:dyDescent="0.15">
      <c r="A20" s="303" t="str">
        <f>IFERROR(IF(HLOOKUP($L$5,RangeUnitsets,M20,FALSE)=0,"",HLOOKUP($L$5,RangeUnitsets,M20,FALSE)),"")</f>
        <v/>
      </c>
      <c r="B20" s="320" t="str">
        <f>IFERROR(IF(VLOOKUP($A20,TableHandbook[],B$2,FALSE)=0,"",VLOOKUP($A20,TableHandbook[],B$2,FALSE)),"")</f>
        <v/>
      </c>
      <c r="C20" s="320" t="str">
        <f>IFERROR(IF(VLOOKUP($A20,TableHandbook[],C$2,FALSE)=0,"",VLOOKUP($A20,TableHandbook[],C$2,FALSE)),"")</f>
        <v/>
      </c>
      <c r="D20" s="326" t="str">
        <f>IFERROR(IF(VLOOKUP($A20,TableHandbook[],D$2,FALSE)=0,"",VLOOKUP($A20,TableHandbook[],D$2,FALSE)),"")</f>
        <v/>
      </c>
      <c r="E20" s="320" t="str">
        <f>IF(OR(A20="",A20="-"),"",E19)</f>
        <v/>
      </c>
      <c r="F20" s="306" t="str">
        <f>IFERROR(IF(VLOOKUP($A20,TableHandbook[],F$2,FALSE)=0,"",VLOOKUP($A20,TableHandbook[],F$2,FALSE)),"")</f>
        <v/>
      </c>
      <c r="G20" s="320" t="str">
        <f>IFERROR(IF(VLOOKUP($A20,TableHandbook[],G$2,FALSE)=0,"",VLOOKUP($A20,TableHandbook[],G$2,FALSE)),"")</f>
        <v/>
      </c>
      <c r="H20" s="321" t="str">
        <f>IFERROR(VLOOKUP($A20,TableHandbook[],H$2,FALSE),"")</f>
        <v/>
      </c>
      <c r="I20" s="322" t="str">
        <f>IFERROR(VLOOKUP($A20,TableHandbook[],I$2,FALSE),"")</f>
        <v/>
      </c>
      <c r="J20" s="322" t="str">
        <f>IFERROR(VLOOKUP($A20,TableHandbook[],J$2,FALSE),"")</f>
        <v/>
      </c>
      <c r="K20" s="323" t="str">
        <f>IFERROR(VLOOKUP($A20,TableHandbook[],K$2,FALSE),"")</f>
        <v/>
      </c>
      <c r="L20" s="41"/>
      <c r="M20" s="310">
        <v>9</v>
      </c>
      <c r="N20" s="324"/>
      <c r="O20" s="324"/>
    </row>
    <row r="21" spans="1:16" s="298" customFormat="1" ht="21" x14ac:dyDescent="0.25">
      <c r="A21" s="291" t="s">
        <v>25</v>
      </c>
      <c r="B21" s="291"/>
      <c r="C21" s="299" t="s">
        <v>16</v>
      </c>
      <c r="D21" s="327" t="s">
        <v>3</v>
      </c>
      <c r="E21" s="299" t="s">
        <v>17</v>
      </c>
      <c r="F21" s="291" t="s">
        <v>18</v>
      </c>
      <c r="G21" s="291" t="s">
        <v>19</v>
      </c>
      <c r="H21" s="300" t="str">
        <f>H$9</f>
        <v>SP1</v>
      </c>
      <c r="I21" s="301" t="str">
        <f t="shared" ref="I21:L21" si="0">I$9</f>
        <v>SP2</v>
      </c>
      <c r="J21" s="301" t="str">
        <f t="shared" si="0"/>
        <v>SP3</v>
      </c>
      <c r="K21" s="302" t="str">
        <f t="shared" si="0"/>
        <v>SP4</v>
      </c>
      <c r="L21" s="291" t="str">
        <f t="shared" si="0"/>
        <v>Notes / Progress</v>
      </c>
      <c r="M21" s="328"/>
      <c r="N21" s="297"/>
      <c r="O21" s="297"/>
    </row>
    <row r="22" spans="1:16" s="312" customFormat="1" ht="20.100000000000001" customHeight="1" x14ac:dyDescent="0.15">
      <c r="A22" s="303" t="str">
        <f>IFERROR(IF(HLOOKUP($L$5,RangeUnitsets,M22,FALSE)=0,"",HLOOKUP($L$5,RangeUnitsets,M22,FALSE)),"")</f>
        <v/>
      </c>
      <c r="B22" s="320" t="str">
        <f>IFERROR(IF(VLOOKUP($A22,TableHandbook[],B$2,FALSE)=0,"",VLOOKUP($A22,TableHandbook[],B$2,FALSE)),"")</f>
        <v/>
      </c>
      <c r="C22" s="320" t="str">
        <f>IFERROR(IF(VLOOKUP($A22,TableHandbook[],C$2,FALSE)=0,"",VLOOKUP($A22,TableHandbook[],C$2,FALSE)),"")</f>
        <v/>
      </c>
      <c r="D22" s="329" t="str">
        <f>IFERROR(IF(VLOOKUP($A22,TableHandbook[],D$2,FALSE)=0,"",VLOOKUP($A22,TableHandbook[],D$2,FALSE)),"")</f>
        <v/>
      </c>
      <c r="E22" s="320" t="str">
        <f>IF(OR(A22="",A22="--"),"",VLOOKUP($D$7,TableStudyPeriods[],2,FALSE))</f>
        <v/>
      </c>
      <c r="F22" s="306" t="str">
        <f>IFERROR(IF(VLOOKUP($A22,TableHandbook[],F$2,FALSE)=0,"",VLOOKUP($A22,TableHandbook[],F$2,FALSE)),"")</f>
        <v/>
      </c>
      <c r="G22" s="304" t="str">
        <f>IFERROR(IF(VLOOKUP($A22,TableHandbook[],G$2,FALSE)=0,"",VLOOKUP($A22,TableHandbook[],G$2,FALSE)),"")</f>
        <v/>
      </c>
      <c r="H22" s="307" t="str">
        <f>IFERROR(VLOOKUP($A22,TableHandbook[],H$2,FALSE),"")</f>
        <v/>
      </c>
      <c r="I22" s="308" t="str">
        <f>IFERROR(VLOOKUP($A22,TableHandbook[],I$2,FALSE),"")</f>
        <v/>
      </c>
      <c r="J22" s="308" t="str">
        <f>IFERROR(VLOOKUP($A22,TableHandbook[],J$2,FALSE),"")</f>
        <v/>
      </c>
      <c r="K22" s="309" t="str">
        <f>IFERROR(VLOOKUP($A22,TableHandbook[],K$2,FALSE),"")</f>
        <v/>
      </c>
      <c r="L22" s="40"/>
      <c r="M22" s="310">
        <v>10</v>
      </c>
      <c r="N22" s="311"/>
      <c r="O22" s="311"/>
    </row>
    <row r="23" spans="1:16" s="312" customFormat="1" ht="19.5" customHeight="1" x14ac:dyDescent="0.15">
      <c r="A23" s="303" t="str">
        <f>IFERROR(IF(HLOOKUP($L$5,RangeUnitsets,M23,FALSE)=0,"",HLOOKUP($L$5,RangeUnitsets,M23,FALSE)),"")</f>
        <v/>
      </c>
      <c r="B23" s="320" t="str">
        <f>IFERROR(IF(VLOOKUP($A23,TableHandbook[],B$2,FALSE)=0,"",VLOOKUP($A23,TableHandbook[],B$2,FALSE)),"")</f>
        <v/>
      </c>
      <c r="C23" s="320" t="str">
        <f>IFERROR(IF(VLOOKUP($A23,TableHandbook[],C$2,FALSE)=0,"",VLOOKUP($A23,TableHandbook[],C$2,FALSE)),"")</f>
        <v/>
      </c>
      <c r="D23" s="326" t="str">
        <f>IFERROR(IF(VLOOKUP($A23,TableHandbook[],D$2,FALSE)=0,"",VLOOKUP($A23,TableHandbook[],D$2,FALSE)),"")</f>
        <v/>
      </c>
      <c r="E23" s="320" t="str">
        <f>IF(OR(A23="",A23="-"),"",E22)</f>
        <v/>
      </c>
      <c r="F23" s="306" t="str">
        <f>IFERROR(IF(VLOOKUP($A23,TableHandbook[],F$2,FALSE)=0,"",VLOOKUP($A23,TableHandbook[],F$2,FALSE)),"")</f>
        <v/>
      </c>
      <c r="G23" s="304" t="str">
        <f>IFERROR(IF(VLOOKUP($A23,TableHandbook[],G$2,FALSE)=0,"",VLOOKUP($A23,TableHandbook[],G$2,FALSE)),"")</f>
        <v/>
      </c>
      <c r="H23" s="307" t="str">
        <f>IFERROR(VLOOKUP($A23,TableHandbook[],H$2,FALSE),"")</f>
        <v/>
      </c>
      <c r="I23" s="308" t="str">
        <f>IFERROR(VLOOKUP($A23,TableHandbook[],I$2,FALSE),"")</f>
        <v/>
      </c>
      <c r="J23" s="308" t="str">
        <f>IFERROR(VLOOKUP($A23,TableHandbook[],J$2,FALSE),"")</f>
        <v/>
      </c>
      <c r="K23" s="309" t="str">
        <f>IFERROR(VLOOKUP($A23,TableHandbook[],K$2,FALSE),"")</f>
        <v/>
      </c>
      <c r="L23" s="40"/>
      <c r="M23" s="310">
        <v>11</v>
      </c>
      <c r="N23" s="311"/>
      <c r="O23" s="311"/>
    </row>
    <row r="24" spans="1:16" s="312" customFormat="1" ht="5.0999999999999996" customHeight="1" x14ac:dyDescent="0.15">
      <c r="A24" s="313"/>
      <c r="B24" s="314"/>
      <c r="C24" s="314"/>
      <c r="D24" s="315"/>
      <c r="E24" s="314"/>
      <c r="F24" s="316"/>
      <c r="G24" s="314"/>
      <c r="H24" s="317"/>
      <c r="I24" s="318"/>
      <c r="J24" s="318"/>
      <c r="K24" s="319"/>
      <c r="L24" s="176"/>
      <c r="M24" s="310"/>
      <c r="N24" s="311"/>
      <c r="O24" s="311"/>
      <c r="P24" s="311"/>
    </row>
    <row r="25" spans="1:16" s="312" customFormat="1" ht="20.100000000000001" customHeight="1" x14ac:dyDescent="0.15">
      <c r="A25" s="303" t="str">
        <f>IFERROR(IF(HLOOKUP($L$5,RangeUnitsets,M25,FALSE)=0,"",HLOOKUP($L$5,RangeUnitsets,M25,FALSE)),"")</f>
        <v/>
      </c>
      <c r="B25" s="320" t="str">
        <f>IFERROR(IF(VLOOKUP($A25,TableHandbook[],B$2,FALSE)=0,"",VLOOKUP($A25,TableHandbook[],B$2,FALSE)),"")</f>
        <v/>
      </c>
      <c r="C25" s="320" t="str">
        <f>IFERROR(IF(VLOOKUP($A25,TableHandbook[],C$2,FALSE)=0,"",VLOOKUP($A25,TableHandbook[],C$2,FALSE)),"")</f>
        <v/>
      </c>
      <c r="D25" s="326" t="str">
        <f>IFERROR(IF(VLOOKUP($A25,TableHandbook[],D$2,FALSE)=0,"",VLOOKUP($A25,TableHandbook[],D$2,FALSE)),"")</f>
        <v/>
      </c>
      <c r="E25" s="320" t="str">
        <f>IF(OR(A25="",A25="--"),"",VLOOKUP($D$7,TableStudyPeriods[],3,FALSE))</f>
        <v/>
      </c>
      <c r="F25" s="306" t="str">
        <f>IFERROR(IF(VLOOKUP($A25,TableHandbook[],F$2,FALSE)=0,"",VLOOKUP($A25,TableHandbook[],F$2,FALSE)),"")</f>
        <v/>
      </c>
      <c r="G25" s="304" t="str">
        <f>IFERROR(IF(VLOOKUP($A25,TableHandbook[],G$2,FALSE)=0,"",VLOOKUP($A25,TableHandbook[],G$2,FALSE)),"")</f>
        <v/>
      </c>
      <c r="H25" s="307" t="str">
        <f>IFERROR(VLOOKUP($A25,TableHandbook[],H$2,FALSE),"")</f>
        <v/>
      </c>
      <c r="I25" s="308" t="str">
        <f>IFERROR(VLOOKUP($A25,TableHandbook[],I$2,FALSE),"")</f>
        <v/>
      </c>
      <c r="J25" s="308" t="str">
        <f>IFERROR(VLOOKUP($A25,TableHandbook[],J$2,FALSE),"")</f>
        <v/>
      </c>
      <c r="K25" s="309" t="str">
        <f>IFERROR(VLOOKUP($A25,TableHandbook[],K$2,FALSE),"")</f>
        <v/>
      </c>
      <c r="L25" s="40"/>
      <c r="M25" s="310">
        <v>12</v>
      </c>
      <c r="N25" s="311"/>
      <c r="O25" s="311"/>
    </row>
    <row r="26" spans="1:16" s="312" customFormat="1" ht="20.100000000000001" customHeight="1" x14ac:dyDescent="0.15">
      <c r="A26" s="303" t="str">
        <f>IFERROR(IF(HLOOKUP($L$5,RangeUnitsets,M26,FALSE)=0,"",HLOOKUP($L$5,RangeUnitsets,M26,FALSE)),"")</f>
        <v/>
      </c>
      <c r="B26" s="320" t="str">
        <f>IFERROR(IF(VLOOKUP($A26,TableHandbook[],B$2,FALSE)=0,"",VLOOKUP($A26,TableHandbook[],B$2,FALSE)),"")</f>
        <v/>
      </c>
      <c r="C26" s="320" t="str">
        <f>IFERROR(IF(VLOOKUP($A26,TableHandbook[],C$2,FALSE)=0,"",VLOOKUP($A26,TableHandbook[],C$2,FALSE)),"")</f>
        <v/>
      </c>
      <c r="D26" s="326" t="str">
        <f>IFERROR(IF(VLOOKUP($A26,TableHandbook[],D$2,FALSE)=0,"",VLOOKUP($A26,TableHandbook[],D$2,FALSE)),"")</f>
        <v/>
      </c>
      <c r="E26" s="320" t="str">
        <f>IF(OR(A26="",A26="-"),"",E25)</f>
        <v/>
      </c>
      <c r="F26" s="306" t="str">
        <f>IFERROR(IF(VLOOKUP($A26,TableHandbook[],F$2,FALSE)=0,"",VLOOKUP($A26,TableHandbook[],F$2,FALSE)),"")</f>
        <v/>
      </c>
      <c r="G26" s="304" t="str">
        <f>IFERROR(IF(VLOOKUP($A26,TableHandbook[],G$2,FALSE)=0,"",VLOOKUP($A26,TableHandbook[],G$2,FALSE)),"")</f>
        <v/>
      </c>
      <c r="H26" s="307" t="str">
        <f>IFERROR(VLOOKUP($A26,TableHandbook[],H$2,FALSE),"")</f>
        <v/>
      </c>
      <c r="I26" s="308" t="str">
        <f>IFERROR(VLOOKUP($A26,TableHandbook[],I$2,FALSE),"")</f>
        <v/>
      </c>
      <c r="J26" s="308" t="str">
        <f>IFERROR(VLOOKUP($A26,TableHandbook[],J$2,FALSE),"")</f>
        <v/>
      </c>
      <c r="K26" s="309" t="str">
        <f>IFERROR(VLOOKUP($A26,TableHandbook[],K$2,FALSE),"")</f>
        <v/>
      </c>
      <c r="L26" s="40"/>
      <c r="M26" s="310">
        <v>13</v>
      </c>
      <c r="N26" s="311"/>
      <c r="O26" s="311"/>
    </row>
    <row r="27" spans="1:16" s="312" customFormat="1" ht="5.0999999999999996" customHeight="1" x14ac:dyDescent="0.15">
      <c r="A27" s="313"/>
      <c r="B27" s="314"/>
      <c r="C27" s="314"/>
      <c r="D27" s="315"/>
      <c r="E27" s="314"/>
      <c r="F27" s="316"/>
      <c r="G27" s="314"/>
      <c r="H27" s="317"/>
      <c r="I27" s="318"/>
      <c r="J27" s="318"/>
      <c r="K27" s="319"/>
      <c r="L27" s="176"/>
      <c r="M27" s="310"/>
      <c r="N27" s="311"/>
      <c r="O27" s="311"/>
      <c r="P27" s="311"/>
    </row>
    <row r="28" spans="1:16" s="312" customFormat="1" ht="20.100000000000001" customHeight="1" x14ac:dyDescent="0.15">
      <c r="A28" s="303" t="str">
        <f>IFERROR(IF(HLOOKUP($L$5,RangeUnitsets,M28,FALSE)=0,"",HLOOKUP($L$5,RangeUnitsets,M28,FALSE)),"")</f>
        <v/>
      </c>
      <c r="B28" s="320" t="str">
        <f>IFERROR(IF(VLOOKUP($A28,TableHandbook[],B$2,FALSE)=0,"",VLOOKUP($A28,TableHandbook[],B$2,FALSE)),"")</f>
        <v/>
      </c>
      <c r="C28" s="320" t="str">
        <f>IFERROR(IF(VLOOKUP($A28,TableHandbook[],C$2,FALSE)=0,"",VLOOKUP($A28,TableHandbook[],C$2,FALSE)),"")</f>
        <v/>
      </c>
      <c r="D28" s="326" t="str">
        <f>IFERROR(IF(VLOOKUP($A28,TableHandbook[],D$2,FALSE)=0,"",VLOOKUP($A28,TableHandbook[],D$2,FALSE)),"")</f>
        <v/>
      </c>
      <c r="E28" s="320" t="str">
        <f>IF(OR(A28="",A28="--"),"",VLOOKUP($D$7,TableStudyPeriods[],4,FALSE))</f>
        <v/>
      </c>
      <c r="F28" s="306" t="str">
        <f>IFERROR(IF(VLOOKUP($A28,TableHandbook[],F$2,FALSE)=0,"",VLOOKUP($A28,TableHandbook[],F$2,FALSE)),"")</f>
        <v/>
      </c>
      <c r="G28" s="304" t="str">
        <f>IFERROR(IF(VLOOKUP($A28,TableHandbook[],G$2,FALSE)=0,"",VLOOKUP($A28,TableHandbook[],G$2,FALSE)),"")</f>
        <v/>
      </c>
      <c r="H28" s="307" t="str">
        <f>IFERROR(VLOOKUP($A28,TableHandbook[],H$2,FALSE),"")</f>
        <v/>
      </c>
      <c r="I28" s="308" t="str">
        <f>IFERROR(VLOOKUP($A28,TableHandbook[],I$2,FALSE),"")</f>
        <v/>
      </c>
      <c r="J28" s="308" t="str">
        <f>IFERROR(VLOOKUP($A28,TableHandbook[],J$2,FALSE),"")</f>
        <v/>
      </c>
      <c r="K28" s="309" t="str">
        <f>IFERROR(VLOOKUP($A28,TableHandbook[],K$2,FALSE),"")</f>
        <v/>
      </c>
      <c r="L28" s="40"/>
      <c r="M28" s="310">
        <v>14</v>
      </c>
      <c r="N28" s="311"/>
      <c r="O28" s="311"/>
    </row>
    <row r="29" spans="1:16" s="312" customFormat="1" ht="20.100000000000001" customHeight="1" x14ac:dyDescent="0.15">
      <c r="A29" s="303" t="str">
        <f>IFERROR(IF(HLOOKUP($L$5,RangeUnitsets,M29,FALSE)=0,"",HLOOKUP($L$5,RangeUnitsets,M29,FALSE)),"")</f>
        <v/>
      </c>
      <c r="B29" s="320" t="str">
        <f>IFERROR(IF(VLOOKUP($A29,TableHandbook[],B$2,FALSE)=0,"",VLOOKUP($A29,TableHandbook[],B$2,FALSE)),"")</f>
        <v/>
      </c>
      <c r="C29" s="320" t="str">
        <f>IFERROR(IF(VLOOKUP($A29,TableHandbook[],C$2,FALSE)=0,"",VLOOKUP($A29,TableHandbook[],C$2,FALSE)),"")</f>
        <v/>
      </c>
      <c r="D29" s="326" t="str">
        <f>IFERROR(IF(VLOOKUP($A29,TableHandbook[],D$2,FALSE)=0,"",VLOOKUP($A29,TableHandbook[],D$2,FALSE)),"")</f>
        <v/>
      </c>
      <c r="E29" s="320" t="str">
        <f>IF(OR(A29="",A29="-"),"",E28)</f>
        <v/>
      </c>
      <c r="F29" s="306" t="str">
        <f>IFERROR(IF(VLOOKUP($A29,TableHandbook[],F$2,FALSE)=0,"",VLOOKUP($A29,TableHandbook[],F$2,FALSE)),"")</f>
        <v/>
      </c>
      <c r="G29" s="304" t="str">
        <f>IFERROR(IF(VLOOKUP($A29,TableHandbook[],G$2,FALSE)=0,"",VLOOKUP($A29,TableHandbook[],G$2,FALSE)),"")</f>
        <v/>
      </c>
      <c r="H29" s="307" t="str">
        <f>IFERROR(VLOOKUP($A29,TableHandbook[],H$2,FALSE),"")</f>
        <v/>
      </c>
      <c r="I29" s="308" t="str">
        <f>IFERROR(VLOOKUP($A29,TableHandbook[],I$2,FALSE),"")</f>
        <v/>
      </c>
      <c r="J29" s="308" t="str">
        <f>IFERROR(VLOOKUP($A29,TableHandbook[],J$2,FALSE),"")</f>
        <v/>
      </c>
      <c r="K29" s="309" t="str">
        <f>IFERROR(VLOOKUP($A29,TableHandbook[],K$2,FALSE),"")</f>
        <v/>
      </c>
      <c r="L29" s="40"/>
      <c r="M29" s="310">
        <v>15</v>
      </c>
      <c r="N29" s="311"/>
      <c r="O29" s="311"/>
    </row>
    <row r="30" spans="1:16" s="312" customFormat="1" ht="5.0999999999999996" customHeight="1" x14ac:dyDescent="0.15">
      <c r="A30" s="313"/>
      <c r="B30" s="314"/>
      <c r="C30" s="314"/>
      <c r="D30" s="315"/>
      <c r="E30" s="314"/>
      <c r="F30" s="316"/>
      <c r="G30" s="314"/>
      <c r="H30" s="317"/>
      <c r="I30" s="318"/>
      <c r="J30" s="318"/>
      <c r="K30" s="319"/>
      <c r="L30" s="176"/>
      <c r="M30" s="310"/>
      <c r="N30" s="311"/>
      <c r="O30" s="311"/>
      <c r="P30" s="311"/>
    </row>
    <row r="31" spans="1:16" s="325" customFormat="1" ht="20.100000000000001" customHeight="1" x14ac:dyDescent="0.15">
      <c r="A31" s="303" t="str">
        <f>IFERROR(IF(HLOOKUP($L$5,RangeUnitsets,M31,FALSE)=0,"",HLOOKUP($L$5,RangeUnitsets,M31,FALSE)),"")</f>
        <v/>
      </c>
      <c r="B31" s="320" t="str">
        <f>IFERROR(IF(VLOOKUP($A31,TableHandbook[],B$2,FALSE)=0,"",VLOOKUP($A31,TableHandbook[],B$2,FALSE)),"")</f>
        <v/>
      </c>
      <c r="C31" s="320" t="str">
        <f>IFERROR(IF(VLOOKUP($A31,TableHandbook[],C$2,FALSE)=0,"",VLOOKUP($A31,TableHandbook[],C$2,FALSE)),"")</f>
        <v/>
      </c>
      <c r="D31" s="326" t="str">
        <f>IFERROR(IF(VLOOKUP($A31,TableHandbook[],D$2,FALSE)=0,"",VLOOKUP($A31,TableHandbook[],D$2,FALSE)),"")</f>
        <v/>
      </c>
      <c r="E31" s="320" t="str">
        <f>IF(OR(A31="",A31="--"),"",VLOOKUP($D$7,TableStudyPeriods[],5,FALSE))</f>
        <v/>
      </c>
      <c r="F31" s="306" t="str">
        <f>IFERROR(IF(VLOOKUP($A31,TableHandbook[],F$2,FALSE)=0,"",VLOOKUP($A31,TableHandbook[],F$2,FALSE)),"")</f>
        <v/>
      </c>
      <c r="G31" s="304" t="str">
        <f>IFERROR(IF(VLOOKUP($A31,TableHandbook[],G$2,FALSE)=0,"",VLOOKUP($A31,TableHandbook[],G$2,FALSE)),"")</f>
        <v/>
      </c>
      <c r="H31" s="307" t="str">
        <f>IFERROR(VLOOKUP($A31,TableHandbook[],H$2,FALSE),"")</f>
        <v/>
      </c>
      <c r="I31" s="308" t="str">
        <f>IFERROR(VLOOKUP($A31,TableHandbook[],I$2,FALSE),"")</f>
        <v/>
      </c>
      <c r="J31" s="308" t="str">
        <f>IFERROR(VLOOKUP($A31,TableHandbook[],J$2,FALSE),"")</f>
        <v/>
      </c>
      <c r="K31" s="309" t="str">
        <f>IFERROR(VLOOKUP($A31,TableHandbook[],K$2,FALSE),"")</f>
        <v/>
      </c>
      <c r="L31" s="40"/>
      <c r="M31" s="310">
        <v>16</v>
      </c>
      <c r="N31" s="324"/>
      <c r="O31" s="324"/>
    </row>
    <row r="32" spans="1:16" s="325" customFormat="1" ht="20.100000000000001" customHeight="1" x14ac:dyDescent="0.15">
      <c r="A32" s="303" t="str">
        <f>IFERROR(IF(HLOOKUP($L$5,RangeUnitsets,M32,FALSE)=0,"",HLOOKUP($L$5,RangeUnitsets,M32,FALSE)),"")</f>
        <v/>
      </c>
      <c r="B32" s="320" t="str">
        <f>IFERROR(IF(VLOOKUP($A32,TableHandbook[],B$2,FALSE)=0,"",VLOOKUP($A32,TableHandbook[],B$2,FALSE)),"")</f>
        <v/>
      </c>
      <c r="C32" s="320" t="str">
        <f>IFERROR(IF(VLOOKUP($A32,TableHandbook[],C$2,FALSE)=0,"",VLOOKUP($A32,TableHandbook[],C$2,FALSE)),"")</f>
        <v/>
      </c>
      <c r="D32" s="326" t="str">
        <f>IFERROR(IF(VLOOKUP($A32,TableHandbook[],D$2,FALSE)=0,"",VLOOKUP($A32,TableHandbook[],D$2,FALSE)),"")</f>
        <v/>
      </c>
      <c r="E32" s="304" t="str">
        <f>IF(OR(A32="",A32="-"),"",E31)</f>
        <v/>
      </c>
      <c r="F32" s="306" t="str">
        <f>IFERROR(IF(VLOOKUP($A32,TableHandbook[],F$2,FALSE)=0,"",VLOOKUP($A32,TableHandbook[],F$2,FALSE)),"")</f>
        <v/>
      </c>
      <c r="G32" s="304" t="str">
        <f>IFERROR(IF(VLOOKUP($A32,TableHandbook[],G$2,FALSE)=0,"",VLOOKUP($A32,TableHandbook[],G$2,FALSE)),"")</f>
        <v/>
      </c>
      <c r="H32" s="307" t="str">
        <f>IFERROR(VLOOKUP($A32,TableHandbook[],H$2,FALSE),"")</f>
        <v/>
      </c>
      <c r="I32" s="308" t="str">
        <f>IFERROR(VLOOKUP($A32,TableHandbook[],I$2,FALSE),"")</f>
        <v/>
      </c>
      <c r="J32" s="308" t="str">
        <f>IFERROR(VLOOKUP($A32,TableHandbook[],J$2,FALSE),"")</f>
        <v/>
      </c>
      <c r="K32" s="309" t="str">
        <f>IFERROR(VLOOKUP($A32,TableHandbook[],K$2,FALSE),"")</f>
        <v/>
      </c>
      <c r="L32" s="40"/>
      <c r="M32" s="310">
        <v>17</v>
      </c>
      <c r="N32" s="324"/>
      <c r="O32" s="324"/>
    </row>
    <row r="33" spans="1:16" s="298" customFormat="1" ht="21" x14ac:dyDescent="0.25">
      <c r="A33" s="291" t="s">
        <v>26</v>
      </c>
      <c r="B33" s="291"/>
      <c r="C33" s="299" t="s">
        <v>16</v>
      </c>
      <c r="D33" s="327" t="s">
        <v>3</v>
      </c>
      <c r="E33" s="299" t="s">
        <v>17</v>
      </c>
      <c r="F33" s="291" t="s">
        <v>18</v>
      </c>
      <c r="G33" s="291" t="s">
        <v>19</v>
      </c>
      <c r="H33" s="300" t="str">
        <f>H$9</f>
        <v>SP1</v>
      </c>
      <c r="I33" s="301" t="str">
        <f t="shared" ref="I33:L33" si="1">I$9</f>
        <v>SP2</v>
      </c>
      <c r="J33" s="301" t="str">
        <f t="shared" si="1"/>
        <v>SP3</v>
      </c>
      <c r="K33" s="302" t="str">
        <f t="shared" si="1"/>
        <v>SP4</v>
      </c>
      <c r="L33" s="291" t="str">
        <f t="shared" si="1"/>
        <v>Notes / Progress</v>
      </c>
      <c r="M33" s="328"/>
      <c r="N33" s="297"/>
      <c r="O33" s="297"/>
    </row>
    <row r="34" spans="1:16" s="312" customFormat="1" ht="20.100000000000001" customHeight="1" x14ac:dyDescent="0.15">
      <c r="A34" s="303" t="str">
        <f>IFERROR(IF(HLOOKUP($L$5,RangeUnitsets,M34,FALSE)=0,"",HLOOKUP($L$5,RangeUnitsets,M34,FALSE)),"")</f>
        <v/>
      </c>
      <c r="B34" s="320" t="str">
        <f>IFERROR(IF(VLOOKUP($A34,TableHandbook[],B$2,FALSE)=0,"",VLOOKUP($A34,TableHandbook[],B$2,FALSE)),"")</f>
        <v/>
      </c>
      <c r="C34" s="320" t="str">
        <f>IFERROR(IF(VLOOKUP($A34,TableHandbook[],C$2,FALSE)=0,"",VLOOKUP($A34,TableHandbook[],C$2,FALSE)),"")</f>
        <v/>
      </c>
      <c r="D34" s="329" t="str">
        <f>IFERROR(IF(VLOOKUP($A34,TableHandbook[],D$2,FALSE)=0,"",VLOOKUP($A34,TableHandbook[],D$2,FALSE)),"")</f>
        <v/>
      </c>
      <c r="E34" s="320" t="str">
        <f>IF(OR(A34="",A34="--"),"",VLOOKUP($D$7,TableStudyPeriods[],2,FALSE))</f>
        <v/>
      </c>
      <c r="F34" s="306" t="str">
        <f>IFERROR(IF(VLOOKUP($A34,TableHandbook[],F$2,FALSE)=0,"",VLOOKUP($A34,TableHandbook[],F$2,FALSE)),"")</f>
        <v/>
      </c>
      <c r="G34" s="304" t="str">
        <f>IFERROR(IF(VLOOKUP($A34,TableHandbook[],G$2,FALSE)=0,"",VLOOKUP($A34,TableHandbook[],G$2,FALSE)),"")</f>
        <v/>
      </c>
      <c r="H34" s="307" t="str">
        <f>IFERROR(VLOOKUP($A34,TableHandbook[],H$2,FALSE),"")</f>
        <v/>
      </c>
      <c r="I34" s="308" t="str">
        <f>IFERROR(VLOOKUP($A34,TableHandbook[],I$2,FALSE),"")</f>
        <v/>
      </c>
      <c r="J34" s="308" t="str">
        <f>IFERROR(VLOOKUP($A34,TableHandbook[],J$2,FALSE),"")</f>
        <v/>
      </c>
      <c r="K34" s="309" t="str">
        <f>IFERROR(VLOOKUP($A34,TableHandbook[],K$2,FALSE),"")</f>
        <v/>
      </c>
      <c r="L34" s="40"/>
      <c r="M34" s="310">
        <v>18</v>
      </c>
      <c r="N34" s="311"/>
      <c r="O34" s="311"/>
    </row>
    <row r="35" spans="1:16" s="312" customFormat="1" ht="19.5" customHeight="1" x14ac:dyDescent="0.15">
      <c r="A35" s="303" t="str">
        <f>IFERROR(IF(HLOOKUP($L$5,RangeUnitsets,M35,FALSE)=0,"",HLOOKUP($L$5,RangeUnitsets,M35,FALSE)),"")</f>
        <v/>
      </c>
      <c r="B35" s="320" t="str">
        <f>IFERROR(IF(VLOOKUP($A35,TableHandbook[],B$2,FALSE)=0,"",VLOOKUP($A35,TableHandbook[],B$2,FALSE)),"")</f>
        <v/>
      </c>
      <c r="C35" s="320" t="str">
        <f>IFERROR(IF(VLOOKUP($A35,TableHandbook[],C$2,FALSE)=0,"",VLOOKUP($A35,TableHandbook[],C$2,FALSE)),"")</f>
        <v/>
      </c>
      <c r="D35" s="326" t="str">
        <f>IFERROR(IF(VLOOKUP($A35,TableHandbook[],D$2,FALSE)=0,"",VLOOKUP($A35,TableHandbook[],D$2,FALSE)),"")</f>
        <v/>
      </c>
      <c r="E35" s="320" t="str">
        <f>IF(OR(A35="",A35="-"),"",E34)</f>
        <v/>
      </c>
      <c r="F35" s="306" t="str">
        <f>IFERROR(IF(VLOOKUP($A35,TableHandbook[],F$2,FALSE)=0,"",VLOOKUP($A35,TableHandbook[],F$2,FALSE)),"")</f>
        <v/>
      </c>
      <c r="G35" s="304" t="str">
        <f>IFERROR(IF(VLOOKUP($A35,TableHandbook[],G$2,FALSE)=0,"",VLOOKUP($A35,TableHandbook[],G$2,FALSE)),"")</f>
        <v/>
      </c>
      <c r="H35" s="307" t="str">
        <f>IFERROR(VLOOKUP($A35,TableHandbook[],H$2,FALSE),"")</f>
        <v/>
      </c>
      <c r="I35" s="308" t="str">
        <f>IFERROR(VLOOKUP($A35,TableHandbook[],I$2,FALSE),"")</f>
        <v/>
      </c>
      <c r="J35" s="308" t="str">
        <f>IFERROR(VLOOKUP($A35,TableHandbook[],J$2,FALSE),"")</f>
        <v/>
      </c>
      <c r="K35" s="309" t="str">
        <f>IFERROR(VLOOKUP($A35,TableHandbook[],K$2,FALSE),"")</f>
        <v/>
      </c>
      <c r="L35" s="40"/>
      <c r="M35" s="310">
        <v>19</v>
      </c>
      <c r="N35" s="311"/>
      <c r="O35" s="311"/>
    </row>
    <row r="36" spans="1:16" s="312" customFormat="1" ht="5.0999999999999996" customHeight="1" x14ac:dyDescent="0.15">
      <c r="A36" s="313"/>
      <c r="B36" s="314"/>
      <c r="C36" s="314"/>
      <c r="D36" s="315"/>
      <c r="E36" s="314"/>
      <c r="F36" s="316"/>
      <c r="G36" s="314"/>
      <c r="H36" s="317"/>
      <c r="I36" s="318"/>
      <c r="J36" s="318"/>
      <c r="K36" s="319"/>
      <c r="L36" s="176"/>
      <c r="M36" s="310"/>
      <c r="N36" s="311"/>
      <c r="O36" s="311"/>
      <c r="P36" s="311"/>
    </row>
    <row r="37" spans="1:16" s="312" customFormat="1" ht="20.100000000000001" customHeight="1" x14ac:dyDescent="0.15">
      <c r="A37" s="303" t="str">
        <f>IFERROR(IF(HLOOKUP($L$5,RangeUnitsets,M37,FALSE)=0,"",HLOOKUP($L$5,RangeUnitsets,M37,FALSE)),"")</f>
        <v/>
      </c>
      <c r="B37" s="320" t="str">
        <f>IFERROR(IF(VLOOKUP($A37,TableHandbook[],B$2,FALSE)=0,"",VLOOKUP($A37,TableHandbook[],B$2,FALSE)),"")</f>
        <v/>
      </c>
      <c r="C37" s="320" t="str">
        <f>IFERROR(IF(VLOOKUP($A37,TableHandbook[],C$2,FALSE)=0,"",VLOOKUP($A37,TableHandbook[],C$2,FALSE)),"")</f>
        <v/>
      </c>
      <c r="D37" s="326" t="str">
        <f>IFERROR(IF(VLOOKUP($A37,TableHandbook[],D$2,FALSE)=0,"",VLOOKUP($A37,TableHandbook[],D$2,FALSE)),"")</f>
        <v/>
      </c>
      <c r="E37" s="320" t="str">
        <f>IF(OR(A37="",A37="--"),"",VLOOKUP($D$7,TableStudyPeriods[],3,FALSE))</f>
        <v/>
      </c>
      <c r="F37" s="306" t="str">
        <f>IFERROR(IF(VLOOKUP($A37,TableHandbook[],F$2,FALSE)=0,"",VLOOKUP($A37,TableHandbook[],F$2,FALSE)),"")</f>
        <v/>
      </c>
      <c r="G37" s="304" t="str">
        <f>IFERROR(IF(VLOOKUP($A37,TableHandbook[],G$2,FALSE)=0,"",VLOOKUP($A37,TableHandbook[],G$2,FALSE)),"")</f>
        <v/>
      </c>
      <c r="H37" s="307" t="str">
        <f>IFERROR(VLOOKUP($A37,TableHandbook[],H$2,FALSE),"")</f>
        <v/>
      </c>
      <c r="I37" s="308" t="str">
        <f>IFERROR(VLOOKUP($A37,TableHandbook[],I$2,FALSE),"")</f>
        <v/>
      </c>
      <c r="J37" s="308" t="str">
        <f>IFERROR(VLOOKUP($A37,TableHandbook[],J$2,FALSE),"")</f>
        <v/>
      </c>
      <c r="K37" s="309" t="str">
        <f>IFERROR(VLOOKUP($A37,TableHandbook[],K$2,FALSE),"")</f>
        <v/>
      </c>
      <c r="L37" s="40"/>
      <c r="M37" s="310">
        <v>20</v>
      </c>
      <c r="N37" s="311"/>
      <c r="O37" s="311"/>
    </row>
    <row r="38" spans="1:16" s="312" customFormat="1" ht="20.100000000000001" customHeight="1" x14ac:dyDescent="0.15">
      <c r="A38" s="303" t="str">
        <f>IFERROR(IF(HLOOKUP($L$5,RangeUnitsets,M38,FALSE)=0,"",HLOOKUP($L$5,RangeUnitsets,M38,FALSE)),"")</f>
        <v/>
      </c>
      <c r="B38" s="320" t="str">
        <f>IFERROR(IF(VLOOKUP($A38,TableHandbook[],B$2,FALSE)=0,"",VLOOKUP($A38,TableHandbook[],B$2,FALSE)),"")</f>
        <v/>
      </c>
      <c r="C38" s="320" t="str">
        <f>IFERROR(IF(VLOOKUP($A38,TableHandbook[],C$2,FALSE)=0,"",VLOOKUP($A38,TableHandbook[],C$2,FALSE)),"")</f>
        <v/>
      </c>
      <c r="D38" s="326" t="str">
        <f>IFERROR(IF(VLOOKUP($A38,TableHandbook[],D$2,FALSE)=0,"",VLOOKUP($A38,TableHandbook[],D$2,FALSE)),"")</f>
        <v/>
      </c>
      <c r="E38" s="320" t="str">
        <f>IF(OR(A38="",A38="-"),"",E37)</f>
        <v/>
      </c>
      <c r="F38" s="306" t="str">
        <f>IFERROR(IF(VLOOKUP($A38,TableHandbook[],F$2,FALSE)=0,"",VLOOKUP($A38,TableHandbook[],F$2,FALSE)),"")</f>
        <v/>
      </c>
      <c r="G38" s="304" t="str">
        <f>IFERROR(IF(VLOOKUP($A38,TableHandbook[],G$2,FALSE)=0,"",VLOOKUP($A38,TableHandbook[],G$2,FALSE)),"")</f>
        <v/>
      </c>
      <c r="H38" s="307" t="str">
        <f>IFERROR(VLOOKUP($A38,TableHandbook[],H$2,FALSE),"")</f>
        <v/>
      </c>
      <c r="I38" s="308" t="str">
        <f>IFERROR(VLOOKUP($A38,TableHandbook[],I$2,FALSE),"")</f>
        <v/>
      </c>
      <c r="J38" s="308" t="str">
        <f>IFERROR(VLOOKUP($A38,TableHandbook[],J$2,FALSE),"")</f>
        <v/>
      </c>
      <c r="K38" s="309" t="str">
        <f>IFERROR(VLOOKUP($A38,TableHandbook[],K$2,FALSE),"")</f>
        <v/>
      </c>
      <c r="L38" s="40"/>
      <c r="M38" s="310">
        <v>21</v>
      </c>
      <c r="N38" s="311"/>
      <c r="O38" s="311"/>
    </row>
    <row r="39" spans="1:16" s="312" customFormat="1" ht="5.0999999999999996" customHeight="1" x14ac:dyDescent="0.15">
      <c r="A39" s="313"/>
      <c r="B39" s="314"/>
      <c r="C39" s="314"/>
      <c r="D39" s="315"/>
      <c r="E39" s="314"/>
      <c r="F39" s="316"/>
      <c r="G39" s="314"/>
      <c r="H39" s="317"/>
      <c r="I39" s="318"/>
      <c r="J39" s="318"/>
      <c r="K39" s="319"/>
      <c r="L39" s="176"/>
      <c r="M39" s="310"/>
      <c r="N39" s="311"/>
      <c r="O39" s="311"/>
      <c r="P39" s="311"/>
    </row>
    <row r="40" spans="1:16" s="312" customFormat="1" ht="20.100000000000001" customHeight="1" x14ac:dyDescent="0.15">
      <c r="A40" s="303" t="str">
        <f>IFERROR(IF(HLOOKUP($L$5,RangeUnitsets,M40,FALSE)=0,"",HLOOKUP($L$5,RangeUnitsets,M40,FALSE)),"")</f>
        <v/>
      </c>
      <c r="B40" s="320" t="str">
        <f>IFERROR(IF(VLOOKUP($A40,TableHandbook[],B$2,FALSE)=0,"",VLOOKUP($A40,TableHandbook[],B$2,FALSE)),"")</f>
        <v/>
      </c>
      <c r="C40" s="320" t="str">
        <f>IFERROR(IF(VLOOKUP($A40,TableHandbook[],C$2,FALSE)=0,"",VLOOKUP($A40,TableHandbook[],C$2,FALSE)),"")</f>
        <v/>
      </c>
      <c r="D40" s="326" t="str">
        <f>IFERROR(IF(VLOOKUP($A40,TableHandbook[],D$2,FALSE)=0,"",VLOOKUP($A40,TableHandbook[],D$2,FALSE)),"")</f>
        <v/>
      </c>
      <c r="E40" s="320" t="str">
        <f>IF(OR(A40="",A40="--"),"",VLOOKUP($D$7,TableStudyPeriods[],4,FALSE))</f>
        <v/>
      </c>
      <c r="F40" s="306" t="str">
        <f>IFERROR(IF(VLOOKUP($A40,TableHandbook[],F$2,FALSE)=0,"",VLOOKUP($A40,TableHandbook[],F$2,FALSE)),"")</f>
        <v/>
      </c>
      <c r="G40" s="304" t="str">
        <f>IFERROR(IF(VLOOKUP($A40,TableHandbook[],G$2,FALSE)=0,"",VLOOKUP($A40,TableHandbook[],G$2,FALSE)),"")</f>
        <v/>
      </c>
      <c r="H40" s="307" t="str">
        <f>IFERROR(VLOOKUP($A40,TableHandbook[],H$2,FALSE),"")</f>
        <v/>
      </c>
      <c r="I40" s="308" t="str">
        <f>IFERROR(VLOOKUP($A40,TableHandbook[],I$2,FALSE),"")</f>
        <v/>
      </c>
      <c r="J40" s="308" t="str">
        <f>IFERROR(VLOOKUP($A40,TableHandbook[],J$2,FALSE),"")</f>
        <v/>
      </c>
      <c r="K40" s="309" t="str">
        <f>IFERROR(VLOOKUP($A40,TableHandbook[],K$2,FALSE),"")</f>
        <v/>
      </c>
      <c r="L40" s="40"/>
      <c r="M40" s="310">
        <v>22</v>
      </c>
      <c r="N40" s="311"/>
      <c r="O40" s="311"/>
    </row>
    <row r="41" spans="1:16" s="312" customFormat="1" ht="20.100000000000001" customHeight="1" x14ac:dyDescent="0.15">
      <c r="A41" s="303" t="str">
        <f>IFERROR(IF(HLOOKUP($L$5,RangeUnitsets,M41,FALSE)=0,"",HLOOKUP($L$5,RangeUnitsets,M41,FALSE)),"")</f>
        <v/>
      </c>
      <c r="B41" s="320" t="str">
        <f>IFERROR(IF(VLOOKUP($A41,TableHandbook[],B$2,FALSE)=0,"",VLOOKUP($A41,TableHandbook[],B$2,FALSE)),"")</f>
        <v/>
      </c>
      <c r="C41" s="320" t="str">
        <f>IFERROR(IF(VLOOKUP($A41,TableHandbook[],C$2,FALSE)=0,"",VLOOKUP($A41,TableHandbook[],C$2,FALSE)),"")</f>
        <v/>
      </c>
      <c r="D41" s="326" t="str">
        <f>IFERROR(IF(VLOOKUP($A41,TableHandbook[],D$2,FALSE)=0,"",VLOOKUP($A41,TableHandbook[],D$2,FALSE)),"")</f>
        <v/>
      </c>
      <c r="E41" s="320" t="str">
        <f>IF(OR(A41="",A41="-"),"",E40)</f>
        <v/>
      </c>
      <c r="F41" s="306" t="str">
        <f>IFERROR(IF(VLOOKUP($A41,TableHandbook[],F$2,FALSE)=0,"",VLOOKUP($A41,TableHandbook[],F$2,FALSE)),"")</f>
        <v/>
      </c>
      <c r="G41" s="304" t="str">
        <f>IFERROR(IF(VLOOKUP($A41,TableHandbook[],G$2,FALSE)=0,"",VLOOKUP($A41,TableHandbook[],G$2,FALSE)),"")</f>
        <v/>
      </c>
      <c r="H41" s="307" t="str">
        <f>IFERROR(VLOOKUP($A41,TableHandbook[],H$2,FALSE),"")</f>
        <v/>
      </c>
      <c r="I41" s="308" t="str">
        <f>IFERROR(VLOOKUP($A41,TableHandbook[],I$2,FALSE),"")</f>
        <v/>
      </c>
      <c r="J41" s="308" t="str">
        <f>IFERROR(VLOOKUP($A41,TableHandbook[],J$2,FALSE),"")</f>
        <v/>
      </c>
      <c r="K41" s="309" t="str">
        <f>IFERROR(VLOOKUP($A41,TableHandbook[],K$2,FALSE),"")</f>
        <v/>
      </c>
      <c r="L41" s="40"/>
      <c r="M41" s="310">
        <v>23</v>
      </c>
      <c r="N41" s="311"/>
      <c r="O41" s="311"/>
    </row>
    <row r="42" spans="1:16" s="312" customFormat="1" ht="5.0999999999999996" customHeight="1" x14ac:dyDescent="0.15">
      <c r="A42" s="313"/>
      <c r="B42" s="314"/>
      <c r="C42" s="314"/>
      <c r="D42" s="315"/>
      <c r="E42" s="314"/>
      <c r="F42" s="316"/>
      <c r="G42" s="314"/>
      <c r="H42" s="317"/>
      <c r="I42" s="318"/>
      <c r="J42" s="318"/>
      <c r="K42" s="319"/>
      <c r="L42" s="176"/>
      <c r="M42" s="310"/>
      <c r="N42" s="311"/>
      <c r="O42" s="311"/>
      <c r="P42" s="311"/>
    </row>
    <row r="43" spans="1:16" s="325" customFormat="1" ht="20.100000000000001" customHeight="1" x14ac:dyDescent="0.15">
      <c r="A43" s="303" t="str">
        <f>IFERROR(IF(HLOOKUP($L$5,RangeUnitsets,M43,FALSE)=0,"",HLOOKUP($L$5,RangeUnitsets,M43,FALSE)),"")</f>
        <v/>
      </c>
      <c r="B43" s="320" t="str">
        <f>IFERROR(IF(VLOOKUP($A43,TableHandbook[],B$2,FALSE)=0,"",VLOOKUP($A43,TableHandbook[],B$2,FALSE)),"")</f>
        <v/>
      </c>
      <c r="C43" s="320" t="str">
        <f>IFERROR(IF(VLOOKUP($A43,TableHandbook[],C$2,FALSE)=0,"",VLOOKUP($A43,TableHandbook[],C$2,FALSE)),"")</f>
        <v/>
      </c>
      <c r="D43" s="326" t="str">
        <f>IFERROR(IF(VLOOKUP($A43,TableHandbook[],D$2,FALSE)=0,"",VLOOKUP($A43,TableHandbook[],D$2,FALSE)),"")</f>
        <v/>
      </c>
      <c r="E43" s="320" t="str">
        <f>IF(OR(A43="",A43="--"),"",VLOOKUP($D$7,TableStudyPeriods[],5,FALSE))</f>
        <v/>
      </c>
      <c r="F43" s="306" t="str">
        <f>IFERROR(IF(VLOOKUP($A43,TableHandbook[],F$2,FALSE)=0,"",VLOOKUP($A43,TableHandbook[],F$2,FALSE)),"")</f>
        <v/>
      </c>
      <c r="G43" s="304" t="str">
        <f>IFERROR(IF(VLOOKUP($A43,TableHandbook[],G$2,FALSE)=0,"",VLOOKUP($A43,TableHandbook[],G$2,FALSE)),"")</f>
        <v/>
      </c>
      <c r="H43" s="307" t="str">
        <f>IFERROR(VLOOKUP($A43,TableHandbook[],H$2,FALSE),"")</f>
        <v/>
      </c>
      <c r="I43" s="308" t="str">
        <f>IFERROR(VLOOKUP($A43,TableHandbook[],I$2,FALSE),"")</f>
        <v/>
      </c>
      <c r="J43" s="308" t="str">
        <f>IFERROR(VLOOKUP($A43,TableHandbook[],J$2,FALSE),"")</f>
        <v/>
      </c>
      <c r="K43" s="309" t="str">
        <f>IFERROR(VLOOKUP($A43,TableHandbook[],K$2,FALSE),"")</f>
        <v/>
      </c>
      <c r="L43" s="40"/>
      <c r="M43" s="310">
        <v>24</v>
      </c>
      <c r="N43" s="324"/>
      <c r="O43" s="324"/>
    </row>
    <row r="44" spans="1:16" s="325" customFormat="1" ht="20.100000000000001" customHeight="1" x14ac:dyDescent="0.15">
      <c r="A44" s="303" t="str">
        <f>IFERROR(IF(HLOOKUP($L$5,RangeUnitsets,M44,FALSE)=0,"",HLOOKUP($L$5,RangeUnitsets,M44,FALSE)),"")</f>
        <v/>
      </c>
      <c r="B44" s="320" t="str">
        <f>IFERROR(IF(VLOOKUP($A44,TableHandbook[],B$2,FALSE)=0,"",VLOOKUP($A44,TableHandbook[],B$2,FALSE)),"")</f>
        <v/>
      </c>
      <c r="C44" s="320" t="str">
        <f>IFERROR(IF(VLOOKUP($A44,TableHandbook[],C$2,FALSE)=0,"",VLOOKUP($A44,TableHandbook[],C$2,FALSE)),"")</f>
        <v/>
      </c>
      <c r="D44" s="326" t="str">
        <f>IFERROR(IF(VLOOKUP($A44,TableHandbook[],D$2,FALSE)=0,"",VLOOKUP($A44,TableHandbook[],D$2,FALSE)),"")</f>
        <v/>
      </c>
      <c r="E44" s="304" t="str">
        <f>IF(OR(A44="",A44="-"),"",E43)</f>
        <v/>
      </c>
      <c r="F44" s="306" t="str">
        <f>IFERROR(IF(VLOOKUP($A44,TableHandbook[],F$2,FALSE)=0,"",VLOOKUP($A44,TableHandbook[],F$2,FALSE)),"")</f>
        <v/>
      </c>
      <c r="G44" s="304" t="str">
        <f>IFERROR(IF(VLOOKUP($A44,TableHandbook[],G$2,FALSE)=0,"",VLOOKUP($A44,TableHandbook[],G$2,FALSE)),"")</f>
        <v/>
      </c>
      <c r="H44" s="307" t="str">
        <f>IFERROR(VLOOKUP($A44,TableHandbook[],H$2,FALSE),"")</f>
        <v/>
      </c>
      <c r="I44" s="308" t="str">
        <f>IFERROR(VLOOKUP($A44,TableHandbook[],I$2,FALSE),"")</f>
        <v/>
      </c>
      <c r="J44" s="308" t="str">
        <f>IFERROR(VLOOKUP($A44,TableHandbook[],J$2,FALSE),"")</f>
        <v/>
      </c>
      <c r="K44" s="309" t="str">
        <f>IFERROR(VLOOKUP($A44,TableHandbook[],K$2,FALSE),"")</f>
        <v/>
      </c>
      <c r="L44" s="40"/>
      <c r="M44" s="310">
        <v>25</v>
      </c>
      <c r="N44" s="324"/>
      <c r="O44" s="324"/>
    </row>
    <row r="45" spans="1:16" s="298" customFormat="1" ht="21" x14ac:dyDescent="0.25">
      <c r="A45" s="291" t="s">
        <v>27</v>
      </c>
      <c r="B45" s="291"/>
      <c r="C45" s="299" t="s">
        <v>16</v>
      </c>
      <c r="D45" s="327" t="s">
        <v>3</v>
      </c>
      <c r="E45" s="299" t="s">
        <v>17</v>
      </c>
      <c r="F45" s="291" t="s">
        <v>18</v>
      </c>
      <c r="G45" s="291" t="s">
        <v>19</v>
      </c>
      <c r="H45" s="300" t="str">
        <f>H$9</f>
        <v>SP1</v>
      </c>
      <c r="I45" s="301" t="str">
        <f t="shared" ref="I45:L45" si="2">I$9</f>
        <v>SP2</v>
      </c>
      <c r="J45" s="301" t="str">
        <f t="shared" si="2"/>
        <v>SP3</v>
      </c>
      <c r="K45" s="302" t="str">
        <f t="shared" si="2"/>
        <v>SP4</v>
      </c>
      <c r="L45" s="291" t="str">
        <f t="shared" si="2"/>
        <v>Notes / Progress</v>
      </c>
      <c r="M45" s="328"/>
      <c r="N45" s="297"/>
      <c r="O45" s="297"/>
    </row>
    <row r="46" spans="1:16" s="312" customFormat="1" ht="20.100000000000001" customHeight="1" x14ac:dyDescent="0.15">
      <c r="A46" s="303" t="str">
        <f>IFERROR(IF(HLOOKUP($L$5,RangeUnitsets,M46,FALSE)=0,"",HLOOKUP($L$5,RangeUnitsets,M46,FALSE)),"")</f>
        <v/>
      </c>
      <c r="B46" s="320" t="str">
        <f>IFERROR(IF(VLOOKUP($A46,TableHandbook[],B$2,FALSE)=0,"",VLOOKUP($A46,TableHandbook[],B$2,FALSE)),"")</f>
        <v/>
      </c>
      <c r="C46" s="320" t="str">
        <f>IFERROR(IF(VLOOKUP($A46,TableHandbook[],C$2,FALSE)=0,"",VLOOKUP($A46,TableHandbook[],C$2,FALSE)),"")</f>
        <v/>
      </c>
      <c r="D46" s="329" t="str">
        <f>IFERROR(IF(VLOOKUP($A46,TableHandbook[],D$2,FALSE)=0,"",VLOOKUP($A46,TableHandbook[],D$2,FALSE)),"")</f>
        <v/>
      </c>
      <c r="E46" s="320" t="str">
        <f>IF(OR(A46="",A46="--"),"",VLOOKUP($D$7,TableStudyPeriods[],2,FALSE))</f>
        <v/>
      </c>
      <c r="F46" s="306" t="str">
        <f>IFERROR(IF(VLOOKUP($A46,TableHandbook[],F$2,FALSE)=0,"",VLOOKUP($A46,TableHandbook[],F$2,FALSE)),"")</f>
        <v/>
      </c>
      <c r="G46" s="304" t="str">
        <f>IFERROR(IF(VLOOKUP($A46,TableHandbook[],G$2,FALSE)=0,"",VLOOKUP($A46,TableHandbook[],G$2,FALSE)),"")</f>
        <v/>
      </c>
      <c r="H46" s="307" t="str">
        <f>IFERROR(VLOOKUP($A46,TableHandbook[],H$2,FALSE),"")</f>
        <v/>
      </c>
      <c r="I46" s="308" t="str">
        <f>IFERROR(VLOOKUP($A46,TableHandbook[],I$2,FALSE),"")</f>
        <v/>
      </c>
      <c r="J46" s="308" t="str">
        <f>IFERROR(VLOOKUP($A46,TableHandbook[],J$2,FALSE),"")</f>
        <v/>
      </c>
      <c r="K46" s="309" t="str">
        <f>IFERROR(VLOOKUP($A46,TableHandbook[],K$2,FALSE),"")</f>
        <v/>
      </c>
      <c r="L46" s="40"/>
      <c r="M46" s="310">
        <v>26</v>
      </c>
      <c r="N46" s="311"/>
      <c r="O46" s="311"/>
    </row>
    <row r="47" spans="1:16" s="312" customFormat="1" ht="19.5" customHeight="1" x14ac:dyDescent="0.15">
      <c r="A47" s="303" t="str">
        <f>IFERROR(IF(HLOOKUP($L$5,RangeUnitsets,M47,FALSE)=0,"",HLOOKUP($L$5,RangeUnitsets,M47,FALSE)),"")</f>
        <v/>
      </c>
      <c r="B47" s="320" t="str">
        <f>IFERROR(IF(VLOOKUP($A47,TableHandbook[],B$2,FALSE)=0,"",VLOOKUP($A47,TableHandbook[],B$2,FALSE)),"")</f>
        <v/>
      </c>
      <c r="C47" s="320" t="str">
        <f>IFERROR(IF(VLOOKUP($A47,TableHandbook[],C$2,FALSE)=0,"",VLOOKUP($A47,TableHandbook[],C$2,FALSE)),"")</f>
        <v/>
      </c>
      <c r="D47" s="326" t="str">
        <f>IFERROR(IF(VLOOKUP($A47,TableHandbook[],D$2,FALSE)=0,"",VLOOKUP($A47,TableHandbook[],D$2,FALSE)),"")</f>
        <v/>
      </c>
      <c r="E47" s="320" t="str">
        <f>IF(OR(A47="",A47="-"),"",E46)</f>
        <v/>
      </c>
      <c r="F47" s="306" t="str">
        <f>IFERROR(IF(VLOOKUP($A47,TableHandbook[],F$2,FALSE)=0,"",VLOOKUP($A47,TableHandbook[],F$2,FALSE)),"")</f>
        <v/>
      </c>
      <c r="G47" s="304" t="str">
        <f>IFERROR(IF(VLOOKUP($A47,TableHandbook[],G$2,FALSE)=0,"",VLOOKUP($A47,TableHandbook[],G$2,FALSE)),"")</f>
        <v/>
      </c>
      <c r="H47" s="307" t="str">
        <f>IFERROR(VLOOKUP($A47,TableHandbook[],H$2,FALSE),"")</f>
        <v/>
      </c>
      <c r="I47" s="308" t="str">
        <f>IFERROR(VLOOKUP($A47,TableHandbook[],I$2,FALSE),"")</f>
        <v/>
      </c>
      <c r="J47" s="308" t="str">
        <f>IFERROR(VLOOKUP($A47,TableHandbook[],J$2,FALSE),"")</f>
        <v/>
      </c>
      <c r="K47" s="309" t="str">
        <f>IFERROR(VLOOKUP($A47,TableHandbook[],K$2,FALSE),"")</f>
        <v/>
      </c>
      <c r="L47" s="40"/>
      <c r="M47" s="310">
        <v>27</v>
      </c>
      <c r="N47" s="311"/>
      <c r="O47" s="311"/>
    </row>
    <row r="48" spans="1:16" s="312" customFormat="1" ht="5.0999999999999996" customHeight="1" x14ac:dyDescent="0.15">
      <c r="A48" s="313"/>
      <c r="B48" s="314"/>
      <c r="C48" s="314"/>
      <c r="D48" s="315"/>
      <c r="E48" s="314"/>
      <c r="F48" s="316"/>
      <c r="G48" s="314"/>
      <c r="H48" s="317"/>
      <c r="I48" s="318"/>
      <c r="J48" s="318"/>
      <c r="K48" s="319"/>
      <c r="L48" s="176"/>
      <c r="M48" s="310"/>
      <c r="N48" s="311"/>
      <c r="O48" s="311"/>
      <c r="P48" s="311"/>
    </row>
    <row r="49" spans="1:16" s="312" customFormat="1" ht="20.100000000000001" customHeight="1" x14ac:dyDescent="0.15">
      <c r="A49" s="303" t="str">
        <f>IFERROR(IF(HLOOKUP($L$5,RangeUnitsets,M49,FALSE)=0,"",HLOOKUP($L$5,RangeUnitsets,M49,FALSE)),"")</f>
        <v/>
      </c>
      <c r="B49" s="320" t="str">
        <f>IFERROR(IF(VLOOKUP($A49,TableHandbook[],B$2,FALSE)=0,"",VLOOKUP($A49,TableHandbook[],B$2,FALSE)),"")</f>
        <v/>
      </c>
      <c r="C49" s="320" t="str">
        <f>IFERROR(IF(VLOOKUP($A49,TableHandbook[],C$2,FALSE)=0,"",VLOOKUP($A49,TableHandbook[],C$2,FALSE)),"")</f>
        <v/>
      </c>
      <c r="D49" s="326" t="str">
        <f>IFERROR(IF(VLOOKUP($A49,TableHandbook[],D$2,FALSE)=0,"",VLOOKUP($A49,TableHandbook[],D$2,FALSE)),"")</f>
        <v/>
      </c>
      <c r="E49" s="320" t="str">
        <f>IF(OR(A49="",A49="--"),"",VLOOKUP($D$7,TableStudyPeriods[],3,FALSE))</f>
        <v/>
      </c>
      <c r="F49" s="306" t="str">
        <f>IFERROR(IF(VLOOKUP($A49,TableHandbook[],F$2,FALSE)=0,"",VLOOKUP($A49,TableHandbook[],F$2,FALSE)),"")</f>
        <v/>
      </c>
      <c r="G49" s="304" t="str">
        <f>IFERROR(IF(VLOOKUP($A49,TableHandbook[],G$2,FALSE)=0,"",VLOOKUP($A49,TableHandbook[],G$2,FALSE)),"")</f>
        <v/>
      </c>
      <c r="H49" s="307" t="str">
        <f>IFERROR(VLOOKUP($A49,TableHandbook[],H$2,FALSE),"")</f>
        <v/>
      </c>
      <c r="I49" s="308" t="str">
        <f>IFERROR(VLOOKUP($A49,TableHandbook[],I$2,FALSE),"")</f>
        <v/>
      </c>
      <c r="J49" s="308" t="str">
        <f>IFERROR(VLOOKUP($A49,TableHandbook[],J$2,FALSE),"")</f>
        <v/>
      </c>
      <c r="K49" s="309" t="str">
        <f>IFERROR(VLOOKUP($A49,TableHandbook[],K$2,FALSE),"")</f>
        <v/>
      </c>
      <c r="L49" s="40"/>
      <c r="M49" s="310">
        <v>28</v>
      </c>
      <c r="N49" s="311"/>
      <c r="O49" s="311"/>
    </row>
    <row r="50" spans="1:16" s="312" customFormat="1" ht="20.100000000000001" customHeight="1" x14ac:dyDescent="0.15">
      <c r="A50" s="303" t="str">
        <f>IFERROR(IF(HLOOKUP($L$5,RangeUnitsets,M50,FALSE)=0,"",HLOOKUP($L$5,RangeUnitsets,M50,FALSE)),"")</f>
        <v/>
      </c>
      <c r="B50" s="320" t="str">
        <f>IFERROR(IF(VLOOKUP($A50,TableHandbook[],B$2,FALSE)=0,"",VLOOKUP($A50,TableHandbook[],B$2,FALSE)),"")</f>
        <v/>
      </c>
      <c r="C50" s="320" t="str">
        <f>IFERROR(IF(VLOOKUP($A50,TableHandbook[],C$2,FALSE)=0,"",VLOOKUP($A50,TableHandbook[],C$2,FALSE)),"")</f>
        <v/>
      </c>
      <c r="D50" s="326" t="str">
        <f>IFERROR(IF(VLOOKUP($A50,TableHandbook[],D$2,FALSE)=0,"",VLOOKUP($A50,TableHandbook[],D$2,FALSE)),"")</f>
        <v/>
      </c>
      <c r="E50" s="320" t="str">
        <f>IF(OR(A50="",A50="-"),"",E49)</f>
        <v/>
      </c>
      <c r="F50" s="306" t="str">
        <f>IFERROR(IF(VLOOKUP($A50,TableHandbook[],F$2,FALSE)=0,"",VLOOKUP($A50,TableHandbook[],F$2,FALSE)),"")</f>
        <v/>
      </c>
      <c r="G50" s="304" t="str">
        <f>IFERROR(IF(VLOOKUP($A50,TableHandbook[],G$2,FALSE)=0,"",VLOOKUP($A50,TableHandbook[],G$2,FALSE)),"")</f>
        <v/>
      </c>
      <c r="H50" s="307" t="str">
        <f>IFERROR(VLOOKUP($A50,TableHandbook[],H$2,FALSE),"")</f>
        <v/>
      </c>
      <c r="I50" s="308" t="str">
        <f>IFERROR(VLOOKUP($A50,TableHandbook[],I$2,FALSE),"")</f>
        <v/>
      </c>
      <c r="J50" s="308" t="str">
        <f>IFERROR(VLOOKUP($A50,TableHandbook[],J$2,FALSE),"")</f>
        <v/>
      </c>
      <c r="K50" s="309" t="str">
        <f>IFERROR(VLOOKUP($A50,TableHandbook[],K$2,FALSE),"")</f>
        <v/>
      </c>
      <c r="L50" s="40"/>
      <c r="M50" s="310">
        <v>29</v>
      </c>
      <c r="N50" s="311"/>
      <c r="O50" s="311"/>
    </row>
    <row r="51" spans="1:16" s="312" customFormat="1" ht="5.0999999999999996" customHeight="1" x14ac:dyDescent="0.15">
      <c r="A51" s="313"/>
      <c r="B51" s="314"/>
      <c r="C51" s="314"/>
      <c r="D51" s="315"/>
      <c r="E51" s="314"/>
      <c r="F51" s="316"/>
      <c r="G51" s="314"/>
      <c r="H51" s="317"/>
      <c r="I51" s="318"/>
      <c r="J51" s="318"/>
      <c r="K51" s="319"/>
      <c r="L51" s="176"/>
      <c r="M51" s="310"/>
      <c r="N51" s="311"/>
      <c r="O51" s="311"/>
      <c r="P51" s="311"/>
    </row>
    <row r="52" spans="1:16" s="312" customFormat="1" ht="20.100000000000001" customHeight="1" x14ac:dyDescent="0.15">
      <c r="A52" s="303" t="str">
        <f>IFERROR(IF(HLOOKUP($L$5,RangeUnitsets,M52,FALSE)=0,"",HLOOKUP($L$5,RangeUnitsets,M52,FALSE)),"")</f>
        <v/>
      </c>
      <c r="B52" s="320" t="str">
        <f>IFERROR(IF(VLOOKUP($A52,TableHandbook[],B$2,FALSE)=0,"",VLOOKUP($A52,TableHandbook[],B$2,FALSE)),"")</f>
        <v/>
      </c>
      <c r="C52" s="320" t="str">
        <f>IFERROR(IF(VLOOKUP($A52,TableHandbook[],C$2,FALSE)=0,"",VLOOKUP($A52,TableHandbook[],C$2,FALSE)),"")</f>
        <v/>
      </c>
      <c r="D52" s="326" t="str">
        <f>IFERROR(IF(VLOOKUP($A52,TableHandbook[],D$2,FALSE)=0,"",VLOOKUP($A52,TableHandbook[],D$2,FALSE)),"")</f>
        <v/>
      </c>
      <c r="E52" s="320" t="str">
        <f>IF(OR(A52="",A52="--"),"",VLOOKUP($D$7,TableStudyPeriods[],4,FALSE))</f>
        <v/>
      </c>
      <c r="F52" s="306" t="str">
        <f>IFERROR(IF(VLOOKUP($A52,TableHandbook[],F$2,FALSE)=0,"",VLOOKUP($A52,TableHandbook[],F$2,FALSE)),"")</f>
        <v/>
      </c>
      <c r="G52" s="304" t="str">
        <f>IFERROR(IF(VLOOKUP($A52,TableHandbook[],G$2,FALSE)=0,"",VLOOKUP($A52,TableHandbook[],G$2,FALSE)),"")</f>
        <v/>
      </c>
      <c r="H52" s="307" t="str">
        <f>IFERROR(VLOOKUP($A52,TableHandbook[],H$2,FALSE),"")</f>
        <v/>
      </c>
      <c r="I52" s="308" t="str">
        <f>IFERROR(VLOOKUP($A52,TableHandbook[],I$2,FALSE),"")</f>
        <v/>
      </c>
      <c r="J52" s="308" t="str">
        <f>IFERROR(VLOOKUP($A52,TableHandbook[],J$2,FALSE),"")</f>
        <v/>
      </c>
      <c r="K52" s="309" t="str">
        <f>IFERROR(VLOOKUP($A52,TableHandbook[],K$2,FALSE),"")</f>
        <v/>
      </c>
      <c r="L52" s="40"/>
      <c r="M52" s="310">
        <v>30</v>
      </c>
      <c r="N52" s="311"/>
      <c r="O52" s="311"/>
    </row>
    <row r="53" spans="1:16" s="312" customFormat="1" ht="20.100000000000001" customHeight="1" x14ac:dyDescent="0.15">
      <c r="A53" s="303" t="str">
        <f>IFERROR(IF(HLOOKUP($L$5,RangeUnitsets,M53,FALSE)=0,"",HLOOKUP($L$5,RangeUnitsets,M53,FALSE)),"")</f>
        <v/>
      </c>
      <c r="B53" s="320" t="str">
        <f>IFERROR(IF(VLOOKUP($A53,TableHandbook[],B$2,FALSE)=0,"",VLOOKUP($A53,TableHandbook[],B$2,FALSE)),"")</f>
        <v/>
      </c>
      <c r="C53" s="320" t="str">
        <f>IFERROR(IF(VLOOKUP($A53,TableHandbook[],C$2,FALSE)=0,"",VLOOKUP($A53,TableHandbook[],C$2,FALSE)),"")</f>
        <v/>
      </c>
      <c r="D53" s="326" t="str">
        <f>IFERROR(IF(VLOOKUP($A53,TableHandbook[],D$2,FALSE)=0,"",VLOOKUP($A53,TableHandbook[],D$2,FALSE)),"")</f>
        <v/>
      </c>
      <c r="E53" s="320" t="str">
        <f>IF(OR(A53="",A53="-"),"",E52)</f>
        <v/>
      </c>
      <c r="F53" s="306" t="str">
        <f>IFERROR(IF(VLOOKUP($A53,TableHandbook[],F$2,FALSE)=0,"",VLOOKUP($A53,TableHandbook[],F$2,FALSE)),"")</f>
        <v/>
      </c>
      <c r="G53" s="304" t="str">
        <f>IFERROR(IF(VLOOKUP($A53,TableHandbook[],G$2,FALSE)=0,"",VLOOKUP($A53,TableHandbook[],G$2,FALSE)),"")</f>
        <v/>
      </c>
      <c r="H53" s="307" t="str">
        <f>IFERROR(VLOOKUP($A53,TableHandbook[],H$2,FALSE),"")</f>
        <v/>
      </c>
      <c r="I53" s="308" t="str">
        <f>IFERROR(VLOOKUP($A53,TableHandbook[],I$2,FALSE),"")</f>
        <v/>
      </c>
      <c r="J53" s="308" t="str">
        <f>IFERROR(VLOOKUP($A53,TableHandbook[],J$2,FALSE),"")</f>
        <v/>
      </c>
      <c r="K53" s="309" t="str">
        <f>IFERROR(VLOOKUP($A53,TableHandbook[],K$2,FALSE),"")</f>
        <v/>
      </c>
      <c r="L53" s="40"/>
      <c r="M53" s="310">
        <v>31</v>
      </c>
      <c r="N53" s="311"/>
      <c r="O53" s="311"/>
    </row>
    <row r="54" spans="1:16" s="336" customFormat="1" ht="13.9" customHeight="1" x14ac:dyDescent="0.2">
      <c r="A54" s="330"/>
      <c r="B54" s="330"/>
      <c r="C54" s="330"/>
      <c r="D54" s="331"/>
      <c r="E54" s="331"/>
      <c r="F54" s="332"/>
      <c r="G54" s="332"/>
      <c r="H54" s="332"/>
      <c r="I54" s="332"/>
      <c r="J54" s="332"/>
      <c r="K54" s="332"/>
      <c r="L54" s="333"/>
      <c r="M54" s="334"/>
      <c r="N54" s="335"/>
      <c r="O54" s="335"/>
    </row>
    <row r="55" spans="1:16" ht="16.5" x14ac:dyDescent="0.25">
      <c r="A55" s="337" t="str">
        <f>D6</f>
        <v>Choose your Stream (drop-down list)</v>
      </c>
      <c r="B55" s="338"/>
      <c r="C55" s="338"/>
      <c r="D55" s="339"/>
      <c r="E55" s="340"/>
      <c r="F55" s="340"/>
      <c r="G55" s="340"/>
      <c r="H55" s="341" t="str">
        <f>H8</f>
        <v>2026 Availabilities</v>
      </c>
      <c r="I55" s="342"/>
      <c r="J55" s="342"/>
      <c r="K55" s="343"/>
      <c r="L55" s="344"/>
      <c r="M55" s="345"/>
    </row>
    <row r="56" spans="1:16" s="352" customFormat="1" x14ac:dyDescent="0.25">
      <c r="A56" s="346" t="s">
        <v>665</v>
      </c>
      <c r="B56" s="346"/>
      <c r="C56" s="346" t="s">
        <v>16</v>
      </c>
      <c r="D56" s="347" t="s">
        <v>3</v>
      </c>
      <c r="E56" s="346"/>
      <c r="F56" s="346" t="s">
        <v>18</v>
      </c>
      <c r="G56" s="346" t="s">
        <v>19</v>
      </c>
      <c r="H56" s="348" t="str">
        <f>H$9</f>
        <v>SP1</v>
      </c>
      <c r="I56" s="349" t="str">
        <f t="shared" ref="I56:L56" si="3">I$9</f>
        <v>SP2</v>
      </c>
      <c r="J56" s="349" t="str">
        <f t="shared" si="3"/>
        <v>SP3</v>
      </c>
      <c r="K56" s="350" t="str">
        <f t="shared" si="3"/>
        <v>SP4</v>
      </c>
      <c r="L56" s="351" t="str">
        <f t="shared" si="3"/>
        <v>Notes / Progress</v>
      </c>
      <c r="M56" s="345"/>
    </row>
    <row r="57" spans="1:16" ht="19.5" customHeight="1" x14ac:dyDescent="0.25">
      <c r="A57" s="353" t="str">
        <f>IFERROR(IF(HLOOKUP($L$6,RangeStreams,$M57,FALSE)=0,"",HLOOKUP($L$6,RangeStreams,$M57,FALSE)),"")</f>
        <v/>
      </c>
      <c r="B57" s="354" t="str">
        <f>IFERROR(IF(VLOOKUP($A57,TableHandbook[],2,FALSE)=0,"",VLOOKUP($A57,TableHandbook[],2,FALSE)),"")</f>
        <v/>
      </c>
      <c r="C57" s="355" t="str">
        <f>IFERROR(IF(VLOOKUP($A57,TableHandbook[],3,FALSE)=0,"",VLOOKUP($A57,TableHandbook[],3,FALSE)),"")</f>
        <v/>
      </c>
      <c r="D57" s="356" t="str">
        <f>IFERROR(IF(VLOOKUP($A57,TableHandbook[],4,FALSE)=0,"",VLOOKUP($A57,TableHandbook[],4,FALSE)),"")</f>
        <v/>
      </c>
      <c r="E57" s="356"/>
      <c r="F57" s="357" t="str">
        <f>IFERROR(IF(VLOOKUP($A57,TableHandbook[],6,FALSE)=0,"",VLOOKUP($A57,TableHandbook[],6,FALSE)),"")</f>
        <v/>
      </c>
      <c r="G57" s="357" t="str">
        <f>IFERROR(IF(VLOOKUP($A57,TableHandbook[],5,FALSE)=0,"",VLOOKUP($A57,TableHandbook[],5,FALSE)),"")</f>
        <v/>
      </c>
      <c r="H57" s="307" t="str">
        <f>IFERROR(VLOOKUP($A57,TableHandbook[],H$2,FALSE),"")</f>
        <v/>
      </c>
      <c r="I57" s="308" t="str">
        <f>IFERROR(VLOOKUP($A57,TableHandbook[],I$2,FALSE),"")</f>
        <v/>
      </c>
      <c r="J57" s="308" t="str">
        <f>IFERROR(VLOOKUP($A57,TableHandbook[],J$2,FALSE),"")</f>
        <v/>
      </c>
      <c r="K57" s="309" t="str">
        <f>IFERROR(VLOOKUP($A57,TableHandbook[],K$2,FALSE),"")</f>
        <v/>
      </c>
      <c r="L57" s="41"/>
      <c r="M57" s="310">
        <v>2</v>
      </c>
    </row>
    <row r="58" spans="1:16" ht="19.5" customHeight="1" x14ac:dyDescent="0.25">
      <c r="A58" s="353" t="str">
        <f>IFERROR(IF(HLOOKUP($L$6,RangeStreams,$M58,FALSE)=0,"",HLOOKUP($L$6,RangeStreams,$M58,FALSE)),"")</f>
        <v/>
      </c>
      <c r="B58" s="354" t="str">
        <f>IFERROR(IF(VLOOKUP($A58,TableHandbook[],2,FALSE)=0,"",VLOOKUP($A58,TableHandbook[],2,FALSE)),"")</f>
        <v/>
      </c>
      <c r="C58" s="355" t="str">
        <f>IFERROR(IF(VLOOKUP($A58,TableHandbook[],3,FALSE)=0,"",VLOOKUP($A58,TableHandbook[],3,FALSE)),"")</f>
        <v/>
      </c>
      <c r="D58" s="358" t="str">
        <f>IFERROR(IF(VLOOKUP($A58,TableHandbook[],4,FALSE)=0,"",VLOOKUP($A58,TableHandbook[],4,FALSE)),"")</f>
        <v/>
      </c>
      <c r="E58" s="356"/>
      <c r="F58" s="357" t="str">
        <f>IFERROR(IF(VLOOKUP($A58,TableHandbook[],6,FALSE)=0,"",VLOOKUP($A58,TableHandbook[],6,FALSE)),"")</f>
        <v/>
      </c>
      <c r="G58" s="357" t="str">
        <f>IFERROR(IF(VLOOKUP($A58,TableHandbook[],5,FALSE)=0,"",VLOOKUP($A58,TableHandbook[],5,FALSE)),"")</f>
        <v/>
      </c>
      <c r="H58" s="307" t="str">
        <f>IFERROR(VLOOKUP($A58,TableHandbook[],H$2,FALSE),"")</f>
        <v/>
      </c>
      <c r="I58" s="308" t="str">
        <f>IFERROR(VLOOKUP($A58,TableHandbook[],I$2,FALSE),"")</f>
        <v/>
      </c>
      <c r="J58" s="308" t="str">
        <f>IFERROR(VLOOKUP($A58,TableHandbook[],J$2,FALSE),"")</f>
        <v/>
      </c>
      <c r="K58" s="309" t="str">
        <f>IFERROR(VLOOKUP($A58,TableHandbook[],K$2,FALSE),"")</f>
        <v/>
      </c>
      <c r="L58" s="41"/>
      <c r="M58" s="310">
        <v>3</v>
      </c>
    </row>
    <row r="59" spans="1:16" ht="19.5" customHeight="1" x14ac:dyDescent="0.25">
      <c r="A59" s="353" t="str">
        <f>IFERROR(IF(HLOOKUP($L$6,RangeStreams,$M59,FALSE)=0,"",HLOOKUP($L$6,RangeStreams,$M59,FALSE)),"")</f>
        <v/>
      </c>
      <c r="B59" s="354" t="str">
        <f>IFERROR(IF(VLOOKUP($A59,TableHandbook[],2,FALSE)=0,"",VLOOKUP($A59,TableHandbook[],2,FALSE)),"")</f>
        <v/>
      </c>
      <c r="C59" s="355" t="str">
        <f>IFERROR(IF(VLOOKUP($A59,TableHandbook[],3,FALSE)=0,"",VLOOKUP($A59,TableHandbook[],3,FALSE)),"")</f>
        <v/>
      </c>
      <c r="D59" s="358" t="str">
        <f>IFERROR(IF(VLOOKUP($A59,TableHandbook[],4,FALSE)=0,"",VLOOKUP($A59,TableHandbook[],4,FALSE)),"")</f>
        <v/>
      </c>
      <c r="E59" s="356"/>
      <c r="F59" s="357" t="str">
        <f>IFERROR(IF(VLOOKUP($A59,TableHandbook[],6,FALSE)=0,"",VLOOKUP($A59,TableHandbook[],6,FALSE)),"")</f>
        <v/>
      </c>
      <c r="G59" s="357" t="str">
        <f>IFERROR(IF(VLOOKUP($A59,TableHandbook[],5,FALSE)=0,"",VLOOKUP($A59,TableHandbook[],5,FALSE)),"")</f>
        <v/>
      </c>
      <c r="H59" s="307" t="str">
        <f>IFERROR(VLOOKUP($A59,TableHandbook[],H$2,FALSE),"")</f>
        <v/>
      </c>
      <c r="I59" s="308" t="str">
        <f>IFERROR(VLOOKUP($A59,TableHandbook[],I$2,FALSE),"")</f>
        <v/>
      </c>
      <c r="J59" s="308" t="str">
        <f>IFERROR(VLOOKUP($A59,TableHandbook[],J$2,FALSE),"")</f>
        <v/>
      </c>
      <c r="K59" s="309" t="str">
        <f>IFERROR(VLOOKUP($A59,TableHandbook[],K$2,FALSE),"")</f>
        <v/>
      </c>
      <c r="L59" s="41"/>
      <c r="M59" s="310">
        <v>4</v>
      </c>
    </row>
    <row r="60" spans="1:16" ht="19.5" customHeight="1" x14ac:dyDescent="0.25">
      <c r="A60" s="359"/>
      <c r="B60" s="359"/>
      <c r="C60" s="359"/>
      <c r="D60" s="359"/>
      <c r="E60" s="359"/>
      <c r="F60" s="359"/>
      <c r="G60" s="359"/>
      <c r="H60" s="359"/>
      <c r="I60" s="359"/>
      <c r="J60" s="359"/>
      <c r="K60" s="359"/>
      <c r="L60" s="359"/>
      <c r="M60" s="360"/>
    </row>
    <row r="61" spans="1:16" ht="32.25" customHeight="1" x14ac:dyDescent="0.25">
      <c r="A61" s="361" t="s">
        <v>29</v>
      </c>
      <c r="B61" s="361"/>
      <c r="C61" s="361"/>
      <c r="D61" s="361"/>
      <c r="E61" s="361"/>
      <c r="F61" s="361"/>
      <c r="G61" s="361"/>
      <c r="H61" s="361"/>
      <c r="I61" s="361"/>
      <c r="J61" s="361"/>
      <c r="K61" s="361"/>
      <c r="L61" s="361"/>
    </row>
    <row r="62" spans="1:16" s="363" customFormat="1" ht="24.95" customHeight="1" x14ac:dyDescent="0.3">
      <c r="A62" s="47" t="s">
        <v>30</v>
      </c>
      <c r="B62" s="47"/>
      <c r="C62" s="47"/>
      <c r="D62" s="48"/>
      <c r="E62" s="48"/>
      <c r="F62" s="48"/>
      <c r="G62" s="48"/>
      <c r="H62" s="48"/>
      <c r="I62" s="48"/>
      <c r="J62" s="48"/>
      <c r="K62" s="48"/>
      <c r="L62" s="48"/>
      <c r="M62" s="362"/>
      <c r="N62" s="362"/>
      <c r="O62" s="362"/>
    </row>
    <row r="63" spans="1:16" ht="15" customHeight="1" x14ac:dyDescent="0.25">
      <c r="A63" s="364" t="s">
        <v>31</v>
      </c>
      <c r="B63" s="364"/>
      <c r="C63" s="364"/>
      <c r="D63" s="364"/>
      <c r="E63" s="365"/>
      <c r="F63" s="332"/>
      <c r="G63" s="366"/>
      <c r="H63" s="366"/>
      <c r="I63" s="366"/>
      <c r="J63" s="366"/>
      <c r="K63" s="366"/>
      <c r="L63" s="366" t="s">
        <v>32</v>
      </c>
    </row>
  </sheetData>
  <sheetProtection algorithmName="SHA-512" hashValue="Q4PpwuqqLT/LGGW2MLwBnv5z+AWqezHSIGpuh4vlFJd9i1g1yCtHEKn8ZdNDN1vNdtLVTEwHZ45ReOdNe5Z/1g==" saltValue="MRkbqvZZQlFHLZhstnb4wA==" spinCount="100000" sheet="1" objects="1" scenarios="1" formatCells="0"/>
  <mergeCells count="2">
    <mergeCell ref="A3:D3"/>
    <mergeCell ref="A61:L61"/>
  </mergeCells>
  <conditionalFormatting sqref="A57:L59">
    <cfRule type="expression" dxfId="13" priority="2">
      <formula>LEFT($D57,8)="Bachelor"</formula>
    </cfRule>
    <cfRule type="expression" dxfId="12" priority="3">
      <formula>RIGHT($D57,9)="Electives"</formula>
    </cfRule>
    <cfRule type="expression" dxfId="11" priority="4">
      <formula>LEFT($D57,5)="Study"</formula>
    </cfRule>
  </conditionalFormatting>
  <conditionalFormatting sqref="D5:D7">
    <cfRule type="containsText" dxfId="10" priority="5" operator="containsText" text="Choose">
      <formula>NOT(ISERROR(SEARCH("Choose",D5)))</formula>
    </cfRule>
  </conditionalFormatting>
  <conditionalFormatting sqref="H10:K53">
    <cfRule type="expression" dxfId="9" priority="1">
      <formula>$E10=H$9</formula>
    </cfRule>
  </conditionalFormatting>
  <dataValidations count="1">
    <dataValidation type="list" allowBlank="1" showInputMessage="1" showErrorMessage="1" sqref="L27 L15 L39 L51 L12 L18 L24 L30 L36 L42 L48" xr:uid="{00000000-0002-0000-0100-000000000000}"/>
  </dataValidations>
  <hyperlinks>
    <hyperlink ref="A62:L62"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60" orientation="portrait" r:id="rId2"/>
  <rowBreaks count="1" manualBreakCount="1">
    <brk id="53" max="10" man="1"/>
  </rowBreaks>
  <ignoredErrors>
    <ignoredError sqref="E10:E20 E22:E32 E34:E44 E46:E53" 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CourseDetails!$A$28:$A$32</xm:f>
          </x14:formula1>
          <xm:sqref>D7</xm:sqref>
        </x14:dataValidation>
        <x14:dataValidation type="list" allowBlank="1" showInputMessage="1" showErrorMessage="1" xr:uid="{025B9518-4F21-41C8-A374-8C8752154027}">
          <x14:formula1>
            <xm:f>CourseDetails!$A$19:$A$25</xm:f>
          </x14:formula1>
          <xm:sqref>D6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2:Q89"/>
  <sheetViews>
    <sheetView zoomScale="80" zoomScaleNormal="80" workbookViewId="0">
      <selection activeCell="B49" sqref="B49"/>
    </sheetView>
  </sheetViews>
  <sheetFormatPr defaultRowHeight="15.75" x14ac:dyDescent="0.25"/>
  <cols>
    <col min="1" max="1" width="20" bestFit="1" customWidth="1"/>
    <col min="2" max="2" width="2.625" bestFit="1" customWidth="1"/>
    <col min="3" max="3" width="9.875" bestFit="1" customWidth="1"/>
    <col min="4" max="4" width="15.625" bestFit="1" customWidth="1"/>
    <col min="5" max="5" width="5.625" bestFit="1" customWidth="1"/>
    <col min="6" max="6" width="15.875" bestFit="1" customWidth="1"/>
    <col min="7" max="7" width="5.625" bestFit="1" customWidth="1"/>
    <col min="8" max="8" width="15.25" bestFit="1" customWidth="1"/>
    <col min="9" max="9" width="5.625" bestFit="1" customWidth="1"/>
    <col min="10" max="10" width="15.625" bestFit="1" customWidth="1"/>
    <col min="11" max="11" width="5.625" bestFit="1" customWidth="1"/>
    <col min="12" max="12" width="15.5" bestFit="1" customWidth="1"/>
    <col min="13" max="13" width="5.625" bestFit="1" customWidth="1"/>
    <col min="14" max="14" width="15.75" bestFit="1" customWidth="1"/>
    <col min="15" max="15" width="6.125" bestFit="1" customWidth="1"/>
    <col min="16" max="16" width="29" bestFit="1" customWidth="1"/>
    <col min="17" max="17" width="10.25" bestFit="1" customWidth="1"/>
    <col min="19" max="19" width="6.125" bestFit="1" customWidth="1"/>
    <col min="20" max="20" width="3.25" bestFit="1" customWidth="1"/>
    <col min="21" max="21" width="7" bestFit="1" customWidth="1"/>
    <col min="22" max="22" width="2.125" bestFit="1" customWidth="1"/>
    <col min="23" max="23" width="3.375" bestFit="1" customWidth="1"/>
    <col min="24" max="24" width="10.125" bestFit="1" customWidth="1"/>
    <col min="25" max="25" width="2.125" bestFit="1" customWidth="1"/>
    <col min="26" max="26" width="55.5" bestFit="1" customWidth="1"/>
    <col min="27" max="27" width="4.375" bestFit="1" customWidth="1"/>
    <col min="31" max="31" width="6.125" bestFit="1" customWidth="1"/>
    <col min="35" max="35" width="6.125" bestFit="1" customWidth="1"/>
    <col min="39" max="39" width="6.125" bestFit="1" customWidth="1"/>
    <col min="43" max="43" width="6.125" bestFit="1" customWidth="1"/>
    <col min="47" max="47" width="6.125" bestFit="1" customWidth="1"/>
    <col min="51" max="51" width="6.125" bestFit="1" customWidth="1"/>
    <col min="55" max="55" width="6.125" bestFit="1" customWidth="1"/>
    <col min="59" max="59" width="6.125" bestFit="1" customWidth="1"/>
    <col min="63" max="63" width="6.125" bestFit="1" customWidth="1"/>
    <col min="67" max="67" width="6.125" bestFit="1" customWidth="1"/>
    <col min="71" max="71" width="6.125" bestFit="1" customWidth="1"/>
    <col min="75" max="75" width="6.125" bestFit="1" customWidth="1"/>
    <col min="79" max="79" width="6.125" bestFit="1" customWidth="1"/>
    <col min="83" max="83" width="6.125" bestFit="1" customWidth="1"/>
    <col min="87" max="87" width="6.125" bestFit="1" customWidth="1"/>
    <col min="91" max="91" width="6.125" bestFit="1" customWidth="1"/>
    <col min="95" max="95" width="6.125" bestFit="1" customWidth="1"/>
  </cols>
  <sheetData>
    <row r="2" spans="1:17" x14ac:dyDescent="0.25">
      <c r="D2" s="260">
        <v>2026</v>
      </c>
      <c r="F2" s="260">
        <v>2026</v>
      </c>
      <c r="H2" s="260">
        <v>2026</v>
      </c>
      <c r="J2" s="260">
        <v>2026</v>
      </c>
      <c r="L2" s="260">
        <v>2026</v>
      </c>
      <c r="N2" s="260">
        <v>2026</v>
      </c>
    </row>
    <row r="3" spans="1:17" x14ac:dyDescent="0.25">
      <c r="A3" s="46" t="s">
        <v>164</v>
      </c>
      <c r="B3" s="3">
        <v>1</v>
      </c>
      <c r="C3" s="76"/>
      <c r="D3" s="77" t="s">
        <v>165</v>
      </c>
      <c r="E3" s="78"/>
      <c r="F3" s="77" t="s">
        <v>166</v>
      </c>
      <c r="G3" s="76"/>
      <c r="H3" s="77" t="s">
        <v>167</v>
      </c>
      <c r="I3" s="78"/>
      <c r="J3" s="77" t="s">
        <v>168</v>
      </c>
      <c r="K3" s="76"/>
      <c r="L3" s="77" t="s">
        <v>169</v>
      </c>
      <c r="M3" s="78"/>
      <c r="N3" s="77" t="s">
        <v>170</v>
      </c>
    </row>
    <row r="4" spans="1:17" x14ac:dyDescent="0.25">
      <c r="A4" s="8"/>
      <c r="B4" s="20">
        <v>2</v>
      </c>
      <c r="C4" s="58" t="s">
        <v>45</v>
      </c>
      <c r="D4" s="57" t="s">
        <v>51</v>
      </c>
      <c r="E4" s="73" t="s">
        <v>49</v>
      </c>
      <c r="F4" s="57" t="s">
        <v>51</v>
      </c>
      <c r="G4" s="58" t="s">
        <v>45</v>
      </c>
      <c r="H4" s="57" t="s">
        <v>51</v>
      </c>
      <c r="I4" s="73" t="s">
        <v>49</v>
      </c>
      <c r="J4" s="57" t="s">
        <v>51</v>
      </c>
      <c r="K4" s="58" t="s">
        <v>45</v>
      </c>
      <c r="L4" s="57" t="s">
        <v>51</v>
      </c>
      <c r="M4" s="73" t="s">
        <v>49</v>
      </c>
      <c r="N4" s="57" t="s">
        <v>51</v>
      </c>
      <c r="P4" s="3"/>
      <c r="Q4" s="62"/>
    </row>
    <row r="5" spans="1:17" x14ac:dyDescent="0.25">
      <c r="A5" s="8"/>
      <c r="B5" s="20">
        <v>3</v>
      </c>
      <c r="C5" s="60" t="s">
        <v>45</v>
      </c>
      <c r="D5" s="55" t="s">
        <v>46</v>
      </c>
      <c r="E5" s="74" t="s">
        <v>49</v>
      </c>
      <c r="F5" s="55" t="s">
        <v>46</v>
      </c>
      <c r="G5" s="60" t="s">
        <v>45</v>
      </c>
      <c r="H5" s="55" t="s">
        <v>46</v>
      </c>
      <c r="I5" s="74" t="s">
        <v>49</v>
      </c>
      <c r="J5" s="55" t="s">
        <v>46</v>
      </c>
      <c r="K5" s="60" t="s">
        <v>45</v>
      </c>
      <c r="L5" s="55" t="s">
        <v>46</v>
      </c>
      <c r="M5" s="74" t="s">
        <v>49</v>
      </c>
      <c r="N5" s="55" t="s">
        <v>46</v>
      </c>
    </row>
    <row r="6" spans="1:17" x14ac:dyDescent="0.25">
      <c r="A6" s="8"/>
      <c r="B6" s="20">
        <v>4</v>
      </c>
      <c r="C6" s="58" t="s">
        <v>47</v>
      </c>
      <c r="D6" s="57" t="s">
        <v>71</v>
      </c>
      <c r="E6" s="73" t="s">
        <v>50</v>
      </c>
      <c r="F6" s="57" t="s">
        <v>71</v>
      </c>
      <c r="G6" s="58" t="s">
        <v>47</v>
      </c>
      <c r="H6" s="57" t="s">
        <v>71</v>
      </c>
      <c r="I6" s="73" t="s">
        <v>50</v>
      </c>
      <c r="J6" s="57" t="s">
        <v>71</v>
      </c>
      <c r="K6" s="58" t="s">
        <v>47</v>
      </c>
      <c r="L6" s="57" t="s">
        <v>71</v>
      </c>
      <c r="M6" s="73" t="s">
        <v>50</v>
      </c>
      <c r="N6" s="57" t="s">
        <v>71</v>
      </c>
    </row>
    <row r="7" spans="1:17" x14ac:dyDescent="0.25">
      <c r="A7" s="8"/>
      <c r="B7" s="20">
        <v>5</v>
      </c>
      <c r="C7" s="60" t="s">
        <v>47</v>
      </c>
      <c r="D7" s="55" t="s">
        <v>179</v>
      </c>
      <c r="E7" s="74" t="s">
        <v>50</v>
      </c>
      <c r="F7" s="55" t="s">
        <v>179</v>
      </c>
      <c r="G7" s="60" t="s">
        <v>47</v>
      </c>
      <c r="H7" s="55" t="s">
        <v>179</v>
      </c>
      <c r="I7" s="74" t="s">
        <v>50</v>
      </c>
      <c r="J7" s="55" t="s">
        <v>179</v>
      </c>
      <c r="K7" s="60" t="s">
        <v>47</v>
      </c>
      <c r="L7" s="55" t="s">
        <v>179</v>
      </c>
      <c r="M7" s="74" t="s">
        <v>50</v>
      </c>
      <c r="N7" s="55" t="s">
        <v>179</v>
      </c>
    </row>
    <row r="8" spans="1:17" x14ac:dyDescent="0.25">
      <c r="B8" s="20">
        <v>6</v>
      </c>
      <c r="C8" s="58" t="s">
        <v>49</v>
      </c>
      <c r="D8" s="57" t="s">
        <v>180</v>
      </c>
      <c r="E8" s="73" t="s">
        <v>45</v>
      </c>
      <c r="F8" s="57" t="s">
        <v>180</v>
      </c>
      <c r="G8" s="58" t="s">
        <v>49</v>
      </c>
      <c r="H8" s="57" t="s">
        <v>180</v>
      </c>
      <c r="I8" s="73" t="s">
        <v>45</v>
      </c>
      <c r="J8" s="57" t="s">
        <v>180</v>
      </c>
      <c r="K8" s="58" t="s">
        <v>49</v>
      </c>
      <c r="L8" s="57" t="s">
        <v>180</v>
      </c>
      <c r="M8" s="73" t="s">
        <v>45</v>
      </c>
      <c r="N8" s="57" t="s">
        <v>180</v>
      </c>
    </row>
    <row r="9" spans="1:17" x14ac:dyDescent="0.25">
      <c r="B9" s="20">
        <v>7</v>
      </c>
      <c r="C9" s="60" t="s">
        <v>49</v>
      </c>
      <c r="D9" s="63" t="s">
        <v>182</v>
      </c>
      <c r="E9" s="74" t="s">
        <v>45</v>
      </c>
      <c r="F9" s="63" t="s">
        <v>182</v>
      </c>
      <c r="G9" s="60" t="s">
        <v>49</v>
      </c>
      <c r="H9" s="63" t="s">
        <v>635</v>
      </c>
      <c r="I9" s="74" t="s">
        <v>45</v>
      </c>
      <c r="J9" s="63" t="s">
        <v>635</v>
      </c>
      <c r="K9" s="60" t="s">
        <v>49</v>
      </c>
      <c r="L9" s="63" t="s">
        <v>184</v>
      </c>
      <c r="M9" s="74" t="s">
        <v>45</v>
      </c>
      <c r="N9" s="63" t="s">
        <v>184</v>
      </c>
    </row>
    <row r="10" spans="1:17" x14ac:dyDescent="0.25">
      <c r="B10" s="20">
        <v>8</v>
      </c>
      <c r="C10" s="58" t="s">
        <v>50</v>
      </c>
      <c r="D10" s="185" t="s">
        <v>185</v>
      </c>
      <c r="E10" s="73" t="s">
        <v>47</v>
      </c>
      <c r="F10" s="185" t="s">
        <v>185</v>
      </c>
      <c r="G10" s="58" t="s">
        <v>50</v>
      </c>
      <c r="H10" s="185" t="s">
        <v>186</v>
      </c>
      <c r="I10" s="73" t="s">
        <v>47</v>
      </c>
      <c r="J10" s="185" t="s">
        <v>186</v>
      </c>
      <c r="K10" s="58" t="s">
        <v>50</v>
      </c>
      <c r="L10" s="185" t="s">
        <v>187</v>
      </c>
      <c r="M10" s="73" t="s">
        <v>47</v>
      </c>
      <c r="N10" s="185" t="s">
        <v>187</v>
      </c>
    </row>
    <row r="11" spans="1:17" x14ac:dyDescent="0.25">
      <c r="B11" s="20">
        <v>9</v>
      </c>
      <c r="C11" s="60" t="s">
        <v>50</v>
      </c>
      <c r="D11" s="63" t="s">
        <v>188</v>
      </c>
      <c r="E11" s="74" t="s">
        <v>47</v>
      </c>
      <c r="F11" s="63" t="s">
        <v>188</v>
      </c>
      <c r="G11" s="60" t="s">
        <v>50</v>
      </c>
      <c r="H11" s="63" t="s">
        <v>637</v>
      </c>
      <c r="I11" s="74" t="s">
        <v>47</v>
      </c>
      <c r="J11" s="63" t="s">
        <v>637</v>
      </c>
      <c r="K11" s="60" t="s">
        <v>50</v>
      </c>
      <c r="L11" s="63" t="s">
        <v>190</v>
      </c>
      <c r="M11" s="74" t="s">
        <v>47</v>
      </c>
      <c r="N11" s="63" t="s">
        <v>190</v>
      </c>
    </row>
    <row r="12" spans="1:17" x14ac:dyDescent="0.25">
      <c r="B12" s="20">
        <v>10</v>
      </c>
      <c r="C12" s="58" t="s">
        <v>79</v>
      </c>
      <c r="D12" s="57" t="s">
        <v>191</v>
      </c>
      <c r="E12" s="73" t="s">
        <v>83</v>
      </c>
      <c r="F12" s="57" t="s">
        <v>191</v>
      </c>
      <c r="G12" s="58" t="s">
        <v>79</v>
      </c>
      <c r="H12" s="57" t="s">
        <v>191</v>
      </c>
      <c r="I12" s="73" t="s">
        <v>83</v>
      </c>
      <c r="J12" s="57" t="s">
        <v>191</v>
      </c>
      <c r="K12" s="58" t="s">
        <v>79</v>
      </c>
      <c r="L12" s="57" t="s">
        <v>191</v>
      </c>
      <c r="M12" s="73" t="s">
        <v>83</v>
      </c>
      <c r="N12" s="57" t="s">
        <v>191</v>
      </c>
    </row>
    <row r="13" spans="1:17" x14ac:dyDescent="0.25">
      <c r="B13" s="20">
        <v>11</v>
      </c>
      <c r="C13" s="60" t="s">
        <v>79</v>
      </c>
      <c r="D13" s="63" t="s">
        <v>192</v>
      </c>
      <c r="E13" s="74" t="s">
        <v>83</v>
      </c>
      <c r="F13" s="63" t="s">
        <v>192</v>
      </c>
      <c r="G13" s="60" t="s">
        <v>79</v>
      </c>
      <c r="H13" s="63" t="s">
        <v>638</v>
      </c>
      <c r="I13" s="74" t="s">
        <v>83</v>
      </c>
      <c r="J13" s="63" t="s">
        <v>638</v>
      </c>
      <c r="K13" s="60" t="s">
        <v>79</v>
      </c>
      <c r="L13" s="63" t="s">
        <v>194</v>
      </c>
      <c r="M13" s="74" t="s">
        <v>83</v>
      </c>
      <c r="N13" s="63" t="s">
        <v>194</v>
      </c>
    </row>
    <row r="14" spans="1:17" x14ac:dyDescent="0.25">
      <c r="B14" s="20">
        <v>12</v>
      </c>
      <c r="C14" s="58" t="s">
        <v>81</v>
      </c>
      <c r="D14" s="57" t="s">
        <v>195</v>
      </c>
      <c r="E14" s="73" t="s">
        <v>84</v>
      </c>
      <c r="F14" s="57" t="s">
        <v>195</v>
      </c>
      <c r="G14" s="58" t="s">
        <v>81</v>
      </c>
      <c r="H14" s="57" t="s">
        <v>195</v>
      </c>
      <c r="I14" s="73" t="s">
        <v>84</v>
      </c>
      <c r="J14" s="57" t="s">
        <v>195</v>
      </c>
      <c r="K14" s="58" t="s">
        <v>81</v>
      </c>
      <c r="L14" s="57" t="s">
        <v>195</v>
      </c>
      <c r="M14" s="73" t="s">
        <v>84</v>
      </c>
      <c r="N14" s="57" t="s">
        <v>195</v>
      </c>
    </row>
    <row r="15" spans="1:17" x14ac:dyDescent="0.25">
      <c r="B15" s="20">
        <v>13</v>
      </c>
      <c r="C15" s="60" t="s">
        <v>81</v>
      </c>
      <c r="D15" s="63" t="s">
        <v>196</v>
      </c>
      <c r="E15" s="74" t="s">
        <v>84</v>
      </c>
      <c r="F15" s="63" t="s">
        <v>196</v>
      </c>
      <c r="G15" s="60" t="s">
        <v>81</v>
      </c>
      <c r="H15" s="216" t="s">
        <v>197</v>
      </c>
      <c r="I15" s="74" t="s">
        <v>84</v>
      </c>
      <c r="J15" s="63" t="s">
        <v>197</v>
      </c>
      <c r="K15" s="60" t="s">
        <v>81</v>
      </c>
      <c r="L15" s="63" t="s">
        <v>198</v>
      </c>
      <c r="M15" s="74" t="s">
        <v>84</v>
      </c>
      <c r="N15" s="63" t="s">
        <v>198</v>
      </c>
    </row>
    <row r="16" spans="1:17" x14ac:dyDescent="0.25">
      <c r="B16" s="20">
        <v>14</v>
      </c>
      <c r="C16" s="58" t="s">
        <v>83</v>
      </c>
      <c r="D16" s="57" t="s">
        <v>199</v>
      </c>
      <c r="E16" s="73" t="s">
        <v>79</v>
      </c>
      <c r="F16" s="57" t="s">
        <v>199</v>
      </c>
      <c r="G16" s="58" t="s">
        <v>83</v>
      </c>
      <c r="H16" s="57" t="s">
        <v>199</v>
      </c>
      <c r="I16" s="73" t="s">
        <v>79</v>
      </c>
      <c r="J16" s="57" t="s">
        <v>199</v>
      </c>
      <c r="K16" s="58" t="s">
        <v>83</v>
      </c>
      <c r="L16" s="57" t="s">
        <v>199</v>
      </c>
      <c r="M16" s="73" t="s">
        <v>79</v>
      </c>
      <c r="N16" s="57" t="s">
        <v>199</v>
      </c>
    </row>
    <row r="17" spans="1:16" x14ac:dyDescent="0.25">
      <c r="B17" s="20">
        <v>15</v>
      </c>
      <c r="C17" s="60" t="s">
        <v>83</v>
      </c>
      <c r="D17" s="63" t="s">
        <v>103</v>
      </c>
      <c r="E17" s="74" t="s">
        <v>79</v>
      </c>
      <c r="F17" s="63" t="s">
        <v>103</v>
      </c>
      <c r="G17" s="60" t="s">
        <v>83</v>
      </c>
      <c r="H17" s="63" t="s">
        <v>141</v>
      </c>
      <c r="I17" s="74" t="s">
        <v>79</v>
      </c>
      <c r="J17" s="63" t="s">
        <v>200</v>
      </c>
      <c r="K17" s="60" t="s">
        <v>83</v>
      </c>
      <c r="L17" s="63" t="s">
        <v>201</v>
      </c>
      <c r="M17" s="74" t="s">
        <v>79</v>
      </c>
      <c r="N17" s="63" t="s">
        <v>201</v>
      </c>
    </row>
    <row r="18" spans="1:16" x14ac:dyDescent="0.25">
      <c r="B18" s="20">
        <v>16</v>
      </c>
      <c r="C18" s="58" t="s">
        <v>84</v>
      </c>
      <c r="D18" s="185" t="s">
        <v>202</v>
      </c>
      <c r="E18" s="73" t="s">
        <v>81</v>
      </c>
      <c r="F18" s="185" t="s">
        <v>202</v>
      </c>
      <c r="G18" s="58" t="s">
        <v>84</v>
      </c>
      <c r="H18" s="215" t="s">
        <v>205</v>
      </c>
      <c r="I18" s="73" t="s">
        <v>81</v>
      </c>
      <c r="J18" s="185" t="s">
        <v>205</v>
      </c>
      <c r="K18" s="58" t="s">
        <v>84</v>
      </c>
      <c r="L18" s="185" t="s">
        <v>203</v>
      </c>
      <c r="M18" s="73" t="s">
        <v>81</v>
      </c>
      <c r="N18" s="185" t="s">
        <v>203</v>
      </c>
    </row>
    <row r="19" spans="1:16" x14ac:dyDescent="0.25">
      <c r="B19" s="20">
        <v>17</v>
      </c>
      <c r="C19" s="60" t="s">
        <v>84</v>
      </c>
      <c r="D19" s="63" t="s">
        <v>204</v>
      </c>
      <c r="E19" s="74" t="s">
        <v>81</v>
      </c>
      <c r="F19" s="63" t="s">
        <v>204</v>
      </c>
      <c r="G19" s="60" t="s">
        <v>84</v>
      </c>
      <c r="H19" s="63" t="s">
        <v>103</v>
      </c>
      <c r="I19" s="74" t="s">
        <v>81</v>
      </c>
      <c r="J19" s="63" t="s">
        <v>103</v>
      </c>
      <c r="K19" s="60" t="s">
        <v>84</v>
      </c>
      <c r="L19" s="63" t="s">
        <v>103</v>
      </c>
      <c r="M19" s="74" t="s">
        <v>81</v>
      </c>
      <c r="N19" s="63" t="s">
        <v>103</v>
      </c>
    </row>
    <row r="20" spans="1:16" x14ac:dyDescent="0.25">
      <c r="B20" s="20">
        <v>18</v>
      </c>
      <c r="C20" s="58" t="s">
        <v>105</v>
      </c>
      <c r="D20" s="57" t="s">
        <v>113</v>
      </c>
      <c r="E20" s="73" t="s">
        <v>109</v>
      </c>
      <c r="F20" s="57" t="s">
        <v>113</v>
      </c>
      <c r="G20" s="58" t="s">
        <v>105</v>
      </c>
      <c r="H20" s="57" t="s">
        <v>113</v>
      </c>
      <c r="I20" s="73" t="s">
        <v>109</v>
      </c>
      <c r="J20" s="57" t="s">
        <v>113</v>
      </c>
      <c r="K20" s="58" t="s">
        <v>105</v>
      </c>
      <c r="L20" s="57" t="s">
        <v>113</v>
      </c>
      <c r="M20" s="73" t="s">
        <v>109</v>
      </c>
      <c r="N20" s="57" t="s">
        <v>113</v>
      </c>
    </row>
    <row r="21" spans="1:16" x14ac:dyDescent="0.25">
      <c r="B21" s="20">
        <v>19</v>
      </c>
      <c r="C21" s="60" t="s">
        <v>105</v>
      </c>
      <c r="D21" s="63" t="s">
        <v>206</v>
      </c>
      <c r="E21" s="74" t="s">
        <v>109</v>
      </c>
      <c r="F21" s="63" t="s">
        <v>206</v>
      </c>
      <c r="G21" s="60" t="s">
        <v>105</v>
      </c>
      <c r="H21" s="216" t="s">
        <v>200</v>
      </c>
      <c r="I21" s="74" t="s">
        <v>109</v>
      </c>
      <c r="J21" s="63" t="s">
        <v>141</v>
      </c>
      <c r="K21" s="60" t="s">
        <v>105</v>
      </c>
      <c r="L21" s="216" t="s">
        <v>103</v>
      </c>
      <c r="M21" s="74" t="s">
        <v>109</v>
      </c>
      <c r="N21" s="63" t="s">
        <v>103</v>
      </c>
      <c r="P21" s="219" t="s">
        <v>207</v>
      </c>
    </row>
    <row r="22" spans="1:16" x14ac:dyDescent="0.25">
      <c r="B22" s="20">
        <v>20</v>
      </c>
      <c r="C22" s="58" t="s">
        <v>107</v>
      </c>
      <c r="D22" s="57" t="s">
        <v>208</v>
      </c>
      <c r="E22" s="73" t="s">
        <v>110</v>
      </c>
      <c r="F22" s="57" t="s">
        <v>208</v>
      </c>
      <c r="G22" s="58" t="s">
        <v>107</v>
      </c>
      <c r="H22" s="57" t="s">
        <v>208</v>
      </c>
      <c r="I22" s="73" t="s">
        <v>110</v>
      </c>
      <c r="J22" s="57" t="s">
        <v>208</v>
      </c>
      <c r="K22" s="58" t="s">
        <v>107</v>
      </c>
      <c r="L22" s="57" t="s">
        <v>208</v>
      </c>
      <c r="M22" s="73" t="s">
        <v>110</v>
      </c>
      <c r="N22" s="57" t="s">
        <v>208</v>
      </c>
    </row>
    <row r="23" spans="1:16" x14ac:dyDescent="0.25">
      <c r="A23" s="8"/>
      <c r="B23" s="20">
        <v>21</v>
      </c>
      <c r="C23" s="60" t="s">
        <v>107</v>
      </c>
      <c r="D23" s="63" t="s">
        <v>103</v>
      </c>
      <c r="E23" s="74" t="s">
        <v>110</v>
      </c>
      <c r="F23" s="63" t="s">
        <v>103</v>
      </c>
      <c r="G23" s="60" t="s">
        <v>107</v>
      </c>
      <c r="H23" s="63" t="s">
        <v>140</v>
      </c>
      <c r="I23" s="74" t="s">
        <v>110</v>
      </c>
      <c r="J23" s="63" t="s">
        <v>103</v>
      </c>
      <c r="K23" s="60" t="s">
        <v>107</v>
      </c>
      <c r="L23" s="63" t="s">
        <v>209</v>
      </c>
      <c r="M23" s="74" t="s">
        <v>110</v>
      </c>
      <c r="N23" s="63" t="s">
        <v>209</v>
      </c>
    </row>
    <row r="24" spans="1:16" x14ac:dyDescent="0.25">
      <c r="A24" s="8"/>
      <c r="B24" s="20">
        <v>22</v>
      </c>
      <c r="C24" s="58" t="s">
        <v>109</v>
      </c>
      <c r="D24" s="57" t="s">
        <v>210</v>
      </c>
      <c r="E24" s="73" t="s">
        <v>105</v>
      </c>
      <c r="F24" s="57" t="s">
        <v>210</v>
      </c>
      <c r="G24" s="58" t="s">
        <v>109</v>
      </c>
      <c r="H24" s="57" t="s">
        <v>210</v>
      </c>
      <c r="I24" s="73" t="s">
        <v>105</v>
      </c>
      <c r="J24" s="57" t="s">
        <v>210</v>
      </c>
      <c r="K24" s="58" t="s">
        <v>109</v>
      </c>
      <c r="L24" s="57" t="s">
        <v>210</v>
      </c>
      <c r="M24" s="73" t="s">
        <v>105</v>
      </c>
      <c r="N24" s="57" t="s">
        <v>210</v>
      </c>
      <c r="P24" t="s">
        <v>692</v>
      </c>
    </row>
    <row r="25" spans="1:16" x14ac:dyDescent="0.25">
      <c r="A25" s="8"/>
      <c r="B25" s="20">
        <v>23</v>
      </c>
      <c r="C25" s="60" t="s">
        <v>109</v>
      </c>
      <c r="D25" s="55" t="s">
        <v>211</v>
      </c>
      <c r="E25" s="74" t="s">
        <v>105</v>
      </c>
      <c r="F25" s="55" t="s">
        <v>211</v>
      </c>
      <c r="G25" s="60" t="s">
        <v>109</v>
      </c>
      <c r="H25" s="55" t="s">
        <v>211</v>
      </c>
      <c r="I25" s="74" t="s">
        <v>105</v>
      </c>
      <c r="J25" s="55" t="s">
        <v>211</v>
      </c>
      <c r="K25" s="60" t="s">
        <v>109</v>
      </c>
      <c r="L25" s="55" t="s">
        <v>211</v>
      </c>
      <c r="M25" s="74" t="s">
        <v>105</v>
      </c>
      <c r="N25" s="55" t="s">
        <v>211</v>
      </c>
    </row>
    <row r="26" spans="1:16" x14ac:dyDescent="0.25">
      <c r="A26" s="8"/>
      <c r="B26" s="20">
        <v>24</v>
      </c>
      <c r="C26" s="58" t="s">
        <v>110</v>
      </c>
      <c r="D26" s="185" t="s">
        <v>122</v>
      </c>
      <c r="E26" s="73" t="s">
        <v>107</v>
      </c>
      <c r="F26" s="185" t="s">
        <v>122</v>
      </c>
      <c r="G26" s="58" t="s">
        <v>110</v>
      </c>
      <c r="H26" s="185" t="s">
        <v>103</v>
      </c>
      <c r="I26" s="73" t="s">
        <v>107</v>
      </c>
      <c r="J26" s="185" t="s">
        <v>140</v>
      </c>
      <c r="K26" s="58" t="s">
        <v>110</v>
      </c>
      <c r="L26" s="215" t="s">
        <v>115</v>
      </c>
      <c r="M26" s="73" t="s">
        <v>107</v>
      </c>
      <c r="N26" s="185" t="s">
        <v>115</v>
      </c>
      <c r="P26" t="s">
        <v>212</v>
      </c>
    </row>
    <row r="27" spans="1:16" x14ac:dyDescent="0.25">
      <c r="A27" s="8"/>
      <c r="B27" s="20">
        <v>25</v>
      </c>
      <c r="C27" s="60" t="s">
        <v>110</v>
      </c>
      <c r="D27" s="63" t="s">
        <v>103</v>
      </c>
      <c r="E27" s="74" t="s">
        <v>107</v>
      </c>
      <c r="F27" s="63" t="s">
        <v>103</v>
      </c>
      <c r="G27" s="60" t="s">
        <v>110</v>
      </c>
      <c r="H27" s="63" t="s">
        <v>103</v>
      </c>
      <c r="I27" s="74" t="s">
        <v>107</v>
      </c>
      <c r="J27" s="63" t="s">
        <v>103</v>
      </c>
      <c r="K27" s="60" t="s">
        <v>110</v>
      </c>
      <c r="L27" s="63" t="s">
        <v>103</v>
      </c>
      <c r="M27" s="74" t="s">
        <v>107</v>
      </c>
      <c r="N27" s="218" t="s">
        <v>213</v>
      </c>
      <c r="P27" t="s">
        <v>694</v>
      </c>
    </row>
    <row r="28" spans="1:16" x14ac:dyDescent="0.25">
      <c r="A28" s="8"/>
      <c r="B28" s="20">
        <v>26</v>
      </c>
      <c r="C28" s="58" t="s">
        <v>123</v>
      </c>
      <c r="D28" s="79" t="s">
        <v>214</v>
      </c>
      <c r="E28" s="75" t="s">
        <v>127</v>
      </c>
      <c r="F28" s="79" t="s">
        <v>214</v>
      </c>
      <c r="G28" s="58" t="s">
        <v>123</v>
      </c>
      <c r="H28" s="79" t="s">
        <v>215</v>
      </c>
      <c r="I28" s="75" t="s">
        <v>127</v>
      </c>
      <c r="J28" s="79" t="s">
        <v>215</v>
      </c>
      <c r="K28" s="58" t="s">
        <v>123</v>
      </c>
      <c r="L28" s="79" t="s">
        <v>216</v>
      </c>
      <c r="M28" s="75" t="s">
        <v>127</v>
      </c>
      <c r="N28" s="79" t="s">
        <v>216</v>
      </c>
    </row>
    <row r="29" spans="1:16" x14ac:dyDescent="0.25">
      <c r="A29" s="8"/>
      <c r="B29" s="20">
        <v>27</v>
      </c>
      <c r="C29" s="60" t="s">
        <v>123</v>
      </c>
      <c r="D29" s="63" t="s">
        <v>217</v>
      </c>
      <c r="E29" s="74" t="s">
        <v>127</v>
      </c>
      <c r="F29" s="63" t="s">
        <v>217</v>
      </c>
      <c r="G29" s="60" t="s">
        <v>123</v>
      </c>
      <c r="H29" s="63" t="s">
        <v>103</v>
      </c>
      <c r="I29" s="74" t="s">
        <v>127</v>
      </c>
      <c r="J29" s="63" t="s">
        <v>103</v>
      </c>
      <c r="K29" s="60" t="s">
        <v>123</v>
      </c>
      <c r="L29" s="63" t="s">
        <v>103</v>
      </c>
      <c r="M29" s="74" t="s">
        <v>127</v>
      </c>
      <c r="N29" s="63" t="s">
        <v>103</v>
      </c>
    </row>
    <row r="30" spans="1:16" x14ac:dyDescent="0.25">
      <c r="A30" s="8"/>
      <c r="B30" s="20">
        <v>28</v>
      </c>
      <c r="C30" s="58" t="s">
        <v>125</v>
      </c>
      <c r="D30" s="185" t="s">
        <v>103</v>
      </c>
      <c r="E30" s="73" t="s">
        <v>128</v>
      </c>
      <c r="F30" s="185" t="s">
        <v>103</v>
      </c>
      <c r="G30" s="58" t="s">
        <v>125</v>
      </c>
      <c r="H30" s="185" t="s">
        <v>218</v>
      </c>
      <c r="I30" s="73" t="s">
        <v>128</v>
      </c>
      <c r="J30" s="185" t="s">
        <v>218</v>
      </c>
      <c r="K30" s="58" t="s">
        <v>125</v>
      </c>
      <c r="L30" s="185" t="s">
        <v>213</v>
      </c>
      <c r="M30" s="73" t="s">
        <v>128</v>
      </c>
      <c r="N30" s="217" t="s">
        <v>103</v>
      </c>
    </row>
    <row r="31" spans="1:16" x14ac:dyDescent="0.25">
      <c r="A31" s="8"/>
      <c r="B31" s="20">
        <v>29</v>
      </c>
      <c r="C31" s="60" t="s">
        <v>125</v>
      </c>
      <c r="D31" s="55" t="s">
        <v>126</v>
      </c>
      <c r="E31" s="74" t="s">
        <v>128</v>
      </c>
      <c r="F31" s="55" t="s">
        <v>126</v>
      </c>
      <c r="G31" s="60" t="s">
        <v>125</v>
      </c>
      <c r="H31" s="55" t="s">
        <v>126</v>
      </c>
      <c r="I31" s="74" t="s">
        <v>128</v>
      </c>
      <c r="J31" s="55" t="s">
        <v>126</v>
      </c>
      <c r="K31" s="60" t="s">
        <v>125</v>
      </c>
      <c r="L31" s="55" t="s">
        <v>126</v>
      </c>
      <c r="M31" s="74" t="s">
        <v>128</v>
      </c>
      <c r="N31" s="55" t="s">
        <v>126</v>
      </c>
    </row>
    <row r="32" spans="1:16" x14ac:dyDescent="0.25">
      <c r="A32" s="8"/>
      <c r="B32" s="20">
        <v>30</v>
      </c>
      <c r="C32" s="58" t="s">
        <v>127</v>
      </c>
      <c r="D32" s="57" t="s">
        <v>132</v>
      </c>
      <c r="E32" s="73" t="s">
        <v>123</v>
      </c>
      <c r="F32" s="57" t="s">
        <v>132</v>
      </c>
      <c r="G32" s="58" t="s">
        <v>127</v>
      </c>
      <c r="H32" s="57" t="s">
        <v>132</v>
      </c>
      <c r="I32" s="73" t="s">
        <v>123</v>
      </c>
      <c r="J32" s="57" t="s">
        <v>132</v>
      </c>
      <c r="K32" s="58" t="s">
        <v>127</v>
      </c>
      <c r="L32" s="57" t="s">
        <v>132</v>
      </c>
      <c r="M32" s="73" t="s">
        <v>123</v>
      </c>
      <c r="N32" s="57" t="s">
        <v>132</v>
      </c>
    </row>
    <row r="33" spans="1:14" x14ac:dyDescent="0.25">
      <c r="A33" s="8"/>
      <c r="B33" s="20">
        <v>31</v>
      </c>
      <c r="C33" s="60" t="s">
        <v>127</v>
      </c>
      <c r="D33" s="71" t="s">
        <v>133</v>
      </c>
      <c r="E33" s="186" t="s">
        <v>123</v>
      </c>
      <c r="F33" s="71" t="s">
        <v>133</v>
      </c>
      <c r="G33" s="60" t="s">
        <v>127</v>
      </c>
      <c r="H33" s="71" t="s">
        <v>133</v>
      </c>
      <c r="I33" s="186" t="s">
        <v>123</v>
      </c>
      <c r="J33" s="71" t="s">
        <v>133</v>
      </c>
      <c r="K33" s="60" t="s">
        <v>127</v>
      </c>
      <c r="L33" s="71" t="s">
        <v>133</v>
      </c>
      <c r="M33" s="186" t="s">
        <v>123</v>
      </c>
      <c r="N33" s="71" t="s">
        <v>133</v>
      </c>
    </row>
    <row r="34" spans="1:14" x14ac:dyDescent="0.25">
      <c r="A34" s="8"/>
      <c r="B34" s="20">
        <v>32</v>
      </c>
      <c r="C34" s="58" t="s">
        <v>128</v>
      </c>
      <c r="D34" s="57"/>
      <c r="E34" s="73" t="s">
        <v>125</v>
      </c>
      <c r="F34" s="57"/>
      <c r="G34" s="58" t="s">
        <v>128</v>
      </c>
      <c r="H34" s="57"/>
      <c r="I34" s="73" t="s">
        <v>125</v>
      </c>
      <c r="J34" s="57"/>
      <c r="K34" s="58" t="s">
        <v>128</v>
      </c>
      <c r="L34" s="57"/>
      <c r="M34" s="73" t="s">
        <v>125</v>
      </c>
      <c r="N34" s="57"/>
    </row>
    <row r="35" spans="1:14" x14ac:dyDescent="0.25">
      <c r="A35" s="8"/>
      <c r="B35" s="20">
        <v>33</v>
      </c>
      <c r="C35" s="60" t="s">
        <v>128</v>
      </c>
      <c r="D35" s="55"/>
      <c r="E35" s="74" t="s">
        <v>125</v>
      </c>
      <c r="F35" s="55"/>
      <c r="G35" s="60" t="s">
        <v>128</v>
      </c>
      <c r="H35" s="55"/>
      <c r="I35" s="74" t="s">
        <v>125</v>
      </c>
      <c r="J35" s="55"/>
      <c r="K35" s="60" t="s">
        <v>128</v>
      </c>
      <c r="L35" s="55"/>
      <c r="M35" s="74" t="s">
        <v>125</v>
      </c>
      <c r="N35" s="55"/>
    </row>
    <row r="36" spans="1:14" x14ac:dyDescent="0.25">
      <c r="B36" s="20">
        <v>34</v>
      </c>
      <c r="C36" s="187"/>
      <c r="D36" s="188" t="s">
        <v>192</v>
      </c>
      <c r="E36" s="187"/>
      <c r="F36" s="81" t="str">
        <f>D36</f>
        <v>AC-ARVA1</v>
      </c>
      <c r="G36" s="187"/>
      <c r="H36" s="188" t="s">
        <v>219</v>
      </c>
      <c r="I36" s="187"/>
      <c r="J36" s="81" t="str">
        <f>H36</f>
        <v>Opt-ENGL1</v>
      </c>
      <c r="K36" s="187"/>
      <c r="L36" s="188" t="s">
        <v>201</v>
      </c>
      <c r="M36" s="187"/>
      <c r="N36" s="81" t="str">
        <f t="shared" ref="N36:N58" si="0">L36</f>
        <v>AC-HSGE11</v>
      </c>
    </row>
    <row r="37" spans="1:14" x14ac:dyDescent="0.25">
      <c r="B37" s="20">
        <v>35</v>
      </c>
      <c r="C37" s="189"/>
      <c r="D37" s="190" t="s">
        <v>220</v>
      </c>
      <c r="E37" s="189"/>
      <c r="F37" s="81" t="str">
        <f t="shared" ref="F37:F54" si="1">D37</f>
        <v>VISA2011</v>
      </c>
      <c r="G37" s="189"/>
      <c r="H37" s="190" t="s">
        <v>152</v>
      </c>
      <c r="I37" s="189"/>
      <c r="J37" s="81" t="str">
        <f t="shared" ref="J37:J49" si="2">H37</f>
        <v>CTED4004</v>
      </c>
      <c r="K37" s="189"/>
      <c r="L37" s="190" t="s">
        <v>221</v>
      </c>
      <c r="M37" s="189"/>
      <c r="N37" s="81" t="str">
        <f t="shared" si="0"/>
        <v>GEOG2005</v>
      </c>
    </row>
    <row r="38" spans="1:14" x14ac:dyDescent="0.25">
      <c r="A38" s="8"/>
      <c r="B38" s="20">
        <v>36</v>
      </c>
      <c r="C38" s="59"/>
      <c r="D38" s="56" t="s">
        <v>222</v>
      </c>
      <c r="E38" s="59"/>
      <c r="F38" s="81" t="str">
        <f t="shared" si="1"/>
        <v>VISA2012</v>
      </c>
      <c r="G38" s="59"/>
      <c r="H38" s="56" t="s">
        <v>153</v>
      </c>
      <c r="I38" s="59"/>
      <c r="J38" s="81" t="str">
        <f t="shared" si="2"/>
        <v>CTED4007</v>
      </c>
      <c r="K38" s="59"/>
      <c r="L38" s="56" t="s">
        <v>223</v>
      </c>
      <c r="M38" s="59"/>
      <c r="N38" s="81" t="str">
        <f t="shared" si="0"/>
        <v>PHGY2001</v>
      </c>
    </row>
    <row r="39" spans="1:14" x14ac:dyDescent="0.25">
      <c r="A39" s="8"/>
      <c r="B39" s="20">
        <v>37</v>
      </c>
      <c r="C39" s="59"/>
      <c r="D39" s="56" t="s">
        <v>224</v>
      </c>
      <c r="E39" s="59"/>
      <c r="F39" s="81" t="str">
        <f t="shared" si="1"/>
        <v xml:space="preserve"> </v>
      </c>
      <c r="G39" s="59"/>
      <c r="H39" s="56" t="s">
        <v>154</v>
      </c>
      <c r="I39" s="59"/>
      <c r="J39" s="81" t="str">
        <f t="shared" si="2"/>
        <v>CTED4009</v>
      </c>
      <c r="K39" s="59"/>
      <c r="L39" s="56" t="s">
        <v>209</v>
      </c>
      <c r="M39" s="59"/>
      <c r="N39" s="81" t="str">
        <f t="shared" si="0"/>
        <v>AC-HSGE12</v>
      </c>
    </row>
    <row r="40" spans="1:14" x14ac:dyDescent="0.25">
      <c r="A40" s="8"/>
      <c r="B40" s="20">
        <v>38</v>
      </c>
      <c r="C40" s="59"/>
      <c r="D40" s="56" t="s">
        <v>225</v>
      </c>
      <c r="E40" s="59"/>
      <c r="F40" s="81" t="str">
        <f t="shared" si="1"/>
        <v>Opt-ARVA1</v>
      </c>
      <c r="G40" s="59"/>
      <c r="H40" s="56" t="s">
        <v>136</v>
      </c>
      <c r="I40" s="59"/>
      <c r="J40" s="81" t="str">
        <f t="shared" si="2"/>
        <v>EDUC4026</v>
      </c>
      <c r="K40" s="59"/>
      <c r="L40" s="56" t="s">
        <v>226</v>
      </c>
      <c r="M40" s="59"/>
      <c r="N40" s="81" t="str">
        <f t="shared" si="0"/>
        <v>GEOG2003</v>
      </c>
    </row>
    <row r="41" spans="1:14" x14ac:dyDescent="0.25">
      <c r="A41" s="8"/>
      <c r="B41" s="20">
        <v>39</v>
      </c>
      <c r="C41" s="59"/>
      <c r="D41" s="56" t="s">
        <v>152</v>
      </c>
      <c r="E41" s="59"/>
      <c r="F41" s="81" t="str">
        <f t="shared" si="1"/>
        <v>CTED4004</v>
      </c>
      <c r="G41" s="59"/>
      <c r="H41" s="56" t="s">
        <v>144</v>
      </c>
      <c r="I41" s="59"/>
      <c r="J41" s="81" t="str">
        <f t="shared" si="2"/>
        <v>EDUC4028</v>
      </c>
      <c r="K41" s="59"/>
      <c r="L41" s="56" t="s">
        <v>227</v>
      </c>
      <c r="M41" s="59"/>
      <c r="N41" s="81" t="str">
        <f t="shared" si="0"/>
        <v>GEOG2004</v>
      </c>
    </row>
    <row r="42" spans="1:14" x14ac:dyDescent="0.25">
      <c r="A42" s="8"/>
      <c r="B42" s="20">
        <v>40</v>
      </c>
      <c r="C42" s="59"/>
      <c r="D42" s="56" t="s">
        <v>153</v>
      </c>
      <c r="E42" s="59"/>
      <c r="F42" s="81" t="str">
        <f t="shared" si="1"/>
        <v>CTED4007</v>
      </c>
      <c r="G42" s="59"/>
      <c r="H42" s="56" t="s">
        <v>148</v>
      </c>
      <c r="I42" s="59"/>
      <c r="J42" s="81" t="str">
        <f t="shared" si="2"/>
        <v>EDUC4030</v>
      </c>
      <c r="K42" s="59"/>
      <c r="L42" s="56" t="s">
        <v>216</v>
      </c>
      <c r="M42" s="59"/>
      <c r="N42" s="81" t="str">
        <f t="shared" si="0"/>
        <v>AC-HSGE13</v>
      </c>
    </row>
    <row r="43" spans="1:14" x14ac:dyDescent="0.25">
      <c r="A43" s="8"/>
      <c r="B43" s="20">
        <v>41</v>
      </c>
      <c r="C43" s="59"/>
      <c r="D43" s="56" t="s">
        <v>154</v>
      </c>
      <c r="E43" s="59"/>
      <c r="F43" s="81" t="str">
        <f t="shared" si="1"/>
        <v>CTED4009</v>
      </c>
      <c r="G43" s="59"/>
      <c r="H43" s="56" t="s">
        <v>137</v>
      </c>
      <c r="I43" s="59"/>
      <c r="J43" s="81" t="str">
        <f t="shared" si="2"/>
        <v>EDUC4033</v>
      </c>
      <c r="K43" s="59"/>
      <c r="L43" s="56" t="s">
        <v>228</v>
      </c>
      <c r="M43" s="59"/>
      <c r="N43" s="81" t="str">
        <f t="shared" si="0"/>
        <v>GEOG3002</v>
      </c>
    </row>
    <row r="44" spans="1:14" x14ac:dyDescent="0.25">
      <c r="A44" s="8"/>
      <c r="B44" s="20">
        <v>42</v>
      </c>
      <c r="C44" s="59"/>
      <c r="D44" s="56" t="s">
        <v>140</v>
      </c>
      <c r="E44" s="59"/>
      <c r="F44" s="81" t="str">
        <f t="shared" si="1"/>
        <v>EDUC4024</v>
      </c>
      <c r="G44" s="59"/>
      <c r="H44" s="56" t="s">
        <v>138</v>
      </c>
      <c r="I44" s="59"/>
      <c r="J44" s="81" t="str">
        <f t="shared" si="2"/>
        <v>EDUC4035</v>
      </c>
      <c r="K44" s="59"/>
      <c r="L44" s="56" t="s">
        <v>229</v>
      </c>
      <c r="M44" s="59"/>
      <c r="N44" s="81" t="str">
        <f t="shared" si="0"/>
        <v>PHGY3001</v>
      </c>
    </row>
    <row r="45" spans="1:14" x14ac:dyDescent="0.25">
      <c r="A45" s="8"/>
      <c r="B45" s="20">
        <v>43</v>
      </c>
      <c r="C45" s="59"/>
      <c r="D45" s="56" t="s">
        <v>141</v>
      </c>
      <c r="E45" s="59"/>
      <c r="F45" s="81" t="str">
        <f t="shared" si="1"/>
        <v>EDUC4025</v>
      </c>
      <c r="G45" s="59"/>
      <c r="H45" s="56" t="s">
        <v>142</v>
      </c>
      <c r="I45" s="59"/>
      <c r="J45" s="81" t="str">
        <f t="shared" si="2"/>
        <v>EDUC4037</v>
      </c>
      <c r="K45" s="59"/>
      <c r="L45" s="56" t="s">
        <v>224</v>
      </c>
      <c r="M45" s="59"/>
      <c r="N45" s="81" t="str">
        <f t="shared" si="0"/>
        <v xml:space="preserve"> </v>
      </c>
    </row>
    <row r="46" spans="1:14" x14ac:dyDescent="0.25">
      <c r="A46" s="8"/>
      <c r="B46" s="20">
        <v>44</v>
      </c>
      <c r="C46" s="59"/>
      <c r="D46" s="56" t="s">
        <v>136</v>
      </c>
      <c r="E46" s="59"/>
      <c r="F46" s="81" t="str">
        <f t="shared" si="1"/>
        <v>EDUC4026</v>
      </c>
      <c r="G46" s="59"/>
      <c r="H46" s="56" t="s">
        <v>149</v>
      </c>
      <c r="I46" s="59"/>
      <c r="J46" s="81" t="str">
        <f t="shared" si="2"/>
        <v>EDUC4039</v>
      </c>
      <c r="K46" s="59"/>
      <c r="L46" s="56" t="s">
        <v>230</v>
      </c>
      <c r="M46" s="59"/>
      <c r="N46" s="81" t="str">
        <f t="shared" si="0"/>
        <v>Opt-HSGE1</v>
      </c>
    </row>
    <row r="47" spans="1:14" x14ac:dyDescent="0.25">
      <c r="A47" s="8"/>
      <c r="B47" s="20">
        <v>45</v>
      </c>
      <c r="C47" s="59"/>
      <c r="D47" s="56" t="s">
        <v>144</v>
      </c>
      <c r="E47" s="59"/>
      <c r="F47" s="81" t="str">
        <f t="shared" si="1"/>
        <v>EDUC4028</v>
      </c>
      <c r="G47" s="59"/>
      <c r="H47" s="56" t="s">
        <v>145</v>
      </c>
      <c r="I47" s="59"/>
      <c r="J47" s="81" t="str">
        <f t="shared" si="2"/>
        <v>EDUC4043</v>
      </c>
      <c r="K47" s="59"/>
      <c r="L47" s="56" t="s">
        <v>152</v>
      </c>
      <c r="M47" s="59"/>
      <c r="N47" s="81" t="str">
        <f t="shared" si="0"/>
        <v>CTED4004</v>
      </c>
    </row>
    <row r="48" spans="1:14" x14ac:dyDescent="0.25">
      <c r="A48" s="8"/>
      <c r="B48" s="20">
        <v>46</v>
      </c>
      <c r="C48" s="59"/>
      <c r="D48" s="56" t="s">
        <v>148</v>
      </c>
      <c r="E48" s="59"/>
      <c r="F48" s="81" t="str">
        <f t="shared" si="1"/>
        <v>EDUC4030</v>
      </c>
      <c r="G48" s="59"/>
      <c r="H48" s="56" t="s">
        <v>146</v>
      </c>
      <c r="I48" s="59"/>
      <c r="J48" s="81" t="str">
        <f t="shared" si="2"/>
        <v>EDUC4045</v>
      </c>
      <c r="K48" s="59"/>
      <c r="L48" s="56" t="s">
        <v>153</v>
      </c>
      <c r="M48" s="59"/>
      <c r="N48" s="81" t="str">
        <f t="shared" si="0"/>
        <v>CTED4007</v>
      </c>
    </row>
    <row r="49" spans="1:14" x14ac:dyDescent="0.25">
      <c r="A49" s="8"/>
      <c r="B49" s="20">
        <v>47</v>
      </c>
      <c r="C49" s="59"/>
      <c r="D49" s="56" t="s">
        <v>137</v>
      </c>
      <c r="E49" s="59"/>
      <c r="F49" s="81" t="str">
        <f t="shared" si="1"/>
        <v>EDUC4033</v>
      </c>
      <c r="G49" s="59"/>
      <c r="H49" s="56" t="s">
        <v>150</v>
      </c>
      <c r="I49" s="59"/>
      <c r="J49" s="81" t="str">
        <f t="shared" si="2"/>
        <v>EDUC4047</v>
      </c>
      <c r="K49" s="59"/>
      <c r="L49" s="56" t="s">
        <v>154</v>
      </c>
      <c r="M49" s="59"/>
      <c r="N49" s="81" t="str">
        <f t="shared" si="0"/>
        <v>CTED4009</v>
      </c>
    </row>
    <row r="50" spans="1:14" x14ac:dyDescent="0.25">
      <c r="A50" s="8"/>
      <c r="B50" s="20">
        <v>48</v>
      </c>
      <c r="C50" s="59"/>
      <c r="D50" s="56" t="s">
        <v>138</v>
      </c>
      <c r="E50" s="59"/>
      <c r="F50" s="81" t="str">
        <f t="shared" si="1"/>
        <v>EDUC4035</v>
      </c>
      <c r="G50" s="59"/>
      <c r="H50" s="56"/>
      <c r="I50" s="59"/>
      <c r="J50" s="81"/>
      <c r="K50" s="59"/>
      <c r="L50" s="56" t="s">
        <v>140</v>
      </c>
      <c r="M50" s="59"/>
      <c r="N50" s="81" t="str">
        <f t="shared" si="0"/>
        <v>EDUC4024</v>
      </c>
    </row>
    <row r="51" spans="1:14" x14ac:dyDescent="0.25">
      <c r="A51" s="8"/>
      <c r="B51" s="20">
        <v>49</v>
      </c>
      <c r="C51" s="59"/>
      <c r="D51" s="56" t="s">
        <v>142</v>
      </c>
      <c r="E51" s="59"/>
      <c r="F51" s="81" t="str">
        <f t="shared" si="1"/>
        <v>EDUC4037</v>
      </c>
      <c r="G51" s="59"/>
      <c r="H51" s="56"/>
      <c r="I51" s="59"/>
      <c r="J51" s="81"/>
      <c r="K51" s="59"/>
      <c r="L51" s="56" t="s">
        <v>141</v>
      </c>
      <c r="M51" s="59"/>
      <c r="N51" s="81" t="str">
        <f t="shared" si="0"/>
        <v>EDUC4025</v>
      </c>
    </row>
    <row r="52" spans="1:14" x14ac:dyDescent="0.25">
      <c r="A52" s="8"/>
      <c r="B52" s="20">
        <v>50</v>
      </c>
      <c r="C52" s="59"/>
      <c r="D52" s="56" t="s">
        <v>149</v>
      </c>
      <c r="E52" s="59"/>
      <c r="F52" s="81" t="str">
        <f t="shared" si="1"/>
        <v>EDUC4039</v>
      </c>
      <c r="G52" s="59"/>
      <c r="H52" s="56"/>
      <c r="I52" s="59"/>
      <c r="J52" s="81"/>
      <c r="K52" s="59"/>
      <c r="L52" s="56" t="s">
        <v>136</v>
      </c>
      <c r="M52" s="59"/>
      <c r="N52" s="81" t="str">
        <f t="shared" si="0"/>
        <v>EDUC4026</v>
      </c>
    </row>
    <row r="53" spans="1:14" x14ac:dyDescent="0.25">
      <c r="A53" s="8"/>
      <c r="B53" s="20">
        <v>51</v>
      </c>
      <c r="C53" s="59"/>
      <c r="D53" s="56" t="s">
        <v>145</v>
      </c>
      <c r="E53" s="59"/>
      <c r="F53" s="81" t="str">
        <f t="shared" si="1"/>
        <v>EDUC4043</v>
      </c>
      <c r="G53" s="59"/>
      <c r="H53" s="56"/>
      <c r="I53" s="59"/>
      <c r="J53" s="81"/>
      <c r="K53" s="59"/>
      <c r="L53" s="56" t="s">
        <v>148</v>
      </c>
      <c r="M53" s="59"/>
      <c r="N53" s="81" t="str">
        <f t="shared" si="0"/>
        <v>EDUC4030</v>
      </c>
    </row>
    <row r="54" spans="1:14" x14ac:dyDescent="0.25">
      <c r="A54" s="8"/>
      <c r="B54" s="20">
        <v>52</v>
      </c>
      <c r="C54" s="59"/>
      <c r="D54" s="56" t="s">
        <v>146</v>
      </c>
      <c r="E54" s="59"/>
      <c r="F54" s="81" t="str">
        <f t="shared" si="1"/>
        <v>EDUC4045</v>
      </c>
      <c r="G54" s="59"/>
      <c r="H54" s="56"/>
      <c r="I54" s="59"/>
      <c r="J54" s="81"/>
      <c r="K54" s="59"/>
      <c r="L54" s="56" t="s">
        <v>137</v>
      </c>
      <c r="M54" s="59"/>
      <c r="N54" s="81" t="str">
        <f t="shared" si="0"/>
        <v>EDUC4033</v>
      </c>
    </row>
    <row r="55" spans="1:14" x14ac:dyDescent="0.25">
      <c r="A55" s="8"/>
      <c r="B55" s="20">
        <v>53</v>
      </c>
      <c r="C55" s="59"/>
      <c r="D55" s="56" t="s">
        <v>150</v>
      </c>
      <c r="E55" s="59"/>
      <c r="F55" s="81"/>
      <c r="G55" s="59"/>
      <c r="H55" s="56"/>
      <c r="I55" s="59"/>
      <c r="J55" s="81"/>
      <c r="K55" s="59"/>
      <c r="L55" s="56" t="s">
        <v>138</v>
      </c>
      <c r="M55" s="59"/>
      <c r="N55" s="81" t="str">
        <f t="shared" si="0"/>
        <v>EDUC4035</v>
      </c>
    </row>
    <row r="56" spans="1:14" x14ac:dyDescent="0.25">
      <c r="A56" s="8"/>
      <c r="B56" s="20">
        <v>54</v>
      </c>
      <c r="C56" s="59"/>
      <c r="D56" s="56"/>
      <c r="E56" s="59"/>
      <c r="F56" s="81"/>
      <c r="G56" s="59"/>
      <c r="H56" s="56"/>
      <c r="I56" s="59"/>
      <c r="J56" s="81"/>
      <c r="K56" s="59"/>
      <c r="L56" s="56" t="s">
        <v>142</v>
      </c>
      <c r="M56" s="59"/>
      <c r="N56" s="81" t="str">
        <f t="shared" si="0"/>
        <v>EDUC4037</v>
      </c>
    </row>
    <row r="57" spans="1:14" x14ac:dyDescent="0.25">
      <c r="A57" s="8"/>
      <c r="B57" s="20">
        <v>55</v>
      </c>
      <c r="C57" s="59"/>
      <c r="D57" s="56"/>
      <c r="E57" s="59"/>
      <c r="F57" s="81"/>
      <c r="G57" s="59"/>
      <c r="H57" s="56"/>
      <c r="I57" s="59"/>
      <c r="J57" s="81"/>
      <c r="K57" s="59"/>
      <c r="L57" s="56" t="s">
        <v>149</v>
      </c>
      <c r="M57" s="59"/>
      <c r="N57" s="81" t="str">
        <f t="shared" si="0"/>
        <v>EDUC4039</v>
      </c>
    </row>
    <row r="58" spans="1:14" x14ac:dyDescent="0.25">
      <c r="A58" s="8"/>
      <c r="B58" s="20">
        <v>56</v>
      </c>
      <c r="C58" s="59"/>
      <c r="D58" s="56"/>
      <c r="E58" s="59"/>
      <c r="F58" s="81"/>
      <c r="G58" s="59"/>
      <c r="H58" s="56"/>
      <c r="I58" s="59"/>
      <c r="J58" s="81"/>
      <c r="K58" s="59"/>
      <c r="L58" s="56" t="s">
        <v>145</v>
      </c>
      <c r="M58" s="59"/>
      <c r="N58" s="81" t="str">
        <f t="shared" si="0"/>
        <v>EDUC4043</v>
      </c>
    </row>
    <row r="59" spans="1:14" x14ac:dyDescent="0.25">
      <c r="A59" s="8"/>
      <c r="B59" s="20">
        <v>57</v>
      </c>
      <c r="C59" s="59"/>
      <c r="D59" s="56"/>
      <c r="E59" s="59"/>
      <c r="F59" s="81"/>
      <c r="G59" s="59"/>
      <c r="H59" s="56"/>
      <c r="I59" s="59"/>
      <c r="J59" s="81"/>
      <c r="K59" s="59"/>
      <c r="L59" s="56" t="s">
        <v>146</v>
      </c>
      <c r="M59" s="59"/>
      <c r="N59" s="81" t="str">
        <f t="shared" ref="N59:N60" si="3">L59</f>
        <v>EDUC4045</v>
      </c>
    </row>
    <row r="60" spans="1:14" x14ac:dyDescent="0.25">
      <c r="A60" s="8"/>
      <c r="B60" s="20">
        <v>58</v>
      </c>
      <c r="C60" s="60"/>
      <c r="D60" s="55"/>
      <c r="E60" s="60"/>
      <c r="F60" s="82"/>
      <c r="G60" s="60"/>
      <c r="H60" s="55"/>
      <c r="I60" s="60"/>
      <c r="J60" s="82"/>
      <c r="K60" s="60"/>
      <c r="L60" s="55" t="s">
        <v>150</v>
      </c>
      <c r="M60" s="60"/>
      <c r="N60" s="82" t="str">
        <f t="shared" si="3"/>
        <v>EDUC4047</v>
      </c>
    </row>
    <row r="61" spans="1:14" x14ac:dyDescent="0.25">
      <c r="A61" s="8"/>
      <c r="B61" s="20"/>
      <c r="C61" s="3"/>
      <c r="D61" s="3"/>
      <c r="E61" s="3"/>
      <c r="F61" s="184"/>
      <c r="G61" s="3"/>
      <c r="H61" s="3"/>
      <c r="I61" s="3"/>
      <c r="J61" s="184"/>
      <c r="K61" s="3"/>
      <c r="L61" s="3"/>
      <c r="M61" s="3"/>
      <c r="N61" s="184"/>
    </row>
    <row r="62" spans="1:14" x14ac:dyDescent="0.25">
      <c r="A62" s="8"/>
      <c r="B62" s="20"/>
      <c r="C62" s="3"/>
      <c r="D62" s="3"/>
      <c r="E62" s="3"/>
      <c r="F62" s="184"/>
      <c r="G62" s="3"/>
      <c r="H62" s="3"/>
      <c r="I62" s="3"/>
      <c r="J62" s="184"/>
      <c r="K62" s="3"/>
      <c r="L62" s="3"/>
      <c r="M62" s="3"/>
      <c r="N62" s="184"/>
    </row>
    <row r="63" spans="1:14" x14ac:dyDescent="0.25">
      <c r="C63" t="s">
        <v>695</v>
      </c>
    </row>
    <row r="64" spans="1:14" x14ac:dyDescent="0.25">
      <c r="A64" s="46" t="s">
        <v>231</v>
      </c>
      <c r="B64" s="3">
        <v>1</v>
      </c>
      <c r="C64" s="83" t="s">
        <v>74</v>
      </c>
    </row>
    <row r="65" spans="1:3" x14ac:dyDescent="0.25">
      <c r="A65" s="80"/>
      <c r="B65" s="20">
        <v>2</v>
      </c>
      <c r="C65" s="84" t="s">
        <v>135</v>
      </c>
    </row>
    <row r="66" spans="1:3" x14ac:dyDescent="0.25">
      <c r="B66" s="20">
        <v>3</v>
      </c>
      <c r="C66" s="85" t="s">
        <v>136</v>
      </c>
    </row>
    <row r="67" spans="1:3" x14ac:dyDescent="0.25">
      <c r="B67" s="20">
        <v>4</v>
      </c>
      <c r="C67" s="85" t="s">
        <v>137</v>
      </c>
    </row>
    <row r="68" spans="1:3" x14ac:dyDescent="0.25">
      <c r="B68" s="20">
        <v>5</v>
      </c>
      <c r="C68" s="85" t="s">
        <v>138</v>
      </c>
    </row>
    <row r="69" spans="1:3" x14ac:dyDescent="0.25">
      <c r="B69" s="20">
        <v>6</v>
      </c>
      <c r="C69" s="85" t="s">
        <v>139</v>
      </c>
    </row>
    <row r="70" spans="1:3" x14ac:dyDescent="0.25">
      <c r="B70" s="20">
        <v>7</v>
      </c>
      <c r="C70" s="85" t="s">
        <v>140</v>
      </c>
    </row>
    <row r="71" spans="1:3" x14ac:dyDescent="0.25">
      <c r="B71" s="20">
        <v>8</v>
      </c>
      <c r="C71" s="85" t="s">
        <v>141</v>
      </c>
    </row>
    <row r="72" spans="1:3" x14ac:dyDescent="0.25">
      <c r="B72" s="20">
        <v>9</v>
      </c>
      <c r="C72" s="85" t="s">
        <v>142</v>
      </c>
    </row>
    <row r="73" spans="1:3" x14ac:dyDescent="0.25">
      <c r="B73" s="20">
        <v>10</v>
      </c>
      <c r="C73" s="85" t="s">
        <v>143</v>
      </c>
    </row>
    <row r="74" spans="1:3" x14ac:dyDescent="0.25">
      <c r="B74" s="20">
        <v>11</v>
      </c>
      <c r="C74" s="85" t="s">
        <v>144</v>
      </c>
    </row>
    <row r="75" spans="1:3" x14ac:dyDescent="0.25">
      <c r="B75" s="20">
        <v>12</v>
      </c>
      <c r="C75" s="85" t="s">
        <v>145</v>
      </c>
    </row>
    <row r="76" spans="1:3" x14ac:dyDescent="0.25">
      <c r="B76" s="20">
        <v>13</v>
      </c>
      <c r="C76" s="85" t="s">
        <v>146</v>
      </c>
    </row>
    <row r="77" spans="1:3" x14ac:dyDescent="0.25">
      <c r="B77" s="20">
        <v>14</v>
      </c>
      <c r="C77" s="85" t="s">
        <v>147</v>
      </c>
    </row>
    <row r="78" spans="1:3" x14ac:dyDescent="0.25">
      <c r="B78" s="20">
        <v>15</v>
      </c>
      <c r="C78" s="85" t="s">
        <v>148</v>
      </c>
    </row>
    <row r="79" spans="1:3" x14ac:dyDescent="0.25">
      <c r="B79" s="20">
        <v>16</v>
      </c>
      <c r="C79" s="85" t="s">
        <v>149</v>
      </c>
    </row>
    <row r="80" spans="1:3" x14ac:dyDescent="0.25">
      <c r="B80" s="20">
        <v>17</v>
      </c>
      <c r="C80" s="85" t="s">
        <v>150</v>
      </c>
    </row>
    <row r="81" spans="2:3" x14ac:dyDescent="0.25">
      <c r="B81" s="20">
        <v>18</v>
      </c>
      <c r="C81" s="85" t="s">
        <v>151</v>
      </c>
    </row>
    <row r="82" spans="2:3" x14ac:dyDescent="0.25">
      <c r="B82" s="20">
        <v>19</v>
      </c>
      <c r="C82" s="85" t="s">
        <v>152</v>
      </c>
    </row>
    <row r="83" spans="2:3" x14ac:dyDescent="0.25">
      <c r="B83" s="20">
        <v>20</v>
      </c>
      <c r="C83" s="85" t="s">
        <v>153</v>
      </c>
    </row>
    <row r="84" spans="2:3" x14ac:dyDescent="0.25">
      <c r="B84" s="20">
        <v>21</v>
      </c>
      <c r="C84" s="85" t="s">
        <v>154</v>
      </c>
    </row>
    <row r="85" spans="2:3" x14ac:dyDescent="0.25">
      <c r="B85" s="20">
        <v>22</v>
      </c>
      <c r="C85" s="85" t="s">
        <v>232</v>
      </c>
    </row>
    <row r="86" spans="2:3" x14ac:dyDescent="0.25">
      <c r="B86" s="20">
        <v>23</v>
      </c>
      <c r="C86" s="85" t="s">
        <v>233</v>
      </c>
    </row>
    <row r="87" spans="2:3" x14ac:dyDescent="0.25">
      <c r="B87" s="20">
        <v>24</v>
      </c>
      <c r="C87" s="85" t="s">
        <v>234</v>
      </c>
    </row>
    <row r="88" spans="2:3" x14ac:dyDescent="0.25">
      <c r="B88" s="20">
        <v>25</v>
      </c>
      <c r="C88" s="85" t="s">
        <v>235</v>
      </c>
    </row>
    <row r="89" spans="2:3" x14ac:dyDescent="0.25">
      <c r="B89" s="20">
        <v>26</v>
      </c>
      <c r="C89" s="86"/>
    </row>
  </sheetData>
  <conditionalFormatting sqref="C66:C89">
    <cfRule type="containsText" dxfId="8" priority="116" operator="containsText" text="Option">
      <formula>NOT(ISERROR(SEARCH("Option",C66)))</formula>
    </cfRule>
    <cfRule type="containsText" dxfId="7" priority="124" operator="containsText" text="AltCore">
      <formula>NOT(ISERROR(SEARCH("AltCore",C66)))</formula>
    </cfRule>
  </conditionalFormatting>
  <conditionalFormatting sqref="F4:F15 F17:F35">
    <cfRule type="cellIs" dxfId="6" priority="1" operator="notEqual">
      <formula>D4</formula>
    </cfRule>
  </conditionalFormatting>
  <conditionalFormatting sqref="J4:J15 J17:J35">
    <cfRule type="cellIs" dxfId="5" priority="3" operator="notEqual">
      <formula>H4</formula>
    </cfRule>
  </conditionalFormatting>
  <conditionalFormatting sqref="N36:N39 J36:J49 F36:F54 C38:N62 C64:C65">
    <cfRule type="containsText" dxfId="4" priority="102" operator="containsText" text="AltCore">
      <formula>NOT(ISERROR(SEARCH("AltCore",C36)))</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W84"/>
  <sheetViews>
    <sheetView showGridLines="0" topLeftCell="A3" zoomScaleNormal="100" workbookViewId="0">
      <selection activeCell="D6" sqref="D6"/>
    </sheetView>
  </sheetViews>
  <sheetFormatPr defaultColWidth="9" defaultRowHeight="15" x14ac:dyDescent="0.25"/>
  <cols>
    <col min="1" max="1" width="10.125" style="23" customWidth="1"/>
    <col min="2" max="2" width="3.125" style="23" bestFit="1" customWidth="1"/>
    <col min="3" max="3" width="8.25" style="23" customWidth="1"/>
    <col min="4" max="4" width="64.25" style="22" bestFit="1" customWidth="1"/>
    <col min="5" max="5" width="7" style="22" customWidth="1"/>
    <col min="6" max="6" width="22.25" style="22" bestFit="1" customWidth="1"/>
    <col min="7" max="7" width="5.5" style="22" customWidth="1"/>
    <col min="8" max="8" width="3.25" style="22" customWidth="1"/>
    <col min="9" max="11" width="3.25" style="22" bestFit="1" customWidth="1"/>
    <col min="12" max="12" width="18.625" style="22" customWidth="1"/>
    <col min="13" max="13" width="2.375" style="22" hidden="1" customWidth="1"/>
    <col min="14" max="16384" width="9" style="22"/>
  </cols>
  <sheetData>
    <row r="1" spans="1:23" hidden="1" x14ac:dyDescent="0.25">
      <c r="A1" s="53" t="s">
        <v>0</v>
      </c>
      <c r="B1" s="53" t="s">
        <v>1</v>
      </c>
      <c r="C1" s="53" t="s">
        <v>2</v>
      </c>
      <c r="D1" s="54" t="s">
        <v>3</v>
      </c>
      <c r="E1" s="54"/>
      <c r="F1" s="54" t="s">
        <v>4</v>
      </c>
      <c r="G1" s="54" t="s">
        <v>5</v>
      </c>
      <c r="H1" s="54" t="s">
        <v>6</v>
      </c>
      <c r="I1" s="54"/>
      <c r="J1" s="54"/>
      <c r="K1" s="54"/>
      <c r="L1" s="54" t="s">
        <v>7</v>
      </c>
    </row>
    <row r="2" spans="1:23" hidden="1" x14ac:dyDescent="0.25">
      <c r="A2" s="52"/>
      <c r="B2" s="52">
        <v>2</v>
      </c>
      <c r="C2" s="52">
        <v>3</v>
      </c>
      <c r="D2" s="52">
        <v>4</v>
      </c>
      <c r="E2" s="52"/>
      <c r="F2" s="52">
        <v>6</v>
      </c>
      <c r="G2" s="52">
        <v>5</v>
      </c>
      <c r="H2" s="52">
        <v>7</v>
      </c>
      <c r="I2" s="52">
        <v>8</v>
      </c>
      <c r="J2" s="52">
        <v>9</v>
      </c>
      <c r="K2" s="52">
        <v>10</v>
      </c>
      <c r="L2" s="52"/>
    </row>
    <row r="3" spans="1:23" ht="39.950000000000003" customHeight="1" x14ac:dyDescent="0.25">
      <c r="A3" s="267" t="s">
        <v>8</v>
      </c>
      <c r="B3" s="267"/>
      <c r="C3" s="267"/>
      <c r="D3" s="267"/>
      <c r="E3" s="88"/>
      <c r="F3" s="88"/>
      <c r="G3" s="88"/>
      <c r="H3" s="88"/>
      <c r="I3" s="88"/>
      <c r="J3" s="88"/>
      <c r="K3" s="88"/>
      <c r="L3" s="88"/>
    </row>
    <row r="4" spans="1:23" ht="26.25" x14ac:dyDescent="0.25">
      <c r="A4" s="165"/>
      <c r="B4" s="166"/>
      <c r="C4" s="166"/>
      <c r="D4" s="169" t="s">
        <v>585</v>
      </c>
      <c r="E4" s="167"/>
      <c r="F4" s="166"/>
      <c r="G4" s="168"/>
      <c r="H4" s="168"/>
      <c r="I4" s="168"/>
      <c r="J4" s="168"/>
      <c r="K4" s="168"/>
      <c r="L4" s="168"/>
    </row>
    <row r="5" spans="1:23" ht="20.100000000000001" customHeight="1" x14ac:dyDescent="0.25">
      <c r="B5" s="89"/>
      <c r="C5" s="90" t="s">
        <v>9</v>
      </c>
      <c r="D5" s="208" t="s">
        <v>73</v>
      </c>
      <c r="E5" s="92"/>
      <c r="F5" s="90" t="s">
        <v>11</v>
      </c>
      <c r="G5" s="92" t="str">
        <f>IFERROR(CONCATENATE(VLOOKUP(D5,TableCourses[],2,FALSE)," ",VLOOKUP(D5,TableCourses[],3,FALSE)),"")</f>
        <v>OB-EDSC1 v.4</v>
      </c>
      <c r="H5" s="92"/>
      <c r="I5" s="92"/>
      <c r="J5" s="92"/>
      <c r="K5" s="92"/>
      <c r="L5" s="220" t="e">
        <f>CONCATENATE(VLOOKUP(D5,TableCourses[],2,FALSE),VLOOKUP(D7,TableStudyPeriods[],2,FALSE))</f>
        <v>#N/A</v>
      </c>
    </row>
    <row r="6" spans="1:23" ht="20.100000000000001" customHeight="1" x14ac:dyDescent="0.25">
      <c r="B6" s="89"/>
      <c r="C6" s="90" t="s">
        <v>159</v>
      </c>
      <c r="D6" s="261" t="s">
        <v>171</v>
      </c>
      <c r="E6" s="92"/>
      <c r="F6" s="90" t="s">
        <v>161</v>
      </c>
      <c r="G6" s="92" t="str">
        <f>IFERROR(CONCATENATE(VLOOKUP(D6,TableMajors[],2,FALSE)," ",VLOOKUP(D6,TableMajors[],3,FALSE)),"")</f>
        <v/>
      </c>
      <c r="H6" s="92"/>
      <c r="I6" s="92"/>
      <c r="J6" s="92"/>
      <c r="K6" s="93"/>
      <c r="L6" s="220" t="e">
        <f>CONCATENATE(VLOOKUP(D6,TableMajors[],2,FALSE),VLOOKUP(D7,TableStudyPeriods[],2,FALSE))</f>
        <v>#N/A</v>
      </c>
    </row>
    <row r="7" spans="1:23" ht="20.100000000000001" customHeight="1" x14ac:dyDescent="0.25">
      <c r="A7" s="94"/>
      <c r="B7" s="95"/>
      <c r="C7" s="90" t="s">
        <v>12</v>
      </c>
      <c r="D7" s="145" t="s">
        <v>93</v>
      </c>
      <c r="E7" s="96"/>
      <c r="F7" s="90" t="s">
        <v>14</v>
      </c>
      <c r="G7" s="92" t="str">
        <f>IFERROR(VLOOKUP($D$5,#REF!,7,FALSE),"")</f>
        <v/>
      </c>
      <c r="H7" s="97"/>
      <c r="I7" s="97"/>
      <c r="J7" s="97"/>
      <c r="K7" s="97"/>
      <c r="L7" s="171"/>
      <c r="W7" s="24"/>
    </row>
    <row r="8" spans="1:23" s="26" customFormat="1" ht="10.5" x14ac:dyDescent="0.25">
      <c r="A8" s="98"/>
      <c r="B8" s="98"/>
      <c r="C8" s="98"/>
      <c r="D8" s="99"/>
      <c r="E8" s="100"/>
      <c r="F8" s="98"/>
      <c r="G8" s="98"/>
      <c r="H8" s="101" t="s">
        <v>584</v>
      </c>
      <c r="I8" s="102"/>
      <c r="J8" s="102"/>
      <c r="K8" s="103"/>
      <c r="L8" s="100"/>
      <c r="M8" s="104"/>
      <c r="N8" s="104"/>
      <c r="O8" s="104"/>
      <c r="W8" s="25"/>
    </row>
    <row r="9" spans="1:23" s="26" customFormat="1" ht="21" x14ac:dyDescent="0.25">
      <c r="A9" s="98" t="s">
        <v>15</v>
      </c>
      <c r="B9" s="98"/>
      <c r="C9" s="105" t="s">
        <v>16</v>
      </c>
      <c r="D9" s="99" t="s">
        <v>3</v>
      </c>
      <c r="E9" s="105" t="s">
        <v>17</v>
      </c>
      <c r="F9" s="98" t="s">
        <v>18</v>
      </c>
      <c r="G9" s="98" t="s">
        <v>19</v>
      </c>
      <c r="H9" s="191" t="s">
        <v>20</v>
      </c>
      <c r="I9" s="192" t="s">
        <v>21</v>
      </c>
      <c r="J9" s="192" t="s">
        <v>22</v>
      </c>
      <c r="K9" s="193" t="s">
        <v>23</v>
      </c>
      <c r="L9" s="98" t="s">
        <v>24</v>
      </c>
      <c r="M9" s="104"/>
      <c r="N9" s="104"/>
      <c r="O9" s="104"/>
      <c r="W9" s="25"/>
    </row>
    <row r="10" spans="1:23" s="28" customFormat="1" ht="20.100000000000001" customHeight="1" x14ac:dyDescent="0.15">
      <c r="A10" s="106" t="str">
        <f>IFERROR(IF(HLOOKUP($L$6,RangeUnitSetsSec,M10,FALSE)=0,"",HLOOKUP($L$6,RangeUnitSetsSec,M10,FALSE)),"")</f>
        <v/>
      </c>
      <c r="B10" s="107" t="str">
        <f>IFERROR(IF(VLOOKUP($A10,TableHandbook[],B$2,FALSE)=0,"",VLOOKUP($A10,TableHandbook[],B$2,FALSE)),"")</f>
        <v/>
      </c>
      <c r="C10" s="107" t="str">
        <f>IFERROR(IF(VLOOKUP($A10,TableHandbook[],C$2,FALSE)=0,"",VLOOKUP($A10,TableHandbook[],C$2,FALSE)),"")</f>
        <v/>
      </c>
      <c r="D10" s="108" t="str">
        <f>IFERROR(IF(VLOOKUP($A10,TableHandbook[],D$2,FALSE)=0,"",VLOOKUP($A10,TableHandbook[],D$2,FALSE)),"")</f>
        <v/>
      </c>
      <c r="E10" s="107" t="str">
        <f>IF(OR(A10="",A10="--"),"",VLOOKUP($D$7,TableStudyPeriods[],2,FALSE))</f>
        <v/>
      </c>
      <c r="F10" s="109" t="str">
        <f>IFERROR(IF(VLOOKUP($A10,TableHandbook[],F$2,FALSE)=0,"",VLOOKUP($A10,TableHandbook[],F$2,FALSE)),"")</f>
        <v/>
      </c>
      <c r="G10" s="107" t="str">
        <f>IFERROR(IF(VLOOKUP($A10,TableHandbook[],G$2,FALSE)=0,"",VLOOKUP($A10,TableHandbook[],G$2,FALSE)),"")</f>
        <v/>
      </c>
      <c r="H10" s="194" t="str">
        <f>IFERROR(VLOOKUP($A10,TableHandbook[],H$2,FALSE),"")</f>
        <v/>
      </c>
      <c r="I10" s="195" t="str">
        <f>IFERROR(VLOOKUP($A10,TableHandbook[],I$2,FALSE),"")</f>
        <v/>
      </c>
      <c r="J10" s="195" t="str">
        <f>IFERROR(VLOOKUP($A10,TableHandbook[],J$2,FALSE),"")</f>
        <v/>
      </c>
      <c r="K10" s="196" t="str">
        <f>IFERROR(VLOOKUP($A10,TableHandbook[],K$2,FALSE),"")</f>
        <v/>
      </c>
      <c r="L10" s="40"/>
      <c r="M10" s="110">
        <v>2</v>
      </c>
      <c r="N10" s="111"/>
      <c r="O10" s="111"/>
      <c r="W10" s="27"/>
    </row>
    <row r="11" spans="1:23" s="28" customFormat="1" ht="20.100000000000001" customHeight="1" x14ac:dyDescent="0.15">
      <c r="A11" s="106" t="str">
        <f>IFERROR(IF(HLOOKUP($L$6,RangeUnitSetsSec,M11,FALSE)=0,"",HLOOKUP($L$6,RangeUnitSetsSec,M11,FALSE)),"")</f>
        <v/>
      </c>
      <c r="B11" s="107" t="str">
        <f>IFERROR(IF(VLOOKUP($A11,TableHandbook[],B$2,FALSE)=0,"",VLOOKUP($A11,TableHandbook[],B$2,FALSE)),"")</f>
        <v/>
      </c>
      <c r="C11" s="107" t="str">
        <f>IFERROR(IF(VLOOKUP($A11,TableHandbook[],C$2,FALSE)=0,"",VLOOKUP($A11,TableHandbook[],C$2,FALSE)),"")</f>
        <v/>
      </c>
      <c r="D11" s="108" t="str">
        <f>IFERROR(IF(VLOOKUP($A11,TableHandbook[],D$2,FALSE)=0,"",VLOOKUP($A11,TableHandbook[],D$2,FALSE)),"")</f>
        <v/>
      </c>
      <c r="E11" s="107" t="str">
        <f>IF(OR(A11="",A11="-"),"",E10)</f>
        <v/>
      </c>
      <c r="F11" s="109" t="str">
        <f>IFERROR(IF(VLOOKUP($A11,TableHandbook[],F$2,FALSE)=0,"",VLOOKUP($A11,TableHandbook[],F$2,FALSE)),"")</f>
        <v/>
      </c>
      <c r="G11" s="107" t="str">
        <f>IFERROR(IF(VLOOKUP($A11,TableHandbook[],G$2,FALSE)=0,"",VLOOKUP($A11,TableHandbook[],G$2,FALSE)),"")</f>
        <v/>
      </c>
      <c r="H11" s="194" t="str">
        <f>IFERROR(VLOOKUP($A11,TableHandbook[],H$2,FALSE),"")</f>
        <v/>
      </c>
      <c r="I11" s="195" t="str">
        <f>IFERROR(VLOOKUP($A11,TableHandbook[],I$2,FALSE),"")</f>
        <v/>
      </c>
      <c r="J11" s="195" t="str">
        <f>IFERROR(VLOOKUP($A11,TableHandbook[],J$2,FALSE),"")</f>
        <v/>
      </c>
      <c r="K11" s="196" t="str">
        <f>IFERROR(VLOOKUP($A11,TableHandbook[],K$2,FALSE),"")</f>
        <v/>
      </c>
      <c r="L11" s="40"/>
      <c r="M11" s="110">
        <v>3</v>
      </c>
      <c r="N11" s="111"/>
      <c r="O11" s="111"/>
      <c r="W11" s="27"/>
    </row>
    <row r="12" spans="1:23" s="28" customFormat="1" ht="5.0999999999999996" customHeight="1" x14ac:dyDescent="0.15">
      <c r="A12" s="172"/>
      <c r="B12" s="173"/>
      <c r="C12" s="173"/>
      <c r="D12" s="180"/>
      <c r="E12" s="173"/>
      <c r="F12" s="175"/>
      <c r="G12" s="173"/>
      <c r="H12" s="197"/>
      <c r="I12" s="198"/>
      <c r="J12" s="198"/>
      <c r="K12" s="199"/>
      <c r="L12" s="176"/>
      <c r="M12" s="110"/>
      <c r="N12" s="111"/>
      <c r="O12" s="111"/>
      <c r="P12" s="111"/>
      <c r="W12" s="27"/>
    </row>
    <row r="13" spans="1:23" s="28" customFormat="1" ht="20.100000000000001" customHeight="1" x14ac:dyDescent="0.15">
      <c r="A13" s="106" t="str">
        <f>IFERROR(IF(HLOOKUP($L$6,RangeUnitSetsSec,M13,FALSE)=0,"",HLOOKUP($L$6,RangeUnitSetsSec,M13,FALSE)),"")</f>
        <v/>
      </c>
      <c r="B13" s="107" t="str">
        <f>IFERROR(IF(VLOOKUP($A13,TableHandbook[],B$2,FALSE)=0,"",VLOOKUP($A13,TableHandbook[],B$2,FALSE)),"")</f>
        <v/>
      </c>
      <c r="C13" s="107" t="str">
        <f>IFERROR(IF(VLOOKUP($A13,TableHandbook[],C$2,FALSE)=0,"",VLOOKUP($A13,TableHandbook[],C$2,FALSE)),"")</f>
        <v/>
      </c>
      <c r="D13" s="108" t="str">
        <f>IFERROR(IF(VLOOKUP($A13,TableHandbook[],D$2,FALSE)=0,"",VLOOKUP($A13,TableHandbook[],D$2,FALSE)),"")</f>
        <v/>
      </c>
      <c r="E13" s="107" t="str">
        <f>IF(OR(A13="",A13="--"),"",VLOOKUP($D$7,TableStudyPeriods[],3,FALSE))</f>
        <v/>
      </c>
      <c r="F13" s="109" t="str">
        <f>IFERROR(IF(VLOOKUP($A13,TableHandbook[],F$2,FALSE)=0,"",VLOOKUP($A13,TableHandbook[],F$2,FALSE)),"")</f>
        <v/>
      </c>
      <c r="G13" s="107" t="str">
        <f>IFERROR(IF(VLOOKUP($A13,TableHandbook[],G$2,FALSE)=0,"",VLOOKUP($A13,TableHandbook[],G$2,FALSE)),"")</f>
        <v/>
      </c>
      <c r="H13" s="194" t="str">
        <f>IFERROR(VLOOKUP($A13,TableHandbook[],H$2,FALSE),"")</f>
        <v/>
      </c>
      <c r="I13" s="195" t="str">
        <f>IFERROR(VLOOKUP($A13,TableHandbook[],I$2,FALSE),"")</f>
        <v/>
      </c>
      <c r="J13" s="195" t="str">
        <f>IFERROR(VLOOKUP($A13,TableHandbook[],J$2,FALSE),"")</f>
        <v/>
      </c>
      <c r="K13" s="196" t="str">
        <f>IFERROR(VLOOKUP($A13,TableHandbook[],K$2,FALSE),"")</f>
        <v/>
      </c>
      <c r="L13" s="41"/>
      <c r="M13" s="110">
        <v>4</v>
      </c>
      <c r="N13" s="111"/>
      <c r="O13" s="111"/>
      <c r="W13" s="27"/>
    </row>
    <row r="14" spans="1:23" s="28" customFormat="1" ht="20.100000000000001" customHeight="1" x14ac:dyDescent="0.15">
      <c r="A14" s="106" t="str">
        <f>IFERROR(IF(HLOOKUP($L$6,RangeUnitSetsSec,M14,FALSE)=0,"",HLOOKUP($L$6,RangeUnitSetsSec,M14,FALSE)),"")</f>
        <v/>
      </c>
      <c r="B14" s="107" t="str">
        <f>IFERROR(IF(VLOOKUP($A14,TableHandbook[],B$2,FALSE)=0,"",VLOOKUP($A14,TableHandbook[],B$2,FALSE)),"")</f>
        <v/>
      </c>
      <c r="C14" s="107" t="str">
        <f>IFERROR(IF(VLOOKUP($A14,TableHandbook[],C$2,FALSE)=0,"",VLOOKUP($A14,TableHandbook[],C$2,FALSE)),"")</f>
        <v/>
      </c>
      <c r="D14" s="108" t="str">
        <f>IFERROR(IF(VLOOKUP($A14,TableHandbook[],D$2,FALSE)=0,"",VLOOKUP($A14,TableHandbook[],D$2,FALSE)),"")</f>
        <v/>
      </c>
      <c r="E14" s="107" t="str">
        <f>IF(OR(A14="",A14="-"),"",E13)</f>
        <v/>
      </c>
      <c r="F14" s="109" t="str">
        <f>IFERROR(IF(VLOOKUP($A14,TableHandbook[],F$2,FALSE)=0,"",VLOOKUP($A14,TableHandbook[],F$2,FALSE)),"")</f>
        <v/>
      </c>
      <c r="G14" s="107" t="str">
        <f>IFERROR(IF(VLOOKUP($A14,TableHandbook[],G$2,FALSE)=0,"",VLOOKUP($A14,TableHandbook[],G$2,FALSE)),"")</f>
        <v/>
      </c>
      <c r="H14" s="194" t="str">
        <f>IFERROR(VLOOKUP($A14,TableHandbook[],H$2,FALSE),"")</f>
        <v/>
      </c>
      <c r="I14" s="195" t="str">
        <f>IFERROR(VLOOKUP($A14,TableHandbook[],I$2,FALSE),"")</f>
        <v/>
      </c>
      <c r="J14" s="195" t="str">
        <f>IFERROR(VLOOKUP($A14,TableHandbook[],J$2,FALSE),"")</f>
        <v/>
      </c>
      <c r="K14" s="196" t="str">
        <f>IFERROR(VLOOKUP($A14,TableHandbook[],K$2,FALSE),"")</f>
        <v/>
      </c>
      <c r="L14" s="40"/>
      <c r="M14" s="110">
        <v>5</v>
      </c>
      <c r="N14" s="111"/>
      <c r="O14" s="111"/>
      <c r="W14" s="27"/>
    </row>
    <row r="15" spans="1:23" s="28" customFormat="1" ht="5.0999999999999996" customHeight="1" x14ac:dyDescent="0.15">
      <c r="A15" s="172"/>
      <c r="B15" s="173"/>
      <c r="C15" s="173"/>
      <c r="D15" s="180"/>
      <c r="E15" s="173"/>
      <c r="F15" s="175"/>
      <c r="G15" s="173"/>
      <c r="H15" s="197"/>
      <c r="I15" s="198"/>
      <c r="J15" s="198"/>
      <c r="K15" s="199"/>
      <c r="L15" s="176"/>
      <c r="M15" s="110"/>
      <c r="N15" s="111"/>
      <c r="O15" s="111"/>
      <c r="P15" s="111"/>
      <c r="W15" s="27"/>
    </row>
    <row r="16" spans="1:23" s="28" customFormat="1" ht="20.100000000000001" customHeight="1" x14ac:dyDescent="0.15">
      <c r="A16" s="106" t="str">
        <f>IFERROR(IF(HLOOKUP($L$6,RangeUnitSetsSec,M16,FALSE)=0,"",HLOOKUP($L$6,RangeUnitSetsSec,M16,FALSE)),"")</f>
        <v/>
      </c>
      <c r="B16" s="112" t="str">
        <f>IFERROR(IF(VLOOKUP($A16,TableHandbook[],B$2,FALSE)=0,"",VLOOKUP($A16,TableHandbook[],B$2,FALSE)),"")</f>
        <v/>
      </c>
      <c r="C16" s="112" t="str">
        <f>IFERROR(IF(VLOOKUP($A16,TableHandbook[],C$2,FALSE)=0,"",VLOOKUP($A16,TableHandbook[],C$2,FALSE)),"")</f>
        <v/>
      </c>
      <c r="D16" s="108" t="str">
        <f>IFERROR(IF(VLOOKUP($A16,TableHandbook[],D$2,FALSE)=0,"",VLOOKUP($A16,TableHandbook[],D$2,FALSE)),"")</f>
        <v/>
      </c>
      <c r="E16" s="107" t="str">
        <f>IF(OR(A16="",A16="--"),"",VLOOKUP($D$7,TableStudyPeriods[],4,FALSE))</f>
        <v/>
      </c>
      <c r="F16" s="109" t="str">
        <f>IFERROR(IF(VLOOKUP($A16,TableHandbook[],F$2,FALSE)=0,"",VLOOKUP($A16,TableHandbook[],F$2,FALSE)),"")</f>
        <v/>
      </c>
      <c r="G16" s="112" t="str">
        <f>IFERROR(IF(VLOOKUP($A16,TableHandbook[],G$2,FALSE)=0,"",VLOOKUP($A16,TableHandbook[],G$2,FALSE)),"")</f>
        <v/>
      </c>
      <c r="H16" s="200" t="str">
        <f>IFERROR(VLOOKUP($A16,TableHandbook[],H$2,FALSE),"")</f>
        <v/>
      </c>
      <c r="I16" s="201" t="str">
        <f>IFERROR(VLOOKUP($A16,TableHandbook[],I$2,FALSE),"")</f>
        <v/>
      </c>
      <c r="J16" s="201" t="str">
        <f>IFERROR(VLOOKUP($A16,TableHandbook[],J$2,FALSE),"")</f>
        <v/>
      </c>
      <c r="K16" s="202" t="str">
        <f>IFERROR(VLOOKUP($A16,TableHandbook[],K$2,FALSE),"")</f>
        <v/>
      </c>
      <c r="L16" s="41"/>
      <c r="M16" s="110">
        <v>6</v>
      </c>
      <c r="N16" s="111"/>
      <c r="O16" s="111"/>
      <c r="W16" s="27"/>
    </row>
    <row r="17" spans="1:23" s="30" customFormat="1" ht="20.100000000000001" customHeight="1" x14ac:dyDescent="0.15">
      <c r="A17" s="118" t="str">
        <f>IFERROR(IF(HLOOKUP($L$6,RangeUnitSetsSec,M17,FALSE)=0,"",HLOOKUP($L$6,RangeUnitSetsSec,M17,FALSE)),"")</f>
        <v/>
      </c>
      <c r="B17" s="112" t="str">
        <f>IFERROR(IF(VLOOKUP($A17,TableHandbook[],B$2,FALSE)=0,"",VLOOKUP($A17,TableHandbook[],B$2,FALSE)),"")</f>
        <v/>
      </c>
      <c r="C17" s="112" t="str">
        <f>IFERROR(IF(VLOOKUP($A17,TableHandbook[],C$2,FALSE)=0,"",VLOOKUP($A17,TableHandbook[],C$2,FALSE)),"")</f>
        <v/>
      </c>
      <c r="D17" s="117" t="str">
        <f>IFERROR(IF(VLOOKUP($A17,TableHandbook[],D$2,FALSE)=0,"",VLOOKUP($A17,TableHandbook[],D$2,FALSE)),"")</f>
        <v/>
      </c>
      <c r="E17" s="112" t="str">
        <f>IF(OR(A17="",A17="-"),"",E16)</f>
        <v/>
      </c>
      <c r="F17" s="120" t="str">
        <f>IFERROR(IF(VLOOKUP($A17,TableHandbook[],F$2,FALSE)=0,"",VLOOKUP($A17,TableHandbook[],F$2,FALSE)),"")</f>
        <v/>
      </c>
      <c r="G17" s="112" t="str">
        <f>IFERROR(IF(VLOOKUP($A17,TableHandbook[],G$2,FALSE)=0,"",VLOOKUP($A17,TableHandbook[],G$2,FALSE)),"")</f>
        <v/>
      </c>
      <c r="H17" s="200" t="str">
        <f>IFERROR(VLOOKUP($A17,TableHandbook[],H$2,FALSE),"")</f>
        <v/>
      </c>
      <c r="I17" s="201" t="str">
        <f>IFERROR(VLOOKUP($A17,TableHandbook[],I$2,FALSE),"")</f>
        <v/>
      </c>
      <c r="J17" s="201" t="str">
        <f>IFERROR(VLOOKUP($A17,TableHandbook[],J$2,FALSE),"")</f>
        <v/>
      </c>
      <c r="K17" s="202" t="str">
        <f>IFERROR(VLOOKUP($A17,TableHandbook[],K$2,FALSE),"")</f>
        <v/>
      </c>
      <c r="L17" s="41"/>
      <c r="M17" s="113">
        <v>7</v>
      </c>
      <c r="N17" s="114"/>
      <c r="O17" s="114"/>
      <c r="W17" s="29"/>
    </row>
    <row r="18" spans="1:23" s="28" customFormat="1" ht="5.0999999999999996" customHeight="1" x14ac:dyDescent="0.15">
      <c r="A18" s="172"/>
      <c r="B18" s="173"/>
      <c r="C18" s="173"/>
      <c r="D18" s="180"/>
      <c r="E18" s="173"/>
      <c r="F18" s="175"/>
      <c r="G18" s="173"/>
      <c r="H18" s="197"/>
      <c r="I18" s="198"/>
      <c r="J18" s="198"/>
      <c r="K18" s="199"/>
      <c r="L18" s="176"/>
      <c r="M18" s="110"/>
      <c r="N18" s="111"/>
      <c r="O18" s="111"/>
      <c r="P18" s="111"/>
      <c r="W18" s="27"/>
    </row>
    <row r="19" spans="1:23" s="30" customFormat="1" ht="20.100000000000001" customHeight="1" x14ac:dyDescent="0.15">
      <c r="A19" s="118" t="str">
        <f>IFERROR(IF(HLOOKUP($L$6,RangeUnitSetsSec,M19,FALSE)=0,"",HLOOKUP($L$6,RangeUnitSetsSec,M19,FALSE)),"")</f>
        <v/>
      </c>
      <c r="B19" s="112" t="str">
        <f>IFERROR(IF(VLOOKUP($A19,TableHandbook[],B$2,FALSE)=0,"",VLOOKUP($A19,TableHandbook[],B$2,FALSE)),"")</f>
        <v/>
      </c>
      <c r="C19" s="112" t="str">
        <f>IFERROR(IF(VLOOKUP($A19,TableHandbook[],C$2,FALSE)=0,"",VLOOKUP($A19,TableHandbook[],C$2,FALSE)),"")</f>
        <v/>
      </c>
      <c r="D19" s="117" t="str">
        <f>IFERROR(IF(VLOOKUP($A19,TableHandbook[],D$2,FALSE)=0,"",VLOOKUP($A19,TableHandbook[],D$2,FALSE)),"")</f>
        <v/>
      </c>
      <c r="E19" s="112" t="str">
        <f>IF(OR(A19="",A19="--"),"",VLOOKUP($D$7,TableStudyPeriods[],5,FALSE))</f>
        <v/>
      </c>
      <c r="F19" s="120" t="str">
        <f>IFERROR(IF(VLOOKUP($A19,TableHandbook[],F$2,FALSE)=0,"",VLOOKUP($A19,TableHandbook[],F$2,FALSE)),"")</f>
        <v/>
      </c>
      <c r="G19" s="112" t="str">
        <f>IFERROR(IF(VLOOKUP($A19,TableHandbook[],G$2,FALSE)=0,"",VLOOKUP($A19,TableHandbook[],G$2,FALSE)),"")</f>
        <v/>
      </c>
      <c r="H19" s="200" t="str">
        <f>IFERROR(VLOOKUP($A19,TableHandbook[],H$2,FALSE),"")</f>
        <v/>
      </c>
      <c r="I19" s="201" t="str">
        <f>IFERROR(VLOOKUP($A19,TableHandbook[],I$2,FALSE),"")</f>
        <v/>
      </c>
      <c r="J19" s="201" t="str">
        <f>IFERROR(VLOOKUP($A19,TableHandbook[],J$2,FALSE),"")</f>
        <v/>
      </c>
      <c r="K19" s="202" t="str">
        <f>IFERROR(VLOOKUP($A19,TableHandbook[],K$2,FALSE),"")</f>
        <v/>
      </c>
      <c r="L19" s="41"/>
      <c r="M19" s="113">
        <v>8</v>
      </c>
      <c r="N19" s="114"/>
      <c r="O19" s="114"/>
      <c r="W19" s="29"/>
    </row>
    <row r="20" spans="1:23" s="30" customFormat="1" ht="20.100000000000001" customHeight="1" x14ac:dyDescent="0.15">
      <c r="A20" s="118" t="str">
        <f>IFERROR(IF(HLOOKUP($L$6,RangeUnitSetsSec,M20,FALSE)=0,"",HLOOKUP($L$6,RangeUnitSetsSec,M20,FALSE)),"")</f>
        <v/>
      </c>
      <c r="B20" s="112" t="str">
        <f>IFERROR(IF(VLOOKUP($A20,TableHandbook[],B$2,FALSE)=0,"",VLOOKUP($A20,TableHandbook[],B$2,FALSE)),"")</f>
        <v/>
      </c>
      <c r="C20" s="112" t="str">
        <f>IFERROR(IF(VLOOKUP($A20,TableHandbook[],C$2,FALSE)=0,"",VLOOKUP($A20,TableHandbook[],C$2,FALSE)),"")</f>
        <v/>
      </c>
      <c r="D20" s="119" t="str">
        <f>IFERROR(IF(VLOOKUP($A20,TableHandbook[],D$2,FALSE)=0,"",VLOOKUP($A20,TableHandbook[],D$2,FALSE)),"")</f>
        <v/>
      </c>
      <c r="E20" s="112" t="str">
        <f>IF(OR(A20="",A20="-"),"",E19)</f>
        <v/>
      </c>
      <c r="F20" s="120" t="str">
        <f>IFERROR(IF(VLOOKUP($A20,TableHandbook[],F$2,FALSE)=0,"",VLOOKUP($A20,TableHandbook[],F$2,FALSE)),"")</f>
        <v/>
      </c>
      <c r="G20" s="112" t="str">
        <f>IFERROR(IF(VLOOKUP($A20,TableHandbook[],G$2,FALSE)=0,"",VLOOKUP($A20,TableHandbook[],G$2,FALSE)),"")</f>
        <v/>
      </c>
      <c r="H20" s="200" t="str">
        <f>IFERROR(VLOOKUP($A20,TableHandbook[],H$2,FALSE),"")</f>
        <v/>
      </c>
      <c r="I20" s="201" t="str">
        <f>IFERROR(VLOOKUP($A20,TableHandbook[],I$2,FALSE),"")</f>
        <v/>
      </c>
      <c r="J20" s="201" t="str">
        <f>IFERROR(VLOOKUP($A20,TableHandbook[],J$2,FALSE),"")</f>
        <v/>
      </c>
      <c r="K20" s="202" t="str">
        <f>IFERROR(VLOOKUP($A20,TableHandbook[],K$2,FALSE),"")</f>
        <v/>
      </c>
      <c r="L20" s="41"/>
      <c r="M20" s="113">
        <v>9</v>
      </c>
      <c r="N20" s="114"/>
      <c r="O20" s="114"/>
      <c r="W20" s="29"/>
    </row>
    <row r="21" spans="1:23" s="26" customFormat="1" ht="21" x14ac:dyDescent="0.25">
      <c r="A21" s="98" t="s">
        <v>25</v>
      </c>
      <c r="B21" s="98"/>
      <c r="C21" s="105" t="s">
        <v>16</v>
      </c>
      <c r="D21" s="115" t="s">
        <v>3</v>
      </c>
      <c r="E21" s="105" t="s">
        <v>17</v>
      </c>
      <c r="F21" s="98" t="s">
        <v>18</v>
      </c>
      <c r="G21" s="98" t="s">
        <v>19</v>
      </c>
      <c r="H21" s="191" t="str">
        <f>H$9</f>
        <v>SP1</v>
      </c>
      <c r="I21" s="192" t="str">
        <f t="shared" ref="I21:L21" si="0">I$9</f>
        <v>SP2</v>
      </c>
      <c r="J21" s="192" t="str">
        <f t="shared" si="0"/>
        <v>SP3</v>
      </c>
      <c r="K21" s="193" t="str">
        <f t="shared" si="0"/>
        <v>SP4</v>
      </c>
      <c r="L21" s="98" t="str">
        <f t="shared" si="0"/>
        <v>Notes / Progress</v>
      </c>
      <c r="M21" s="116"/>
      <c r="N21" s="104"/>
      <c r="O21" s="104"/>
      <c r="W21" s="25"/>
    </row>
    <row r="22" spans="1:23" s="28" customFormat="1" ht="20.100000000000001" customHeight="1" x14ac:dyDescent="0.15">
      <c r="A22" s="106" t="str">
        <f>IFERROR(IF(HLOOKUP($L$6,RangeUnitSetsSec,M22,FALSE)=0,"",HLOOKUP($L$6,RangeUnitSetsSec,M22,FALSE)),"")</f>
        <v/>
      </c>
      <c r="B22" s="112" t="str">
        <f>IFERROR(IF(VLOOKUP($A22,TableHandbook[],B$2,FALSE)=0,"",VLOOKUP($A22,TableHandbook[],B$2,FALSE)),"")</f>
        <v/>
      </c>
      <c r="C22" s="112" t="str">
        <f>IFERROR(IF(VLOOKUP($A22,TableHandbook[],C$2,FALSE)=0,"",VLOOKUP($A22,TableHandbook[],C$2,FALSE)),"")</f>
        <v/>
      </c>
      <c r="D22" s="117" t="str">
        <f>IFERROR(IF(VLOOKUP($A22,TableHandbook[],D$2,FALSE)=0,"",VLOOKUP($A22,TableHandbook[],D$2,FALSE)),"")</f>
        <v/>
      </c>
      <c r="E22" s="112" t="str">
        <f>IF(OR(A22="",A22="--"),"",VLOOKUP($D$7,TableStudyPeriods[],2,FALSE))</f>
        <v/>
      </c>
      <c r="F22" s="109" t="str">
        <f>IFERROR(IF(VLOOKUP($A22,TableHandbook[],F$2,FALSE)=0,"",VLOOKUP($A22,TableHandbook[],F$2,FALSE)),"")</f>
        <v/>
      </c>
      <c r="G22" s="107" t="str">
        <f>IFERROR(IF(VLOOKUP($A22,TableHandbook[],G$2,FALSE)=0,"",VLOOKUP($A22,TableHandbook[],G$2,FALSE)),"")</f>
        <v/>
      </c>
      <c r="H22" s="194" t="str">
        <f>IFERROR(VLOOKUP($A22,TableHandbook[],H$2,FALSE),"")</f>
        <v/>
      </c>
      <c r="I22" s="195" t="str">
        <f>IFERROR(VLOOKUP($A22,TableHandbook[],I$2,FALSE),"")</f>
        <v/>
      </c>
      <c r="J22" s="195" t="str">
        <f>IFERROR(VLOOKUP($A22,TableHandbook[],J$2,FALSE),"")</f>
        <v/>
      </c>
      <c r="K22" s="196" t="str">
        <f>IFERROR(VLOOKUP($A22,TableHandbook[],K$2,FALSE),"")</f>
        <v/>
      </c>
      <c r="L22" s="40"/>
      <c r="M22" s="110">
        <v>10</v>
      </c>
      <c r="N22" s="111"/>
      <c r="O22" s="111"/>
      <c r="W22" s="27"/>
    </row>
    <row r="23" spans="1:23" s="28" customFormat="1" ht="19.5" customHeight="1" x14ac:dyDescent="0.15">
      <c r="A23" s="118" t="str">
        <f>IFERROR(IF(HLOOKUP($L$6,RangeUnitSetsSec,M23,FALSE)=0,"",HLOOKUP($L$6,RangeUnitSetsSec,M23,FALSE)),"")</f>
        <v/>
      </c>
      <c r="B23" s="112" t="str">
        <f>IFERROR(IF(VLOOKUP($A23,TableHandbook[],B$2,FALSE)=0,"",VLOOKUP($A23,TableHandbook[],B$2,FALSE)),"")</f>
        <v/>
      </c>
      <c r="C23" s="112" t="str">
        <f>IFERROR(IF(VLOOKUP($A23,TableHandbook[],C$2,FALSE)=0,"",VLOOKUP($A23,TableHandbook[],C$2,FALSE)),"")</f>
        <v/>
      </c>
      <c r="D23" s="119" t="str">
        <f>IFERROR(IF(VLOOKUP($A23,TableHandbook[],D$2,FALSE)=0,"",VLOOKUP($A23,TableHandbook[],D$2,FALSE)),"")</f>
        <v/>
      </c>
      <c r="E23" s="112" t="str">
        <f>IF(OR(A23="",A23="-"),"",E22)</f>
        <v/>
      </c>
      <c r="F23" s="120" t="str">
        <f>IFERROR(IF(VLOOKUP($A23,TableHandbook[],F$2,FALSE)=0,"",VLOOKUP($A23,TableHandbook[],F$2,FALSE)),"")</f>
        <v/>
      </c>
      <c r="G23" s="112" t="str">
        <f>IFERROR(IF(VLOOKUP($A23,TableHandbook[],G$2,FALSE)=0,"",VLOOKUP($A23,TableHandbook[],G$2,FALSE)),"")</f>
        <v/>
      </c>
      <c r="H23" s="200" t="str">
        <f>IFERROR(VLOOKUP($A23,TableHandbook[],H$2,FALSE),"")</f>
        <v/>
      </c>
      <c r="I23" s="201" t="str">
        <f>IFERROR(VLOOKUP($A23,TableHandbook[],I$2,FALSE),"")</f>
        <v/>
      </c>
      <c r="J23" s="201" t="str">
        <f>IFERROR(VLOOKUP($A23,TableHandbook[],J$2,FALSE),"")</f>
        <v/>
      </c>
      <c r="K23" s="202" t="str">
        <f>IFERROR(VLOOKUP($A23,TableHandbook[],K$2,FALSE),"")</f>
        <v/>
      </c>
      <c r="L23" s="41"/>
      <c r="M23" s="113">
        <v>11</v>
      </c>
      <c r="N23" s="111"/>
      <c r="O23" s="111"/>
      <c r="W23" s="27"/>
    </row>
    <row r="24" spans="1:23" s="28" customFormat="1" ht="4.5" customHeight="1" x14ac:dyDescent="0.15">
      <c r="A24" s="172"/>
      <c r="B24" s="173"/>
      <c r="C24" s="173"/>
      <c r="D24" s="173"/>
      <c r="E24" s="173"/>
      <c r="F24" s="175"/>
      <c r="G24" s="173"/>
      <c r="H24" s="197"/>
      <c r="I24" s="198"/>
      <c r="J24" s="198"/>
      <c r="K24" s="199"/>
      <c r="L24" s="176"/>
      <c r="M24" s="110"/>
      <c r="N24" s="111"/>
      <c r="O24" s="111"/>
      <c r="P24" s="111"/>
      <c r="W24" s="27"/>
    </row>
    <row r="25" spans="1:23" s="28" customFormat="1" ht="20.100000000000001" customHeight="1" x14ac:dyDescent="0.15">
      <c r="A25" s="118" t="str">
        <f>IFERROR(IF(HLOOKUP($L$6,RangeUnitSetsSec,M25,FALSE)=0,"",HLOOKUP($L$6,RangeUnitSetsSec,M25,FALSE)),"")</f>
        <v/>
      </c>
      <c r="B25" s="112" t="str">
        <f>IFERROR(IF(VLOOKUP($A25,TableHandbook[],B$2,FALSE)=0,"",VLOOKUP($A25,TableHandbook[],B$2,FALSE)),"")</f>
        <v/>
      </c>
      <c r="C25" s="112" t="str">
        <f>IFERROR(IF(VLOOKUP($A25,TableHandbook[],C$2,FALSE)=0,"",VLOOKUP($A25,TableHandbook[],C$2,FALSE)),"")</f>
        <v/>
      </c>
      <c r="D25" s="117" t="str">
        <f>IFERROR(IF(VLOOKUP($A25,TableHandbook[],D$2,FALSE)=0,"",VLOOKUP($A25,TableHandbook[],D$2,FALSE)),"")</f>
        <v/>
      </c>
      <c r="E25" s="112" t="str">
        <f>IF(OR(A25="",A25="--"),"",VLOOKUP($D$7,TableStudyPeriods[],3,FALSE))</f>
        <v/>
      </c>
      <c r="F25" s="120" t="str">
        <f>IFERROR(IF(VLOOKUP($A25,TableHandbook[],F$2,FALSE)=0,"",VLOOKUP($A25,TableHandbook[],F$2,FALSE)),"")</f>
        <v/>
      </c>
      <c r="G25" s="112" t="str">
        <f>IFERROR(IF(VLOOKUP($A25,TableHandbook[],G$2,FALSE)=0,"",VLOOKUP($A25,TableHandbook[],G$2,FALSE)),"")</f>
        <v/>
      </c>
      <c r="H25" s="200" t="str">
        <f>IFERROR(VLOOKUP($A25,TableHandbook[],H$2,FALSE),"")</f>
        <v/>
      </c>
      <c r="I25" s="201" t="str">
        <f>IFERROR(VLOOKUP($A25,TableHandbook[],I$2,FALSE),"")</f>
        <v/>
      </c>
      <c r="J25" s="201" t="str">
        <f>IFERROR(VLOOKUP($A25,TableHandbook[],J$2,FALSE),"")</f>
        <v/>
      </c>
      <c r="K25" s="202" t="str">
        <f>IFERROR(VLOOKUP($A25,TableHandbook[],K$2,FALSE),"")</f>
        <v/>
      </c>
      <c r="L25" s="41"/>
      <c r="M25" s="110">
        <v>12</v>
      </c>
      <c r="N25" s="111"/>
      <c r="O25" s="111"/>
      <c r="W25" s="27"/>
    </row>
    <row r="26" spans="1:23" s="28" customFormat="1" ht="20.100000000000001" customHeight="1" x14ac:dyDescent="0.15">
      <c r="A26" s="118" t="str">
        <f>IFERROR(IF(HLOOKUP($L$6,RangeUnitSetsSec,M26,FALSE)=0,"",HLOOKUP($L$6,RangeUnitSetsSec,M26,FALSE)),"")</f>
        <v/>
      </c>
      <c r="B26" s="112" t="str">
        <f>IFERROR(IF(VLOOKUP($A26,TableHandbook[],B$2,FALSE)=0,"",VLOOKUP($A26,TableHandbook[],B$2,FALSE)),"")</f>
        <v/>
      </c>
      <c r="C26" s="112" t="str">
        <f>IFERROR(IF(VLOOKUP($A26,TableHandbook[],C$2,FALSE)=0,"",VLOOKUP($A26,TableHandbook[],C$2,FALSE)),"")</f>
        <v/>
      </c>
      <c r="D26" s="119" t="str">
        <f>IFERROR(IF(VLOOKUP($A26,TableHandbook[],D$2,FALSE)=0,"",VLOOKUP($A26,TableHandbook[],D$2,FALSE)),"")</f>
        <v/>
      </c>
      <c r="E26" s="112" t="str">
        <f>IF(OR(A26="",A26="-"),"",E25)</f>
        <v/>
      </c>
      <c r="F26" s="120" t="str">
        <f>IFERROR(IF(VLOOKUP($A26,TableHandbook[],F$2,FALSE)=0,"",VLOOKUP($A26,TableHandbook[],F$2,FALSE)),"")</f>
        <v/>
      </c>
      <c r="G26" s="112" t="str">
        <f>IFERROR(IF(VLOOKUP($A26,TableHandbook[],G$2,FALSE)=0,"",VLOOKUP($A26,TableHandbook[],G$2,FALSE)),"")</f>
        <v/>
      </c>
      <c r="H26" s="200" t="str">
        <f>IFERROR(VLOOKUP($A26,TableHandbook[],H$2,FALSE),"")</f>
        <v/>
      </c>
      <c r="I26" s="201" t="str">
        <f>IFERROR(VLOOKUP($A26,TableHandbook[],I$2,FALSE),"")</f>
        <v/>
      </c>
      <c r="J26" s="201" t="str">
        <f>IFERROR(VLOOKUP($A26,TableHandbook[],J$2,FALSE),"")</f>
        <v/>
      </c>
      <c r="K26" s="202" t="str">
        <f>IFERROR(VLOOKUP($A26,TableHandbook[],K$2,FALSE),"")</f>
        <v/>
      </c>
      <c r="L26" s="41"/>
      <c r="M26" s="113">
        <v>13</v>
      </c>
      <c r="N26" s="111"/>
      <c r="O26" s="111"/>
      <c r="W26" s="27"/>
    </row>
    <row r="27" spans="1:23" s="28" customFormat="1" ht="5.0999999999999996" customHeight="1" x14ac:dyDescent="0.15">
      <c r="A27" s="172"/>
      <c r="B27" s="173"/>
      <c r="C27" s="173"/>
      <c r="D27" s="180"/>
      <c r="E27" s="173"/>
      <c r="F27" s="175"/>
      <c r="G27" s="173"/>
      <c r="H27" s="197"/>
      <c r="I27" s="198"/>
      <c r="J27" s="198"/>
      <c r="K27" s="199"/>
      <c r="L27" s="176"/>
      <c r="M27" s="110"/>
      <c r="N27" s="111"/>
      <c r="O27" s="111"/>
      <c r="P27" s="111"/>
      <c r="W27" s="27"/>
    </row>
    <row r="28" spans="1:23" s="28" customFormat="1" ht="20.100000000000001" customHeight="1" x14ac:dyDescent="0.15">
      <c r="A28" s="106" t="str">
        <f>IFERROR(IF(HLOOKUP($L$6,RangeUnitSetsSec,M28,FALSE)=0,"",HLOOKUP($L$6,RangeUnitSetsSec,M28,FALSE)),"")</f>
        <v/>
      </c>
      <c r="B28" s="112" t="str">
        <f>IFERROR(IF(VLOOKUP($A28,TableHandbook[],B$2,FALSE)=0,"",VLOOKUP($A28,TableHandbook[],B$2,FALSE)),"")</f>
        <v/>
      </c>
      <c r="C28" s="112" t="str">
        <f>IFERROR(IF(VLOOKUP($A28,TableHandbook[],C$2,FALSE)=0,"",VLOOKUP($A28,TableHandbook[],C$2,FALSE)),"")</f>
        <v/>
      </c>
      <c r="D28" s="119" t="str">
        <f>IFERROR(IF(VLOOKUP($A28,TableHandbook[],D$2,FALSE)=0,"",VLOOKUP($A28,TableHandbook[],D$2,FALSE)),"")</f>
        <v/>
      </c>
      <c r="E28" s="112" t="str">
        <f>IF(OR(A28="",A28="--"),"",VLOOKUP($D$7,TableStudyPeriods[],4,FALSE))</f>
        <v/>
      </c>
      <c r="F28" s="109" t="str">
        <f>IFERROR(IF(VLOOKUP($A28,TableHandbook[],F$2,FALSE)=0,"",VLOOKUP($A28,TableHandbook[],F$2,FALSE)),"")</f>
        <v/>
      </c>
      <c r="G28" s="107" t="str">
        <f>IFERROR(IF(VLOOKUP($A28,TableHandbook[],G$2,FALSE)=0,"",VLOOKUP($A28,TableHandbook[],G$2,FALSE)),"")</f>
        <v/>
      </c>
      <c r="H28" s="194" t="str">
        <f>IFERROR(VLOOKUP($A28,TableHandbook[],H$2,FALSE),"")</f>
        <v/>
      </c>
      <c r="I28" s="195" t="str">
        <f>IFERROR(VLOOKUP($A28,TableHandbook[],I$2,FALSE),"")</f>
        <v/>
      </c>
      <c r="J28" s="195" t="str">
        <f>IFERROR(VLOOKUP($A28,TableHandbook[],J$2,FALSE),"")</f>
        <v/>
      </c>
      <c r="K28" s="196" t="str">
        <f>IFERROR(VLOOKUP($A28,TableHandbook[],K$2,FALSE),"")</f>
        <v/>
      </c>
      <c r="L28" s="40"/>
      <c r="M28" s="110">
        <v>14</v>
      </c>
      <c r="N28" s="111"/>
      <c r="O28" s="111"/>
      <c r="W28" s="27"/>
    </row>
    <row r="29" spans="1:23" s="28" customFormat="1" ht="20.100000000000001" customHeight="1" x14ac:dyDescent="0.15">
      <c r="A29" s="118" t="str">
        <f>IFERROR(IF(HLOOKUP($L$6,RangeUnitSetsSec,M29,FALSE)=0,"",HLOOKUP($L$6,RangeUnitSetsSec,M29,FALSE)),"")</f>
        <v/>
      </c>
      <c r="B29" s="112" t="str">
        <f>IFERROR(IF(VLOOKUP($A29,TableHandbook[],B$2,FALSE)=0,"",VLOOKUP($A29,TableHandbook[],B$2,FALSE)),"")</f>
        <v/>
      </c>
      <c r="C29" s="112" t="str">
        <f>IFERROR(IF(VLOOKUP($A29,TableHandbook[],C$2,FALSE)=0,"",VLOOKUP($A29,TableHandbook[],C$2,FALSE)),"")</f>
        <v/>
      </c>
      <c r="D29" s="119" t="str">
        <f>IFERROR(IF(VLOOKUP($A29,TableHandbook[],D$2,FALSE)=0,"",VLOOKUP($A29,TableHandbook[],D$2,FALSE)),"")</f>
        <v/>
      </c>
      <c r="E29" s="112" t="str">
        <f>IF(OR(A29="",A29="-"),"",E28)</f>
        <v/>
      </c>
      <c r="F29" s="120" t="str">
        <f>IFERROR(IF(VLOOKUP($A29,TableHandbook[],F$2,FALSE)=0,"",VLOOKUP($A29,TableHandbook[],F$2,FALSE)),"")</f>
        <v/>
      </c>
      <c r="G29" s="112" t="str">
        <f>IFERROR(IF(VLOOKUP($A29,TableHandbook[],G$2,FALSE)=0,"",VLOOKUP($A29,TableHandbook[],G$2,FALSE)),"")</f>
        <v/>
      </c>
      <c r="H29" s="200" t="str">
        <f>IFERROR(VLOOKUP($A29,TableHandbook[],H$2,FALSE),"")</f>
        <v/>
      </c>
      <c r="I29" s="201" t="str">
        <f>IFERROR(VLOOKUP($A29,TableHandbook[],I$2,FALSE),"")</f>
        <v/>
      </c>
      <c r="J29" s="201" t="str">
        <f>IFERROR(VLOOKUP($A29,TableHandbook[],J$2,FALSE),"")</f>
        <v/>
      </c>
      <c r="K29" s="202" t="str">
        <f>IFERROR(VLOOKUP($A29,TableHandbook[],K$2,FALSE),"")</f>
        <v/>
      </c>
      <c r="L29" s="41"/>
      <c r="M29" s="113">
        <v>15</v>
      </c>
      <c r="N29" s="111"/>
      <c r="O29" s="111"/>
      <c r="W29" s="27"/>
    </row>
    <row r="30" spans="1:23" s="28" customFormat="1" ht="5.0999999999999996" customHeight="1" x14ac:dyDescent="0.15">
      <c r="A30" s="172"/>
      <c r="B30" s="173"/>
      <c r="C30" s="173"/>
      <c r="D30" s="180"/>
      <c r="E30" s="173"/>
      <c r="F30" s="175"/>
      <c r="G30" s="173"/>
      <c r="H30" s="197"/>
      <c r="I30" s="198"/>
      <c r="J30" s="198"/>
      <c r="K30" s="199"/>
      <c r="L30" s="176"/>
      <c r="M30" s="110"/>
      <c r="N30" s="111"/>
      <c r="O30" s="111"/>
      <c r="P30" s="111"/>
      <c r="W30" s="27"/>
    </row>
    <row r="31" spans="1:23" s="30" customFormat="1" ht="20.100000000000001" customHeight="1" x14ac:dyDescent="0.15">
      <c r="A31" s="118" t="str">
        <f>IFERROR(IF(HLOOKUP($L$6,RangeUnitSetsSec,M31,FALSE)=0,"",HLOOKUP($L$6,RangeUnitSetsSec,M31,FALSE)),"")</f>
        <v/>
      </c>
      <c r="B31" s="112" t="str">
        <f>IFERROR(IF(VLOOKUP($A31,TableHandbook[],B$2,FALSE)=0,"",VLOOKUP($A31,TableHandbook[],B$2,FALSE)),"")</f>
        <v/>
      </c>
      <c r="C31" s="112" t="str">
        <f>IFERROR(IF(VLOOKUP($A31,TableHandbook[],C$2,FALSE)=0,"",VLOOKUP($A31,TableHandbook[],C$2,FALSE)),"")</f>
        <v/>
      </c>
      <c r="D31" s="119" t="str">
        <f>IFERROR(IF(VLOOKUP($A31,TableHandbook[],D$2,FALSE)=0,"",VLOOKUP($A31,TableHandbook[],D$2,FALSE)),"")</f>
        <v/>
      </c>
      <c r="E31" s="112" t="str">
        <f>IF(OR(A31="",A31="--"),"",VLOOKUP($D$7,TableStudyPeriods[],5,FALSE))</f>
        <v/>
      </c>
      <c r="F31" s="120" t="str">
        <f>IFERROR(IF(VLOOKUP($A31,TableHandbook[],F$2,FALSE)=0,"",VLOOKUP($A31,TableHandbook[],F$2,FALSE)),"")</f>
        <v/>
      </c>
      <c r="G31" s="112" t="str">
        <f>IFERROR(IF(VLOOKUP($A31,TableHandbook[],G$2,FALSE)=0,"",VLOOKUP($A31,TableHandbook[],G$2,FALSE)),"")</f>
        <v/>
      </c>
      <c r="H31" s="200" t="str">
        <f>IFERROR(VLOOKUP($A31,TableHandbook[],H$2,FALSE),"")</f>
        <v/>
      </c>
      <c r="I31" s="201" t="str">
        <f>IFERROR(VLOOKUP($A31,TableHandbook[],I$2,FALSE),"")</f>
        <v/>
      </c>
      <c r="J31" s="201" t="str">
        <f>IFERROR(VLOOKUP($A31,TableHandbook[],J$2,FALSE),"")</f>
        <v/>
      </c>
      <c r="K31" s="202" t="str">
        <f>IFERROR(VLOOKUP($A31,TableHandbook[],K$2,FALSE),"")</f>
        <v/>
      </c>
      <c r="L31" s="41"/>
      <c r="M31" s="113">
        <v>16</v>
      </c>
      <c r="N31" s="114"/>
      <c r="O31" s="114"/>
      <c r="W31" s="29"/>
    </row>
    <row r="32" spans="1:23" s="30" customFormat="1" ht="20.100000000000001" customHeight="1" x14ac:dyDescent="0.15">
      <c r="A32" s="118" t="str">
        <f>IFERROR(IF(HLOOKUP($L$6,RangeUnitSetsSec,M32,FALSE)=0,"",HLOOKUP($L$6,RangeUnitSetsSec,M32,FALSE)),"")</f>
        <v/>
      </c>
      <c r="B32" s="112" t="str">
        <f>IFERROR(IF(VLOOKUP($A32,TableHandbook[],B$2,FALSE)=0,"",VLOOKUP($A32,TableHandbook[],B$2,FALSE)),"")</f>
        <v/>
      </c>
      <c r="C32" s="112" t="str">
        <f>IFERROR(IF(VLOOKUP($A32,TableHandbook[],C$2,FALSE)=0,"",VLOOKUP($A32,TableHandbook[],C$2,FALSE)),"")</f>
        <v/>
      </c>
      <c r="D32" s="119" t="str">
        <f>IFERROR(IF(VLOOKUP($A32,TableHandbook[],D$2,FALSE)=0,"",VLOOKUP($A32,TableHandbook[],D$2,FALSE)),"")</f>
        <v/>
      </c>
      <c r="E32" s="112" t="str">
        <f>IF(OR(A32="",A32="-"),"",E31)</f>
        <v/>
      </c>
      <c r="F32" s="120" t="str">
        <f>IFERROR(IF(VLOOKUP($A32,TableHandbook[],F$2,FALSE)=0,"",VLOOKUP($A32,TableHandbook[],F$2,FALSE)),"")</f>
        <v/>
      </c>
      <c r="G32" s="112" t="str">
        <f>IFERROR(IF(VLOOKUP($A32,TableHandbook[],G$2,FALSE)=0,"",VLOOKUP($A32,TableHandbook[],G$2,FALSE)),"")</f>
        <v/>
      </c>
      <c r="H32" s="200" t="str">
        <f>IFERROR(VLOOKUP($A32,TableHandbook[],H$2,FALSE),"")</f>
        <v/>
      </c>
      <c r="I32" s="201" t="str">
        <f>IFERROR(VLOOKUP($A32,TableHandbook[],I$2,FALSE),"")</f>
        <v/>
      </c>
      <c r="J32" s="201" t="str">
        <f>IFERROR(VLOOKUP($A32,TableHandbook[],J$2,FALSE),"")</f>
        <v/>
      </c>
      <c r="K32" s="202" t="str">
        <f>IFERROR(VLOOKUP($A32,TableHandbook[],K$2,FALSE),"")</f>
        <v/>
      </c>
      <c r="L32" s="41"/>
      <c r="M32" s="113">
        <v>17</v>
      </c>
      <c r="N32" s="114"/>
      <c r="O32" s="114"/>
      <c r="W32" s="29"/>
    </row>
    <row r="33" spans="1:23" s="26" customFormat="1" ht="21" x14ac:dyDescent="0.25">
      <c r="A33" s="98" t="s">
        <v>26</v>
      </c>
      <c r="B33" s="98"/>
      <c r="C33" s="105" t="s">
        <v>16</v>
      </c>
      <c r="D33" s="115" t="s">
        <v>3</v>
      </c>
      <c r="E33" s="105" t="s">
        <v>17</v>
      </c>
      <c r="F33" s="98" t="s">
        <v>18</v>
      </c>
      <c r="G33" s="98" t="s">
        <v>19</v>
      </c>
      <c r="H33" s="191" t="str">
        <f>H$9</f>
        <v>SP1</v>
      </c>
      <c r="I33" s="192" t="str">
        <f t="shared" ref="I33:L33" si="1">I$9</f>
        <v>SP2</v>
      </c>
      <c r="J33" s="192" t="str">
        <f t="shared" si="1"/>
        <v>SP3</v>
      </c>
      <c r="K33" s="193" t="str">
        <f t="shared" si="1"/>
        <v>SP4</v>
      </c>
      <c r="L33" s="98" t="str">
        <f t="shared" si="1"/>
        <v>Notes / Progress</v>
      </c>
      <c r="M33" s="116"/>
      <c r="N33" s="104"/>
      <c r="O33" s="104"/>
      <c r="W33" s="25"/>
    </row>
    <row r="34" spans="1:23" s="28" customFormat="1" ht="20.100000000000001" customHeight="1" x14ac:dyDescent="0.15">
      <c r="A34" s="118" t="str">
        <f>IFERROR(IF(HLOOKUP($L$6,RangeUnitSetsSec,M34,FALSE)=0,"",HLOOKUP($L$6,RangeUnitSetsSec,M34,FALSE)),"")</f>
        <v/>
      </c>
      <c r="B34" s="112" t="str">
        <f>IFERROR(IF(VLOOKUP($A34,TableHandbook[],B$2,FALSE)=0,"",VLOOKUP($A34,TableHandbook[],B$2,FALSE)),"")</f>
        <v/>
      </c>
      <c r="C34" s="112" t="str">
        <f>IFERROR(IF(VLOOKUP($A34,TableHandbook[],C$2,FALSE)=0,"",VLOOKUP($A34,TableHandbook[],C$2,FALSE)),"")</f>
        <v/>
      </c>
      <c r="D34" s="117" t="str">
        <f>IFERROR(IF(VLOOKUP($A34,TableHandbook[],D$2,FALSE)=0,"",VLOOKUP($A34,TableHandbook[],D$2,FALSE)),"")</f>
        <v/>
      </c>
      <c r="E34" s="112" t="str">
        <f>IF(OR(A34="",A34="--"),"",VLOOKUP($D$7,TableStudyPeriods[],2,FALSE))</f>
        <v/>
      </c>
      <c r="F34" s="120" t="str">
        <f>IFERROR(IF(VLOOKUP($A34,TableHandbook[],F$2,FALSE)=0,"",VLOOKUP($A34,TableHandbook[],F$2,FALSE)),"")</f>
        <v/>
      </c>
      <c r="G34" s="112" t="str">
        <f>IFERROR(IF(VLOOKUP($A34,TableHandbook[],G$2,FALSE)=0,"",VLOOKUP($A34,TableHandbook[],G$2,FALSE)),"")</f>
        <v/>
      </c>
      <c r="H34" s="200" t="str">
        <f>IFERROR(VLOOKUP($A34,TableHandbook[],H$2,FALSE),"")</f>
        <v/>
      </c>
      <c r="I34" s="201" t="str">
        <f>IFERROR(VLOOKUP($A34,TableHandbook[],I$2,FALSE),"")</f>
        <v/>
      </c>
      <c r="J34" s="201" t="str">
        <f>IFERROR(VLOOKUP($A34,TableHandbook[],J$2,FALSE),"")</f>
        <v/>
      </c>
      <c r="K34" s="202" t="str">
        <f>IFERROR(VLOOKUP($A34,TableHandbook[],K$2,FALSE),"")</f>
        <v/>
      </c>
      <c r="L34" s="41"/>
      <c r="M34" s="110">
        <v>18</v>
      </c>
      <c r="N34" s="111"/>
      <c r="O34" s="111"/>
      <c r="W34" s="27"/>
    </row>
    <row r="35" spans="1:23" s="28" customFormat="1" ht="19.5" customHeight="1" x14ac:dyDescent="0.15">
      <c r="A35" s="118" t="str">
        <f>IFERROR(IF(HLOOKUP($L$6,RangeUnitSetsSec,M35,FALSE)=0,"",HLOOKUP($L$6,RangeUnitSetsSec,M35,FALSE)),"")</f>
        <v/>
      </c>
      <c r="B35" s="112" t="str">
        <f>IFERROR(IF(VLOOKUP($A35,TableHandbook[],B$2,FALSE)=0,"",VLOOKUP($A35,TableHandbook[],B$2,FALSE)),"")</f>
        <v/>
      </c>
      <c r="C35" s="112" t="str">
        <f>IFERROR(IF(VLOOKUP($A35,TableHandbook[],C$2,FALSE)=0,"",VLOOKUP($A35,TableHandbook[],C$2,FALSE)),"")</f>
        <v/>
      </c>
      <c r="D35" s="119" t="str">
        <f>IFERROR(IF(VLOOKUP($A35,TableHandbook[],D$2,FALSE)=0,"",VLOOKUP($A35,TableHandbook[],D$2,FALSE)),"")</f>
        <v/>
      </c>
      <c r="E35" s="112" t="str">
        <f>IF(OR(A35="",A35="-"),"",E34)</f>
        <v/>
      </c>
      <c r="F35" s="120" t="str">
        <f>IFERROR(IF(VLOOKUP($A35,TableHandbook[],F$2,FALSE)=0,"",VLOOKUP($A35,TableHandbook[],F$2,FALSE)),"")</f>
        <v/>
      </c>
      <c r="G35" s="112" t="str">
        <f>IFERROR(IF(VLOOKUP($A35,TableHandbook[],G$2,FALSE)=0,"",VLOOKUP($A35,TableHandbook[],G$2,FALSE)),"")</f>
        <v/>
      </c>
      <c r="H35" s="200" t="str">
        <f>IFERROR(VLOOKUP($A35,TableHandbook[],H$2,FALSE),"")</f>
        <v/>
      </c>
      <c r="I35" s="201" t="str">
        <f>IFERROR(VLOOKUP($A35,TableHandbook[],I$2,FALSE),"")</f>
        <v/>
      </c>
      <c r="J35" s="201" t="str">
        <f>IFERROR(VLOOKUP($A35,TableHandbook[],J$2,FALSE),"")</f>
        <v/>
      </c>
      <c r="K35" s="202" t="str">
        <f>IFERROR(VLOOKUP($A35,TableHandbook[],K$2,FALSE),"")</f>
        <v/>
      </c>
      <c r="L35" s="41"/>
      <c r="M35" s="113">
        <v>19</v>
      </c>
      <c r="N35" s="111"/>
      <c r="O35" s="111"/>
      <c r="W35" s="27"/>
    </row>
    <row r="36" spans="1:23" s="28" customFormat="1" ht="5.0999999999999996" customHeight="1" x14ac:dyDescent="0.15">
      <c r="A36" s="172"/>
      <c r="B36" s="173"/>
      <c r="C36" s="173"/>
      <c r="D36" s="180"/>
      <c r="E36" s="173"/>
      <c r="F36" s="175"/>
      <c r="G36" s="173"/>
      <c r="H36" s="197"/>
      <c r="I36" s="198"/>
      <c r="J36" s="198"/>
      <c r="K36" s="199"/>
      <c r="L36" s="176"/>
      <c r="M36" s="110"/>
      <c r="N36" s="111"/>
      <c r="O36" s="111"/>
      <c r="P36" s="111"/>
      <c r="W36" s="27"/>
    </row>
    <row r="37" spans="1:23" s="28" customFormat="1" ht="20.100000000000001" customHeight="1" x14ac:dyDescent="0.15">
      <c r="A37" s="118" t="str">
        <f>IFERROR(IF(HLOOKUP($L$6,RangeUnitSetsSec,M37,FALSE)=0,"",HLOOKUP($L$6,RangeUnitSetsSec,M37,FALSE)),"")</f>
        <v/>
      </c>
      <c r="B37" s="112" t="str">
        <f>IFERROR(IF(VLOOKUP($A37,TableHandbook[],B$2,FALSE)=0,"",VLOOKUP($A37,TableHandbook[],B$2,FALSE)),"")</f>
        <v/>
      </c>
      <c r="C37" s="112" t="str">
        <f>IFERROR(IF(VLOOKUP($A37,TableHandbook[],C$2,FALSE)=0,"",VLOOKUP($A37,TableHandbook[],C$2,FALSE)),"")</f>
        <v/>
      </c>
      <c r="D37" s="119" t="str">
        <f>IFERROR(IF(VLOOKUP($A37,TableHandbook[],D$2,FALSE)=0,"",VLOOKUP($A37,TableHandbook[],D$2,FALSE)),"")</f>
        <v/>
      </c>
      <c r="E37" s="112" t="str">
        <f>IF(OR(A37="",A37="--"),"",VLOOKUP($D$7,TableStudyPeriods[],3,FALSE))</f>
        <v/>
      </c>
      <c r="F37" s="120" t="str">
        <f>IFERROR(IF(VLOOKUP($A37,TableHandbook[],F$2,FALSE)=0,"",VLOOKUP($A37,TableHandbook[],F$2,FALSE)),"")</f>
        <v/>
      </c>
      <c r="G37" s="112" t="str">
        <f>IFERROR(IF(VLOOKUP($A37,TableHandbook[],G$2,FALSE)=0,"",VLOOKUP($A37,TableHandbook[],G$2,FALSE)),"")</f>
        <v/>
      </c>
      <c r="H37" s="200" t="str">
        <f>IFERROR(VLOOKUP($A37,TableHandbook[],H$2,FALSE),"")</f>
        <v/>
      </c>
      <c r="I37" s="201" t="str">
        <f>IFERROR(VLOOKUP($A37,TableHandbook[],I$2,FALSE),"")</f>
        <v/>
      </c>
      <c r="J37" s="201" t="str">
        <f>IFERROR(VLOOKUP($A37,TableHandbook[],J$2,FALSE),"")</f>
        <v/>
      </c>
      <c r="K37" s="202" t="str">
        <f>IFERROR(VLOOKUP($A37,TableHandbook[],K$2,FALSE),"")</f>
        <v/>
      </c>
      <c r="L37" s="41"/>
      <c r="M37" s="110">
        <v>20</v>
      </c>
      <c r="N37" s="111"/>
      <c r="O37" s="111"/>
      <c r="W37" s="27"/>
    </row>
    <row r="38" spans="1:23" s="28" customFormat="1" ht="20.100000000000001" customHeight="1" x14ac:dyDescent="0.15">
      <c r="A38" s="118" t="str">
        <f>IFERROR(IF(HLOOKUP($L$6,RangeUnitSetsSec,M38,FALSE)=0,"",HLOOKUP($L$6,RangeUnitSetsSec,M38,FALSE)),"")</f>
        <v/>
      </c>
      <c r="B38" s="112" t="str">
        <f>IFERROR(IF(VLOOKUP($A38,TableHandbook[],B$2,FALSE)=0,"",VLOOKUP($A38,TableHandbook[],B$2,FALSE)),"")</f>
        <v/>
      </c>
      <c r="C38" s="112" t="str">
        <f>IFERROR(IF(VLOOKUP($A38,TableHandbook[],C$2,FALSE)=0,"",VLOOKUP($A38,TableHandbook[],C$2,FALSE)),"")</f>
        <v/>
      </c>
      <c r="D38" s="119" t="str">
        <f>IFERROR(IF(VLOOKUP($A38,TableHandbook[],D$2,FALSE)=0,"",VLOOKUP($A38,TableHandbook[],D$2,FALSE)),"")</f>
        <v/>
      </c>
      <c r="E38" s="112" t="str">
        <f>IF(OR(A38="",A38="-"),"",E37)</f>
        <v/>
      </c>
      <c r="F38" s="120" t="str">
        <f>IFERROR(IF(VLOOKUP($A38,TableHandbook[],F$2,FALSE)=0,"",VLOOKUP($A38,TableHandbook[],F$2,FALSE)),"")</f>
        <v/>
      </c>
      <c r="G38" s="112" t="str">
        <f>IFERROR(IF(VLOOKUP($A38,TableHandbook[],G$2,FALSE)=0,"",VLOOKUP($A38,TableHandbook[],G$2,FALSE)),"")</f>
        <v/>
      </c>
      <c r="H38" s="200" t="str">
        <f>IFERROR(VLOOKUP($A38,TableHandbook[],H$2,FALSE),"")</f>
        <v/>
      </c>
      <c r="I38" s="201" t="str">
        <f>IFERROR(VLOOKUP($A38,TableHandbook[],I$2,FALSE),"")</f>
        <v/>
      </c>
      <c r="J38" s="201" t="str">
        <f>IFERROR(VLOOKUP($A38,TableHandbook[],J$2,FALSE),"")</f>
        <v/>
      </c>
      <c r="K38" s="202" t="str">
        <f>IFERROR(VLOOKUP($A38,TableHandbook[],K$2,FALSE),"")</f>
        <v/>
      </c>
      <c r="L38" s="41"/>
      <c r="M38" s="113">
        <v>21</v>
      </c>
      <c r="N38" s="111"/>
      <c r="O38" s="111"/>
      <c r="W38" s="27"/>
    </row>
    <row r="39" spans="1:23" s="28" customFormat="1" ht="5.0999999999999996" customHeight="1" x14ac:dyDescent="0.15">
      <c r="A39" s="172"/>
      <c r="B39" s="173"/>
      <c r="C39" s="173"/>
      <c r="D39" s="180"/>
      <c r="E39" s="173"/>
      <c r="F39" s="175"/>
      <c r="G39" s="173"/>
      <c r="H39" s="197"/>
      <c r="I39" s="198"/>
      <c r="J39" s="198"/>
      <c r="K39" s="199"/>
      <c r="L39" s="176"/>
      <c r="M39" s="110"/>
      <c r="N39" s="111"/>
      <c r="O39" s="111"/>
      <c r="P39" s="111"/>
      <c r="W39" s="27"/>
    </row>
    <row r="40" spans="1:23" s="28" customFormat="1" ht="20.100000000000001" customHeight="1" x14ac:dyDescent="0.15">
      <c r="A40" s="118" t="str">
        <f>IFERROR(IF(HLOOKUP($L$6,RangeUnitSetsSec,M40,FALSE)=0,"",HLOOKUP($L$6,RangeUnitSetsSec,M40,FALSE)),"")</f>
        <v/>
      </c>
      <c r="B40" s="112" t="str">
        <f>IFERROR(IF(VLOOKUP($A40,TableHandbook[],B$2,FALSE)=0,"",VLOOKUP($A40,TableHandbook[],B$2,FALSE)),"")</f>
        <v/>
      </c>
      <c r="C40" s="112" t="str">
        <f>IFERROR(IF(VLOOKUP($A40,TableHandbook[],C$2,FALSE)=0,"",VLOOKUP($A40,TableHandbook[],C$2,FALSE)),"")</f>
        <v/>
      </c>
      <c r="D40" s="119" t="str">
        <f>IFERROR(IF(VLOOKUP($A40,TableHandbook[],D$2,FALSE)=0,"",VLOOKUP($A40,TableHandbook[],D$2,FALSE)),"")</f>
        <v/>
      </c>
      <c r="E40" s="112" t="str">
        <f>IF(OR(A40="",A40="--"),"",VLOOKUP($D$7,TableStudyPeriods[],4,FALSE))</f>
        <v/>
      </c>
      <c r="F40" s="120" t="str">
        <f>IFERROR(IF(VLOOKUP($A40,TableHandbook[],F$2,FALSE)=0,"",VLOOKUP($A40,TableHandbook[],F$2,FALSE)),"")</f>
        <v/>
      </c>
      <c r="G40" s="112" t="str">
        <f>IFERROR(IF(VLOOKUP($A40,TableHandbook[],G$2,FALSE)=0,"",VLOOKUP($A40,TableHandbook[],G$2,FALSE)),"")</f>
        <v/>
      </c>
      <c r="H40" s="200" t="str">
        <f>IFERROR(VLOOKUP($A40,TableHandbook[],H$2,FALSE),"")</f>
        <v/>
      </c>
      <c r="I40" s="201" t="str">
        <f>IFERROR(VLOOKUP($A40,TableHandbook[],I$2,FALSE),"")</f>
        <v/>
      </c>
      <c r="J40" s="201" t="str">
        <f>IFERROR(VLOOKUP($A40,TableHandbook[],J$2,FALSE),"")</f>
        <v/>
      </c>
      <c r="K40" s="202" t="str">
        <f>IFERROR(VLOOKUP($A40,TableHandbook[],K$2,FALSE),"")</f>
        <v/>
      </c>
      <c r="L40" s="41"/>
      <c r="M40" s="110">
        <v>22</v>
      </c>
      <c r="N40" s="111"/>
      <c r="O40" s="111"/>
      <c r="W40" s="27"/>
    </row>
    <row r="41" spans="1:23" s="28" customFormat="1" ht="20.100000000000001" customHeight="1" x14ac:dyDescent="0.15">
      <c r="A41" s="118" t="str">
        <f>IFERROR(IF(HLOOKUP($L$6,RangeUnitSetsSec,M41,FALSE)=0,"",HLOOKUP($L$6,RangeUnitSetsSec,M41,FALSE)),"")</f>
        <v/>
      </c>
      <c r="B41" s="112" t="str">
        <f>IFERROR(IF(VLOOKUP($A41,TableHandbook[],B$2,FALSE)=0,"",VLOOKUP($A41,TableHandbook[],B$2,FALSE)),"")</f>
        <v/>
      </c>
      <c r="C41" s="112" t="str">
        <f>IFERROR(IF(VLOOKUP($A41,TableHandbook[],C$2,FALSE)=0,"",VLOOKUP($A41,TableHandbook[],C$2,FALSE)),"")</f>
        <v/>
      </c>
      <c r="D41" s="119" t="str">
        <f>IFERROR(IF(VLOOKUP($A41,TableHandbook[],D$2,FALSE)=0,"",VLOOKUP($A41,TableHandbook[],D$2,FALSE)),"")</f>
        <v/>
      </c>
      <c r="E41" s="112" t="str">
        <f>IF(OR(A41="",A41="-"),"",E40)</f>
        <v/>
      </c>
      <c r="F41" s="120" t="str">
        <f>IFERROR(IF(VLOOKUP($A41,TableHandbook[],F$2,FALSE)=0,"",VLOOKUP($A41,TableHandbook[],F$2,FALSE)),"")</f>
        <v/>
      </c>
      <c r="G41" s="112" t="str">
        <f>IFERROR(IF(VLOOKUP($A41,TableHandbook[],G$2,FALSE)=0,"",VLOOKUP($A41,TableHandbook[],G$2,FALSE)),"")</f>
        <v/>
      </c>
      <c r="H41" s="200" t="str">
        <f>IFERROR(VLOOKUP($A41,TableHandbook[],H$2,FALSE),"")</f>
        <v/>
      </c>
      <c r="I41" s="201" t="str">
        <f>IFERROR(VLOOKUP($A41,TableHandbook[],I$2,FALSE),"")</f>
        <v/>
      </c>
      <c r="J41" s="201" t="str">
        <f>IFERROR(VLOOKUP($A41,TableHandbook[],J$2,FALSE),"")</f>
        <v/>
      </c>
      <c r="K41" s="202" t="str">
        <f>IFERROR(VLOOKUP($A41,TableHandbook[],K$2,FALSE),"")</f>
        <v/>
      </c>
      <c r="L41" s="41"/>
      <c r="M41" s="110">
        <v>23</v>
      </c>
      <c r="N41" s="111"/>
      <c r="O41" s="111"/>
      <c r="W41" s="27"/>
    </row>
    <row r="42" spans="1:23" s="28" customFormat="1" ht="5.0999999999999996" customHeight="1" x14ac:dyDescent="0.15">
      <c r="A42" s="172"/>
      <c r="B42" s="173"/>
      <c r="C42" s="173"/>
      <c r="D42" s="180"/>
      <c r="E42" s="173"/>
      <c r="F42" s="175"/>
      <c r="G42" s="173"/>
      <c r="H42" s="197"/>
      <c r="I42" s="198"/>
      <c r="J42" s="198"/>
      <c r="K42" s="199"/>
      <c r="L42" s="176"/>
      <c r="M42" s="110"/>
      <c r="N42" s="111"/>
      <c r="O42" s="111"/>
      <c r="P42" s="111"/>
      <c r="W42" s="27"/>
    </row>
    <row r="43" spans="1:23" s="30" customFormat="1" ht="20.100000000000001" customHeight="1" x14ac:dyDescent="0.15">
      <c r="A43" s="118" t="str">
        <f>IFERROR(IF(HLOOKUP($L$6,RangeUnitSetsSec,M43,FALSE)=0,"",HLOOKUP($L$6,RangeUnitSetsSec,M43,FALSE)),"")</f>
        <v/>
      </c>
      <c r="B43" s="112" t="str">
        <f>IFERROR(IF(VLOOKUP($A43,TableHandbook[],B$2,FALSE)=0,"",VLOOKUP($A43,TableHandbook[],B$2,FALSE)),"")</f>
        <v/>
      </c>
      <c r="C43" s="112" t="str">
        <f>IFERROR(IF(VLOOKUP($A43,TableHandbook[],C$2,FALSE)=0,"",VLOOKUP($A43,TableHandbook[],C$2,FALSE)),"")</f>
        <v/>
      </c>
      <c r="D43" s="119" t="str">
        <f>IFERROR(IF(VLOOKUP($A43,TableHandbook[],D$2,FALSE)=0,"",VLOOKUP($A43,TableHandbook[],D$2,FALSE)),"")</f>
        <v/>
      </c>
      <c r="E43" s="112" t="str">
        <f>IF(OR(A43="",A43="--"),"",VLOOKUP($D$7,TableStudyPeriods[],5,FALSE))</f>
        <v/>
      </c>
      <c r="F43" s="120" t="str">
        <f>IFERROR(IF(VLOOKUP($A43,TableHandbook[],F$2,FALSE)=0,"",VLOOKUP($A43,TableHandbook[],F$2,FALSE)),"")</f>
        <v/>
      </c>
      <c r="G43" s="112" t="str">
        <f>IFERROR(IF(VLOOKUP($A43,TableHandbook[],G$2,FALSE)=0,"",VLOOKUP($A43,TableHandbook[],G$2,FALSE)),"")</f>
        <v/>
      </c>
      <c r="H43" s="200" t="str">
        <f>IFERROR(VLOOKUP($A43,TableHandbook[],H$2,FALSE),"")</f>
        <v/>
      </c>
      <c r="I43" s="201" t="str">
        <f>IFERROR(VLOOKUP($A43,TableHandbook[],I$2,FALSE),"")</f>
        <v/>
      </c>
      <c r="J43" s="201" t="str">
        <f>IFERROR(VLOOKUP($A43,TableHandbook[],J$2,FALSE),"")</f>
        <v/>
      </c>
      <c r="K43" s="202" t="str">
        <f>IFERROR(VLOOKUP($A43,TableHandbook[],K$2,FALSE),"")</f>
        <v/>
      </c>
      <c r="L43" s="41"/>
      <c r="M43" s="113">
        <v>24</v>
      </c>
      <c r="N43" s="114"/>
      <c r="O43" s="114"/>
      <c r="W43" s="29"/>
    </row>
    <row r="44" spans="1:23" s="30" customFormat="1" ht="20.100000000000001" customHeight="1" x14ac:dyDescent="0.15">
      <c r="A44" s="118" t="str">
        <f>IFERROR(IF(HLOOKUP($L$6,RangeUnitSetsSec,M44,FALSE)=0,"",HLOOKUP($L$6,RangeUnitSetsSec,M44,FALSE)),"")</f>
        <v/>
      </c>
      <c r="B44" s="112" t="str">
        <f>IFERROR(IF(VLOOKUP($A44,TableHandbook[],B$2,FALSE)=0,"",VLOOKUP($A44,TableHandbook[],B$2,FALSE)),"")</f>
        <v/>
      </c>
      <c r="C44" s="112" t="str">
        <f>IFERROR(IF(VLOOKUP($A44,TableHandbook[],C$2,FALSE)=0,"",VLOOKUP($A44,TableHandbook[],C$2,FALSE)),"")</f>
        <v/>
      </c>
      <c r="D44" s="119" t="str">
        <f>IFERROR(IF(VLOOKUP($A44,TableHandbook[],D$2,FALSE)=0,"",VLOOKUP($A44,TableHandbook[],D$2,FALSE)),"")</f>
        <v/>
      </c>
      <c r="E44" s="112" t="str">
        <f>IF(OR(A44="",A44="-"),"",E43)</f>
        <v/>
      </c>
      <c r="F44" s="120" t="str">
        <f>IFERROR(IF(VLOOKUP($A44,TableHandbook[],F$2,FALSE)=0,"",VLOOKUP($A44,TableHandbook[],F$2,FALSE)),"")</f>
        <v/>
      </c>
      <c r="G44" s="112" t="str">
        <f>IFERROR(IF(VLOOKUP($A44,TableHandbook[],G$2,FALSE)=0,"",VLOOKUP($A44,TableHandbook[],G$2,FALSE)),"")</f>
        <v/>
      </c>
      <c r="H44" s="200" t="str">
        <f>IFERROR(VLOOKUP($A44,TableHandbook[],H$2,FALSE),"")</f>
        <v/>
      </c>
      <c r="I44" s="201" t="str">
        <f>IFERROR(VLOOKUP($A44,TableHandbook[],I$2,FALSE),"")</f>
        <v/>
      </c>
      <c r="J44" s="201" t="str">
        <f>IFERROR(VLOOKUP($A44,TableHandbook[],J$2,FALSE),"")</f>
        <v/>
      </c>
      <c r="K44" s="202" t="str">
        <f>IFERROR(VLOOKUP($A44,TableHandbook[],K$2,FALSE),"")</f>
        <v/>
      </c>
      <c r="L44" s="41"/>
      <c r="M44" s="113">
        <v>25</v>
      </c>
      <c r="N44" s="114"/>
      <c r="O44" s="114"/>
      <c r="W44" s="29"/>
    </row>
    <row r="45" spans="1:23" s="26" customFormat="1" ht="21" x14ac:dyDescent="0.25">
      <c r="A45" s="98" t="s">
        <v>27</v>
      </c>
      <c r="B45" s="98"/>
      <c r="C45" s="105" t="s">
        <v>16</v>
      </c>
      <c r="D45" s="115" t="s">
        <v>3</v>
      </c>
      <c r="E45" s="105" t="s">
        <v>17</v>
      </c>
      <c r="F45" s="98" t="s">
        <v>18</v>
      </c>
      <c r="G45" s="98" t="s">
        <v>19</v>
      </c>
      <c r="H45" s="191" t="str">
        <f>H$9</f>
        <v>SP1</v>
      </c>
      <c r="I45" s="192" t="str">
        <f t="shared" ref="I45:L45" si="2">I$9</f>
        <v>SP2</v>
      </c>
      <c r="J45" s="192" t="str">
        <f t="shared" si="2"/>
        <v>SP3</v>
      </c>
      <c r="K45" s="193" t="str">
        <f t="shared" si="2"/>
        <v>SP4</v>
      </c>
      <c r="L45" s="98" t="str">
        <f t="shared" si="2"/>
        <v>Notes / Progress</v>
      </c>
      <c r="M45" s="116"/>
      <c r="N45" s="104"/>
      <c r="O45" s="104"/>
      <c r="W45" s="25"/>
    </row>
    <row r="46" spans="1:23" s="28" customFormat="1" ht="20.100000000000001" customHeight="1" x14ac:dyDescent="0.15">
      <c r="A46" s="118" t="str">
        <f>IFERROR(IF(HLOOKUP($L$6,RangeUnitSetsSec,M46,FALSE)=0,"",HLOOKUP($L$6,RangeUnitSetsSec,M46,FALSE)),"")</f>
        <v/>
      </c>
      <c r="B46" s="112" t="str">
        <f>IFERROR(IF(VLOOKUP($A46,TableHandbook[],B$2,FALSE)=0,"",VLOOKUP($A46,TableHandbook[],B$2,FALSE)),"")</f>
        <v/>
      </c>
      <c r="C46" s="112" t="str">
        <f>IFERROR(IF(VLOOKUP($A46,TableHandbook[],C$2,FALSE)=0,"",VLOOKUP($A46,TableHandbook[],C$2,FALSE)),"")</f>
        <v/>
      </c>
      <c r="D46" s="117" t="str">
        <f>IFERROR(IF(VLOOKUP($A46,TableHandbook[],D$2,FALSE)=0,"",VLOOKUP($A46,TableHandbook[],D$2,FALSE)),"")</f>
        <v/>
      </c>
      <c r="E46" s="112" t="str">
        <f>IF(OR(A46="",A46="--"),"",VLOOKUP($D$7,TableStudyPeriods[],2,FALSE))</f>
        <v/>
      </c>
      <c r="F46" s="120" t="str">
        <f>IFERROR(IF(VLOOKUP($A46,TableHandbook[],F$2,FALSE)=0,"",VLOOKUP($A46,TableHandbook[],F$2,FALSE)),"")</f>
        <v/>
      </c>
      <c r="G46" s="112" t="str">
        <f>IFERROR(IF(VLOOKUP($A46,TableHandbook[],G$2,FALSE)=0,"",VLOOKUP($A46,TableHandbook[],G$2,FALSE)),"")</f>
        <v/>
      </c>
      <c r="H46" s="200" t="str">
        <f>IFERROR(VLOOKUP($A46,TableHandbook[],H$2,FALSE),"")</f>
        <v/>
      </c>
      <c r="I46" s="201" t="str">
        <f>IFERROR(VLOOKUP($A46,TableHandbook[],I$2,FALSE),"")</f>
        <v/>
      </c>
      <c r="J46" s="201" t="str">
        <f>IFERROR(VLOOKUP($A46,TableHandbook[],J$2,FALSE),"")</f>
        <v/>
      </c>
      <c r="K46" s="202" t="str">
        <f>IFERROR(VLOOKUP($A46,TableHandbook[],K$2,FALSE),"")</f>
        <v/>
      </c>
      <c r="L46" s="41"/>
      <c r="M46" s="113">
        <v>26</v>
      </c>
      <c r="N46" s="111"/>
      <c r="O46" s="111"/>
      <c r="W46" s="27"/>
    </row>
    <row r="47" spans="1:23" s="28" customFormat="1" ht="19.5" customHeight="1" x14ac:dyDescent="0.15">
      <c r="A47" s="118" t="str">
        <f>IFERROR(IF(HLOOKUP($L$6,RangeUnitSetsSec,M47,FALSE)=0,"",HLOOKUP($L$6,RangeUnitSetsSec,M47,FALSE)),"")</f>
        <v/>
      </c>
      <c r="B47" s="112" t="str">
        <f>IFERROR(IF(VLOOKUP($A47,TableHandbook[],B$2,FALSE)=0,"",VLOOKUP($A47,TableHandbook[],B$2,FALSE)),"")</f>
        <v/>
      </c>
      <c r="C47" s="112" t="str">
        <f>IFERROR(IF(VLOOKUP($A47,TableHandbook[],C$2,FALSE)=0,"",VLOOKUP($A47,TableHandbook[],C$2,FALSE)),"")</f>
        <v/>
      </c>
      <c r="D47" s="119" t="str">
        <f>IFERROR(IF(VLOOKUP($A47,TableHandbook[],D$2,FALSE)=0,"",VLOOKUP($A47,TableHandbook[],D$2,FALSE)),"")</f>
        <v/>
      </c>
      <c r="E47" s="112" t="str">
        <f>IF(OR(A47="",A47="-"),"",E46)</f>
        <v/>
      </c>
      <c r="F47" s="120" t="str">
        <f>IFERROR(IF(VLOOKUP($A47,TableHandbook[],F$2,FALSE)=0,"",VLOOKUP($A47,TableHandbook[],F$2,FALSE)),"")</f>
        <v/>
      </c>
      <c r="G47" s="112" t="str">
        <f>IFERROR(IF(VLOOKUP($A47,TableHandbook[],G$2,FALSE)=0,"",VLOOKUP($A47,TableHandbook[],G$2,FALSE)),"")</f>
        <v/>
      </c>
      <c r="H47" s="200" t="str">
        <f>IFERROR(VLOOKUP($A47,TableHandbook[],H$2,FALSE),"")</f>
        <v/>
      </c>
      <c r="I47" s="201" t="str">
        <f>IFERROR(VLOOKUP($A47,TableHandbook[],I$2,FALSE),"")</f>
        <v/>
      </c>
      <c r="J47" s="201" t="str">
        <f>IFERROR(VLOOKUP($A47,TableHandbook[],J$2,FALSE),"")</f>
        <v/>
      </c>
      <c r="K47" s="202" t="str">
        <f>IFERROR(VLOOKUP($A47,TableHandbook[],K$2,FALSE),"")</f>
        <v/>
      </c>
      <c r="L47" s="41"/>
      <c r="M47" s="113">
        <v>27</v>
      </c>
      <c r="N47" s="111"/>
      <c r="O47" s="111"/>
      <c r="W47" s="27"/>
    </row>
    <row r="48" spans="1:23" s="28" customFormat="1" ht="5.0999999999999996" customHeight="1" x14ac:dyDescent="0.15">
      <c r="A48" s="172"/>
      <c r="B48" s="173"/>
      <c r="C48" s="173"/>
      <c r="D48" s="180"/>
      <c r="E48" s="173"/>
      <c r="F48" s="175"/>
      <c r="G48" s="173"/>
      <c r="H48" s="197"/>
      <c r="I48" s="198"/>
      <c r="J48" s="198"/>
      <c r="K48" s="199"/>
      <c r="L48" s="176"/>
      <c r="M48" s="110"/>
      <c r="N48" s="111"/>
      <c r="O48" s="111"/>
      <c r="P48" s="111"/>
      <c r="W48" s="27"/>
    </row>
    <row r="49" spans="1:23" s="28" customFormat="1" ht="20.100000000000001" customHeight="1" x14ac:dyDescent="0.15">
      <c r="A49" s="118" t="str">
        <f>IFERROR(IF(HLOOKUP($L$6,RangeUnitSetsSec,M49,FALSE)=0,"",HLOOKUP($L$6,RangeUnitSetsSec,M49,FALSE)),"")</f>
        <v/>
      </c>
      <c r="B49" s="112" t="str">
        <f>IFERROR(IF(VLOOKUP($A49,TableHandbook[],B$2,FALSE)=0,"",VLOOKUP($A49,TableHandbook[],B$2,FALSE)),"")</f>
        <v/>
      </c>
      <c r="C49" s="112" t="str">
        <f>IFERROR(IF(VLOOKUP($A49,TableHandbook[],C$2,FALSE)=0,"",VLOOKUP($A49,TableHandbook[],C$2,FALSE)),"")</f>
        <v/>
      </c>
      <c r="D49" s="119" t="str">
        <f>IFERROR(IF(VLOOKUP($A49,TableHandbook[],D$2,FALSE)=0,"",VLOOKUP($A49,TableHandbook[],D$2,FALSE)),"")</f>
        <v/>
      </c>
      <c r="E49" s="112" t="str">
        <f>IF(OR(A49="",A49="--"),"",VLOOKUP($D$7,TableStudyPeriods[],3,FALSE))</f>
        <v/>
      </c>
      <c r="F49" s="120" t="str">
        <f>IFERROR(IF(VLOOKUP($A49,TableHandbook[],F$2,FALSE)=0,"",VLOOKUP($A49,TableHandbook[],F$2,FALSE)),"")</f>
        <v/>
      </c>
      <c r="G49" s="112" t="str">
        <f>IFERROR(IF(VLOOKUP($A49,TableHandbook[],G$2,FALSE)=0,"",VLOOKUP($A49,TableHandbook[],G$2,FALSE)),"")</f>
        <v/>
      </c>
      <c r="H49" s="200" t="str">
        <f>IFERROR(VLOOKUP($A49,TableHandbook[],H$2,FALSE),"")</f>
        <v/>
      </c>
      <c r="I49" s="201" t="str">
        <f>IFERROR(VLOOKUP($A49,TableHandbook[],I$2,FALSE),"")</f>
        <v/>
      </c>
      <c r="J49" s="201" t="str">
        <f>IFERROR(VLOOKUP($A49,TableHandbook[],J$2,FALSE),"")</f>
        <v/>
      </c>
      <c r="K49" s="202" t="str">
        <f>IFERROR(VLOOKUP($A49,TableHandbook[],K$2,FALSE),"")</f>
        <v/>
      </c>
      <c r="L49" s="41"/>
      <c r="M49" s="113">
        <v>28</v>
      </c>
      <c r="N49" s="111"/>
      <c r="O49" s="111"/>
      <c r="W49" s="27"/>
    </row>
    <row r="50" spans="1:23" s="28" customFormat="1" ht="20.100000000000001" customHeight="1" x14ac:dyDescent="0.15">
      <c r="A50" s="118" t="str">
        <f>IFERROR(IF(HLOOKUP($L$6,RangeUnitSetsSec,M50,FALSE)=0,"",HLOOKUP($L$6,RangeUnitSetsSec,M50,FALSE)),"")</f>
        <v/>
      </c>
      <c r="B50" s="112" t="str">
        <f>IFERROR(IF(VLOOKUP($A50,TableHandbook[],B$2,FALSE)=0,"",VLOOKUP($A50,TableHandbook[],B$2,FALSE)),"")</f>
        <v/>
      </c>
      <c r="C50" s="112" t="str">
        <f>IFERROR(IF(VLOOKUP($A50,TableHandbook[],C$2,FALSE)=0,"",VLOOKUP($A50,TableHandbook[],C$2,FALSE)),"")</f>
        <v/>
      </c>
      <c r="D50" s="119" t="str">
        <f>IFERROR(IF(VLOOKUP($A50,TableHandbook[],D$2,FALSE)=0,"",VLOOKUP($A50,TableHandbook[],D$2,FALSE)),"")</f>
        <v/>
      </c>
      <c r="E50" s="112" t="str">
        <f>IF(OR(A50="",A50="-"),"",E49)</f>
        <v/>
      </c>
      <c r="F50" s="120" t="str">
        <f>IFERROR(IF(VLOOKUP($A50,TableHandbook[],F$2,FALSE)=0,"",VLOOKUP($A50,TableHandbook[],F$2,FALSE)),"")</f>
        <v/>
      </c>
      <c r="G50" s="112" t="str">
        <f>IFERROR(IF(VLOOKUP($A50,TableHandbook[],G$2,FALSE)=0,"",VLOOKUP($A50,TableHandbook[],G$2,FALSE)),"")</f>
        <v/>
      </c>
      <c r="H50" s="200" t="str">
        <f>IFERROR(VLOOKUP($A50,TableHandbook[],H$2,FALSE),"")</f>
        <v/>
      </c>
      <c r="I50" s="201" t="str">
        <f>IFERROR(VLOOKUP($A50,TableHandbook[],I$2,FALSE),"")</f>
        <v/>
      </c>
      <c r="J50" s="201" t="str">
        <f>IFERROR(VLOOKUP($A50,TableHandbook[],J$2,FALSE),"")</f>
        <v/>
      </c>
      <c r="K50" s="202" t="str">
        <f>IFERROR(VLOOKUP($A50,TableHandbook[],K$2,FALSE),"")</f>
        <v/>
      </c>
      <c r="L50" s="41"/>
      <c r="M50" s="110">
        <v>29</v>
      </c>
      <c r="N50" s="111"/>
      <c r="O50" s="111"/>
      <c r="W50" s="27"/>
    </row>
    <row r="51" spans="1:23" s="28" customFormat="1" ht="5.0999999999999996" customHeight="1" x14ac:dyDescent="0.15">
      <c r="A51" s="172"/>
      <c r="B51" s="173"/>
      <c r="C51" s="173"/>
      <c r="D51" s="180"/>
      <c r="E51" s="173"/>
      <c r="F51" s="175"/>
      <c r="G51" s="173"/>
      <c r="H51" s="197"/>
      <c r="I51" s="198"/>
      <c r="J51" s="198"/>
      <c r="K51" s="199"/>
      <c r="L51" s="176"/>
      <c r="M51" s="110"/>
      <c r="N51" s="111"/>
      <c r="O51" s="111"/>
      <c r="P51" s="111"/>
      <c r="W51" s="27"/>
    </row>
    <row r="52" spans="1:23" s="28" customFormat="1" ht="20.100000000000001" customHeight="1" x14ac:dyDescent="0.15">
      <c r="A52" s="106" t="str">
        <f>IFERROR(IF(HLOOKUP($L$6,RangeUnitSetsSec,M52,FALSE)=0,"",HLOOKUP($L$6,RangeUnitSetsSec,M52,FALSE)),"")</f>
        <v/>
      </c>
      <c r="B52" s="112" t="str">
        <f>IFERROR(IF(VLOOKUP($A52,TableHandbook[],B$2,FALSE)=0,"",VLOOKUP($A52,TableHandbook[],B$2,FALSE)),"")</f>
        <v/>
      </c>
      <c r="C52" s="112" t="str">
        <f>IFERROR(IF(VLOOKUP($A52,TableHandbook[],C$2,FALSE)=0,"",VLOOKUP($A52,TableHandbook[],C$2,FALSE)),"")</f>
        <v/>
      </c>
      <c r="D52" s="119" t="str">
        <f>IFERROR(IF(VLOOKUP($A52,TableHandbook[],D$2,FALSE)=0,"",VLOOKUP($A52,TableHandbook[],D$2,FALSE)),"")</f>
        <v/>
      </c>
      <c r="E52" s="112" t="str">
        <f>IF(OR(A52="",A52="--"),"",VLOOKUP($D$7,TableStudyPeriods[],4,FALSE))</f>
        <v/>
      </c>
      <c r="F52" s="109" t="str">
        <f>IFERROR(IF(VLOOKUP($A52,TableHandbook[],F$2,FALSE)=0,"",VLOOKUP($A52,TableHandbook[],F$2,FALSE)),"")</f>
        <v/>
      </c>
      <c r="G52" s="107" t="str">
        <f>IFERROR(IF(VLOOKUP($A52,TableHandbook[],G$2,FALSE)=0,"",VLOOKUP($A52,TableHandbook[],G$2,FALSE)),"")</f>
        <v/>
      </c>
      <c r="H52" s="194" t="str">
        <f>IFERROR(VLOOKUP($A52,TableHandbook[],H$2,FALSE),"")</f>
        <v/>
      </c>
      <c r="I52" s="195" t="str">
        <f>IFERROR(VLOOKUP($A52,TableHandbook[],I$2,FALSE),"")</f>
        <v/>
      </c>
      <c r="J52" s="195" t="str">
        <f>IFERROR(VLOOKUP($A52,TableHandbook[],J$2,FALSE),"")</f>
        <v/>
      </c>
      <c r="K52" s="196" t="str">
        <f>IFERROR(VLOOKUP($A52,TableHandbook[],K$2,FALSE),"")</f>
        <v/>
      </c>
      <c r="L52" s="40"/>
      <c r="M52" s="110">
        <v>30</v>
      </c>
      <c r="N52" s="111"/>
      <c r="O52" s="111"/>
      <c r="W52" s="27"/>
    </row>
    <row r="53" spans="1:23" s="28" customFormat="1" ht="20.100000000000001" customHeight="1" x14ac:dyDescent="0.15">
      <c r="A53" s="106" t="str">
        <f>IFERROR(IF(HLOOKUP($L$6,RangeUnitSetsSec,M53,FALSE)=0,"",HLOOKUP($L$6,RangeUnitSetsSec,M53,FALSE)),"")</f>
        <v/>
      </c>
      <c r="B53" s="112" t="str">
        <f>IFERROR(IF(VLOOKUP($A53,TableHandbook[],B$2,FALSE)=0,"",VLOOKUP($A53,TableHandbook[],B$2,FALSE)),"")</f>
        <v/>
      </c>
      <c r="C53" s="112" t="str">
        <f>IFERROR(IF(VLOOKUP($A53,TableHandbook[],C$2,FALSE)=0,"",VLOOKUP($A53,TableHandbook[],C$2,FALSE)),"")</f>
        <v/>
      </c>
      <c r="D53" s="119" t="str">
        <f>IFERROR(IF(VLOOKUP($A53,TableHandbook[],D$2,FALSE)=0,"",VLOOKUP($A53,TableHandbook[],D$2,FALSE)),"")</f>
        <v/>
      </c>
      <c r="E53" s="112" t="str">
        <f>IF(OR(A53="",A53="-"),"",E52)</f>
        <v/>
      </c>
      <c r="F53" s="109" t="str">
        <f>IFERROR(IF(VLOOKUP($A53,TableHandbook[],F$2,FALSE)=0,"",VLOOKUP($A53,TableHandbook[],F$2,FALSE)),"")</f>
        <v/>
      </c>
      <c r="G53" s="107" t="str">
        <f>IFERROR(IF(VLOOKUP($A53,TableHandbook[],G$2,FALSE)=0,"",VLOOKUP($A53,TableHandbook[],G$2,FALSE)),"")</f>
        <v/>
      </c>
      <c r="H53" s="194" t="str">
        <f>IFERROR(VLOOKUP($A53,TableHandbook[],H$2,FALSE),"")</f>
        <v/>
      </c>
      <c r="I53" s="195" t="str">
        <f>IFERROR(VLOOKUP($A53,TableHandbook[],I$2,FALSE),"")</f>
        <v/>
      </c>
      <c r="J53" s="195" t="str">
        <f>IFERROR(VLOOKUP($A53,TableHandbook[],J$2,FALSE),"")</f>
        <v/>
      </c>
      <c r="K53" s="196" t="str">
        <f>IFERROR(VLOOKUP($A53,TableHandbook[],K$2,FALSE),"")</f>
        <v/>
      </c>
      <c r="L53" s="40"/>
      <c r="M53" s="110">
        <v>31</v>
      </c>
      <c r="N53" s="111"/>
      <c r="O53" s="111"/>
      <c r="W53" s="27"/>
    </row>
    <row r="54" spans="1:23" s="34" customFormat="1" ht="13.9" customHeight="1" x14ac:dyDescent="0.2">
      <c r="A54" s="121"/>
      <c r="B54" s="121"/>
      <c r="C54" s="121"/>
      <c r="D54" s="122"/>
      <c r="E54" s="122"/>
      <c r="F54" s="123"/>
      <c r="G54" s="123"/>
      <c r="H54" s="123"/>
      <c r="I54" s="123"/>
      <c r="J54" s="123"/>
      <c r="K54" s="123"/>
      <c r="L54" s="123"/>
      <c r="M54" s="124"/>
      <c r="N54" s="125"/>
      <c r="O54" s="125"/>
      <c r="W54" s="33"/>
    </row>
    <row r="55" spans="1:23" ht="16.5" x14ac:dyDescent="0.25">
      <c r="A55" s="126" t="s">
        <v>162</v>
      </c>
      <c r="B55" s="127"/>
      <c r="C55" s="127"/>
      <c r="D55" s="128"/>
      <c r="E55" s="129"/>
      <c r="F55" s="129"/>
      <c r="G55" s="129"/>
      <c r="H55" s="130" t="str">
        <f>H8</f>
        <v>2026 Availabilities</v>
      </c>
      <c r="I55" s="178"/>
      <c r="J55" s="178"/>
      <c r="K55" s="179"/>
      <c r="L55" s="131"/>
      <c r="M55" s="132"/>
      <c r="W55" s="24"/>
    </row>
    <row r="56" spans="1:23" s="36" customFormat="1" x14ac:dyDescent="0.25">
      <c r="A56" s="133"/>
      <c r="B56" s="133"/>
      <c r="C56" s="133" t="s">
        <v>16</v>
      </c>
      <c r="D56" s="134" t="s">
        <v>3</v>
      </c>
      <c r="E56" s="133"/>
      <c r="F56" s="133" t="s">
        <v>18</v>
      </c>
      <c r="G56" s="133" t="s">
        <v>19</v>
      </c>
      <c r="H56" s="203" t="str">
        <f>H$9</f>
        <v>SP1</v>
      </c>
      <c r="I56" s="204" t="str">
        <f t="shared" ref="I56:L56" si="3">I$9</f>
        <v>SP2</v>
      </c>
      <c r="J56" s="204" t="str">
        <f t="shared" si="3"/>
        <v>SP3</v>
      </c>
      <c r="K56" s="205" t="str">
        <f t="shared" si="3"/>
        <v>SP4</v>
      </c>
      <c r="L56" s="181" t="str">
        <f t="shared" si="3"/>
        <v>Notes / Progress</v>
      </c>
      <c r="M56" s="132"/>
      <c r="W56" s="35"/>
    </row>
    <row r="57" spans="1:23" x14ac:dyDescent="0.25">
      <c r="A57" s="135" t="str">
        <f t="shared" ref="A57:A81" si="4">IFERROR(IF(HLOOKUP($L$6,RangeUnitSetsSec,M57,FALSE)=0,"",HLOOKUP($L$6,RangeUnitSetsSec,M57,FALSE)),"")</f>
        <v/>
      </c>
      <c r="B57" s="140" t="str">
        <f>IFERROR(IF(VLOOKUP($A57,TableHandbook[],B$2,FALSE)=0,"",VLOOKUP($A57,TableHandbook[],B$2,FALSE)),"")</f>
        <v/>
      </c>
      <c r="C57" s="140" t="str">
        <f>IFERROR(IF(VLOOKUP($A57,TableHandbook[],C$2,FALSE)=0,"",VLOOKUP($A57,TableHandbook[],C$2,FALSE)),"")</f>
        <v/>
      </c>
      <c r="D57" s="138" t="str">
        <f>IFERROR(IF(VLOOKUP($A57,TableHandbook[],D$2,FALSE)=0,"",VLOOKUP($A57,TableHandbook[],D$2,FALSE)),"")</f>
        <v/>
      </c>
      <c r="E57" s="138"/>
      <c r="F57" s="139" t="str">
        <f>IFERROR(IF(VLOOKUP($A57,TableHandbook[],F$2,FALSE)=0,"",VLOOKUP($A57,TableHandbook[],F$2,FALSE)),"")</f>
        <v/>
      </c>
      <c r="G57" s="139" t="str">
        <f>IFERROR(IF(VLOOKUP($A57,TableHandbook[],G$2,FALSE)=0,"",VLOOKUP($A57,TableHandbook[],G$2,FALSE)),"")</f>
        <v/>
      </c>
      <c r="H57" s="206" t="str">
        <f>IFERROR(VLOOKUP($A57,TableHandbook[],H$2,FALSE),"")</f>
        <v/>
      </c>
      <c r="I57" s="206" t="str">
        <f>IFERROR(VLOOKUP($A57,TableHandbook[],I$2,FALSE),"")</f>
        <v/>
      </c>
      <c r="J57" s="206" t="str">
        <f>IFERROR(VLOOKUP($A57,TableHandbook[],J$2,FALSE),"")</f>
        <v/>
      </c>
      <c r="K57" s="206" t="str">
        <f>IFERROR(VLOOKUP($A57,TableHandbook[],K$2,FALSE),"")</f>
        <v/>
      </c>
      <c r="L57" s="41"/>
      <c r="M57" s="110">
        <v>34</v>
      </c>
      <c r="W57" s="24"/>
    </row>
    <row r="58" spans="1:23" x14ac:dyDescent="0.25">
      <c r="A58" s="135" t="str">
        <f t="shared" si="4"/>
        <v/>
      </c>
      <c r="B58" s="140" t="str">
        <f>IFERROR(IF(VLOOKUP($A58,TableHandbook[],B$2,FALSE)=0,"",VLOOKUP($A58,TableHandbook[],B$2,FALSE)),"")</f>
        <v/>
      </c>
      <c r="C58" s="140" t="str">
        <f>IFERROR(IF(VLOOKUP($A58,TableHandbook[],C$2,FALSE)=0,"",VLOOKUP($A58,TableHandbook[],C$2,FALSE)),"")</f>
        <v/>
      </c>
      <c r="D58" s="137" t="str">
        <f>IFERROR(IF(VLOOKUP($A58,TableHandbook[],D$2,FALSE)=0,"",VLOOKUP($A58,TableHandbook[],D$2,FALSE)),"")</f>
        <v/>
      </c>
      <c r="E58" s="138"/>
      <c r="F58" s="139" t="str">
        <f>IFERROR(IF(VLOOKUP($A58,TableHandbook[],F$2,FALSE)=0,"",VLOOKUP($A58,TableHandbook[],F$2,FALSE)),"")</f>
        <v/>
      </c>
      <c r="G58" s="139" t="str">
        <f>IFERROR(IF(VLOOKUP($A58,TableHandbook[],G$2,FALSE)=0,"",VLOOKUP($A58,TableHandbook[],G$2,FALSE)),"")</f>
        <v/>
      </c>
      <c r="H58" s="206" t="str">
        <f>IFERROR(VLOOKUP($A58,TableHandbook[],H$2,FALSE),"")</f>
        <v/>
      </c>
      <c r="I58" s="206" t="str">
        <f>IFERROR(VLOOKUP($A58,TableHandbook[],I$2,FALSE),"")</f>
        <v/>
      </c>
      <c r="J58" s="206" t="str">
        <f>IFERROR(VLOOKUP($A58,TableHandbook[],J$2,FALSE),"")</f>
        <v/>
      </c>
      <c r="K58" s="206" t="str">
        <f>IFERROR(VLOOKUP($A58,TableHandbook[],K$2,FALSE),"")</f>
        <v/>
      </c>
      <c r="L58" s="41"/>
      <c r="M58" s="110">
        <v>35</v>
      </c>
      <c r="W58" s="24"/>
    </row>
    <row r="59" spans="1:23" x14ac:dyDescent="0.25">
      <c r="A59" s="135" t="str">
        <f t="shared" si="4"/>
        <v/>
      </c>
      <c r="B59" s="140" t="str">
        <f>IFERROR(IF(VLOOKUP($A59,TableHandbook[],B$2,FALSE)=0,"",VLOOKUP($A59,TableHandbook[],B$2,FALSE)),"")</f>
        <v/>
      </c>
      <c r="C59" s="140" t="str">
        <f>IFERROR(IF(VLOOKUP($A59,TableHandbook[],C$2,FALSE)=0,"",VLOOKUP($A59,TableHandbook[],C$2,FALSE)),"")</f>
        <v/>
      </c>
      <c r="D59" s="137" t="str">
        <f>IFERROR(IF(VLOOKUP($A59,TableHandbook[],D$2,FALSE)=0,"",VLOOKUP($A59,TableHandbook[],D$2,FALSE)),"")</f>
        <v/>
      </c>
      <c r="E59" s="138"/>
      <c r="F59" s="139" t="str">
        <f>IFERROR(IF(VLOOKUP($A59,TableHandbook[],F$2,FALSE)=0,"",VLOOKUP($A59,TableHandbook[],F$2,FALSE)),"")</f>
        <v/>
      </c>
      <c r="G59" s="139" t="str">
        <f>IFERROR(IF(VLOOKUP($A59,TableHandbook[],G$2,FALSE)=0,"",VLOOKUP($A59,TableHandbook[],G$2,FALSE)),"")</f>
        <v/>
      </c>
      <c r="H59" s="206" t="str">
        <f>IFERROR(VLOOKUP($A59,TableHandbook[],H$2,FALSE),"")</f>
        <v/>
      </c>
      <c r="I59" s="206" t="str">
        <f>IFERROR(VLOOKUP($A59,TableHandbook[],I$2,FALSE),"")</f>
        <v/>
      </c>
      <c r="J59" s="206" t="str">
        <f>IFERROR(VLOOKUP($A59,TableHandbook[],J$2,FALSE),"")</f>
        <v/>
      </c>
      <c r="K59" s="206" t="str">
        <f>IFERROR(VLOOKUP($A59,TableHandbook[],K$2,FALSE),"")</f>
        <v/>
      </c>
      <c r="L59" s="41"/>
      <c r="M59" s="110">
        <v>36</v>
      </c>
      <c r="W59" s="24"/>
    </row>
    <row r="60" spans="1:23" x14ac:dyDescent="0.25">
      <c r="A60" s="135" t="str">
        <f t="shared" si="4"/>
        <v/>
      </c>
      <c r="B60" s="140" t="str">
        <f>IFERROR(IF(VLOOKUP($A60,TableHandbook[],B$2,FALSE)=0,"",VLOOKUP($A60,TableHandbook[],B$2,FALSE)),"")</f>
        <v/>
      </c>
      <c r="C60" s="140" t="str">
        <f>IFERROR(IF(VLOOKUP($A60,TableHandbook[],C$2,FALSE)=0,"",VLOOKUP($A60,TableHandbook[],C$2,FALSE)),"")</f>
        <v/>
      </c>
      <c r="D60" s="137" t="str">
        <f>IFERROR(IF(VLOOKUP($A60,TableHandbook[],D$2,FALSE)=0,"",VLOOKUP($A60,TableHandbook[],D$2,FALSE)),"")</f>
        <v/>
      </c>
      <c r="E60" s="138"/>
      <c r="F60" s="139" t="str">
        <f>IFERROR(IF(VLOOKUP($A60,TableHandbook[],F$2,FALSE)=0,"",VLOOKUP($A60,TableHandbook[],F$2,FALSE)),"")</f>
        <v/>
      </c>
      <c r="G60" s="139" t="str">
        <f>IFERROR(IF(VLOOKUP($A60,TableHandbook[],G$2,FALSE)=0,"",VLOOKUP($A60,TableHandbook[],G$2,FALSE)),"")</f>
        <v/>
      </c>
      <c r="H60" s="206" t="str">
        <f>IFERROR(VLOOKUP($A60,TableHandbook[],H$2,FALSE),"")</f>
        <v/>
      </c>
      <c r="I60" s="206" t="str">
        <f>IFERROR(VLOOKUP($A60,TableHandbook[],I$2,FALSE),"")</f>
        <v/>
      </c>
      <c r="J60" s="206" t="str">
        <f>IFERROR(VLOOKUP($A60,TableHandbook[],J$2,FALSE),"")</f>
        <v/>
      </c>
      <c r="K60" s="206" t="str">
        <f>IFERROR(VLOOKUP($A60,TableHandbook[],K$2,FALSE),"")</f>
        <v/>
      </c>
      <c r="L60" s="41"/>
      <c r="M60" s="110">
        <v>37</v>
      </c>
      <c r="W60" s="24"/>
    </row>
    <row r="61" spans="1:23" x14ac:dyDescent="0.25">
      <c r="A61" s="135" t="str">
        <f t="shared" si="4"/>
        <v/>
      </c>
      <c r="B61" s="140" t="str">
        <f>IFERROR(IF(VLOOKUP($A61,TableHandbook[],B$2,FALSE)=0,"",VLOOKUP($A61,TableHandbook[],B$2,FALSE)),"")</f>
        <v/>
      </c>
      <c r="C61" s="140" t="str">
        <f>IFERROR(IF(VLOOKUP($A61,TableHandbook[],C$2,FALSE)=0,"",VLOOKUP($A61,TableHandbook[],C$2,FALSE)),"")</f>
        <v/>
      </c>
      <c r="D61" s="137" t="str">
        <f>IFERROR(IF(VLOOKUP($A61,TableHandbook[],D$2,FALSE)=0,"",VLOOKUP($A61,TableHandbook[],D$2,FALSE)),"")</f>
        <v/>
      </c>
      <c r="E61" s="138"/>
      <c r="F61" s="139" t="str">
        <f>IFERROR(IF(VLOOKUP($A61,TableHandbook[],F$2,FALSE)=0,"",VLOOKUP($A61,TableHandbook[],F$2,FALSE)),"")</f>
        <v/>
      </c>
      <c r="G61" s="139" t="str">
        <f>IFERROR(IF(VLOOKUP($A61,TableHandbook[],G$2,FALSE)=0,"",VLOOKUP($A61,TableHandbook[],G$2,FALSE)),"")</f>
        <v/>
      </c>
      <c r="H61" s="206" t="str">
        <f>IFERROR(VLOOKUP($A61,TableHandbook[],H$2,FALSE),"")</f>
        <v/>
      </c>
      <c r="I61" s="206" t="str">
        <f>IFERROR(VLOOKUP($A61,TableHandbook[],I$2,FALSE),"")</f>
        <v/>
      </c>
      <c r="J61" s="206" t="str">
        <f>IFERROR(VLOOKUP($A61,TableHandbook[],J$2,FALSE),"")</f>
        <v/>
      </c>
      <c r="K61" s="206" t="str">
        <f>IFERROR(VLOOKUP($A61,TableHandbook[],K$2,FALSE),"")</f>
        <v/>
      </c>
      <c r="L61" s="41"/>
      <c r="M61" s="110">
        <v>38</v>
      </c>
      <c r="W61" s="24"/>
    </row>
    <row r="62" spans="1:23" x14ac:dyDescent="0.25">
      <c r="A62" s="135" t="str">
        <f t="shared" si="4"/>
        <v/>
      </c>
      <c r="B62" s="140" t="str">
        <f>IFERROR(IF(VLOOKUP($A62,TableHandbook[],B$2,FALSE)=0,"",VLOOKUP($A62,TableHandbook[],B$2,FALSE)),"")</f>
        <v/>
      </c>
      <c r="C62" s="140" t="str">
        <f>IFERROR(IF(VLOOKUP($A62,TableHandbook[],C$2,FALSE)=0,"",VLOOKUP($A62,TableHandbook[],C$2,FALSE)),"")</f>
        <v/>
      </c>
      <c r="D62" s="137" t="str">
        <f>IFERROR(IF(VLOOKUP($A62,TableHandbook[],D$2,FALSE)=0,"",VLOOKUP($A62,TableHandbook[],D$2,FALSE)),"")</f>
        <v/>
      </c>
      <c r="E62" s="137"/>
      <c r="F62" s="139" t="str">
        <f>IFERROR(IF(VLOOKUP($A62,TableHandbook[],F$2,FALSE)=0,"",VLOOKUP($A62,TableHandbook[],F$2,FALSE)),"")</f>
        <v/>
      </c>
      <c r="G62" s="140" t="str">
        <f>IFERROR(IF(VLOOKUP($A62,TableHandbook[],G$2,FALSE)=0,"",VLOOKUP($A62,TableHandbook[],G$2,FALSE)),"")</f>
        <v/>
      </c>
      <c r="H62" s="206" t="str">
        <f>IFERROR(VLOOKUP($A62,TableHandbook[],H$2,FALSE),"")</f>
        <v/>
      </c>
      <c r="I62" s="206" t="str">
        <f>IFERROR(VLOOKUP($A62,TableHandbook[],I$2,FALSE),"")</f>
        <v/>
      </c>
      <c r="J62" s="206" t="str">
        <f>IFERROR(VLOOKUP($A62,TableHandbook[],J$2,FALSE),"")</f>
        <v/>
      </c>
      <c r="K62" s="206" t="str">
        <f>IFERROR(VLOOKUP($A62,TableHandbook[],K$2,FALSE),"")</f>
        <v/>
      </c>
      <c r="L62" s="41"/>
      <c r="M62" s="110">
        <v>39</v>
      </c>
      <c r="W62" s="24"/>
    </row>
    <row r="63" spans="1:23" x14ac:dyDescent="0.25">
      <c r="A63" s="135" t="str">
        <f t="shared" si="4"/>
        <v/>
      </c>
      <c r="B63" s="140" t="str">
        <f>IFERROR(IF(VLOOKUP($A63,TableHandbook[],B$2,FALSE)=0,"",VLOOKUP($A63,TableHandbook[],B$2,FALSE)),"")</f>
        <v/>
      </c>
      <c r="C63" s="140" t="str">
        <f>IFERROR(IF(VLOOKUP($A63,TableHandbook[],C$2,FALSE)=0,"",VLOOKUP($A63,TableHandbook[],C$2,FALSE)),"")</f>
        <v/>
      </c>
      <c r="D63" s="137" t="str">
        <f>IFERROR(IF(VLOOKUP($A63,TableHandbook[],D$2,FALSE)=0,"",VLOOKUP($A63,TableHandbook[],D$2,FALSE)),"")</f>
        <v/>
      </c>
      <c r="E63" s="138"/>
      <c r="F63" s="139" t="str">
        <f>IFERROR(IF(VLOOKUP($A63,TableHandbook[],F$2,FALSE)=0,"",VLOOKUP($A63,TableHandbook[],F$2,FALSE)),"")</f>
        <v/>
      </c>
      <c r="G63" s="139" t="str">
        <f>IFERROR(IF(VLOOKUP($A63,TableHandbook[],G$2,FALSE)=0,"",VLOOKUP($A63,TableHandbook[],G$2,FALSE)),"")</f>
        <v/>
      </c>
      <c r="H63" s="207" t="str">
        <f>IFERROR(VLOOKUP($A63,TableHandbook[],H$2,FALSE),"")</f>
        <v/>
      </c>
      <c r="I63" s="207" t="str">
        <f>IFERROR(VLOOKUP($A63,TableHandbook[],I$2,FALSE),"")</f>
        <v/>
      </c>
      <c r="J63" s="207" t="str">
        <f>IFERROR(VLOOKUP($A63,TableHandbook[],J$2,FALSE),"")</f>
        <v/>
      </c>
      <c r="K63" s="207" t="str">
        <f>IFERROR(VLOOKUP($A63,TableHandbook[],K$2,FALSE),"")</f>
        <v/>
      </c>
      <c r="L63" s="40"/>
      <c r="M63" s="110">
        <v>40</v>
      </c>
      <c r="W63" s="24"/>
    </row>
    <row r="64" spans="1:23" x14ac:dyDescent="0.25">
      <c r="A64" s="135" t="str">
        <f t="shared" si="4"/>
        <v/>
      </c>
      <c r="B64" s="140" t="str">
        <f>IFERROR(IF(VLOOKUP($A64,TableHandbook[],B$2,FALSE)=0,"",VLOOKUP($A64,TableHandbook[],B$2,FALSE)),"")</f>
        <v/>
      </c>
      <c r="C64" s="140" t="str">
        <f>IFERROR(IF(VLOOKUP($A64,TableHandbook[],C$2,FALSE)=0,"",VLOOKUP($A64,TableHandbook[],C$2,FALSE)),"")</f>
        <v/>
      </c>
      <c r="D64" s="137" t="str">
        <f>IFERROR(IF(VLOOKUP($A64,TableHandbook[],D$2,FALSE)=0,"",VLOOKUP($A64,TableHandbook[],D$2,FALSE)),"")</f>
        <v/>
      </c>
      <c r="E64" s="138"/>
      <c r="F64" s="139" t="str">
        <f>IFERROR(IF(VLOOKUP($A64,TableHandbook[],F$2,FALSE)=0,"",VLOOKUP($A64,TableHandbook[],F$2,FALSE)),"")</f>
        <v/>
      </c>
      <c r="G64" s="139" t="str">
        <f>IFERROR(IF(VLOOKUP($A64,TableHandbook[],G$2,FALSE)=0,"",VLOOKUP($A64,TableHandbook[],G$2,FALSE)),"")</f>
        <v/>
      </c>
      <c r="H64" s="207" t="str">
        <f>IFERROR(VLOOKUP($A64,TableHandbook[],H$2,FALSE),"")</f>
        <v/>
      </c>
      <c r="I64" s="207" t="str">
        <f>IFERROR(VLOOKUP($A64,TableHandbook[],I$2,FALSE),"")</f>
        <v/>
      </c>
      <c r="J64" s="207" t="str">
        <f>IFERROR(VLOOKUP($A64,TableHandbook[],J$2,FALSE),"")</f>
        <v/>
      </c>
      <c r="K64" s="207" t="str">
        <f>IFERROR(VLOOKUP($A64,TableHandbook[],K$2,FALSE),"")</f>
        <v/>
      </c>
      <c r="L64" s="41"/>
      <c r="M64" s="110">
        <v>41</v>
      </c>
      <c r="W64" s="24"/>
    </row>
    <row r="65" spans="1:23" x14ac:dyDescent="0.25">
      <c r="A65" s="135" t="str">
        <f t="shared" si="4"/>
        <v/>
      </c>
      <c r="B65" s="140" t="str">
        <f>IFERROR(IF(VLOOKUP($A65,TableHandbook[],B$2,FALSE)=0,"",VLOOKUP($A65,TableHandbook[],B$2,FALSE)),"")</f>
        <v/>
      </c>
      <c r="C65" s="140" t="str">
        <f>IFERROR(IF(VLOOKUP($A65,TableHandbook[],C$2,FALSE)=0,"",VLOOKUP($A65,TableHandbook[],C$2,FALSE)),"")</f>
        <v/>
      </c>
      <c r="D65" s="137" t="str">
        <f>IFERROR(IF(VLOOKUP($A65,TableHandbook[],D$2,FALSE)=0,"",VLOOKUP($A65,TableHandbook[],D$2,FALSE)),"")</f>
        <v/>
      </c>
      <c r="E65" s="138"/>
      <c r="F65" s="139" t="str">
        <f>IFERROR(IF(VLOOKUP($A65,TableHandbook[],F$2,FALSE)=0,"",VLOOKUP($A65,TableHandbook[],F$2,FALSE)),"")</f>
        <v/>
      </c>
      <c r="G65" s="139" t="str">
        <f>IFERROR(IF(VLOOKUP($A65,TableHandbook[],G$2,FALSE)=0,"",VLOOKUP($A65,TableHandbook[],G$2,FALSE)),"")</f>
        <v/>
      </c>
      <c r="H65" s="207" t="str">
        <f>IFERROR(VLOOKUP($A65,TableHandbook[],H$2,FALSE),"")</f>
        <v/>
      </c>
      <c r="I65" s="207" t="str">
        <f>IFERROR(VLOOKUP($A65,TableHandbook[],I$2,FALSE),"")</f>
        <v/>
      </c>
      <c r="J65" s="207" t="str">
        <f>IFERROR(VLOOKUP($A65,TableHandbook[],J$2,FALSE),"")</f>
        <v/>
      </c>
      <c r="K65" s="207" t="str">
        <f>IFERROR(VLOOKUP($A65,TableHandbook[],K$2,FALSE),"")</f>
        <v/>
      </c>
      <c r="L65" s="41"/>
      <c r="M65" s="110">
        <v>42</v>
      </c>
      <c r="W65" s="24"/>
    </row>
    <row r="66" spans="1:23" x14ac:dyDescent="0.25">
      <c r="A66" s="135" t="str">
        <f t="shared" si="4"/>
        <v/>
      </c>
      <c r="B66" s="140" t="str">
        <f>IFERROR(IF(VLOOKUP($A66,TableHandbook[],B$2,FALSE)=0,"",VLOOKUP($A66,TableHandbook[],B$2,FALSE)),"")</f>
        <v/>
      </c>
      <c r="C66" s="140" t="str">
        <f>IFERROR(IF(VLOOKUP($A66,TableHandbook[],C$2,FALSE)=0,"",VLOOKUP($A66,TableHandbook[],C$2,FALSE)),"")</f>
        <v/>
      </c>
      <c r="D66" s="137" t="str">
        <f>IFERROR(IF(VLOOKUP($A66,TableHandbook[],D$2,FALSE)=0,"",VLOOKUP($A66,TableHandbook[],D$2,FALSE)),"")</f>
        <v/>
      </c>
      <c r="E66" s="137"/>
      <c r="F66" s="139" t="str">
        <f>IFERROR(IF(VLOOKUP($A66,TableHandbook[],F$2,FALSE)=0,"",VLOOKUP($A66,TableHandbook[],F$2,FALSE)),"")</f>
        <v/>
      </c>
      <c r="G66" s="139" t="str">
        <f>IFERROR(IF(VLOOKUP($A66,TableHandbook[],G$2,FALSE)=0,"",VLOOKUP($A66,TableHandbook[],G$2,FALSE)),"")</f>
        <v/>
      </c>
      <c r="H66" s="207" t="str">
        <f>IFERROR(VLOOKUP($A66,TableHandbook[],H$2,FALSE),"")</f>
        <v/>
      </c>
      <c r="I66" s="207" t="str">
        <f>IFERROR(VLOOKUP($A66,TableHandbook[],I$2,FALSE),"")</f>
        <v/>
      </c>
      <c r="J66" s="207" t="str">
        <f>IFERROR(VLOOKUP($A66,TableHandbook[],J$2,FALSE),"")</f>
        <v/>
      </c>
      <c r="K66" s="207" t="str">
        <f>IFERROR(VLOOKUP($A66,TableHandbook[],K$2,FALSE),"")</f>
        <v/>
      </c>
      <c r="L66" s="41"/>
      <c r="M66" s="110">
        <v>43</v>
      </c>
      <c r="W66" s="24"/>
    </row>
    <row r="67" spans="1:23" x14ac:dyDescent="0.25">
      <c r="A67" s="135" t="str">
        <f t="shared" si="4"/>
        <v/>
      </c>
      <c r="B67" s="140" t="str">
        <f>IFERROR(IF(VLOOKUP($A67,TableHandbook[],B$2,FALSE)=0,"",VLOOKUP($A67,TableHandbook[],B$2,FALSE)),"")</f>
        <v/>
      </c>
      <c r="C67" s="140" t="str">
        <f>IFERROR(IF(VLOOKUP($A67,TableHandbook[],C$2,FALSE)=0,"",VLOOKUP($A67,TableHandbook[],C$2,FALSE)),"")</f>
        <v/>
      </c>
      <c r="D67" s="137" t="str">
        <f>IFERROR(IF(VLOOKUP($A67,TableHandbook[],D$2,FALSE)=0,"",VLOOKUP($A67,TableHandbook[],D$2,FALSE)),"")</f>
        <v/>
      </c>
      <c r="E67" s="137"/>
      <c r="F67" s="139" t="str">
        <f>IFERROR(IF(VLOOKUP($A67,TableHandbook[],F$2,FALSE)=0,"",VLOOKUP($A67,TableHandbook[],F$2,FALSE)),"")</f>
        <v/>
      </c>
      <c r="G67" s="139" t="str">
        <f>IFERROR(IF(VLOOKUP($A67,TableHandbook[],G$2,FALSE)=0,"",VLOOKUP($A67,TableHandbook[],G$2,FALSE)),"")</f>
        <v/>
      </c>
      <c r="H67" s="207" t="str">
        <f>IFERROR(VLOOKUP($A67,TableHandbook[],H$2,FALSE),"")</f>
        <v/>
      </c>
      <c r="I67" s="207" t="str">
        <f>IFERROR(VLOOKUP($A67,TableHandbook[],I$2,FALSE),"")</f>
        <v/>
      </c>
      <c r="J67" s="207" t="str">
        <f>IFERROR(VLOOKUP($A67,TableHandbook[],J$2,FALSE),"")</f>
        <v/>
      </c>
      <c r="K67" s="207" t="str">
        <f>IFERROR(VLOOKUP($A67,TableHandbook[],K$2,FALSE),"")</f>
        <v/>
      </c>
      <c r="L67" s="41"/>
      <c r="M67" s="110">
        <v>44</v>
      </c>
      <c r="W67" s="24"/>
    </row>
    <row r="68" spans="1:23" x14ac:dyDescent="0.25">
      <c r="A68" s="135" t="str">
        <f t="shared" si="4"/>
        <v/>
      </c>
      <c r="B68" s="140" t="str">
        <f>IFERROR(IF(VLOOKUP($A68,TableHandbook[],B$2,FALSE)=0,"",VLOOKUP($A68,TableHandbook[],B$2,FALSE)),"")</f>
        <v/>
      </c>
      <c r="C68" s="140" t="str">
        <f>IFERROR(IF(VLOOKUP($A68,TableHandbook[],C$2,FALSE)=0,"",VLOOKUP($A68,TableHandbook[],C$2,FALSE)),"")</f>
        <v/>
      </c>
      <c r="D68" s="137" t="str">
        <f>IFERROR(IF(VLOOKUP($A68,TableHandbook[],D$2,FALSE)=0,"",VLOOKUP($A68,TableHandbook[],D$2,FALSE)),"")</f>
        <v/>
      </c>
      <c r="E68" s="137"/>
      <c r="F68" s="139" t="str">
        <f>IFERROR(IF(VLOOKUP($A68,TableHandbook[],F$2,FALSE)=0,"",VLOOKUP($A68,TableHandbook[],F$2,FALSE)),"")</f>
        <v/>
      </c>
      <c r="G68" s="139" t="str">
        <f>IFERROR(IF(VLOOKUP($A68,TableHandbook[],G$2,FALSE)=0,"",VLOOKUP($A68,TableHandbook[],G$2,FALSE)),"")</f>
        <v/>
      </c>
      <c r="H68" s="207" t="str">
        <f>IFERROR(VLOOKUP($A68,TableHandbook[],H$2,FALSE),"")</f>
        <v/>
      </c>
      <c r="I68" s="207" t="str">
        <f>IFERROR(VLOOKUP($A68,TableHandbook[],I$2,FALSE),"")</f>
        <v/>
      </c>
      <c r="J68" s="207" t="str">
        <f>IFERROR(VLOOKUP($A68,TableHandbook[],J$2,FALSE),"")</f>
        <v/>
      </c>
      <c r="K68" s="207" t="str">
        <f>IFERROR(VLOOKUP($A68,TableHandbook[],K$2,FALSE),"")</f>
        <v/>
      </c>
      <c r="L68" s="41"/>
      <c r="M68" s="110">
        <v>45</v>
      </c>
      <c r="W68" s="24"/>
    </row>
    <row r="69" spans="1:23" x14ac:dyDescent="0.25">
      <c r="A69" s="135" t="str">
        <f t="shared" si="4"/>
        <v/>
      </c>
      <c r="B69" s="140" t="str">
        <f>IFERROR(IF(VLOOKUP($A69,TableHandbook[],B$2,FALSE)=0,"",VLOOKUP($A69,TableHandbook[],B$2,FALSE)),"")</f>
        <v/>
      </c>
      <c r="C69" s="140" t="str">
        <f>IFERROR(IF(VLOOKUP($A69,TableHandbook[],C$2,FALSE)=0,"",VLOOKUP($A69,TableHandbook[],C$2,FALSE)),"")</f>
        <v/>
      </c>
      <c r="D69" s="137" t="str">
        <f>IFERROR(IF(VLOOKUP($A69,TableHandbook[],D$2,FALSE)=0,"",VLOOKUP($A69,TableHandbook[],D$2,FALSE)),"")</f>
        <v/>
      </c>
      <c r="E69" s="137"/>
      <c r="F69" s="139" t="str">
        <f>IFERROR(IF(VLOOKUP($A69,TableHandbook[],F$2,FALSE)=0,"",VLOOKUP($A69,TableHandbook[],F$2,FALSE)),"")</f>
        <v/>
      </c>
      <c r="G69" s="139" t="str">
        <f>IFERROR(IF(VLOOKUP($A69,TableHandbook[],G$2,FALSE)=0,"",VLOOKUP($A69,TableHandbook[],G$2,FALSE)),"")</f>
        <v/>
      </c>
      <c r="H69" s="207" t="str">
        <f>IFERROR(VLOOKUP($A69,TableHandbook[],H$2,FALSE),"")</f>
        <v/>
      </c>
      <c r="I69" s="207" t="str">
        <f>IFERROR(VLOOKUP($A69,TableHandbook[],I$2,FALSE),"")</f>
        <v/>
      </c>
      <c r="J69" s="207" t="str">
        <f>IFERROR(VLOOKUP($A69,TableHandbook[],J$2,FALSE),"")</f>
        <v/>
      </c>
      <c r="K69" s="207" t="str">
        <f>IFERROR(VLOOKUP($A69,TableHandbook[],K$2,FALSE),"")</f>
        <v/>
      </c>
      <c r="L69" s="41"/>
      <c r="M69" s="110">
        <v>46</v>
      </c>
      <c r="W69" s="24"/>
    </row>
    <row r="70" spans="1:23" x14ac:dyDescent="0.25">
      <c r="A70" s="135" t="str">
        <f t="shared" si="4"/>
        <v/>
      </c>
      <c r="B70" s="140" t="str">
        <f>IFERROR(IF(VLOOKUP($A70,TableHandbook[],B$2,FALSE)=0,"",VLOOKUP($A70,TableHandbook[],B$2,FALSE)),"")</f>
        <v/>
      </c>
      <c r="C70" s="140" t="str">
        <f>IFERROR(IF(VLOOKUP($A70,TableHandbook[],C$2,FALSE)=0,"",VLOOKUP($A70,TableHandbook[],C$2,FALSE)),"")</f>
        <v/>
      </c>
      <c r="D70" s="137" t="str">
        <f>IFERROR(IF(VLOOKUP($A70,TableHandbook[],D$2,FALSE)=0,"",VLOOKUP($A70,TableHandbook[],D$2,FALSE)),"")</f>
        <v/>
      </c>
      <c r="E70" s="137"/>
      <c r="F70" s="139" t="str">
        <f>IFERROR(IF(VLOOKUP($A70,TableHandbook[],F$2,FALSE)=0,"",VLOOKUP($A70,TableHandbook[],F$2,FALSE)),"")</f>
        <v/>
      </c>
      <c r="G70" s="139" t="str">
        <f>IFERROR(IF(VLOOKUP($A70,TableHandbook[],G$2,FALSE)=0,"",VLOOKUP($A70,TableHandbook[],G$2,FALSE)),"")</f>
        <v/>
      </c>
      <c r="H70" s="207" t="str">
        <f>IFERROR(VLOOKUP($A70,TableHandbook[],H$2,FALSE),"")</f>
        <v/>
      </c>
      <c r="I70" s="207" t="str">
        <f>IFERROR(VLOOKUP($A70,TableHandbook[],I$2,FALSE),"")</f>
        <v/>
      </c>
      <c r="J70" s="207" t="str">
        <f>IFERROR(VLOOKUP($A70,TableHandbook[],J$2,FALSE),"")</f>
        <v/>
      </c>
      <c r="K70" s="207" t="str">
        <f>IFERROR(VLOOKUP($A70,TableHandbook[],K$2,FALSE),"")</f>
        <v/>
      </c>
      <c r="L70" s="41"/>
      <c r="M70" s="110">
        <v>47</v>
      </c>
      <c r="W70" s="24"/>
    </row>
    <row r="71" spans="1:23" x14ac:dyDescent="0.25">
      <c r="A71" s="135" t="str">
        <f t="shared" si="4"/>
        <v/>
      </c>
      <c r="B71" s="140" t="str">
        <f>IFERROR(IF(VLOOKUP($A71,TableHandbook[],B$2,FALSE)=0,"",VLOOKUP($A71,TableHandbook[],B$2,FALSE)),"")</f>
        <v/>
      </c>
      <c r="C71" s="140" t="str">
        <f>IFERROR(IF(VLOOKUP($A71,TableHandbook[],C$2,FALSE)=0,"",VLOOKUP($A71,TableHandbook[],C$2,FALSE)),"")</f>
        <v/>
      </c>
      <c r="D71" s="137" t="str">
        <f>IFERROR(IF(VLOOKUP($A71,TableHandbook[],D$2,FALSE)=0,"",VLOOKUP($A71,TableHandbook[],D$2,FALSE)),"")</f>
        <v/>
      </c>
      <c r="E71" s="137"/>
      <c r="F71" s="139" t="str">
        <f>IFERROR(IF(VLOOKUP($A71,TableHandbook[],F$2,FALSE)=0,"",VLOOKUP($A71,TableHandbook[],F$2,FALSE)),"")</f>
        <v/>
      </c>
      <c r="G71" s="139" t="str">
        <f>IFERROR(IF(VLOOKUP($A71,TableHandbook[],G$2,FALSE)=0,"",VLOOKUP($A71,TableHandbook[],G$2,FALSE)),"")</f>
        <v/>
      </c>
      <c r="H71" s="207" t="str">
        <f>IFERROR(VLOOKUP($A71,TableHandbook[],H$2,FALSE),"")</f>
        <v/>
      </c>
      <c r="I71" s="207" t="str">
        <f>IFERROR(VLOOKUP($A71,TableHandbook[],I$2,FALSE),"")</f>
        <v/>
      </c>
      <c r="J71" s="207" t="str">
        <f>IFERROR(VLOOKUP($A71,TableHandbook[],J$2,FALSE),"")</f>
        <v/>
      </c>
      <c r="K71" s="207" t="str">
        <f>IFERROR(VLOOKUP($A71,TableHandbook[],K$2,FALSE),"")</f>
        <v/>
      </c>
      <c r="L71" s="41"/>
      <c r="M71" s="110">
        <v>48</v>
      </c>
      <c r="W71" s="24"/>
    </row>
    <row r="72" spans="1:23" x14ac:dyDescent="0.25">
      <c r="A72" s="135" t="str">
        <f t="shared" si="4"/>
        <v/>
      </c>
      <c r="B72" s="140" t="str">
        <f>IFERROR(IF(VLOOKUP($A72,TableHandbook[],B$2,FALSE)=0,"",VLOOKUP($A72,TableHandbook[],B$2,FALSE)),"")</f>
        <v/>
      </c>
      <c r="C72" s="140" t="str">
        <f>IFERROR(IF(VLOOKUP($A72,TableHandbook[],C$2,FALSE)=0,"",VLOOKUP($A72,TableHandbook[],C$2,FALSE)),"")</f>
        <v/>
      </c>
      <c r="D72" s="137" t="str">
        <f>IFERROR(IF(VLOOKUP($A72,TableHandbook[],D$2,FALSE)=0,"",VLOOKUP($A72,TableHandbook[],D$2,FALSE)),"")</f>
        <v/>
      </c>
      <c r="E72" s="137"/>
      <c r="F72" s="139" t="str">
        <f>IFERROR(IF(VLOOKUP($A72,TableHandbook[],F$2,FALSE)=0,"",VLOOKUP($A72,TableHandbook[],F$2,FALSE)),"")</f>
        <v/>
      </c>
      <c r="G72" s="139" t="str">
        <f>IFERROR(IF(VLOOKUP($A72,TableHandbook[],G$2,FALSE)=0,"",VLOOKUP($A72,TableHandbook[],G$2,FALSE)),"")</f>
        <v/>
      </c>
      <c r="H72" s="207" t="str">
        <f>IFERROR(VLOOKUP($A72,TableHandbook[],H$2,FALSE),"")</f>
        <v/>
      </c>
      <c r="I72" s="207" t="str">
        <f>IFERROR(VLOOKUP($A72,TableHandbook[],I$2,FALSE),"")</f>
        <v/>
      </c>
      <c r="J72" s="207" t="str">
        <f>IFERROR(VLOOKUP($A72,TableHandbook[],J$2,FALSE),"")</f>
        <v/>
      </c>
      <c r="K72" s="207" t="str">
        <f>IFERROR(VLOOKUP($A72,TableHandbook[],K$2,FALSE),"")</f>
        <v/>
      </c>
      <c r="L72" s="41"/>
      <c r="M72" s="110">
        <v>49</v>
      </c>
      <c r="W72" s="24"/>
    </row>
    <row r="73" spans="1:23" x14ac:dyDescent="0.25">
      <c r="A73" s="135" t="str">
        <f t="shared" si="4"/>
        <v/>
      </c>
      <c r="B73" s="140" t="str">
        <f>IFERROR(IF(VLOOKUP($A73,TableHandbook[],B$2,FALSE)=0,"",VLOOKUP($A73,TableHandbook[],B$2,FALSE)),"")</f>
        <v/>
      </c>
      <c r="C73" s="140" t="str">
        <f>IFERROR(IF(VLOOKUP($A73,TableHandbook[],C$2,FALSE)=0,"",VLOOKUP($A73,TableHandbook[],C$2,FALSE)),"")</f>
        <v/>
      </c>
      <c r="D73" s="137" t="str">
        <f>IFERROR(IF(VLOOKUP($A73,TableHandbook[],D$2,FALSE)=0,"",VLOOKUP($A73,TableHandbook[],D$2,FALSE)),"")</f>
        <v/>
      </c>
      <c r="E73" s="137"/>
      <c r="F73" s="139" t="str">
        <f>IFERROR(IF(VLOOKUP($A73,TableHandbook[],F$2,FALSE)=0,"",VLOOKUP($A73,TableHandbook[],F$2,FALSE)),"")</f>
        <v/>
      </c>
      <c r="G73" s="139" t="str">
        <f>IFERROR(IF(VLOOKUP($A73,TableHandbook[],G$2,FALSE)=0,"",VLOOKUP($A73,TableHandbook[],G$2,FALSE)),"")</f>
        <v/>
      </c>
      <c r="H73" s="207" t="str">
        <f>IFERROR(VLOOKUP($A73,TableHandbook[],H$2,FALSE),"")</f>
        <v/>
      </c>
      <c r="I73" s="207" t="str">
        <f>IFERROR(VLOOKUP($A73,TableHandbook[],I$2,FALSE),"")</f>
        <v/>
      </c>
      <c r="J73" s="207" t="str">
        <f>IFERROR(VLOOKUP($A73,TableHandbook[],J$2,FALSE),"")</f>
        <v/>
      </c>
      <c r="K73" s="207" t="str">
        <f>IFERROR(VLOOKUP($A73,TableHandbook[],K$2,FALSE),"")</f>
        <v/>
      </c>
      <c r="L73" s="41"/>
      <c r="M73" s="110">
        <v>50</v>
      </c>
      <c r="W73" s="24"/>
    </row>
    <row r="74" spans="1:23" x14ac:dyDescent="0.25">
      <c r="A74" s="135" t="str">
        <f t="shared" si="4"/>
        <v/>
      </c>
      <c r="B74" s="140" t="str">
        <f>IFERROR(IF(VLOOKUP($A74,TableHandbook[],B$2,FALSE)=0,"",VLOOKUP($A74,TableHandbook[],B$2,FALSE)),"")</f>
        <v/>
      </c>
      <c r="C74" s="140" t="str">
        <f>IFERROR(IF(VLOOKUP($A74,TableHandbook[],C$2,FALSE)=0,"",VLOOKUP($A74,TableHandbook[],C$2,FALSE)),"")</f>
        <v/>
      </c>
      <c r="D74" s="137" t="str">
        <f>IFERROR(IF(VLOOKUP($A74,TableHandbook[],D$2,FALSE)=0,"",VLOOKUP($A74,TableHandbook[],D$2,FALSE)),"")</f>
        <v/>
      </c>
      <c r="E74" s="137"/>
      <c r="F74" s="139" t="str">
        <f>IFERROR(IF(VLOOKUP($A74,TableHandbook[],F$2,FALSE)=0,"",VLOOKUP($A74,TableHandbook[],F$2,FALSE)),"")</f>
        <v/>
      </c>
      <c r="G74" s="139" t="str">
        <f>IFERROR(IF(VLOOKUP($A74,TableHandbook[],G$2,FALSE)=0,"",VLOOKUP($A74,TableHandbook[],G$2,FALSE)),"")</f>
        <v/>
      </c>
      <c r="H74" s="207" t="str">
        <f>IFERROR(VLOOKUP($A74,TableHandbook[],H$2,FALSE),"")</f>
        <v/>
      </c>
      <c r="I74" s="207" t="str">
        <f>IFERROR(VLOOKUP($A74,TableHandbook[],I$2,FALSE),"")</f>
        <v/>
      </c>
      <c r="J74" s="207" t="str">
        <f>IFERROR(VLOOKUP($A74,TableHandbook[],J$2,FALSE),"")</f>
        <v/>
      </c>
      <c r="K74" s="207" t="str">
        <f>IFERROR(VLOOKUP($A74,TableHandbook[],K$2,FALSE),"")</f>
        <v/>
      </c>
      <c r="L74" s="41"/>
      <c r="M74" s="110">
        <v>51</v>
      </c>
      <c r="W74" s="24"/>
    </row>
    <row r="75" spans="1:23" x14ac:dyDescent="0.25">
      <c r="A75" s="135" t="str">
        <f t="shared" si="4"/>
        <v/>
      </c>
      <c r="B75" s="140" t="str">
        <f>IFERROR(IF(VLOOKUP($A75,TableHandbook[],B$2,FALSE)=0,"",VLOOKUP($A75,TableHandbook[],B$2,FALSE)),"")</f>
        <v/>
      </c>
      <c r="C75" s="140" t="str">
        <f>IFERROR(IF(VLOOKUP($A75,TableHandbook[],C$2,FALSE)=0,"",VLOOKUP($A75,TableHandbook[],C$2,FALSE)),"")</f>
        <v/>
      </c>
      <c r="D75" s="137" t="str">
        <f>IFERROR(IF(VLOOKUP($A75,TableHandbook[],D$2,FALSE)=0,"",VLOOKUP($A75,TableHandbook[],D$2,FALSE)),"")</f>
        <v/>
      </c>
      <c r="E75" s="137"/>
      <c r="F75" s="139" t="str">
        <f>IFERROR(IF(VLOOKUP($A75,TableHandbook[],F$2,FALSE)=0,"",VLOOKUP($A75,TableHandbook[],F$2,FALSE)),"")</f>
        <v/>
      </c>
      <c r="G75" s="139" t="str">
        <f>IFERROR(IF(VLOOKUP($A75,TableHandbook[],G$2,FALSE)=0,"",VLOOKUP($A75,TableHandbook[],G$2,FALSE)),"")</f>
        <v/>
      </c>
      <c r="H75" s="207" t="str">
        <f>IFERROR(VLOOKUP($A75,TableHandbook[],H$2,FALSE),"")</f>
        <v/>
      </c>
      <c r="I75" s="207" t="str">
        <f>IFERROR(VLOOKUP($A75,TableHandbook[],I$2,FALSE),"")</f>
        <v/>
      </c>
      <c r="J75" s="207" t="str">
        <f>IFERROR(VLOOKUP($A75,TableHandbook[],J$2,FALSE),"")</f>
        <v/>
      </c>
      <c r="K75" s="207" t="str">
        <f>IFERROR(VLOOKUP($A75,TableHandbook[],K$2,FALSE),"")</f>
        <v/>
      </c>
      <c r="L75" s="41"/>
      <c r="M75" s="110">
        <v>52</v>
      </c>
      <c r="W75" s="24"/>
    </row>
    <row r="76" spans="1:23" x14ac:dyDescent="0.25">
      <c r="A76" s="135" t="str">
        <f t="shared" si="4"/>
        <v/>
      </c>
      <c r="B76" s="140" t="str">
        <f>IFERROR(IF(VLOOKUP($A76,TableHandbook[],B$2,FALSE)=0,"",VLOOKUP($A76,TableHandbook[],B$2,FALSE)),"")</f>
        <v/>
      </c>
      <c r="C76" s="140" t="str">
        <f>IFERROR(IF(VLOOKUP($A76,TableHandbook[],C$2,FALSE)=0,"",VLOOKUP($A76,TableHandbook[],C$2,FALSE)),"")</f>
        <v/>
      </c>
      <c r="D76" s="137" t="str">
        <f>IFERROR(IF(VLOOKUP($A76,TableHandbook[],D$2,FALSE)=0,"",VLOOKUP($A76,TableHandbook[],D$2,FALSE)),"")</f>
        <v/>
      </c>
      <c r="E76" s="137"/>
      <c r="F76" s="139" t="str">
        <f>IFERROR(IF(VLOOKUP($A76,TableHandbook[],F$2,FALSE)=0,"",VLOOKUP($A76,TableHandbook[],F$2,FALSE)),"")</f>
        <v/>
      </c>
      <c r="G76" s="139" t="str">
        <f>IFERROR(IF(VLOOKUP($A76,TableHandbook[],G$2,FALSE)=0,"",VLOOKUP($A76,TableHandbook[],G$2,FALSE)),"")</f>
        <v/>
      </c>
      <c r="H76" s="207" t="str">
        <f>IFERROR(VLOOKUP($A76,TableHandbook[],H$2,FALSE),"")</f>
        <v/>
      </c>
      <c r="I76" s="207" t="str">
        <f>IFERROR(VLOOKUP($A76,TableHandbook[],I$2,FALSE),"")</f>
        <v/>
      </c>
      <c r="J76" s="207" t="str">
        <f>IFERROR(VLOOKUP($A76,TableHandbook[],J$2,FALSE),"")</f>
        <v/>
      </c>
      <c r="K76" s="207" t="str">
        <f>IFERROR(VLOOKUP($A76,TableHandbook[],K$2,FALSE),"")</f>
        <v/>
      </c>
      <c r="L76" s="41"/>
      <c r="M76" s="110">
        <v>53</v>
      </c>
      <c r="W76" s="24"/>
    </row>
    <row r="77" spans="1:23" x14ac:dyDescent="0.25">
      <c r="A77" s="135" t="str">
        <f t="shared" si="4"/>
        <v/>
      </c>
      <c r="B77" s="140" t="str">
        <f>IFERROR(IF(VLOOKUP($A77,TableHandbook[],B$2,FALSE)=0,"",VLOOKUP($A77,TableHandbook[],B$2,FALSE)),"")</f>
        <v/>
      </c>
      <c r="C77" s="140" t="str">
        <f>IFERROR(IF(VLOOKUP($A77,TableHandbook[],C$2,FALSE)=0,"",VLOOKUP($A77,TableHandbook[],C$2,FALSE)),"")</f>
        <v/>
      </c>
      <c r="D77" s="137" t="str">
        <f>IFERROR(IF(VLOOKUP($A77,TableHandbook[],D$2,FALSE)=0,"",VLOOKUP($A77,TableHandbook[],D$2,FALSE)),"")</f>
        <v/>
      </c>
      <c r="E77" s="137"/>
      <c r="F77" s="139" t="str">
        <f>IFERROR(IF(VLOOKUP($A77,TableHandbook[],F$2,FALSE)=0,"",VLOOKUP($A77,TableHandbook[],F$2,FALSE)),"")</f>
        <v/>
      </c>
      <c r="G77" s="139" t="str">
        <f>IFERROR(IF(VLOOKUP($A77,TableHandbook[],G$2,FALSE)=0,"",VLOOKUP($A77,TableHandbook[],G$2,FALSE)),"")</f>
        <v/>
      </c>
      <c r="H77" s="207" t="str">
        <f>IFERROR(VLOOKUP($A77,TableHandbook[],H$2,FALSE),"")</f>
        <v/>
      </c>
      <c r="I77" s="207" t="str">
        <f>IFERROR(VLOOKUP($A77,TableHandbook[],I$2,FALSE),"")</f>
        <v/>
      </c>
      <c r="J77" s="207" t="str">
        <f>IFERROR(VLOOKUP($A77,TableHandbook[],J$2,FALSE),"")</f>
        <v/>
      </c>
      <c r="K77" s="207" t="str">
        <f>IFERROR(VLOOKUP($A77,TableHandbook[],K$2,FALSE),"")</f>
        <v/>
      </c>
      <c r="L77" s="41"/>
      <c r="M77" s="110">
        <v>54</v>
      </c>
      <c r="W77" s="24"/>
    </row>
    <row r="78" spans="1:23" x14ac:dyDescent="0.25">
      <c r="A78" s="135" t="str">
        <f t="shared" si="4"/>
        <v/>
      </c>
      <c r="B78" s="140" t="str">
        <f>IFERROR(IF(VLOOKUP($A78,TableHandbook[],B$2,FALSE)=0,"",VLOOKUP($A78,TableHandbook[],B$2,FALSE)),"")</f>
        <v/>
      </c>
      <c r="C78" s="140" t="str">
        <f>IFERROR(IF(VLOOKUP($A78,TableHandbook[],C$2,FALSE)=0,"",VLOOKUP($A78,TableHandbook[],C$2,FALSE)),"")</f>
        <v/>
      </c>
      <c r="D78" s="137" t="str">
        <f>IFERROR(IF(VLOOKUP($A78,TableHandbook[],D$2,FALSE)=0,"",VLOOKUP($A78,TableHandbook[],D$2,FALSE)),"")</f>
        <v/>
      </c>
      <c r="E78" s="137"/>
      <c r="F78" s="139" t="str">
        <f>IFERROR(IF(VLOOKUP($A78,TableHandbook[],F$2,FALSE)=0,"",VLOOKUP($A78,TableHandbook[],F$2,FALSE)),"")</f>
        <v/>
      </c>
      <c r="G78" s="139" t="str">
        <f>IFERROR(IF(VLOOKUP($A78,TableHandbook[],G$2,FALSE)=0,"",VLOOKUP($A78,TableHandbook[],G$2,FALSE)),"")</f>
        <v/>
      </c>
      <c r="H78" s="207" t="str">
        <f>IFERROR(VLOOKUP($A78,TableHandbook[],H$2,FALSE),"")</f>
        <v/>
      </c>
      <c r="I78" s="207" t="str">
        <f>IFERROR(VLOOKUP($A78,TableHandbook[],I$2,FALSE),"")</f>
        <v/>
      </c>
      <c r="J78" s="207" t="str">
        <f>IFERROR(VLOOKUP($A78,TableHandbook[],J$2,FALSE),"")</f>
        <v/>
      </c>
      <c r="K78" s="207" t="str">
        <f>IFERROR(VLOOKUP($A78,TableHandbook[],K$2,FALSE),"")</f>
        <v/>
      </c>
      <c r="L78" s="41"/>
      <c r="M78" s="110">
        <v>55</v>
      </c>
      <c r="W78" s="24"/>
    </row>
    <row r="79" spans="1:23" x14ac:dyDescent="0.25">
      <c r="A79" s="135" t="str">
        <f t="shared" si="4"/>
        <v/>
      </c>
      <c r="B79" s="140" t="str">
        <f>IFERROR(IF(VLOOKUP($A79,TableHandbook[],B$2,FALSE)=0,"",VLOOKUP($A79,TableHandbook[],B$2,FALSE)),"")</f>
        <v/>
      </c>
      <c r="C79" s="140" t="str">
        <f>IFERROR(IF(VLOOKUP($A79,TableHandbook[],C$2,FALSE)=0,"",VLOOKUP($A79,TableHandbook[],C$2,FALSE)),"")</f>
        <v/>
      </c>
      <c r="D79" s="137" t="str">
        <f>IFERROR(IF(VLOOKUP($A79,TableHandbook[],D$2,FALSE)=0,"",VLOOKUP($A79,TableHandbook[],D$2,FALSE)),"")</f>
        <v/>
      </c>
      <c r="E79" s="137"/>
      <c r="F79" s="139" t="str">
        <f>IFERROR(IF(VLOOKUP($A79,TableHandbook[],F$2,FALSE)=0,"",VLOOKUP($A79,TableHandbook[],F$2,FALSE)),"")</f>
        <v/>
      </c>
      <c r="G79" s="139" t="str">
        <f>IFERROR(IF(VLOOKUP($A79,TableHandbook[],G$2,FALSE)=0,"",VLOOKUP($A79,TableHandbook[],G$2,FALSE)),"")</f>
        <v/>
      </c>
      <c r="H79" s="207" t="str">
        <f>IFERROR(VLOOKUP($A79,TableHandbook[],H$2,FALSE),"")</f>
        <v/>
      </c>
      <c r="I79" s="207" t="str">
        <f>IFERROR(VLOOKUP($A79,TableHandbook[],I$2,FALSE),"")</f>
        <v/>
      </c>
      <c r="J79" s="207" t="str">
        <f>IFERROR(VLOOKUP($A79,TableHandbook[],J$2,FALSE),"")</f>
        <v/>
      </c>
      <c r="K79" s="207" t="str">
        <f>IFERROR(VLOOKUP($A79,TableHandbook[],K$2,FALSE),"")</f>
        <v/>
      </c>
      <c r="L79" s="41"/>
      <c r="M79" s="110">
        <v>56</v>
      </c>
      <c r="W79" s="24"/>
    </row>
    <row r="80" spans="1:23" x14ac:dyDescent="0.25">
      <c r="A80" s="135" t="str">
        <f t="shared" si="4"/>
        <v/>
      </c>
      <c r="B80" s="140" t="str">
        <f>IFERROR(IF(VLOOKUP($A80,TableHandbook[],B$2,FALSE)=0,"",VLOOKUP($A80,TableHandbook[],B$2,FALSE)),"")</f>
        <v/>
      </c>
      <c r="C80" s="140" t="str">
        <f>IFERROR(IF(VLOOKUP($A80,TableHandbook[],C$2,FALSE)=0,"",VLOOKUP($A80,TableHandbook[],C$2,FALSE)),"")</f>
        <v/>
      </c>
      <c r="D80" s="137" t="str">
        <f>IFERROR(IF(VLOOKUP($A80,TableHandbook[],D$2,FALSE)=0,"",VLOOKUP($A80,TableHandbook[],D$2,FALSE)),"")</f>
        <v/>
      </c>
      <c r="E80" s="137"/>
      <c r="F80" s="139" t="str">
        <f>IFERROR(IF(VLOOKUP($A80,TableHandbook[],F$2,FALSE)=0,"",VLOOKUP($A80,TableHandbook[],F$2,FALSE)),"")</f>
        <v/>
      </c>
      <c r="G80" s="139" t="str">
        <f>IFERROR(IF(VLOOKUP($A80,TableHandbook[],G$2,FALSE)=0,"",VLOOKUP($A80,TableHandbook[],G$2,FALSE)),"")</f>
        <v/>
      </c>
      <c r="H80" s="207" t="str">
        <f>IFERROR(VLOOKUP($A80,TableHandbook[],H$2,FALSE),"")</f>
        <v/>
      </c>
      <c r="I80" s="207" t="str">
        <f>IFERROR(VLOOKUP($A80,TableHandbook[],I$2,FALSE),"")</f>
        <v/>
      </c>
      <c r="J80" s="207" t="str">
        <f>IFERROR(VLOOKUP($A80,TableHandbook[],J$2,FALSE),"")</f>
        <v/>
      </c>
      <c r="K80" s="207" t="str">
        <f>IFERROR(VLOOKUP($A80,TableHandbook[],K$2,FALSE),"")</f>
        <v/>
      </c>
      <c r="L80" s="41"/>
      <c r="M80" s="110">
        <v>57</v>
      </c>
      <c r="W80" s="24"/>
    </row>
    <row r="81" spans="1:23" x14ac:dyDescent="0.25">
      <c r="A81" s="135" t="str">
        <f t="shared" si="4"/>
        <v/>
      </c>
      <c r="B81" s="140" t="str">
        <f>IFERROR(IF(VLOOKUP($A81,TableHandbook[],B$2,FALSE)=0,"",VLOOKUP($A81,TableHandbook[],B$2,FALSE)),"")</f>
        <v/>
      </c>
      <c r="C81" s="140" t="str">
        <f>IFERROR(IF(VLOOKUP($A81,TableHandbook[],C$2,FALSE)=0,"",VLOOKUP($A81,TableHandbook[],C$2,FALSE)),"")</f>
        <v/>
      </c>
      <c r="D81" s="137" t="str">
        <f>IFERROR(IF(VLOOKUP($A81,TableHandbook[],D$2,FALSE)=0,"",VLOOKUP($A81,TableHandbook[],D$2,FALSE)),"")</f>
        <v/>
      </c>
      <c r="E81" s="137"/>
      <c r="F81" s="139" t="str">
        <f>IFERROR(IF(VLOOKUP($A81,TableHandbook[],F$2,FALSE)=0,"",VLOOKUP($A81,TableHandbook[],F$2,FALSE)),"")</f>
        <v/>
      </c>
      <c r="G81" s="139" t="str">
        <f>IFERROR(IF(VLOOKUP($A81,TableHandbook[],G$2,FALSE)=0,"",VLOOKUP($A81,TableHandbook[],G$2,FALSE)),"")</f>
        <v/>
      </c>
      <c r="H81" s="207" t="str">
        <f>IFERROR(VLOOKUP($A81,TableHandbook[],H$2,FALSE),"")</f>
        <v/>
      </c>
      <c r="I81" s="207" t="str">
        <f>IFERROR(VLOOKUP($A81,TableHandbook[],I$2,FALSE),"")</f>
        <v/>
      </c>
      <c r="J81" s="207" t="str">
        <f>IFERROR(VLOOKUP($A81,TableHandbook[],J$2,FALSE),"")</f>
        <v/>
      </c>
      <c r="K81" s="207" t="str">
        <f>IFERROR(VLOOKUP($A81,TableHandbook[],K$2,FALSE),"")</f>
        <v/>
      </c>
      <c r="L81" s="41"/>
      <c r="M81" s="110">
        <v>58</v>
      </c>
      <c r="W81" s="24"/>
    </row>
    <row r="82" spans="1:23" s="24" customFormat="1" ht="32.25" customHeight="1" x14ac:dyDescent="0.25">
      <c r="A82" s="268" t="s">
        <v>29</v>
      </c>
      <c r="B82" s="268"/>
      <c r="C82" s="268"/>
      <c r="D82" s="268"/>
      <c r="E82" s="268"/>
      <c r="F82" s="268"/>
      <c r="G82" s="268"/>
      <c r="H82" s="268"/>
      <c r="I82" s="268"/>
      <c r="J82" s="268"/>
      <c r="K82" s="268"/>
      <c r="L82" s="268"/>
      <c r="M82" s="22"/>
      <c r="N82" s="22"/>
      <c r="O82" s="22"/>
      <c r="P82" s="22"/>
      <c r="Q82" s="22"/>
      <c r="R82" s="22"/>
      <c r="S82" s="22"/>
      <c r="T82" s="22"/>
      <c r="U82" s="22"/>
      <c r="V82" s="22"/>
    </row>
    <row r="83" spans="1:23" s="32" customFormat="1" ht="24.95" customHeight="1" x14ac:dyDescent="0.3">
      <c r="A83" s="47" t="s">
        <v>30</v>
      </c>
      <c r="B83" s="47"/>
      <c r="C83" s="47"/>
      <c r="D83" s="48"/>
      <c r="E83" s="48"/>
      <c r="F83" s="48"/>
      <c r="G83" s="48"/>
      <c r="H83" s="48"/>
      <c r="I83" s="48"/>
      <c r="J83" s="48"/>
      <c r="K83" s="48"/>
      <c r="L83" s="48"/>
      <c r="M83" s="141"/>
      <c r="N83" s="141"/>
      <c r="O83" s="141"/>
      <c r="W83" s="31"/>
    </row>
    <row r="84" spans="1:23" s="24" customFormat="1" ht="15" customHeight="1" x14ac:dyDescent="0.25">
      <c r="A84" s="142" t="s">
        <v>31</v>
      </c>
      <c r="B84" s="142"/>
      <c r="C84" s="142"/>
      <c r="D84" s="142"/>
      <c r="E84" s="143"/>
      <c r="F84" s="123"/>
      <c r="G84" s="144"/>
      <c r="H84" s="144"/>
      <c r="I84" s="144"/>
      <c r="J84" s="144"/>
      <c r="K84" s="144"/>
      <c r="L84" s="144" t="s">
        <v>32</v>
      </c>
      <c r="M84" s="22"/>
      <c r="N84" s="22"/>
      <c r="O84" s="22"/>
      <c r="P84" s="22"/>
      <c r="Q84" s="22"/>
      <c r="R84" s="22"/>
      <c r="S84" s="22"/>
      <c r="T84" s="22"/>
      <c r="U84" s="22"/>
      <c r="V84" s="22"/>
    </row>
  </sheetData>
  <sheetProtection formatCells="0"/>
  <mergeCells count="2">
    <mergeCell ref="A3:D3"/>
    <mergeCell ref="A82:L82"/>
  </mergeCells>
  <conditionalFormatting sqref="A57:L81">
    <cfRule type="expression" dxfId="3" priority="1">
      <formula>$A57=""</formula>
    </cfRule>
    <cfRule type="expression" dxfId="2" priority="10">
      <formula>LEFT($D57,5)="Study"</formula>
    </cfRule>
  </conditionalFormatting>
  <conditionalFormatting sqref="D5:D7">
    <cfRule type="containsText" dxfId="1" priority="12" operator="containsText" text="Choose">
      <formula>NOT(ISERROR(SEARCH("Choose",D5)))</formula>
    </cfRule>
  </conditionalFormatting>
  <conditionalFormatting sqref="H10:K53">
    <cfRule type="expression" dxfId="0" priority="2">
      <formula>$E10=H$9</formula>
    </cfRule>
  </conditionalFormatting>
  <dataValidations count="1">
    <dataValidation type="list" allowBlank="1" showInputMessage="1" showErrorMessage="1" sqref="L27 L15 L39 L51 L12 L18 L24 L30 L36 L42 L48" xr:uid="{00000000-0002-0000-0300-000000000000}"/>
  </dataValidations>
  <hyperlinks>
    <hyperlink ref="A83:L83"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58" orientation="portrait" r:id="rId2"/>
  <rowBreaks count="1" manualBreakCount="1">
    <brk id="54" max="13" man="1"/>
  </rowBreaks>
  <ignoredErrors>
    <ignoredError sqref="E34:E44 E46:E53 E22:E32 E17:E20 E15 E12 E10:E11 E13:E14 E16" 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CourseDetails!$A$35:$A$37</xm:f>
          </x14:formula1>
          <xm:sqref>D7</xm:sqref>
        </x14:dataValidation>
        <x14:dataValidation type="list" showInputMessage="1" showErrorMessage="1" xr:uid="{00000000-0002-0000-0300-000002000000}">
          <x14:formula1>
            <xm:f>CourseDetails!$A$13:$A$16</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058b0421-3d9b-4d43-8840-b275eef407c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2FBB4C-6ADF-4262-9F1C-6F0710538C55}">
  <ds:schemaRefs>
    <ds:schemaRef ds:uri="1f4c0b20-2c14-4291-851e-36bd297de4e2"/>
    <ds:schemaRef ds:uri="http://purl.org/dc/dcmitype/"/>
    <ds:schemaRef ds:uri="http://purl.org/dc/elements/1.1/"/>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infopath/2007/PartnerControls"/>
    <ds:schemaRef ds:uri="http://schemas.microsoft.com/sharepoint/v4"/>
    <ds:schemaRef ds:uri="ba69df13-0c3c-4942-8695-6ca01564010c"/>
    <ds:schemaRef ds:uri="http://schemas.microsoft.com/office/2006/metadata/properties"/>
  </ds:schemaRefs>
</ds:datastoreItem>
</file>

<file path=customXml/itemProps2.xml><?xml version="1.0" encoding="utf-8"?>
<ds:datastoreItem xmlns:ds="http://schemas.openxmlformats.org/officeDocument/2006/customXml" ds:itemID="{41F8857D-C3A1-4B1A-AA8F-D8D05D764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16D02B-7A57-4773-B5DF-3BE90A34FA13}">
  <ds:schemaRefs>
    <ds:schemaRef ds:uri="Microsoft.SharePoint.Taxonomy.ContentTypeSync"/>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CourseDetails</vt:lpstr>
      <vt:lpstr>Handbook</vt:lpstr>
      <vt:lpstr>Structures</vt:lpstr>
      <vt:lpstr>Availabilities</vt:lpstr>
      <vt:lpstr>Unitsets</vt:lpstr>
      <vt:lpstr>BEd (ECE) OUA</vt:lpstr>
      <vt:lpstr>BEd (Primary) OUA</vt:lpstr>
      <vt:lpstr>UnitsetsSecondary</vt:lpstr>
      <vt:lpstr>BEd (Secondary) OUA</vt:lpstr>
      <vt:lpstr>'BEd (ECE) OUA'!Print_Area</vt:lpstr>
      <vt:lpstr>'BEd (Primary) OUA'!Print_Area</vt:lpstr>
      <vt:lpstr>'BEd (Secondary) OUA'!Print_Area</vt:lpstr>
      <vt:lpstr>RangeMajorsOptions</vt:lpstr>
      <vt:lpstr>RangeOptions</vt:lpstr>
      <vt:lpstr>RangeStreams</vt:lpstr>
      <vt:lpstr>RangeUnitsets</vt:lpstr>
      <vt:lpstr>RangeUnitSetsSec</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2026-01-13T03:43:45Z</cp:lastPrinted>
  <dcterms:created xsi:type="dcterms:W3CDTF">2022-02-28T04:48:12Z</dcterms:created>
  <dcterms:modified xsi:type="dcterms:W3CDTF">2026-01-13T03:44:50Z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