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9F95605A-3C8C-4B0E-9D11-DF7060C9A377}" xr6:coauthVersionLast="47" xr6:coauthVersionMax="47" xr10:uidLastSave="{00000000-0000-0000-0000-000000000000}"/>
  <workbookProtection workbookAlgorithmName="SHA-512" workbookHashValue="4NNgQK0SpPidH6oypz9skYpDhhIuDoTeO8avKtQ0owsrJUesIYxqwjjqqPmBl+Adn6oxlUARshzshriqtuOIaA==" workbookSaltValue="ecyZzYa88Tiryokh84K/KQ==" workbookSpinCount="100000" lockStructure="1"/>
  <bookViews>
    <workbookView xWindow="-120" yWindow="-120" windowWidth="29040" windowHeight="17520" xr2:uid="{00000000-000D-0000-FFFF-FFFF00000000}"/>
  </bookViews>
  <sheets>
    <sheet name="Construction Management Planner" sheetId="5" r:id="rId1"/>
    <sheet name="CourseDetails" sheetId="10" state="hidden" r:id="rId2"/>
    <sheet name="Unitsets" sheetId="2" state="hidden" r:id="rId3"/>
    <sheet name="Handbook" sheetId="3" state="hidden" r:id="rId4"/>
    <sheet name="Structures" sheetId="8" state="hidden" r:id="rId5"/>
    <sheet name="Availabilities" sheetId="9" state="hidden" r:id="rId6"/>
  </sheets>
  <definedNames>
    <definedName name="_xlnm._FilterDatabase" localSheetId="3" hidden="1">Handbook!#REF!</definedName>
    <definedName name="_xlnm.Print_Area" localSheetId="0">'Construction Management Planner'!$A$3:$L$79</definedName>
    <definedName name="RangeSpecSets">Unitsets!$C$43:$H$57</definedName>
    <definedName name="RangeUnitsets">Unitsets!$C$3:$J$27</definedName>
    <definedName name="RangeUnitSetsY4">Unitsets!$C$31:$R$39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R1" i="3"/>
  <c r="G42" i="3"/>
  <c r="G43" i="3"/>
  <c r="G46" i="3"/>
  <c r="G48" i="3"/>
  <c r="H42" i="3"/>
  <c r="H43" i="3"/>
  <c r="H46" i="3"/>
  <c r="H48" i="3"/>
  <c r="I42" i="3"/>
  <c r="I43" i="3"/>
  <c r="I46" i="3"/>
  <c r="I48" i="3"/>
  <c r="J42" i="3"/>
  <c r="J43" i="3"/>
  <c r="J46" i="3"/>
  <c r="J48" i="3"/>
  <c r="L42" i="3"/>
  <c r="L43" i="3"/>
  <c r="L46" i="3"/>
  <c r="L48" i="3"/>
  <c r="N42" i="3"/>
  <c r="N43" i="3"/>
  <c r="N46" i="3"/>
  <c r="N48" i="3"/>
  <c r="O42" i="3"/>
  <c r="O43" i="3"/>
  <c r="O46" i="3"/>
  <c r="O48" i="3"/>
  <c r="P42" i="3"/>
  <c r="P43" i="3"/>
  <c r="P46" i="3"/>
  <c r="P48"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40" i="3"/>
  <c r="J41" i="3"/>
  <c r="J44" i="3"/>
  <c r="J45" i="3"/>
  <c r="J47" i="3"/>
  <c r="J49" i="3"/>
  <c r="J50" i="3"/>
  <c r="J51" i="3"/>
  <c r="J52" i="3"/>
  <c r="J53" i="3"/>
  <c r="J54" i="3"/>
  <c r="J55" i="3"/>
  <c r="J56" i="3"/>
  <c r="J58" i="3"/>
  <c r="J59" i="3"/>
  <c r="J60" i="3"/>
  <c r="J61" i="3"/>
  <c r="J62" i="3"/>
  <c r="J63" i="3"/>
  <c r="J64" i="3"/>
  <c r="J65" i="3"/>
  <c r="J66" i="3"/>
  <c r="J67" i="3"/>
  <c r="J68" i="3"/>
  <c r="J69" i="3"/>
  <c r="J70" i="3"/>
  <c r="J71" i="3"/>
  <c r="J72" i="3"/>
  <c r="J73" i="3"/>
  <c r="J39" i="3"/>
  <c r="J57"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40" i="3"/>
  <c r="I41" i="3"/>
  <c r="I44" i="3"/>
  <c r="I45" i="3"/>
  <c r="I47" i="3"/>
  <c r="I49" i="3"/>
  <c r="I50" i="3"/>
  <c r="I51" i="3"/>
  <c r="I52" i="3"/>
  <c r="I53" i="3"/>
  <c r="I54" i="3"/>
  <c r="I55" i="3"/>
  <c r="I56" i="3"/>
  <c r="I58" i="3"/>
  <c r="I59" i="3"/>
  <c r="I60" i="3"/>
  <c r="I61" i="3"/>
  <c r="I62" i="3"/>
  <c r="I63" i="3"/>
  <c r="I64" i="3"/>
  <c r="I65" i="3"/>
  <c r="I66" i="3"/>
  <c r="I67" i="3"/>
  <c r="I68" i="3"/>
  <c r="I69" i="3"/>
  <c r="I70" i="3"/>
  <c r="I71" i="3"/>
  <c r="I72" i="3"/>
  <c r="I73" i="3"/>
  <c r="I39" i="3"/>
  <c r="I57"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40" i="3"/>
  <c r="H41" i="3"/>
  <c r="H44" i="3"/>
  <c r="H45" i="3"/>
  <c r="H47" i="3"/>
  <c r="H49" i="3"/>
  <c r="H50" i="3"/>
  <c r="H51" i="3"/>
  <c r="H52" i="3"/>
  <c r="H53" i="3"/>
  <c r="H54" i="3"/>
  <c r="H55" i="3"/>
  <c r="H56" i="3"/>
  <c r="H58" i="3"/>
  <c r="H59" i="3"/>
  <c r="H60" i="3"/>
  <c r="H61" i="3"/>
  <c r="H62" i="3"/>
  <c r="H63" i="3"/>
  <c r="H64" i="3"/>
  <c r="H65" i="3"/>
  <c r="H66" i="3"/>
  <c r="H67" i="3"/>
  <c r="H68" i="3"/>
  <c r="H69" i="3"/>
  <c r="H70" i="3"/>
  <c r="H71" i="3"/>
  <c r="H72" i="3"/>
  <c r="H73" i="3"/>
  <c r="H39" i="3"/>
  <c r="H57"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40" i="3"/>
  <c r="G41" i="3"/>
  <c r="G44" i="3"/>
  <c r="G45" i="3"/>
  <c r="G47" i="3"/>
  <c r="G49" i="3"/>
  <c r="G50" i="3"/>
  <c r="G51" i="3"/>
  <c r="G52" i="3"/>
  <c r="G53" i="3"/>
  <c r="G54" i="3"/>
  <c r="G55" i="3"/>
  <c r="G56" i="3"/>
  <c r="G58" i="3"/>
  <c r="G59" i="3"/>
  <c r="G60" i="3"/>
  <c r="G61" i="3"/>
  <c r="G62" i="3"/>
  <c r="G63" i="3"/>
  <c r="G64" i="3"/>
  <c r="G65" i="3"/>
  <c r="G66" i="3"/>
  <c r="G67" i="3"/>
  <c r="G68" i="3"/>
  <c r="G69" i="3"/>
  <c r="G70" i="3"/>
  <c r="G71" i="3"/>
  <c r="G72" i="3"/>
  <c r="G73" i="3"/>
  <c r="G39" i="3"/>
  <c r="G57" i="3"/>
  <c r="L57" i="3"/>
  <c r="L39" i="3"/>
  <c r="E58" i="8"/>
  <c r="D58" i="8"/>
  <c r="B58" i="8"/>
  <c r="A58" i="8"/>
  <c r="E57" i="8"/>
  <c r="D57" i="8"/>
  <c r="B57" i="8"/>
  <c r="A57" i="8"/>
  <c r="E56" i="8"/>
  <c r="D56" i="8"/>
  <c r="B56" i="8"/>
  <c r="A56" i="8"/>
  <c r="E55" i="8"/>
  <c r="D55" i="8"/>
  <c r="B55" i="8"/>
  <c r="A55" i="8"/>
  <c r="E54" i="8"/>
  <c r="D54" i="8"/>
  <c r="B54" i="8"/>
  <c r="A54" i="8"/>
  <c r="E53" i="8"/>
  <c r="C53" i="8"/>
  <c r="D53" i="8" s="1"/>
  <c r="B53" i="8"/>
  <c r="A53" i="8"/>
  <c r="E52" i="8"/>
  <c r="C52" i="8"/>
  <c r="D52" i="8" s="1"/>
  <c r="B52" i="8"/>
  <c r="A52" i="8"/>
  <c r="E51" i="8"/>
  <c r="C51" i="8"/>
  <c r="D51" i="8" s="1"/>
  <c r="B51" i="8"/>
  <c r="A51" i="8"/>
  <c r="E50" i="8"/>
  <c r="C50" i="8"/>
  <c r="D50" i="8" s="1"/>
  <c r="B50" i="8"/>
  <c r="A50" i="8"/>
  <c r="E49" i="8"/>
  <c r="C49" i="8"/>
  <c r="D49" i="8" s="1"/>
  <c r="B49" i="8"/>
  <c r="A49" i="8"/>
  <c r="E48" i="8"/>
  <c r="C48" i="8"/>
  <c r="D48" i="8" s="1"/>
  <c r="B48" i="8"/>
  <c r="A48" i="8"/>
  <c r="E47" i="8"/>
  <c r="C47" i="8"/>
  <c r="D47" i="8" s="1"/>
  <c r="B47" i="8"/>
  <c r="A47" i="8"/>
  <c r="E46" i="8"/>
  <c r="C46" i="8"/>
  <c r="D46" i="8" s="1"/>
  <c r="B46" i="8"/>
  <c r="A46" i="8"/>
  <c r="E45" i="8"/>
  <c r="C45" i="8"/>
  <c r="D45" i="8" s="1"/>
  <c r="B45" i="8"/>
  <c r="A45" i="8"/>
  <c r="E44" i="8"/>
  <c r="C44" i="8"/>
  <c r="D44" i="8" s="1"/>
  <c r="B44" i="8"/>
  <c r="A44" i="8"/>
  <c r="E43" i="8"/>
  <c r="C43" i="8"/>
  <c r="D43" i="8" s="1"/>
  <c r="B43" i="8"/>
  <c r="A43" i="8"/>
  <c r="E42" i="8"/>
  <c r="C42" i="8"/>
  <c r="D42" i="8" s="1"/>
  <c r="B42" i="8"/>
  <c r="A42" i="8"/>
  <c r="E41" i="8"/>
  <c r="C41" i="8"/>
  <c r="D41" i="8" s="1"/>
  <c r="B41" i="8"/>
  <c r="A41" i="8"/>
  <c r="E40" i="8"/>
  <c r="C40" i="8"/>
  <c r="D40" i="8" s="1"/>
  <c r="B40" i="8"/>
  <c r="A40" i="8"/>
  <c r="E39" i="8"/>
  <c r="C39" i="8"/>
  <c r="D39" i="8" s="1"/>
  <c r="B39" i="8"/>
  <c r="A39" i="8"/>
  <c r="E38" i="8"/>
  <c r="C38" i="8"/>
  <c r="D38" i="8" s="1"/>
  <c r="B38" i="8"/>
  <c r="A38" i="8"/>
  <c r="E37" i="8"/>
  <c r="C37" i="8"/>
  <c r="D37" i="8" s="1"/>
  <c r="B37" i="8"/>
  <c r="A37" i="8"/>
  <c r="E36" i="8"/>
  <c r="C36" i="8"/>
  <c r="D36" i="8" s="1"/>
  <c r="B36" i="8"/>
  <c r="A36" i="8"/>
  <c r="E35" i="8"/>
  <c r="C35" i="8"/>
  <c r="D35" i="8" s="1"/>
  <c r="B35" i="8"/>
  <c r="A35" i="8"/>
  <c r="E34" i="8"/>
  <c r="C34" i="8"/>
  <c r="D34" i="8" s="1"/>
  <c r="B34" i="8"/>
  <c r="A34" i="8"/>
  <c r="E33" i="8"/>
  <c r="C33" i="8"/>
  <c r="D33" i="8" s="1"/>
  <c r="B33" i="8"/>
  <c r="A33" i="8"/>
  <c r="E32" i="8"/>
  <c r="C32" i="8"/>
  <c r="D32" i="8" s="1"/>
  <c r="B32" i="8"/>
  <c r="A32" i="8"/>
  <c r="D25" i="8"/>
  <c r="D26" i="8"/>
  <c r="D27" i="8"/>
  <c r="D28" i="8"/>
  <c r="D29" i="8"/>
  <c r="C102" i="8"/>
  <c r="D102" i="8" s="1"/>
  <c r="C103" i="8"/>
  <c r="D103" i="8" s="1"/>
  <c r="C104" i="8"/>
  <c r="D104" i="8" s="1"/>
  <c r="C105" i="8"/>
  <c r="D105" i="8" s="1"/>
  <c r="C106" i="8"/>
  <c r="D106" i="8" s="1"/>
  <c r="C107" i="8"/>
  <c r="D107" i="8" s="1"/>
  <c r="C88" i="8"/>
  <c r="D88" i="8" s="1"/>
  <c r="C89" i="8"/>
  <c r="D89" i="8" s="1"/>
  <c r="C90" i="8"/>
  <c r="D90" i="8" s="1"/>
  <c r="C91" i="8"/>
  <c r="D91" i="8" s="1"/>
  <c r="C92" i="8"/>
  <c r="D92" i="8" s="1"/>
  <c r="C93" i="8"/>
  <c r="D93" i="8" s="1"/>
  <c r="C94" i="8"/>
  <c r="D94" i="8" s="1"/>
  <c r="C95" i="8"/>
  <c r="D95" i="8" s="1"/>
  <c r="C96" i="8"/>
  <c r="D96" i="8" s="1"/>
  <c r="D97" i="8"/>
  <c r="C98" i="8"/>
  <c r="D98" i="8" s="1"/>
  <c r="C99" i="8"/>
  <c r="D99" i="8" s="1"/>
  <c r="C80" i="8"/>
  <c r="D80" i="8" s="1"/>
  <c r="C81" i="8"/>
  <c r="D81" i="8" s="1"/>
  <c r="C82" i="8"/>
  <c r="D82" i="8" s="1"/>
  <c r="C83" i="8"/>
  <c r="D83" i="8" s="1"/>
  <c r="C84" i="8"/>
  <c r="D84" i="8" s="1"/>
  <c r="C85" i="8"/>
  <c r="D85" i="8" s="1"/>
  <c r="C71" i="8"/>
  <c r="D71" i="8" s="1"/>
  <c r="C72" i="8"/>
  <c r="D72" i="8" s="1"/>
  <c r="C73" i="8"/>
  <c r="D73" i="8" s="1"/>
  <c r="C74" i="8"/>
  <c r="D74" i="8" s="1"/>
  <c r="C75" i="8"/>
  <c r="D75" i="8" s="1"/>
  <c r="C76" i="8"/>
  <c r="D76" i="8" s="1"/>
  <c r="C77" i="8"/>
  <c r="D77" i="8" s="1"/>
  <c r="C62" i="8"/>
  <c r="D62" i="8" s="1"/>
  <c r="C63" i="8"/>
  <c r="D63" i="8" s="1"/>
  <c r="C64" i="8"/>
  <c r="D64" i="8" s="1"/>
  <c r="C65" i="8"/>
  <c r="D65" i="8" s="1"/>
  <c r="C66" i="8"/>
  <c r="D66" i="8" s="1"/>
  <c r="C67" i="8"/>
  <c r="D67" i="8" s="1"/>
  <c r="C68" i="8"/>
  <c r="D68"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C16" i="8"/>
  <c r="D16" i="8" s="1"/>
  <c r="C17" i="8"/>
  <c r="D17" i="8" s="1"/>
  <c r="C18" i="8"/>
  <c r="D18" i="8" s="1"/>
  <c r="C19" i="8"/>
  <c r="D19" i="8" s="1"/>
  <c r="C20" i="8"/>
  <c r="D20" i="8" s="1"/>
  <c r="C21" i="8"/>
  <c r="D21" i="8" s="1"/>
  <c r="C22" i="8"/>
  <c r="D22" i="8" s="1"/>
  <c r="C23" i="8"/>
  <c r="D23" i="8" s="1"/>
  <c r="C24" i="8"/>
  <c r="D24" i="8" s="1"/>
  <c r="H61" i="5" l="1"/>
  <c r="L62" i="5"/>
  <c r="K62" i="5"/>
  <c r="J62" i="5"/>
  <c r="I62" i="5"/>
  <c r="H62" i="5"/>
  <c r="L48" i="5"/>
  <c r="K48" i="5"/>
  <c r="J48" i="5"/>
  <c r="I48" i="5"/>
  <c r="H48" i="5"/>
  <c r="L36" i="5"/>
  <c r="K36" i="5"/>
  <c r="J36" i="5"/>
  <c r="I36" i="5"/>
  <c r="H36" i="5"/>
  <c r="Q1" i="3" l="1"/>
  <c r="P1" i="3"/>
  <c r="O1" i="3"/>
  <c r="N1" i="3"/>
  <c r="M1" i="3"/>
  <c r="L1" i="3"/>
  <c r="K1" i="3"/>
  <c r="J1" i="3"/>
  <c r="I1" i="3"/>
  <c r="H1" i="3"/>
  <c r="G1" i="3"/>
  <c r="F1" i="3"/>
  <c r="E1" i="3"/>
  <c r="D1" i="3"/>
  <c r="C1" i="3"/>
  <c r="B1" i="3"/>
  <c r="A1" i="3"/>
  <c r="L24" i="5"/>
  <c r="K24" i="5"/>
  <c r="J24" i="5"/>
  <c r="I24" i="5"/>
  <c r="H24" i="5"/>
  <c r="G9" i="5"/>
  <c r="L7" i="5" l="1"/>
  <c r="A58" i="5" s="1"/>
  <c r="G7" i="5"/>
  <c r="L8" i="5"/>
  <c r="E58" i="5" l="1"/>
  <c r="B58" i="5"/>
  <c r="A50" i="5"/>
  <c r="B50" i="5" s="1"/>
  <c r="A49" i="5"/>
  <c r="A59" i="5"/>
  <c r="A52" i="5"/>
  <c r="A56" i="5"/>
  <c r="B56" i="5" s="1"/>
  <c r="A53" i="5"/>
  <c r="B53" i="5" s="1"/>
  <c r="A55" i="5"/>
  <c r="E55" i="5" l="1"/>
  <c r="B55" i="5"/>
  <c r="E52" i="5"/>
  <c r="B52" i="5"/>
  <c r="E59" i="5"/>
  <c r="B59" i="5"/>
  <c r="E49" i="5"/>
  <c r="E50" i="5" s="1"/>
  <c r="B49" i="5"/>
  <c r="E53" i="5"/>
  <c r="E56" i="5"/>
  <c r="A96" i="8" l="1"/>
  <c r="A97" i="8"/>
  <c r="A98" i="8"/>
  <c r="A99" i="8"/>
  <c r="B96" i="8"/>
  <c r="B97" i="8"/>
  <c r="B98" i="8"/>
  <c r="B99" i="8"/>
  <c r="E96" i="8"/>
  <c r="E97" i="8"/>
  <c r="E98" i="8"/>
  <c r="E99" i="8"/>
  <c r="J3" i="3" l="1"/>
  <c r="I3" i="3"/>
  <c r="H3" i="3"/>
  <c r="G3" i="3"/>
  <c r="A61" i="5" l="1"/>
  <c r="L6" i="5" l="1"/>
  <c r="L61" i="5"/>
  <c r="A47" i="5" l="1"/>
  <c r="A23" i="5"/>
  <c r="A46" i="5"/>
  <c r="E46" i="5" s="1"/>
  <c r="A22" i="5"/>
  <c r="A44" i="5"/>
  <c r="A20" i="5"/>
  <c r="A43" i="5"/>
  <c r="E43" i="5" s="1"/>
  <c r="A19" i="5"/>
  <c r="A41" i="5"/>
  <c r="A17" i="5"/>
  <c r="A26" i="5"/>
  <c r="A40" i="5"/>
  <c r="E40" i="5" s="1"/>
  <c r="A16" i="5"/>
  <c r="A38" i="5"/>
  <c r="A14" i="5"/>
  <c r="A25" i="5"/>
  <c r="E25" i="5" s="1"/>
  <c r="A37" i="5"/>
  <c r="E37" i="5" s="1"/>
  <c r="A13" i="5"/>
  <c r="A35" i="5"/>
  <c r="A34" i="5"/>
  <c r="E34" i="5" s="1"/>
  <c r="A32" i="5"/>
  <c r="A31" i="5"/>
  <c r="E31" i="5" s="1"/>
  <c r="A29" i="5"/>
  <c r="A28" i="5"/>
  <c r="E28" i="5" s="1"/>
  <c r="H55" i="5"/>
  <c r="A63" i="5"/>
  <c r="I63" i="5" s="1"/>
  <c r="A73" i="5"/>
  <c r="A75" i="5"/>
  <c r="A72" i="5"/>
  <c r="A74" i="5"/>
  <c r="A71" i="5"/>
  <c r="A64" i="5"/>
  <c r="A65" i="5"/>
  <c r="A66" i="5"/>
  <c r="A67" i="5"/>
  <c r="A68" i="5"/>
  <c r="A69" i="5"/>
  <c r="A70" i="5"/>
  <c r="E38" i="5" l="1"/>
  <c r="I14" i="5"/>
  <c r="J14" i="5"/>
  <c r="K14" i="5"/>
  <c r="H14" i="5"/>
  <c r="E26" i="5"/>
  <c r="E41" i="5"/>
  <c r="J32" i="5"/>
  <c r="E32" i="5"/>
  <c r="E44" i="5"/>
  <c r="E35" i="5"/>
  <c r="H13" i="5"/>
  <c r="I13" i="5"/>
  <c r="K13" i="5"/>
  <c r="J13" i="5"/>
  <c r="E29" i="5"/>
  <c r="E47" i="5"/>
  <c r="K55" i="5"/>
  <c r="J55" i="5"/>
  <c r="I55" i="5"/>
  <c r="J63" i="5"/>
  <c r="K63" i="5"/>
  <c r="H63" i="5"/>
  <c r="G72" i="5"/>
  <c r="I72" i="5"/>
  <c r="H72" i="5"/>
  <c r="F72" i="5"/>
  <c r="J72" i="5"/>
  <c r="C72" i="5"/>
  <c r="D72" i="5"/>
  <c r="B72" i="5"/>
  <c r="K72" i="5"/>
  <c r="I75" i="5"/>
  <c r="G75" i="5"/>
  <c r="D75" i="5"/>
  <c r="J75" i="5"/>
  <c r="B75" i="5"/>
  <c r="K75" i="5"/>
  <c r="F75" i="5"/>
  <c r="H75" i="5"/>
  <c r="C75" i="5"/>
  <c r="K74" i="5"/>
  <c r="D74" i="5"/>
  <c r="C74" i="5"/>
  <c r="G74" i="5"/>
  <c r="H74" i="5"/>
  <c r="J74" i="5"/>
  <c r="B74" i="5"/>
  <c r="F74" i="5"/>
  <c r="I74" i="5"/>
  <c r="D73" i="5"/>
  <c r="F73" i="5"/>
  <c r="C73" i="5"/>
  <c r="G73" i="5"/>
  <c r="J73" i="5"/>
  <c r="H73" i="5"/>
  <c r="B73" i="5"/>
  <c r="I73" i="5"/>
  <c r="K73" i="5"/>
  <c r="J70" i="5"/>
  <c r="I70" i="5"/>
  <c r="K70" i="5"/>
  <c r="H70" i="5"/>
  <c r="J69" i="5"/>
  <c r="I69" i="5"/>
  <c r="K69" i="5"/>
  <c r="H69" i="5"/>
  <c r="J71" i="5"/>
  <c r="H71" i="5"/>
  <c r="K71" i="5"/>
  <c r="I71" i="5"/>
  <c r="J68" i="5"/>
  <c r="I68" i="5"/>
  <c r="H68" i="5"/>
  <c r="K68" i="5"/>
  <c r="H67" i="5"/>
  <c r="K67" i="5"/>
  <c r="J67" i="5"/>
  <c r="I67" i="5"/>
  <c r="J66" i="5"/>
  <c r="I66" i="5"/>
  <c r="K66" i="5"/>
  <c r="H66" i="5"/>
  <c r="J65" i="5"/>
  <c r="K65" i="5"/>
  <c r="I65" i="5"/>
  <c r="H65" i="5"/>
  <c r="J64" i="5"/>
  <c r="I64" i="5"/>
  <c r="K64" i="5"/>
  <c r="H64" i="5"/>
  <c r="K52" i="5"/>
  <c r="H52" i="5"/>
  <c r="I52" i="5"/>
  <c r="J52" i="5"/>
  <c r="K53" i="5"/>
  <c r="H53" i="5"/>
  <c r="J53" i="5"/>
  <c r="I53" i="5"/>
  <c r="H50" i="5"/>
  <c r="K50" i="5"/>
  <c r="J50" i="5"/>
  <c r="I50" i="5"/>
  <c r="K59" i="5"/>
  <c r="J59" i="5"/>
  <c r="H59" i="5"/>
  <c r="I59" i="5"/>
  <c r="K58" i="5"/>
  <c r="I58" i="5"/>
  <c r="H58" i="5"/>
  <c r="J58" i="5"/>
  <c r="K49" i="5"/>
  <c r="H49" i="5"/>
  <c r="I49" i="5"/>
  <c r="J49" i="5"/>
  <c r="K56" i="5"/>
  <c r="J56" i="5"/>
  <c r="I56" i="5"/>
  <c r="H56" i="5"/>
  <c r="H29" i="5"/>
  <c r="J29" i="5"/>
  <c r="I29" i="5"/>
  <c r="K29" i="5"/>
  <c r="K40" i="5"/>
  <c r="J40" i="5"/>
  <c r="I40" i="5"/>
  <c r="H40" i="5"/>
  <c r="I17" i="5"/>
  <c r="H17" i="5"/>
  <c r="K17" i="5"/>
  <c r="J17" i="5"/>
  <c r="J16" i="5"/>
  <c r="K16" i="5"/>
  <c r="I16" i="5"/>
  <c r="H16" i="5"/>
  <c r="I26" i="5"/>
  <c r="K26" i="5"/>
  <c r="J26" i="5"/>
  <c r="H26" i="5"/>
  <c r="K34" i="5"/>
  <c r="J34" i="5"/>
  <c r="H34" i="5"/>
  <c r="I34" i="5"/>
  <c r="K22" i="5"/>
  <c r="J22" i="5"/>
  <c r="I22" i="5"/>
  <c r="H22" i="5"/>
  <c r="K25" i="5"/>
  <c r="J25" i="5"/>
  <c r="H25" i="5"/>
  <c r="I25" i="5"/>
  <c r="K37" i="5"/>
  <c r="J37" i="5"/>
  <c r="H37" i="5"/>
  <c r="I37" i="5"/>
  <c r="K31" i="5"/>
  <c r="J31" i="5"/>
  <c r="I31" i="5"/>
  <c r="H31" i="5"/>
  <c r="K19" i="5"/>
  <c r="J19" i="5"/>
  <c r="H19" i="5"/>
  <c r="I19" i="5"/>
  <c r="H35" i="5"/>
  <c r="K35" i="5"/>
  <c r="J35" i="5"/>
  <c r="I35" i="5"/>
  <c r="I47" i="5"/>
  <c r="H47" i="5"/>
  <c r="J47" i="5"/>
  <c r="K47" i="5"/>
  <c r="K43" i="5"/>
  <c r="J43" i="5"/>
  <c r="H43" i="5"/>
  <c r="I43" i="5"/>
  <c r="I32" i="5"/>
  <c r="H32" i="5"/>
  <c r="K32" i="5"/>
  <c r="K46" i="5"/>
  <c r="J46" i="5"/>
  <c r="I46" i="5"/>
  <c r="H46" i="5"/>
  <c r="J41" i="5"/>
  <c r="I41" i="5"/>
  <c r="H41" i="5"/>
  <c r="K41" i="5"/>
  <c r="H23" i="5"/>
  <c r="K23" i="5"/>
  <c r="J23" i="5"/>
  <c r="I23" i="5"/>
  <c r="I44" i="5"/>
  <c r="H44" i="5"/>
  <c r="K44" i="5"/>
  <c r="J44" i="5"/>
  <c r="J20" i="5"/>
  <c r="H20" i="5"/>
  <c r="K20" i="5"/>
  <c r="I20" i="5"/>
  <c r="K28" i="5"/>
  <c r="J28" i="5"/>
  <c r="H28" i="5"/>
  <c r="I28" i="5"/>
  <c r="I38" i="5"/>
  <c r="H38" i="5"/>
  <c r="K38" i="5"/>
  <c r="J38" i="5"/>
  <c r="G6" i="5" l="1"/>
  <c r="G8" i="5"/>
  <c r="D64" i="5" l="1"/>
  <c r="D68" i="5"/>
  <c r="G71" i="5"/>
  <c r="G67" i="5"/>
  <c r="C68" i="5" l="1"/>
  <c r="F68" i="5"/>
  <c r="B68" i="5"/>
  <c r="G68" i="5"/>
  <c r="B64" i="5"/>
  <c r="G64" i="5"/>
  <c r="F64" i="5"/>
  <c r="C64" i="5"/>
  <c r="G66" i="5"/>
  <c r="C67" i="5"/>
  <c r="D67" i="5"/>
  <c r="C66" i="5"/>
  <c r="F66" i="5"/>
  <c r="B67" i="5"/>
  <c r="D66" i="5"/>
  <c r="B71" i="5"/>
  <c r="D71" i="5"/>
  <c r="B66" i="5"/>
  <c r="F67" i="5"/>
  <c r="B65" i="5"/>
  <c r="G65" i="5"/>
  <c r="F65" i="5"/>
  <c r="F71" i="5"/>
  <c r="D65" i="5"/>
  <c r="C71" i="5"/>
  <c r="C65" i="5"/>
  <c r="B70" i="5"/>
  <c r="B69" i="5"/>
  <c r="D69" i="5"/>
  <c r="F70" i="5"/>
  <c r="G70" i="5"/>
  <c r="D70" i="5"/>
  <c r="C70" i="5"/>
  <c r="G69" i="5"/>
  <c r="F69" i="5"/>
  <c r="C69" i="5"/>
  <c r="E77" i="8" l="1"/>
  <c r="B77" i="8"/>
  <c r="A77" i="8"/>
  <c r="E76" i="8"/>
  <c r="B76" i="8"/>
  <c r="A76" i="8"/>
  <c r="E75" i="8"/>
  <c r="B75" i="8"/>
  <c r="A75" i="8"/>
  <c r="E74" i="8"/>
  <c r="B74" i="8"/>
  <c r="A74" i="8"/>
  <c r="E73" i="8"/>
  <c r="B73" i="8"/>
  <c r="A73" i="8"/>
  <c r="E72" i="8"/>
  <c r="B72" i="8"/>
  <c r="A72" i="8"/>
  <c r="E71" i="8"/>
  <c r="B71" i="8"/>
  <c r="A71" i="8"/>
  <c r="A68" i="8"/>
  <c r="B68" i="8"/>
  <c r="E68" i="8"/>
  <c r="E67" i="8"/>
  <c r="B67" i="8"/>
  <c r="A67" i="8"/>
  <c r="E66" i="8"/>
  <c r="B66" i="8"/>
  <c r="A66" i="8"/>
  <c r="E65" i="8"/>
  <c r="B65" i="8"/>
  <c r="A65" i="8"/>
  <c r="E64" i="8"/>
  <c r="B64" i="8"/>
  <c r="A64" i="8"/>
  <c r="E63" i="8"/>
  <c r="B63" i="8"/>
  <c r="A63" i="8"/>
  <c r="E62" i="8"/>
  <c r="B62" i="8"/>
  <c r="A62" i="8"/>
  <c r="A81" i="8"/>
  <c r="O57" i="3" l="1"/>
  <c r="O39" i="3"/>
  <c r="N57" i="3"/>
  <c r="N39" i="3"/>
  <c r="O69" i="3"/>
  <c r="O72" i="3"/>
  <c r="O68" i="3"/>
  <c r="N69" i="3"/>
  <c r="N72" i="3"/>
  <c r="N68" i="3"/>
  <c r="N6" i="3"/>
  <c r="N5" i="3"/>
  <c r="O6" i="3"/>
  <c r="O5" i="3"/>
  <c r="N54" i="3"/>
  <c r="N55" i="3"/>
  <c r="N49" i="3"/>
  <c r="N51" i="3"/>
  <c r="N53" i="3"/>
  <c r="N70" i="3"/>
  <c r="N73" i="3"/>
  <c r="N9" i="3"/>
  <c r="N58" i="3"/>
  <c r="N60" i="3"/>
  <c r="N61" i="3"/>
  <c r="O54" i="3"/>
  <c r="O55" i="3"/>
  <c r="O49" i="3"/>
  <c r="O51" i="3"/>
  <c r="O53" i="3"/>
  <c r="O70" i="3"/>
  <c r="O73" i="3"/>
  <c r="O9" i="3"/>
  <c r="O58" i="3"/>
  <c r="O60" i="3"/>
  <c r="O61" i="3"/>
  <c r="O37" i="3"/>
  <c r="N33" i="3"/>
  <c r="N37" i="3"/>
  <c r="O33" i="3"/>
  <c r="O63" i="3"/>
  <c r="O15" i="3"/>
  <c r="O22" i="3"/>
  <c r="O26" i="3"/>
  <c r="O29" i="3"/>
  <c r="O41" i="3"/>
  <c r="O10" i="3"/>
  <c r="O28" i="3"/>
  <c r="O14" i="3"/>
  <c r="O21" i="3"/>
  <c r="O67" i="3"/>
  <c r="O35" i="3"/>
  <c r="O44" i="3"/>
  <c r="O50" i="3"/>
  <c r="O40" i="3"/>
  <c r="O18" i="3"/>
  <c r="O13" i="3"/>
  <c r="O23" i="3"/>
  <c r="O7" i="3"/>
  <c r="O34" i="3"/>
  <c r="O45" i="3"/>
  <c r="O16" i="3"/>
  <c r="O64" i="3"/>
  <c r="O30" i="3"/>
  <c r="O8" i="3"/>
  <c r="O31" i="3"/>
  <c r="O52" i="3"/>
  <c r="O12" i="3"/>
  <c r="O36" i="3"/>
  <c r="O62" i="3"/>
  <c r="O17" i="3"/>
  <c r="O25" i="3"/>
  <c r="O47" i="3"/>
  <c r="O38" i="3"/>
  <c r="O20" i="3"/>
  <c r="O24" i="3"/>
  <c r="O56" i="3"/>
  <c r="O71" i="3"/>
  <c r="O66" i="3"/>
  <c r="O11" i="3"/>
  <c r="O19" i="3"/>
  <c r="O27" i="3"/>
  <c r="O32" i="3"/>
  <c r="O65" i="3"/>
  <c r="O59" i="3"/>
  <c r="N63" i="3"/>
  <c r="N15" i="3"/>
  <c r="N22" i="3"/>
  <c r="N26" i="3"/>
  <c r="N29" i="3"/>
  <c r="N36" i="3"/>
  <c r="N62" i="3"/>
  <c r="N16" i="3"/>
  <c r="N45" i="3"/>
  <c r="N20" i="3"/>
  <c r="N31" i="3"/>
  <c r="N19" i="3"/>
  <c r="N12" i="3"/>
  <c r="N32" i="3"/>
  <c r="N65" i="3"/>
  <c r="N14" i="3"/>
  <c r="N21" i="3"/>
  <c r="N67" i="3"/>
  <c r="N35" i="3"/>
  <c r="N41" i="3"/>
  <c r="N10" i="3"/>
  <c r="N25" i="3"/>
  <c r="N8" i="3"/>
  <c r="N24" i="3"/>
  <c r="N47" i="3"/>
  <c r="N27" i="3"/>
  <c r="N71" i="3"/>
  <c r="N18" i="3"/>
  <c r="N59" i="3"/>
  <c r="N13" i="3"/>
  <c r="N23" i="3"/>
  <c r="N7" i="3"/>
  <c r="N44" i="3"/>
  <c r="N50" i="3"/>
  <c r="N40" i="3"/>
  <c r="N64" i="3"/>
  <c r="N34" i="3"/>
  <c r="N17" i="3"/>
  <c r="N30" i="3"/>
  <c r="N38" i="3"/>
  <c r="N56" i="3"/>
  <c r="N52" i="3"/>
  <c r="N11" i="3"/>
  <c r="N66" i="3"/>
  <c r="N28" i="3"/>
  <c r="N4" i="3"/>
  <c r="N3" i="3"/>
  <c r="O4" i="3"/>
  <c r="O3" i="3"/>
  <c r="A107" i="8" l="1"/>
  <c r="B107" i="8"/>
  <c r="E107" i="8"/>
  <c r="A106" i="8" l="1"/>
  <c r="B106" i="8"/>
  <c r="E106" i="8"/>
  <c r="A91" i="8" l="1"/>
  <c r="A89" i="8"/>
  <c r="A90" i="8"/>
  <c r="A93" i="8"/>
  <c r="A94" i="8"/>
  <c r="B89" i="8"/>
  <c r="B90" i="8"/>
  <c r="B93" i="8"/>
  <c r="B94" i="8"/>
  <c r="E89" i="8"/>
  <c r="E90" i="8"/>
  <c r="E93" i="8"/>
  <c r="E94" i="8"/>
  <c r="E19" i="5" l="1"/>
  <c r="E20" i="5" s="1"/>
  <c r="E22" i="5"/>
  <c r="E23" i="5" s="1"/>
  <c r="E16" i="5"/>
  <c r="E17" i="5" s="1"/>
  <c r="E13" i="5"/>
  <c r="E14" i="5" s="1"/>
  <c r="E105" i="8" l="1"/>
  <c r="B105" i="8"/>
  <c r="A105" i="8"/>
  <c r="E104" i="8"/>
  <c r="B104" i="8"/>
  <c r="A104" i="8"/>
  <c r="E103" i="8"/>
  <c r="B103" i="8"/>
  <c r="A103" i="8"/>
  <c r="E102" i="8"/>
  <c r="B102" i="8"/>
  <c r="A102" i="8"/>
  <c r="R42" i="3" l="1"/>
  <c r="R43" i="3"/>
  <c r="R46" i="3"/>
  <c r="R39" i="3"/>
  <c r="R57" i="3"/>
  <c r="R48" i="3"/>
  <c r="R72" i="3"/>
  <c r="R68" i="3"/>
  <c r="R69" i="3"/>
  <c r="R6" i="3"/>
  <c r="R5" i="3"/>
  <c r="R54" i="3"/>
  <c r="R55" i="3"/>
  <c r="R49" i="3"/>
  <c r="R51" i="3"/>
  <c r="R53" i="3"/>
  <c r="R70" i="3"/>
  <c r="R73" i="3"/>
  <c r="R9" i="3"/>
  <c r="R58" i="3"/>
  <c r="R60" i="3"/>
  <c r="R61" i="3"/>
  <c r="R37" i="3"/>
  <c r="R33" i="3"/>
  <c r="R63" i="3"/>
  <c r="R38" i="3"/>
  <c r="R11" i="3"/>
  <c r="R12" i="3"/>
  <c r="R15" i="3"/>
  <c r="R14" i="3"/>
  <c r="R13" i="3"/>
  <c r="R16" i="3"/>
  <c r="R17" i="3"/>
  <c r="R20" i="3"/>
  <c r="R19" i="3"/>
  <c r="R18" i="3"/>
  <c r="R22" i="3"/>
  <c r="R21" i="3"/>
  <c r="R23" i="3"/>
  <c r="R64" i="3"/>
  <c r="R25" i="3"/>
  <c r="R24" i="3"/>
  <c r="R27" i="3"/>
  <c r="R28" i="3"/>
  <c r="R26" i="3"/>
  <c r="R67" i="3"/>
  <c r="R7" i="3"/>
  <c r="R56" i="3"/>
  <c r="R59" i="3"/>
  <c r="R29" i="3"/>
  <c r="R35" i="3"/>
  <c r="R34" i="3"/>
  <c r="R30" i="3"/>
  <c r="R31" i="3"/>
  <c r="R32" i="3"/>
  <c r="R36" i="3"/>
  <c r="R41" i="3"/>
  <c r="R44" i="3"/>
  <c r="R45" i="3"/>
  <c r="R8" i="3"/>
  <c r="R47" i="3"/>
  <c r="R71" i="3"/>
  <c r="R50" i="3"/>
  <c r="R52" i="3"/>
  <c r="R66" i="3"/>
  <c r="R65" i="3"/>
  <c r="R62" i="3"/>
  <c r="R10" i="3"/>
  <c r="R40" i="3"/>
  <c r="R4" i="3"/>
  <c r="R3" i="3"/>
  <c r="C52" i="5" l="1"/>
  <c r="F52" i="5"/>
  <c r="G52" i="5"/>
  <c r="D52" i="5"/>
  <c r="G55" i="5"/>
  <c r="F55" i="5"/>
  <c r="D55" i="5"/>
  <c r="C55" i="5"/>
  <c r="D50" i="5"/>
  <c r="C50" i="5"/>
  <c r="G50" i="5"/>
  <c r="F50" i="5"/>
  <c r="D58" i="5"/>
  <c r="C58" i="5"/>
  <c r="G58" i="5"/>
  <c r="F58" i="5"/>
  <c r="G53" i="5"/>
  <c r="F53" i="5"/>
  <c r="C53" i="5"/>
  <c r="D53" i="5"/>
  <c r="D56" i="5"/>
  <c r="C56" i="5"/>
  <c r="G56" i="5"/>
  <c r="F56" i="5"/>
  <c r="G49" i="5"/>
  <c r="C49" i="5"/>
  <c r="D49" i="5"/>
  <c r="F49" i="5"/>
  <c r="G59" i="5"/>
  <c r="C59" i="5"/>
  <c r="D59" i="5"/>
  <c r="F59" i="5"/>
  <c r="G63" i="5"/>
  <c r="C63" i="5" l="1"/>
  <c r="D63" i="5"/>
  <c r="F63" i="5"/>
  <c r="B63" i="5"/>
  <c r="E91" i="8" l="1"/>
  <c r="B91" i="8"/>
  <c r="E92" i="8"/>
  <c r="B92" i="8"/>
  <c r="A92" i="8"/>
  <c r="E88" i="8"/>
  <c r="B88" i="8"/>
  <c r="A88" i="8"/>
  <c r="E95" i="8"/>
  <c r="B95" i="8"/>
  <c r="A95" i="8"/>
  <c r="Q42" i="3" l="1"/>
  <c r="Q43" i="3"/>
  <c r="Q46" i="3"/>
  <c r="Q48" i="3"/>
  <c r="Q57" i="3"/>
  <c r="Q39" i="3"/>
  <c r="Q72" i="3"/>
  <c r="Q68" i="3"/>
  <c r="Q69" i="3"/>
  <c r="Q6" i="3"/>
  <c r="Q5" i="3"/>
  <c r="Q54" i="3"/>
  <c r="Q55" i="3"/>
  <c r="Q49" i="3"/>
  <c r="Q51" i="3"/>
  <c r="Q53" i="3"/>
  <c r="Q70" i="3"/>
  <c r="Q73" i="3"/>
  <c r="Q9" i="3"/>
  <c r="Q58" i="3"/>
  <c r="Q60" i="3"/>
  <c r="Q61" i="3"/>
  <c r="Q37" i="3"/>
  <c r="Q33" i="3"/>
  <c r="Q63" i="3"/>
  <c r="Q38" i="3"/>
  <c r="Q11" i="3"/>
  <c r="Q12" i="3"/>
  <c r="Q15" i="3"/>
  <c r="Q14" i="3"/>
  <c r="Q13" i="3"/>
  <c r="Q16" i="3"/>
  <c r="Q17" i="3"/>
  <c r="Q20" i="3"/>
  <c r="Q19" i="3"/>
  <c r="Q18" i="3"/>
  <c r="Q22" i="3"/>
  <c r="Q21" i="3"/>
  <c r="Q23" i="3"/>
  <c r="Q64" i="3"/>
  <c r="Q25" i="3"/>
  <c r="Q24" i="3"/>
  <c r="Q27" i="3"/>
  <c r="Q28" i="3"/>
  <c r="Q26" i="3"/>
  <c r="Q67" i="3"/>
  <c r="Q7" i="3"/>
  <c r="Q56" i="3"/>
  <c r="Q59" i="3"/>
  <c r="Q29" i="3"/>
  <c r="Q35" i="3"/>
  <c r="Q34" i="3"/>
  <c r="Q30" i="3"/>
  <c r="Q31" i="3"/>
  <c r="Q32" i="3"/>
  <c r="Q36" i="3"/>
  <c r="Q41" i="3"/>
  <c r="Q44" i="3"/>
  <c r="Q45" i="3"/>
  <c r="Q8" i="3"/>
  <c r="Q47" i="3"/>
  <c r="Q71" i="3"/>
  <c r="Q50" i="3"/>
  <c r="Q52" i="3"/>
  <c r="Q66" i="3"/>
  <c r="Q65" i="3"/>
  <c r="Q62" i="3"/>
  <c r="Q10" i="3"/>
  <c r="Q40" i="3"/>
  <c r="Q4" i="3"/>
  <c r="Q3" i="3"/>
  <c r="A25" i="8"/>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B80" i="8" l="1"/>
  <c r="E80" i="8"/>
  <c r="E81" i="8"/>
  <c r="E82" i="8"/>
  <c r="E83" i="8"/>
  <c r="E84" i="8"/>
  <c r="E85" i="8"/>
  <c r="B81" i="8"/>
  <c r="B82" i="8"/>
  <c r="B83" i="8"/>
  <c r="B84" i="8"/>
  <c r="B85" i="8"/>
  <c r="A80" i="8"/>
  <c r="A82" i="8"/>
  <c r="A83" i="8"/>
  <c r="A84" i="8"/>
  <c r="A85" i="8"/>
  <c r="E3" i="8"/>
  <c r="E4" i="8"/>
  <c r="E5" i="8"/>
  <c r="E6" i="8"/>
  <c r="B3" i="8"/>
  <c r="B4" i="8"/>
  <c r="B5" i="8"/>
  <c r="B6" i="8"/>
  <c r="A4" i="8"/>
  <c r="L38" i="3" s="1"/>
  <c r="A5" i="8"/>
  <c r="A6" i="8"/>
  <c r="P57" i="3" l="1"/>
  <c r="P39" i="3"/>
  <c r="P72" i="3"/>
  <c r="P68" i="3"/>
  <c r="L72" i="3"/>
  <c r="L68" i="3"/>
  <c r="L69" i="3"/>
  <c r="P69" i="3"/>
  <c r="L6" i="3"/>
  <c r="L5" i="3"/>
  <c r="P6" i="3"/>
  <c r="P5" i="3"/>
  <c r="L54" i="3"/>
  <c r="L55" i="3"/>
  <c r="L49" i="3"/>
  <c r="L51" i="3"/>
  <c r="L53" i="3"/>
  <c r="L70" i="3"/>
  <c r="L73" i="3"/>
  <c r="L9" i="3"/>
  <c r="L58" i="3"/>
  <c r="L60" i="3"/>
  <c r="L61" i="3"/>
  <c r="P54" i="3"/>
  <c r="P55" i="3"/>
  <c r="P49" i="3"/>
  <c r="P51" i="3"/>
  <c r="P53" i="3"/>
  <c r="P70" i="3"/>
  <c r="P73" i="3"/>
  <c r="P9" i="3"/>
  <c r="P58" i="3"/>
  <c r="P60" i="3"/>
  <c r="P61" i="3"/>
  <c r="L37" i="3"/>
  <c r="P37" i="3"/>
  <c r="L33" i="3"/>
  <c r="L11" i="3"/>
  <c r="L12" i="3"/>
  <c r="P33" i="3"/>
  <c r="P63" i="3"/>
  <c r="P3" i="3"/>
  <c r="P4" i="3"/>
  <c r="P38" i="3"/>
  <c r="P11" i="3"/>
  <c r="P12" i="3"/>
  <c r="P15" i="3"/>
  <c r="P14" i="3"/>
  <c r="P13" i="3"/>
  <c r="P16" i="3"/>
  <c r="P17" i="3"/>
  <c r="P20" i="3"/>
  <c r="P19" i="3"/>
  <c r="P18" i="3"/>
  <c r="P22" i="3"/>
  <c r="P21" i="3"/>
  <c r="P23" i="3"/>
  <c r="P64" i="3"/>
  <c r="P25" i="3"/>
  <c r="P24" i="3"/>
  <c r="P27" i="3"/>
  <c r="P28" i="3"/>
  <c r="P26" i="3"/>
  <c r="P67" i="3"/>
  <c r="P7" i="3"/>
  <c r="P56" i="3"/>
  <c r="P59" i="3"/>
  <c r="P29" i="3"/>
  <c r="P35" i="3"/>
  <c r="P34" i="3"/>
  <c r="P30" i="3"/>
  <c r="P31" i="3"/>
  <c r="P32" i="3"/>
  <c r="P36" i="3"/>
  <c r="P41" i="3"/>
  <c r="P44" i="3"/>
  <c r="P45" i="3"/>
  <c r="P8" i="3"/>
  <c r="P47" i="3"/>
  <c r="P71" i="3"/>
  <c r="P50" i="3"/>
  <c r="P52" i="3"/>
  <c r="P66" i="3"/>
  <c r="P65" i="3"/>
  <c r="P62" i="3"/>
  <c r="P10" i="3"/>
  <c r="P40" i="3"/>
  <c r="L63" i="3"/>
  <c r="L16" i="3"/>
  <c r="L64" i="3"/>
  <c r="L34" i="3"/>
  <c r="L45" i="3"/>
  <c r="L30" i="3"/>
  <c r="L8" i="3"/>
  <c r="L32" i="3"/>
  <c r="L7" i="3"/>
  <c r="L17" i="3"/>
  <c r="L25" i="3"/>
  <c r="L20" i="3"/>
  <c r="L24" i="3"/>
  <c r="L56" i="3"/>
  <c r="L31" i="3"/>
  <c r="L47" i="3"/>
  <c r="L52" i="3"/>
  <c r="L18" i="3"/>
  <c r="L65" i="3"/>
  <c r="L44" i="3"/>
  <c r="L19" i="3"/>
  <c r="L27" i="3"/>
  <c r="L71" i="3"/>
  <c r="L66" i="3"/>
  <c r="L28" i="3"/>
  <c r="L59" i="3"/>
  <c r="L50" i="3"/>
  <c r="L15" i="3"/>
  <c r="L22" i="3"/>
  <c r="L26" i="3"/>
  <c r="L29" i="3"/>
  <c r="L36" i="3"/>
  <c r="L62" i="3"/>
  <c r="L21" i="3"/>
  <c r="L67" i="3"/>
  <c r="L35" i="3"/>
  <c r="L41" i="3"/>
  <c r="L10" i="3"/>
  <c r="L13" i="3"/>
  <c r="L23" i="3"/>
  <c r="L40" i="3"/>
  <c r="L14" i="3"/>
  <c r="L4" i="3"/>
  <c r="L3" i="3"/>
  <c r="C44" i="5" l="1"/>
  <c r="F44" i="5"/>
  <c r="G44" i="5"/>
  <c r="B44" i="5"/>
  <c r="D44" i="5"/>
  <c r="B46" i="5"/>
  <c r="F46" i="5"/>
  <c r="G46" i="5"/>
  <c r="D46" i="5"/>
  <c r="C46" i="5"/>
  <c r="B40" i="5"/>
  <c r="C40" i="5"/>
  <c r="G40" i="5"/>
  <c r="F40" i="5"/>
  <c r="D40" i="5"/>
  <c r="D47" i="5"/>
  <c r="B47" i="5"/>
  <c r="C47" i="5"/>
  <c r="F47" i="5"/>
  <c r="G47" i="5"/>
  <c r="D43" i="5"/>
  <c r="B43" i="5"/>
  <c r="C43" i="5"/>
  <c r="F43" i="5"/>
  <c r="G43" i="5"/>
  <c r="C38" i="5"/>
  <c r="G38" i="5"/>
  <c r="D38" i="5"/>
  <c r="F38" i="5"/>
  <c r="B38" i="5"/>
  <c r="C41" i="5"/>
  <c r="G41" i="5"/>
  <c r="F41" i="5"/>
  <c r="B41" i="5"/>
  <c r="D41" i="5"/>
  <c r="D37" i="5"/>
  <c r="F37" i="5"/>
  <c r="B37" i="5"/>
  <c r="C37" i="5"/>
  <c r="G37" i="5"/>
  <c r="F28" i="5" l="1"/>
  <c r="C28" i="5"/>
  <c r="G28" i="5"/>
  <c r="D28" i="5"/>
  <c r="B28" i="5"/>
  <c r="G19" i="5"/>
  <c r="F19" i="5"/>
  <c r="D19" i="5"/>
  <c r="C19" i="5"/>
  <c r="B19" i="5"/>
  <c r="G25" i="5"/>
  <c r="F25" i="5"/>
  <c r="D25" i="5"/>
  <c r="C25" i="5"/>
  <c r="B25" i="5"/>
  <c r="G17" i="5"/>
  <c r="F17" i="5"/>
  <c r="D17" i="5"/>
  <c r="C17" i="5"/>
  <c r="B17" i="5"/>
  <c r="G35" i="5"/>
  <c r="F35" i="5"/>
  <c r="D35" i="5"/>
  <c r="C35" i="5"/>
  <c r="B35" i="5"/>
  <c r="G20" i="5"/>
  <c r="F20" i="5"/>
  <c r="D20" i="5"/>
  <c r="C20" i="5"/>
  <c r="B20" i="5"/>
  <c r="G13" i="5"/>
  <c r="F13" i="5"/>
  <c r="D13" i="5"/>
  <c r="C13" i="5"/>
  <c r="B13" i="5"/>
  <c r="F16" i="5"/>
  <c r="B16" i="5"/>
  <c r="C16" i="5"/>
  <c r="G16" i="5"/>
  <c r="D16" i="5"/>
  <c r="G22" i="5"/>
  <c r="F22" i="5"/>
  <c r="D22" i="5"/>
  <c r="C22" i="5"/>
  <c r="B22" i="5"/>
  <c r="F26" i="5"/>
  <c r="C26" i="5"/>
  <c r="G26" i="5"/>
  <c r="D26" i="5"/>
  <c r="B26" i="5"/>
  <c r="F29" i="5"/>
  <c r="G29" i="5"/>
  <c r="D29" i="5"/>
  <c r="C29" i="5"/>
  <c r="B29" i="5"/>
  <c r="G31" i="5"/>
  <c r="F31" i="5"/>
  <c r="D31" i="5"/>
  <c r="C31" i="5"/>
  <c r="B31" i="5"/>
  <c r="B14" i="5"/>
  <c r="C14" i="5"/>
  <c r="G14" i="5"/>
  <c r="D14" i="5"/>
  <c r="F14" i="5"/>
  <c r="G32" i="5"/>
  <c r="F32" i="5"/>
  <c r="D32" i="5"/>
  <c r="C32" i="5"/>
  <c r="B32" i="5"/>
  <c r="G34" i="5"/>
  <c r="F34" i="5"/>
  <c r="D34" i="5"/>
  <c r="C34" i="5"/>
  <c r="B34" i="5"/>
  <c r="G23" i="5"/>
  <c r="F23" i="5"/>
  <c r="D23" i="5"/>
  <c r="C23" i="5"/>
  <c r="B23" i="5"/>
</calcChain>
</file>

<file path=xl/sharedStrings.xml><?xml version="1.0" encoding="utf-8"?>
<sst xmlns="http://schemas.openxmlformats.org/spreadsheetml/2006/main" count="1518" uniqueCount="435">
  <si>
    <t>UDC</t>
  </si>
  <si>
    <t>Ver</t>
  </si>
  <si>
    <t>OUA Cd</t>
  </si>
  <si>
    <t>Unit Title</t>
  </si>
  <si>
    <t>Study Period</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</si>
  <si>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</si>
  <si>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</si>
  <si>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</si>
  <si>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</si>
  <si>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</si>
  <si>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</si>
  <si>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Student Name:</t>
  </si>
  <si>
    <t xml:space="preserve">Student ID: </t>
  </si>
  <si>
    <t>Course:</t>
  </si>
  <si>
    <t>Bachelor of Applied Science (Construction Management) (OpenUnis)</t>
  </si>
  <si>
    <t>Stream:</t>
  </si>
  <si>
    <t>Choose your Stream (drop-down list)</t>
  </si>
  <si>
    <t>Specialisation:</t>
  </si>
  <si>
    <t>Choose your Specialisation (drop-down list)</t>
  </si>
  <si>
    <t>Specialisation version:</t>
  </si>
  <si>
    <t>Commencing:</t>
  </si>
  <si>
    <t>Choose your commencing study period (drop-down list)</t>
  </si>
  <si>
    <t>Credits to Complete:</t>
  </si>
  <si>
    <t>Course Notes:</t>
  </si>
  <si>
    <t>2026 Availabilities</t>
  </si>
  <si>
    <t>Year 1</t>
  </si>
  <si>
    <t>OUA Code</t>
  </si>
  <si>
    <t>Study 
Period</t>
  </si>
  <si>
    <t>Pre Requisite(s)</t>
  </si>
  <si>
    <t>CP</t>
  </si>
  <si>
    <t>SP1</t>
  </si>
  <si>
    <t>SP2</t>
  </si>
  <si>
    <t>SP3</t>
  </si>
  <si>
    <t>SP4</t>
  </si>
  <si>
    <t>Notes / Progress</t>
  </si>
  <si>
    <t>Year 2</t>
  </si>
  <si>
    <t>Year 3</t>
  </si>
  <si>
    <t>Year 4</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</si>
  <si>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</si>
  <si>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</si>
  <si>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</si>
  <si>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</si>
  <si>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TableCourses</t>
  </si>
  <si>
    <t>Choose your Construction Management Course (drop-down list)</t>
  </si>
  <si>
    <t>SM Version</t>
  </si>
  <si>
    <t>SM Effective Date</t>
  </si>
  <si>
    <t>Akari Iteration</t>
  </si>
  <si>
    <t>Akari Effective Date</t>
  </si>
  <si>
    <t>Credit Points</t>
  </si>
  <si>
    <t>SM Availabilities</t>
  </si>
  <si>
    <t>Notes</t>
  </si>
  <si>
    <t>OB-CONMN</t>
  </si>
  <si>
    <t>v.3</t>
  </si>
  <si>
    <t>9 &amp; 10</t>
  </si>
  <si>
    <t>800 credit points required</t>
  </si>
  <si>
    <t>SP1; SP2; SP3; SP4</t>
  </si>
  <si>
    <t>Bachelor of Applied Science (Construction Management) (OpenUnis CSP)</t>
  </si>
  <si>
    <t>OU-CONMN</t>
  </si>
  <si>
    <t>5 &amp; 6</t>
  </si>
  <si>
    <t>TableStudyPeriod</t>
  </si>
  <si>
    <t>START</t>
  </si>
  <si>
    <t>Next</t>
  </si>
  <si>
    <t>Next2</t>
  </si>
  <si>
    <t>Next3</t>
  </si>
  <si>
    <t>Study Period 1 (February - May)</t>
  </si>
  <si>
    <t>Study Period 2 (May - August)</t>
  </si>
  <si>
    <t>Study Period 3 (August - November)</t>
  </si>
  <si>
    <t>Study Period 4 (November - February)</t>
  </si>
  <si>
    <t>TableStream</t>
  </si>
  <si>
    <t>Construction Management Fourth Year Stream (OUA)</t>
  </si>
  <si>
    <t>OUSU-CONMN</t>
  </si>
  <si>
    <t>v.2</t>
  </si>
  <si>
    <t>200 credit points</t>
  </si>
  <si>
    <t>Honours Construction Management Stream (OUA)</t>
  </si>
  <si>
    <t>OUSH-CONMN</t>
  </si>
  <si>
    <t>TableSpecialisations</t>
  </si>
  <si>
    <t>Animation and Game Architecture Design Specialisation (OpenUnis)</t>
  </si>
  <si>
    <t>OSCU-ANGAD</t>
  </si>
  <si>
    <t>100 credit points</t>
  </si>
  <si>
    <t>Interior Architecture Specialisation (OpenUnis)</t>
  </si>
  <si>
    <t>OSCU-INARS</t>
  </si>
  <si>
    <t>Planning and Geography Specialisation (OpenUnis)</t>
  </si>
  <si>
    <t>OSCU-PLGEO</t>
  </si>
  <si>
    <t>v.1</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</si>
  <si>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</si>
  <si>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</si>
  <si>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</si>
  <si>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</si>
  <si>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</si>
  <si>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</si>
  <si>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</si>
  <si>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22/12/20255</t>
  </si>
  <si>
    <t>21/11/2025 - Nat B. sent over sequencing, updated in Unitsets</t>
  </si>
  <si>
    <t>8)      Review Handbook Tab for obvious issues / errors and enter notes (Handbook Tab)</t>
  </si>
  <si>
    <t>9)      Review Planner Tab(s) for obvious issues / errors (Planner Tab)</t>
  </si>
  <si>
    <t>RangeUnitSets</t>
  </si>
  <si>
    <t>OB-CONMNSP1</t>
  </si>
  <si>
    <t>OB-CONMNSP2</t>
  </si>
  <si>
    <t>OB-CONMNSP3</t>
  </si>
  <si>
    <t>OB-CONMNSP4</t>
  </si>
  <si>
    <t>Y1SP1</t>
  </si>
  <si>
    <t>ENST1002</t>
  </si>
  <si>
    <t>Y1SP2</t>
  </si>
  <si>
    <t>BLDG1008</t>
  </si>
  <si>
    <t>Y1SP3</t>
  </si>
  <si>
    <t>Y1SP4</t>
  </si>
  <si>
    <t>BLDG1005</t>
  </si>
  <si>
    <t>BLDG1009</t>
  </si>
  <si>
    <t>BLDG1017</t>
  </si>
  <si>
    <t>ARCH1021</t>
  </si>
  <si>
    <t>BLDG1006</t>
  </si>
  <si>
    <t>BLDG1019</t>
  </si>
  <si>
    <t>BLDG2021</t>
  </si>
  <si>
    <t>Y2SP1</t>
  </si>
  <si>
    <t>BLDG2026</t>
  </si>
  <si>
    <t>Y2SP2</t>
  </si>
  <si>
    <t>Y2SP3</t>
  </si>
  <si>
    <t>BLDG2028</t>
  </si>
  <si>
    <t>Y2SP4</t>
  </si>
  <si>
    <t>BLDG2034</t>
  </si>
  <si>
    <t>Pre Req &amp; Availability Issue</t>
  </si>
  <si>
    <t>Spec</t>
  </si>
  <si>
    <t>BLDG2027</t>
  </si>
  <si>
    <t>BLDG2016</t>
  </si>
  <si>
    <t>BLDG3029</t>
  </si>
  <si>
    <t>Y3SP1</t>
  </si>
  <si>
    <t>Y3SP2</t>
  </si>
  <si>
    <t>BLDG3031</t>
  </si>
  <si>
    <t>Y3SP3</t>
  </si>
  <si>
    <t>BLDG3035</t>
  </si>
  <si>
    <t>Y3SP4</t>
  </si>
  <si>
    <t>URDE3011</t>
  </si>
  <si>
    <t>BLDG3026</t>
  </si>
  <si>
    <t>BLDG3033</t>
  </si>
  <si>
    <t>RangeUnitSetsY4</t>
  </si>
  <si>
    <t>OUSU-CONMNSP1</t>
  </si>
  <si>
    <t>OUSU-CONMNSP2</t>
  </si>
  <si>
    <t>OUSU-CONMNSP3</t>
  </si>
  <si>
    <t>OUSU-CONMNSP4</t>
  </si>
  <si>
    <t>OUSH-CONMNSP1</t>
  </si>
  <si>
    <t>OUSH-CONMNSP2</t>
  </si>
  <si>
    <t>OUSH-CONMNSP3</t>
  </si>
  <si>
    <t>OUSH-CONMNSP4</t>
  </si>
  <si>
    <t>Y4SP1</t>
  </si>
  <si>
    <t>BLDG4024</t>
  </si>
  <si>
    <t>Y4SP2</t>
  </si>
  <si>
    <t>BLDG4035</t>
  </si>
  <si>
    <t>Y4SP3</t>
  </si>
  <si>
    <t>Y4SP4</t>
  </si>
  <si>
    <t>BLDG4025</t>
  </si>
  <si>
    <t>BLDG4020</t>
  </si>
  <si>
    <t>BLDG4029</t>
  </si>
  <si>
    <t>BLDG4017</t>
  </si>
  <si>
    <t>BLDG4002</t>
  </si>
  <si>
    <t>BLDG4033</t>
  </si>
  <si>
    <t>BLDG4003</t>
  </si>
  <si>
    <t>-</t>
  </si>
  <si>
    <t>50CP Unit</t>
  </si>
  <si>
    <t>RangeSpecSets</t>
  </si>
  <si>
    <t>Spec1</t>
  </si>
  <si>
    <t>-3-</t>
  </si>
  <si>
    <t>AC-INARS</t>
  </si>
  <si>
    <t>Spec2</t>
  </si>
  <si>
    <t>GRDE1029</t>
  </si>
  <si>
    <t>INAR1011</t>
  </si>
  <si>
    <t>URDE1007</t>
  </si>
  <si>
    <t>Spec3</t>
  </si>
  <si>
    <t>GRDE1031</t>
  </si>
  <si>
    <t>INAR1015</t>
  </si>
  <si>
    <t>URDE1008</t>
  </si>
  <si>
    <t>Spec4</t>
  </si>
  <si>
    <t>GRDE2055</t>
  </si>
  <si>
    <t>AND</t>
  </si>
  <si>
    <t>PHGY3001</t>
  </si>
  <si>
    <t>Spec5</t>
  </si>
  <si>
    <t>-2-</t>
  </si>
  <si>
    <t>Spec6</t>
  </si>
  <si>
    <t>AC-ANGAD</t>
  </si>
  <si>
    <t>INAR2023</t>
  </si>
  <si>
    <t>AC-PLGEO</t>
  </si>
  <si>
    <t>Spec7</t>
  </si>
  <si>
    <t>GRDE3033</t>
  </si>
  <si>
    <t>INAR3021</t>
  </si>
  <si>
    <t>GEOG3002</t>
  </si>
  <si>
    <t>Spec8</t>
  </si>
  <si>
    <t>WORK3002</t>
  </si>
  <si>
    <t>Spec9</t>
  </si>
  <si>
    <t>Opt-INARS</t>
  </si>
  <si>
    <t>Spec10</t>
  </si>
  <si>
    <t>INAR2015</t>
  </si>
  <si>
    <t>Spec11</t>
  </si>
  <si>
    <t>INAR2025</t>
  </si>
  <si>
    <t>Spec12</t>
  </si>
  <si>
    <t>Spec13</t>
  </si>
  <si>
    <t>WORK3006</t>
  </si>
  <si>
    <t>Spec15</t>
  </si>
  <si>
    <t>Title</t>
  </si>
  <si>
    <t>Pre-reqs (7/11/2025)</t>
  </si>
  <si>
    <t>Please note this is a Double (50CP) subject</t>
  </si>
  <si>
    <t>--</t>
  </si>
  <si>
    <t>Not relevant to this study sequence</t>
  </si>
  <si>
    <t>Study both:</t>
  </si>
  <si>
    <t>Keep - header for SPEC table</t>
  </si>
  <si>
    <t>Study all three of:</t>
  </si>
  <si>
    <t>4th Year Stream</t>
  </si>
  <si>
    <t>Alternate Cores for OUSU-CONMN Construction Management Fourth Year Stream (OpenUnis)</t>
  </si>
  <si>
    <t>Study either DIG39 or WBP300</t>
  </si>
  <si>
    <t>Study either BIA140 or BIA170</t>
  </si>
  <si>
    <t>Study either GPH320 or WBP300</t>
  </si>
  <si>
    <t>BAS145</t>
  </si>
  <si>
    <t>Architecture and Interior Architecture Methods 1B - Digital Literacy</t>
  </si>
  <si>
    <t>Nil</t>
  </si>
  <si>
    <t>CME101</t>
  </si>
  <si>
    <t>Low Rise Construction</t>
  </si>
  <si>
    <t>CME106</t>
  </si>
  <si>
    <t>High-rise Construction</t>
  </si>
  <si>
    <t>CME104</t>
  </si>
  <si>
    <t>Structures</t>
  </si>
  <si>
    <t>CME103</t>
  </si>
  <si>
    <t>Introduction to Management in Construction</t>
  </si>
  <si>
    <t>CME180</t>
  </si>
  <si>
    <t>Building Construction Measurement</t>
  </si>
  <si>
    <t>CME190</t>
  </si>
  <si>
    <t>Health, Safety and Quality in the Built Environment</t>
  </si>
  <si>
    <t>CME204</t>
  </si>
  <si>
    <t>Building Services</t>
  </si>
  <si>
    <t>CME203</t>
  </si>
  <si>
    <t>Reordered - Sequencing - Must study after BLDG2021</t>
  </si>
  <si>
    <t>Specialised Construction</t>
  </si>
  <si>
    <t>Reordered - Sequencing - Must study before BLDG2016</t>
  </si>
  <si>
    <t>CME202</t>
  </si>
  <si>
    <t>Construction Plant and Equipment</t>
  </si>
  <si>
    <t>150CP</t>
  </si>
  <si>
    <t>CME206</t>
  </si>
  <si>
    <t>Building Surveying</t>
  </si>
  <si>
    <t>CME205</t>
  </si>
  <si>
    <t>Building Information Management and Modelling</t>
  </si>
  <si>
    <t>CME215</t>
  </si>
  <si>
    <t>Construction Estimating and Cost Planning</t>
  </si>
  <si>
    <t>CME180 or CME201</t>
  </si>
  <si>
    <t>CME307</t>
  </si>
  <si>
    <t>Cost Management</t>
  </si>
  <si>
    <t>CME215 or CME208</t>
  </si>
  <si>
    <t>CME306</t>
  </si>
  <si>
    <t>Construction Planning and Scheduling</t>
  </si>
  <si>
    <t>300CP + CME106</t>
  </si>
  <si>
    <t>Reordered - Sequencing - Must study before BLDG3033</t>
  </si>
  <si>
    <t>CME390</t>
  </si>
  <si>
    <t>Construction Contracts and Procurement</t>
  </si>
  <si>
    <t>350CP</t>
  </si>
  <si>
    <t>CME315</t>
  </si>
  <si>
    <t>Virtual Design and Construction</t>
  </si>
  <si>
    <t>CME205 + CME306</t>
  </si>
  <si>
    <t>Reordered - Sequencing - Must study after BLDG3029</t>
  </si>
  <si>
    <t>CME325</t>
  </si>
  <si>
    <t>Sustainable Construction Practices in Building and Infrastructure</t>
  </si>
  <si>
    <t>CME408</t>
  </si>
  <si>
    <t>Building Dissertation 1</t>
  </si>
  <si>
    <t>DBE300</t>
  </si>
  <si>
    <t>CME409</t>
  </si>
  <si>
    <t>Building Dissertation 2</t>
  </si>
  <si>
    <t>CME404</t>
  </si>
  <si>
    <t>Facilities and Asset Management</t>
  </si>
  <si>
    <t>500CP</t>
  </si>
  <si>
    <t>CME405</t>
  </si>
  <si>
    <t>Professional Practice in Construction</t>
  </si>
  <si>
    <t>600CP</t>
  </si>
  <si>
    <t>CME403</t>
  </si>
  <si>
    <t>Integrated Construction Project 1</t>
  </si>
  <si>
    <t>CME390 or CME303</t>
  </si>
  <si>
    <t>CME402</t>
  </si>
  <si>
    <t>Project Risk and Development Appraisal</t>
  </si>
  <si>
    <t>CME215 or CME308</t>
  </si>
  <si>
    <t>CME415</t>
  </si>
  <si>
    <t>Contract Administration</t>
  </si>
  <si>
    <t>CME390 or CME309</t>
  </si>
  <si>
    <t>CME417</t>
  </si>
  <si>
    <t>Integrated Construction Project 2</t>
  </si>
  <si>
    <t>CME425</t>
  </si>
  <si>
    <t>Engineering Measurement</t>
  </si>
  <si>
    <t>500CP + (CME180 or CME201)</t>
  </si>
  <si>
    <t>COMS1007.DE</t>
  </si>
  <si>
    <t>APC100</t>
  </si>
  <si>
    <t>Academic and Professional Communications</t>
  </si>
  <si>
    <t>Deactivating 31/12/2025</t>
  </si>
  <si>
    <t>Sustainability Communication and Action</t>
  </si>
  <si>
    <t>GPH320</t>
  </si>
  <si>
    <t>Urban Geographies</t>
  </si>
  <si>
    <t>GRDE1022.RE</t>
  </si>
  <si>
    <t>DIG10</t>
  </si>
  <si>
    <t>Game Design Introduction</t>
  </si>
  <si>
    <t>Removed for 2026</t>
  </si>
  <si>
    <t>Motion Design Studio</t>
  </si>
  <si>
    <t>Introduction to 3D Modelling</t>
  </si>
  <si>
    <t>GRDE2036.RE</t>
  </si>
  <si>
    <t>DIG230</t>
  </si>
  <si>
    <t>Introduction to 3D Modelling and Rendering</t>
  </si>
  <si>
    <t>DIG10 or DIG100</t>
  </si>
  <si>
    <t>GRDE2042.RE</t>
  </si>
  <si>
    <t>DIG28</t>
  </si>
  <si>
    <t>Animation and Motion Graphics Design</t>
  </si>
  <si>
    <t>3D Game and Level Design</t>
  </si>
  <si>
    <t>GRDE1029 or DIG271</t>
  </si>
  <si>
    <t>GRDE3033.PO</t>
  </si>
  <si>
    <t>DIG39</t>
  </si>
  <si>
    <t>Industry Project Development</t>
  </si>
  <si>
    <t>DIG31 or DIG371 or DIG38</t>
  </si>
  <si>
    <t>Emerging Digital Experience Studio</t>
  </si>
  <si>
    <t>200CP</t>
  </si>
  <si>
    <t>New Version</t>
  </si>
  <si>
    <t>BIA140</t>
  </si>
  <si>
    <t>Interior Architecture Studio - Foundation</t>
  </si>
  <si>
    <t>BIA170</t>
  </si>
  <si>
    <t>History of the Interior</t>
  </si>
  <si>
    <t>BIA250</t>
  </si>
  <si>
    <t>Interior Architecture Studio – Community</t>
  </si>
  <si>
    <t>BIA140 or BAS140</t>
  </si>
  <si>
    <t>BIA280</t>
  </si>
  <si>
    <t>Philosophy and Practice</t>
  </si>
  <si>
    <t>BIA290</t>
  </si>
  <si>
    <t>Design Fabrication</t>
  </si>
  <si>
    <t>BIA390</t>
  </si>
  <si>
    <t>Furniture Design</t>
  </si>
  <si>
    <t>Study one OPTION subject from:</t>
  </si>
  <si>
    <t/>
  </si>
  <si>
    <t>OSCU-ANGAD.PO</t>
  </si>
  <si>
    <t>Phasing Out</t>
  </si>
  <si>
    <t>GPH311</t>
  </si>
  <si>
    <t>Cultural Landscapes</t>
  </si>
  <si>
    <t>Study one subject from your chosen specialisation (see below)</t>
  </si>
  <si>
    <t>See below</t>
  </si>
  <si>
    <t>Specialisation</t>
  </si>
  <si>
    <t>Choose a Specialisation. You should enrol two units in Year 2 and two units in Year 3 of the selected specialisation</t>
  </si>
  <si>
    <t>URP100</t>
  </si>
  <si>
    <t>Governance for Planning</t>
  </si>
  <si>
    <t>URP110</t>
  </si>
  <si>
    <t>Introduction to Planning</t>
  </si>
  <si>
    <t>Design and Built Environment Research Methods</t>
  </si>
  <si>
    <t>WORK2002.RE</t>
  </si>
  <si>
    <t>WORK2002</t>
  </si>
  <si>
    <t>Changemakers Innovation Lab</t>
  </si>
  <si>
    <t>WORK2006.RE</t>
  </si>
  <si>
    <t>GOL200</t>
  </si>
  <si>
    <t>Changemakers Innovation Lab (with approval)</t>
  </si>
  <si>
    <t>Contact Course Coordinator</t>
  </si>
  <si>
    <t>WORK2007.RE</t>
  </si>
  <si>
    <t>GOL210</t>
  </si>
  <si>
    <t>Regional Industry Placement 2 (with approval)</t>
  </si>
  <si>
    <t>WBP300</t>
  </si>
  <si>
    <t>Work Based Project (with approval)</t>
  </si>
  <si>
    <t>Go Global - Internship 4 (with approval)</t>
  </si>
  <si>
    <t>OUA One Code unit</t>
  </si>
  <si>
    <t>WORK3009.RE</t>
  </si>
  <si>
    <t>GOG300</t>
  </si>
  <si>
    <t>Downloaded:</t>
  </si>
  <si>
    <t>V</t>
  </si>
  <si>
    <t>CPs</t>
  </si>
  <si>
    <t>No.</t>
  </si>
  <si>
    <t>Component Type</t>
  </si>
  <si>
    <t>Year Level</t>
  </si>
  <si>
    <t>Study Package Code</t>
  </si>
  <si>
    <t>Structure Line</t>
  </si>
  <si>
    <t>Effective</t>
  </si>
  <si>
    <t>Discont.</t>
  </si>
  <si>
    <t>Column1</t>
  </si>
  <si>
    <t>Column2</t>
  </si>
  <si>
    <t>Core</t>
  </si>
  <si>
    <t>NA</t>
  </si>
  <si>
    <t>ENST1002 Sustainability Communication and Action</t>
  </si>
  <si>
    <t>COMS1007</t>
  </si>
  <si>
    <t>BAS145 Architecture and Interior Architecture Methods 1B - Digital Literacy</t>
  </si>
  <si>
    <t>CME101 Low Rise Construction</t>
  </si>
  <si>
    <t>CME103 Introduction to Management in Construction</t>
  </si>
  <si>
    <t>CME104 Structures</t>
  </si>
  <si>
    <t>CME106 High-rise Construction</t>
  </si>
  <si>
    <t>CME180 Building Construction Measurement</t>
  </si>
  <si>
    <t>CME190 Health, Safety and Quality in the Built Environment</t>
  </si>
  <si>
    <t>CME202 Construction Plant and Equipment</t>
  </si>
  <si>
    <t>CME203 Specialised Construction</t>
  </si>
  <si>
    <t>CME204 Building Services</t>
  </si>
  <si>
    <t>CME205 Building Information Management and Modelling</t>
  </si>
  <si>
    <t>CME206 Building Surveying</t>
  </si>
  <si>
    <t>CME215 Construction Estimating and Cost Planning</t>
  </si>
  <si>
    <t>Option</t>
  </si>
  <si>
    <t>CME306 Construction Planning and Scheduling</t>
  </si>
  <si>
    <t>CME307 Cost Management</t>
  </si>
  <si>
    <t>CME315 Virtual Design and Construction</t>
  </si>
  <si>
    <t>CME325 Sustainable Construction Practices in Building and Infrastructure</t>
  </si>
  <si>
    <t>CME390 Construction Contracts and Procurement</t>
  </si>
  <si>
    <t>DBE300 Design and Built Environment Research Methods</t>
  </si>
  <si>
    <t>AltCore</t>
  </si>
  <si>
    <t>Choose a Specialisation. Student should enrol two units in Year 2 and two units in Year 3 of the selected specialisation</t>
  </si>
  <si>
    <t>Not Listed in SM</t>
  </si>
  <si>
    <t>CME408 Building Dissertation 1</t>
  </si>
  <si>
    <t>CME415 Contract Administration</t>
  </si>
  <si>
    <t>CME403 Integrated Construction Project 1</t>
  </si>
  <si>
    <t>CME402 Project Risk and Development Appraisal</t>
  </si>
  <si>
    <t>CME409 Building Dissertation 2</t>
  </si>
  <si>
    <t>CME404 Facilities and Asset Management</t>
  </si>
  <si>
    <t>CME425 Engineering Measurement</t>
  </si>
  <si>
    <t>CME405 Professional Practice in Construction</t>
  </si>
  <si>
    <t>CME417 Integrated Construction Project 2</t>
  </si>
  <si>
    <t>GRDE1029 Motion Design Studio</t>
  </si>
  <si>
    <t>GRDE1022</t>
  </si>
  <si>
    <t>GRDE1031 Introduction to 3D Modelling</t>
  </si>
  <si>
    <t>GRDE2036</t>
  </si>
  <si>
    <t>GRDE2055 3D Game and Level Design</t>
  </si>
  <si>
    <t>GRDE2042</t>
  </si>
  <si>
    <t>Choose GRDE3033 or WORK3002</t>
  </si>
  <si>
    <t>DIG39 Emerging Digital Experience Studio</t>
  </si>
  <si>
    <t>WBP300 Work Based Project</t>
  </si>
  <si>
    <t>BIA280 Philosophy and Practice</t>
  </si>
  <si>
    <t>BIA390 Furniture Design</t>
  </si>
  <si>
    <t>Choose INAR1011 BIA140 or INAR1015 BIA170</t>
  </si>
  <si>
    <t>Choose an Option</t>
  </si>
  <si>
    <t>BIA140 Interior Architecture Studio - Foundation</t>
  </si>
  <si>
    <t>BIA170 History of the Interior</t>
  </si>
  <si>
    <t>BIA250 Interior Architecture Studio – Community</t>
  </si>
  <si>
    <t>BIA290 Design Fabrication</t>
  </si>
  <si>
    <t>WORK2006</t>
  </si>
  <si>
    <t>Go Global - Internship 4</t>
  </si>
  <si>
    <t>WORK2007</t>
  </si>
  <si>
    <t>WORK3009</t>
  </si>
  <si>
    <t>URP110 Introduction to Planning</t>
  </si>
  <si>
    <t>URP100 Governance for Planning</t>
  </si>
  <si>
    <t>GPH311 Cultural Landscapes</t>
  </si>
  <si>
    <t>Choose WORK3002 or GEOG3002</t>
  </si>
  <si>
    <t>GPH320 Urban Geographies</t>
  </si>
  <si>
    <t>Row Labels</t>
  </si>
  <si>
    <t>OpenUnis SP 1</t>
  </si>
  <si>
    <t>OpenUnis SP 2</t>
  </si>
  <si>
    <t>OpenUnis SP 3</t>
  </si>
  <si>
    <t>OpenUnis SP 4</t>
  </si>
  <si>
    <t>Previous</t>
  </si>
  <si>
    <t>Phasing out. Pre Req - OB-CONMN students can't do Pre Reqs.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</si>
</sst>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i/>
      <sz val="8"/>
      <color rgb="FF000000"/>
      <name val="Arial"/>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b/>
      <sz val="10"/>
      <color theme="0"/>
      <name val="Arial"/>
      <family val="2"/>
    </font>
    <font>
      <i/>
      <sz val="10"/>
      <color theme="0" tint="-0.34998626667073579"/>
      <name val="Arial"/>
      <family val="2"/>
    </font>
    <font>
      <sz val="12"/>
      <color rgb="FFFF0000"/>
      <name val="Calibri"/>
      <family val="2"/>
      <scheme val="minor"/>
    </font>
    <font>
      <b/>
      <sz val="10"/>
      <color theme="0"/>
      <name val="Segoe UI"/>
      <family val="2"/>
    </font>
    <font>
      <b/>
      <i/>
      <sz val="12"/>
      <color theme="0"/>
      <name val="Segoe UI"/>
      <family val="2"/>
    </font>
    <font>
      <b/>
      <sz val="11"/>
      <color theme="8"/>
      <name val="Calibri"/>
      <family val="2"/>
      <scheme val="minor"/>
    </font>
    <font>
      <b/>
      <i/>
      <sz val="10"/>
      <color theme="0" tint="-0.34998626667073579"/>
      <name val="Arial"/>
      <family val="2"/>
    </font>
    <font>
      <b/>
      <sz val="9"/>
      <color rgb="FFFF0000"/>
      <name val="Segoe UI"/>
      <family val="2"/>
    </font>
    <font>
      <b/>
      <sz val="18"/>
      <color theme="1"/>
      <name val="Segoe UI"/>
      <family val="2"/>
    </font>
    <font>
      <b/>
      <u/>
      <sz val="9"/>
      <color theme="1"/>
      <name val="Segoe UI"/>
      <family val="2"/>
    </font>
    <font>
      <b/>
      <sz val="10"/>
      <name val="Segoe UI"/>
      <family val="2"/>
    </font>
    <font>
      <sz val="9"/>
      <color theme="0" tint="-0.499984740745262"/>
      <name val="Arial"/>
      <family val="2"/>
    </font>
    <font>
      <sz val="11"/>
      <color rgb="FF006100"/>
      <name val="Calibri"/>
      <family val="2"/>
      <scheme val="minor"/>
    </font>
    <font>
      <b/>
      <i/>
      <sz val="12"/>
      <color rgb="FF00B050"/>
      <name val="Calibri"/>
      <family val="2"/>
      <scheme val="minor"/>
    </font>
    <font>
      <sz val="12"/>
      <color rgb="FF00B050"/>
      <name val="Calibri"/>
      <family val="2"/>
      <scheme val="minor"/>
    </font>
    <font>
      <sz val="8"/>
      <name val="Calibri"/>
      <family val="2"/>
      <scheme val="minor"/>
    </font>
    <font>
      <b/>
      <i/>
      <sz val="12"/>
      <name val="Calibri"/>
      <family val="2"/>
      <scheme val="minor"/>
    </font>
    <font>
      <b/>
      <sz val="12"/>
      <name val="Calibri"/>
      <family val="2"/>
      <scheme val="minor"/>
    </font>
    <font>
      <b/>
      <i/>
      <sz val="12"/>
      <color rgb="FFFF0000"/>
      <name val="Calibri"/>
      <family val="2"/>
      <scheme val="minor"/>
    </font>
    <font>
      <sz val="10"/>
      <color rgb="FF00B050"/>
      <name val="Arial"/>
      <family val="2"/>
    </font>
    <font>
      <sz val="12"/>
      <color rgb="FF000000"/>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theme="1"/>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theme="0" tint="-4.9989318521683403E-2"/>
        <bgColor indexed="64"/>
      </patternFill>
    </fill>
    <fill>
      <patternFill patternType="solid">
        <fgColor rgb="FF92D050"/>
        <bgColor indexed="64"/>
      </patternFill>
    </fill>
    <fill>
      <patternFill patternType="solid">
        <fgColor theme="8" tint="0.79998168889431442"/>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top style="thin">
        <color theme="1"/>
      </top>
      <bottom/>
      <diagonal/>
    </border>
    <border>
      <left/>
      <right/>
      <top style="thin">
        <color theme="0" tint="-0.24994659260841701"/>
      </top>
      <bottom style="thin">
        <color theme="0" tint="-0.2499465926084170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9" fillId="15" borderId="0" applyNumberFormat="0" applyBorder="0" applyAlignment="0" applyProtection="0"/>
  </cellStyleXfs>
  <cellXfs count="250">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7" fillId="0" borderId="0" xfId="0" applyFont="1"/>
    <xf numFmtId="0" fontId="9" fillId="0" borderId="0" xfId="0" applyFont="1" applyAlignment="1">
      <alignment horizontal="left" vertical="center"/>
    </xf>
    <xf numFmtId="0" fontId="39" fillId="0" borderId="0" xfId="0" applyFont="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5" fillId="0" borderId="0" xfId="0" applyFont="1"/>
    <xf numFmtId="0" fontId="45" fillId="0" borderId="0" xfId="0" applyFont="1" applyAlignment="1">
      <alignment horizontal="center"/>
    </xf>
    <xf numFmtId="0" fontId="0" fillId="0" borderId="20" xfId="0" applyBorder="1" applyAlignment="1">
      <alignment horizontal="center"/>
    </xf>
    <xf numFmtId="14" fontId="6" fillId="0" borderId="0" xfId="0" applyNumberFormat="1" applyFont="1"/>
    <xf numFmtId="0" fontId="10" fillId="0" borderId="0" xfId="0" applyFont="1" applyAlignment="1">
      <alignment horizont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2" fillId="3" borderId="4" xfId="0" applyFont="1" applyFill="1" applyBorder="1" applyAlignment="1">
      <alignment horizontal="right" vertical="center"/>
    </xf>
    <xf numFmtId="0" fontId="2" fillId="3" borderId="6" xfId="0" applyFont="1" applyFill="1" applyBorder="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7" borderId="0" xfId="0" applyFont="1" applyFill="1" applyAlignment="1">
      <alignment horizontal="center" vertical="center"/>
    </xf>
    <xf numFmtId="0" fontId="46" fillId="0" borderId="0" xfId="0" applyFont="1"/>
    <xf numFmtId="0" fontId="10" fillId="0" borderId="21" xfId="0" applyFont="1" applyBorder="1"/>
    <xf numFmtId="0" fontId="47" fillId="9" borderId="0" xfId="0" applyFont="1" applyFill="1"/>
    <xf numFmtId="0" fontId="48" fillId="0" borderId="0" xfId="0" applyFont="1" applyAlignment="1">
      <alignment horizontal="right"/>
    </xf>
    <xf numFmtId="0" fontId="49" fillId="0" borderId="0" xfId="0" applyFont="1"/>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3" fillId="0" borderId="8" xfId="0" applyFont="1" applyBorder="1" applyAlignment="1">
      <alignment horizontal="center" vertical="center"/>
    </xf>
    <xf numFmtId="0" fontId="9" fillId="0" borderId="0" xfId="0" applyFont="1" applyAlignment="1">
      <alignment horizontal="center" vertical="center"/>
    </xf>
    <xf numFmtId="0" fontId="4" fillId="10" borderId="8" xfId="0" applyFont="1" applyFill="1" applyBorder="1" applyAlignment="1">
      <alignment horizontal="center" vertical="center"/>
    </xf>
    <xf numFmtId="0" fontId="29" fillId="12" borderId="0" xfId="2" applyFont="1" applyFill="1" applyAlignment="1" applyProtection="1">
      <alignment vertical="center"/>
    </xf>
    <xf numFmtId="0" fontId="28" fillId="12" borderId="0" xfId="2" applyFill="1" applyAlignment="1" applyProtection="1">
      <alignment vertical="center"/>
    </xf>
    <xf numFmtId="0" fontId="28" fillId="12" borderId="0" xfId="2" applyFill="1" applyAlignment="1" applyProtection="1">
      <alignment horizontal="center" vertical="center"/>
    </xf>
    <xf numFmtId="0" fontId="44" fillId="2" borderId="0" xfId="1" applyFont="1" applyFill="1" applyAlignment="1" applyProtection="1">
      <alignment vertical="center"/>
      <protection locked="0"/>
    </xf>
    <xf numFmtId="0" fontId="44" fillId="4" borderId="0" xfId="1" applyFont="1" applyFill="1" applyAlignment="1" applyProtection="1">
      <alignment vertical="center"/>
      <protection locked="0"/>
    </xf>
    <xf numFmtId="0" fontId="20" fillId="2" borderId="0" xfId="1" applyFont="1" applyFill="1" applyAlignment="1" applyProtection="1">
      <alignment vertical="center"/>
      <protection locked="0"/>
    </xf>
    <xf numFmtId="0" fontId="0" fillId="0" borderId="0" xfId="0" applyAlignment="1">
      <alignment horizontal="left" textRotation="90"/>
    </xf>
    <xf numFmtId="0" fontId="53" fillId="0" borderId="0" xfId="0" applyFont="1" applyAlignment="1">
      <alignment horizontal="left"/>
    </xf>
    <xf numFmtId="0" fontId="53" fillId="0" borderId="0" xfId="0" applyFont="1" applyAlignment="1">
      <alignment horizontal="right"/>
    </xf>
    <xf numFmtId="14" fontId="46" fillId="0" borderId="0" xfId="0" applyNumberFormat="1" applyFont="1"/>
    <xf numFmtId="0" fontId="58" fillId="0" borderId="0" xfId="0" applyFont="1" applyAlignment="1">
      <alignment horizontal="center" vertical="center"/>
    </xf>
    <xf numFmtId="0" fontId="0" fillId="4" borderId="0" xfId="0" applyFill="1" applyAlignment="1">
      <alignment horizontal="center"/>
    </xf>
    <xf numFmtId="0" fontId="0" fillId="14" borderId="0" xfId="0" applyFill="1" applyAlignment="1">
      <alignment horizontal="center"/>
    </xf>
    <xf numFmtId="0" fontId="0" fillId="0" borderId="0" xfId="0" applyAlignment="1">
      <alignment horizontal="left"/>
    </xf>
    <xf numFmtId="0" fontId="0" fillId="0" borderId="0" xfId="0" applyAlignment="1">
      <alignment wrapText="1"/>
    </xf>
    <xf numFmtId="0" fontId="0" fillId="0" borderId="0" xfId="0" quotePrefix="1"/>
    <xf numFmtId="0" fontId="4" fillId="0" borderId="8" xfId="0" quotePrefix="1" applyFont="1" applyBorder="1" applyAlignment="1">
      <alignment horizontal="center" vertical="center"/>
    </xf>
    <xf numFmtId="0" fontId="4" fillId="0" borderId="5" xfId="0" quotePrefix="1" applyFont="1" applyBorder="1" applyAlignment="1">
      <alignment horizontal="center" vertical="center"/>
    </xf>
    <xf numFmtId="0" fontId="4" fillId="0" borderId="6" xfId="0" quotePrefix="1" applyFont="1" applyBorder="1" applyAlignment="1">
      <alignment horizontal="center" vertical="center"/>
    </xf>
    <xf numFmtId="14" fontId="0" fillId="0" borderId="0" xfId="0" applyNumberFormat="1"/>
    <xf numFmtId="14" fontId="59" fillId="15" borderId="0" xfId="3" applyNumberFormat="1" applyAlignment="1">
      <alignment horizontal="center"/>
    </xf>
    <xf numFmtId="14" fontId="60" fillId="0" borderId="0" xfId="0" applyNumberFormat="1" applyFont="1"/>
    <xf numFmtId="0" fontId="49" fillId="0" borderId="0" xfId="0" applyFont="1" applyAlignment="1">
      <alignment wrapText="1"/>
    </xf>
    <xf numFmtId="0" fontId="61" fillId="5" borderId="0" xfId="0" applyFont="1" applyFill="1"/>
    <xf numFmtId="0" fontId="49" fillId="8" borderId="0" xfId="0" applyFont="1" applyFill="1" applyAlignment="1">
      <alignment wrapText="1"/>
    </xf>
    <xf numFmtId="0" fontId="2" fillId="3" borderId="30" xfId="0" applyFont="1" applyFill="1" applyBorder="1" applyAlignment="1">
      <alignment horizontal="right" vertical="center"/>
    </xf>
    <xf numFmtId="0" fontId="2" fillId="3" borderId="31" xfId="0" applyFont="1" applyFill="1" applyBorder="1" applyAlignment="1">
      <alignment horizontal="right"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3" fillId="0" borderId="34" xfId="0" applyFont="1" applyBorder="1" applyAlignment="1">
      <alignment horizontal="center" vertical="center"/>
    </xf>
    <xf numFmtId="0" fontId="4" fillId="0" borderId="35" xfId="0" applyFont="1" applyBorder="1" applyAlignment="1">
      <alignment horizontal="center" vertical="center"/>
    </xf>
    <xf numFmtId="0" fontId="3"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3" fillId="0" borderId="40" xfId="0" applyFont="1" applyBorder="1" applyAlignment="1">
      <alignment horizontal="center" vertical="center"/>
    </xf>
    <xf numFmtId="0" fontId="4" fillId="0" borderId="41" xfId="0" applyFont="1" applyBorder="1" applyAlignment="1">
      <alignment horizontal="center" vertical="center"/>
    </xf>
    <xf numFmtId="0" fontId="3" fillId="0" borderId="42" xfId="0" applyFont="1" applyBorder="1" applyAlignment="1">
      <alignment horizontal="center" vertical="center"/>
    </xf>
    <xf numFmtId="0" fontId="2" fillId="3" borderId="30" xfId="0" applyFont="1" applyFill="1" applyBorder="1" applyAlignment="1">
      <alignment horizontal="right" vertical="center" wrapText="1"/>
    </xf>
    <xf numFmtId="0" fontId="2" fillId="3" borderId="31" xfId="0" applyFont="1" applyFill="1" applyBorder="1" applyAlignment="1">
      <alignment horizontal="right" vertical="center" wrapText="1"/>
    </xf>
    <xf numFmtId="0" fontId="2" fillId="3" borderId="32"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4" fillId="10" borderId="37" xfId="0" applyFont="1" applyFill="1" applyBorder="1" applyAlignment="1">
      <alignment horizontal="center" vertical="center"/>
    </xf>
    <xf numFmtId="0" fontId="3" fillId="10" borderId="40" xfId="0" applyFont="1" applyFill="1" applyBorder="1" applyAlignment="1">
      <alignment horizontal="center" vertical="center"/>
    </xf>
    <xf numFmtId="0" fontId="3" fillId="10" borderId="42" xfId="0" applyFont="1" applyFill="1" applyBorder="1" applyAlignment="1">
      <alignment horizontal="center" vertical="center"/>
    </xf>
    <xf numFmtId="0" fontId="2" fillId="3" borderId="43" xfId="0" applyFont="1" applyFill="1" applyBorder="1" applyAlignment="1">
      <alignment horizontal="right" vertical="center" wrapText="1"/>
    </xf>
    <xf numFmtId="0" fontId="22" fillId="2" borderId="18" xfId="1" applyFont="1" applyFill="1" applyBorder="1" applyAlignment="1" applyProtection="1">
      <alignment horizontal="center" vertical="center" wrapText="1"/>
      <protection locked="0"/>
    </xf>
    <xf numFmtId="0" fontId="22" fillId="13" borderId="15"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8" fillId="0" borderId="0" xfId="0" applyFont="1" applyAlignment="1">
      <alignment horizontal="center"/>
    </xf>
    <xf numFmtId="0" fontId="8" fillId="0" borderId="21" xfId="0" applyFont="1" applyBorder="1" applyAlignment="1">
      <alignment horizontal="center"/>
    </xf>
    <xf numFmtId="0" fontId="63" fillId="0" borderId="0" xfId="0" applyFont="1" applyAlignment="1">
      <alignment horizontal="left"/>
    </xf>
    <xf numFmtId="0" fontId="63" fillId="0" borderId="0" xfId="0" applyFont="1" applyAlignment="1">
      <alignment horizontal="center"/>
    </xf>
    <xf numFmtId="0" fontId="64" fillId="0" borderId="0" xfId="0" applyFont="1" applyAlignment="1">
      <alignment horizontal="right"/>
    </xf>
    <xf numFmtId="14" fontId="64" fillId="0" borderId="0" xfId="0" applyNumberFormat="1" applyFont="1" applyAlignment="1">
      <alignment horizontal="left"/>
    </xf>
    <xf numFmtId="0" fontId="8" fillId="17" borderId="0" xfId="0" applyFont="1" applyFill="1" applyAlignment="1">
      <alignment horizontal="center"/>
    </xf>
    <xf numFmtId="14" fontId="8" fillId="17" borderId="0" xfId="0" applyNumberFormat="1" applyFont="1" applyFill="1" applyAlignment="1">
      <alignment horizontal="center"/>
    </xf>
    <xf numFmtId="0" fontId="8" fillId="0" borderId="0" xfId="0" applyFont="1" applyAlignment="1">
      <alignment horizontal="left"/>
    </xf>
    <xf numFmtId="14" fontId="64" fillId="0" borderId="0" xfId="0" applyNumberFormat="1" applyFont="1" applyAlignment="1">
      <alignment horizontal="center"/>
    </xf>
    <xf numFmtId="0" fontId="46" fillId="0" borderId="0" xfId="0" applyFont="1" applyAlignment="1">
      <alignment horizontal="center"/>
    </xf>
    <xf numFmtId="0" fontId="0" fillId="18" borderId="0" xfId="0" applyFill="1"/>
    <xf numFmtId="14" fontId="63" fillId="17" borderId="0" xfId="0" applyNumberFormat="1" applyFont="1" applyFill="1"/>
    <xf numFmtId="0" fontId="63" fillId="17" borderId="0" xfId="0" applyFont="1" applyFill="1" applyAlignment="1">
      <alignment horizontal="center"/>
    </xf>
    <xf numFmtId="0" fontId="66" fillId="0" borderId="0" xfId="0" applyFont="1" applyAlignment="1">
      <alignment horizontal="center" wrapText="1"/>
    </xf>
    <xf numFmtId="0" fontId="66" fillId="0" borderId="0" xfId="0" applyFont="1" applyAlignment="1">
      <alignment horizontal="center"/>
    </xf>
    <xf numFmtId="0" fontId="66" fillId="0" borderId="21" xfId="0" applyFont="1" applyBorder="1" applyAlignment="1">
      <alignment horizontal="center"/>
    </xf>
    <xf numFmtId="14" fontId="66" fillId="0" borderId="0" xfId="0" applyNumberFormat="1" applyFont="1" applyAlignment="1">
      <alignment horizontal="center"/>
    </xf>
    <xf numFmtId="14" fontId="66" fillId="0" borderId="21" xfId="0" applyNumberFormat="1" applyFont="1" applyBorder="1" applyAlignment="1">
      <alignment horizontal="center"/>
    </xf>
    <xf numFmtId="0" fontId="63" fillId="0" borderId="0" xfId="0" applyFont="1"/>
    <xf numFmtId="0" fontId="64" fillId="0" borderId="0" xfId="0" applyFont="1"/>
    <xf numFmtId="14" fontId="65" fillId="0" borderId="0" xfId="0" applyNumberFormat="1" applyFont="1" applyAlignment="1">
      <alignment horizontal="right"/>
    </xf>
    <xf numFmtId="14" fontId="0" fillId="0" borderId="0" xfId="0" applyNumberFormat="1" applyAlignment="1">
      <alignment horizontal="center"/>
    </xf>
    <xf numFmtId="0" fontId="46" fillId="5" borderId="0" xfId="0" applyFont="1" applyFill="1"/>
    <xf numFmtId="0" fontId="46" fillId="0" borderId="0" xfId="0" applyFont="1" applyAlignment="1">
      <alignment wrapText="1"/>
    </xf>
    <xf numFmtId="0" fontId="0" fillId="8" borderId="0" xfId="0" applyFill="1" applyAlignment="1">
      <alignment horizontal="center"/>
    </xf>
    <xf numFmtId="14" fontId="0" fillId="8" borderId="0" xfId="0" applyNumberFormat="1" applyFill="1" applyAlignment="1">
      <alignment horizontal="center"/>
    </xf>
    <xf numFmtId="0" fontId="9" fillId="8" borderId="8" xfId="0" applyFont="1" applyFill="1" applyBorder="1" applyAlignment="1">
      <alignment horizontal="center" vertical="center"/>
    </xf>
    <xf numFmtId="0" fontId="9" fillId="8" borderId="37" xfId="0" applyFont="1" applyFill="1" applyBorder="1" applyAlignment="1">
      <alignment horizontal="center" vertical="center"/>
    </xf>
    <xf numFmtId="0" fontId="9" fillId="8" borderId="0" xfId="0" applyFont="1" applyFill="1" applyAlignment="1">
      <alignment horizontal="center" vertical="center"/>
    </xf>
    <xf numFmtId="0" fontId="49" fillId="8" borderId="0" xfId="0" applyFont="1" applyFill="1"/>
    <xf numFmtId="0" fontId="3" fillId="0" borderId="35" xfId="0" applyFont="1" applyBorder="1" applyAlignment="1">
      <alignment horizontal="center" vertical="center"/>
    </xf>
    <xf numFmtId="0" fontId="67" fillId="0" borderId="0" xfId="0" applyFont="1"/>
    <xf numFmtId="0" fontId="18" fillId="0" borderId="12" xfId="1" applyFont="1" applyBorder="1" applyAlignment="1" applyProtection="1">
      <alignment horizontal="center"/>
    </xf>
    <xf numFmtId="0" fontId="18" fillId="0" borderId="13" xfId="1" applyFont="1" applyBorder="1" applyAlignment="1" applyProtection="1">
      <alignment horizontal="center"/>
    </xf>
    <xf numFmtId="0" fontId="18" fillId="0" borderId="13" xfId="1" applyFont="1" applyBorder="1" applyProtection="1"/>
    <xf numFmtId="0" fontId="18" fillId="0" borderId="14" xfId="1" applyFont="1" applyBorder="1" applyProtection="1"/>
    <xf numFmtId="0" fontId="1" fillId="0" borderId="0" xfId="1" applyProtection="1"/>
    <xf numFmtId="0" fontId="9" fillId="0" borderId="0" xfId="1" applyFont="1" applyAlignment="1" applyProtection="1">
      <alignment horizontal="center"/>
    </xf>
    <xf numFmtId="0" fontId="40" fillId="11" borderId="0" xfId="1" applyFont="1" applyFill="1" applyAlignment="1" applyProtection="1">
      <alignment horizontal="left" vertical="center" wrapText="1"/>
    </xf>
    <xf numFmtId="0" fontId="40" fillId="11" borderId="0" xfId="1" applyFont="1" applyFill="1" applyAlignment="1" applyProtection="1">
      <alignment vertical="center" wrapText="1"/>
    </xf>
    <xf numFmtId="0" fontId="0" fillId="0" borderId="0" xfId="0" applyProtection="1"/>
    <xf numFmtId="0" fontId="55" fillId="13" borderId="22" xfId="1" applyFont="1" applyFill="1" applyBorder="1" applyAlignment="1" applyProtection="1">
      <alignment vertical="center"/>
    </xf>
    <xf numFmtId="0" fontId="19" fillId="13" borderId="22" xfId="1" applyFont="1" applyFill="1" applyBorder="1" applyAlignment="1" applyProtection="1">
      <alignment vertical="center"/>
    </xf>
    <xf numFmtId="0" fontId="55" fillId="13" borderId="22" xfId="1" applyFont="1" applyFill="1" applyBorder="1" applyAlignment="1" applyProtection="1">
      <alignment horizontal="center" vertical="center"/>
    </xf>
    <xf numFmtId="0" fontId="43" fillId="13" borderId="22" xfId="1" applyFont="1" applyFill="1" applyBorder="1" applyAlignment="1" applyProtection="1">
      <alignment vertical="center"/>
    </xf>
    <xf numFmtId="0" fontId="1" fillId="0" borderId="22" xfId="1" applyBorder="1" applyAlignment="1" applyProtection="1">
      <alignment horizontal="center"/>
    </xf>
    <xf numFmtId="0" fontId="56" fillId="2" borderId="22" xfId="1" applyFont="1" applyFill="1" applyBorder="1" applyAlignment="1" applyProtection="1">
      <alignment horizontal="right" vertical="center" indent="1"/>
    </xf>
    <xf numFmtId="0" fontId="56" fillId="2" borderId="22" xfId="1" applyFont="1" applyFill="1" applyBorder="1" applyAlignment="1" applyProtection="1">
      <alignment horizontal="righ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57" fillId="2" borderId="0" xfId="1" applyFont="1" applyFill="1" applyAlignment="1" applyProtection="1">
      <alignment vertical="center"/>
    </xf>
    <xf numFmtId="0" fontId="20" fillId="2" borderId="0" xfId="1" applyFont="1" applyFill="1" applyAlignment="1" applyProtection="1">
      <alignment vertical="center"/>
    </xf>
    <xf numFmtId="14" fontId="38"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0" fillId="16" borderId="1" xfId="1" applyFont="1" applyFill="1" applyBorder="1" applyAlignment="1" applyProtection="1">
      <alignment horizontal="right" vertical="center"/>
    </xf>
    <xf numFmtId="0" fontId="20" fillId="16" borderId="3" xfId="1" applyFont="1" applyFill="1" applyBorder="1" applyAlignment="1" applyProtection="1">
      <alignment horizontal="left" vertical="center" indent="1"/>
    </xf>
    <xf numFmtId="0" fontId="22" fillId="16" borderId="3" xfId="1" applyFont="1" applyFill="1" applyBorder="1" applyAlignment="1" applyProtection="1">
      <alignment horizontal="right" vertical="center" indent="1"/>
    </xf>
    <xf numFmtId="0" fontId="20" fillId="16" borderId="3" xfId="1" applyFont="1" applyFill="1" applyBorder="1" applyAlignment="1" applyProtection="1">
      <alignment vertical="center"/>
    </xf>
    <xf numFmtId="0" fontId="22" fillId="16" borderId="3" xfId="1" applyFont="1" applyFill="1" applyBorder="1" applyAlignment="1" applyProtection="1">
      <alignment horizontal="left" vertical="center" wrapText="1"/>
    </xf>
    <xf numFmtId="0" fontId="22" fillId="16" borderId="3" xfId="1" applyFont="1" applyFill="1" applyBorder="1" applyAlignment="1" applyProtection="1">
      <alignment vertical="top" wrapText="1"/>
    </xf>
    <xf numFmtId="14" fontId="54" fillId="16" borderId="2" xfId="1" applyNumberFormat="1" applyFont="1" applyFill="1" applyBorder="1" applyAlignment="1" applyProtection="1">
      <alignment horizontal="right" vertical="center"/>
    </xf>
    <xf numFmtId="0" fontId="23" fillId="11" borderId="0" xfId="1" applyFont="1" applyFill="1" applyAlignment="1" applyProtection="1">
      <alignment horizontal="center" vertical="center"/>
    </xf>
    <xf numFmtId="0" fontId="23" fillId="11" borderId="0" xfId="1" applyFont="1" applyFill="1" applyAlignment="1" applyProtection="1">
      <alignment horizontal="left" vertical="center" indent="1"/>
    </xf>
    <xf numFmtId="0" fontId="23" fillId="11" borderId="0" xfId="1" applyFont="1" applyFill="1" applyAlignment="1" applyProtection="1">
      <alignment vertical="center"/>
    </xf>
    <xf numFmtId="0" fontId="23" fillId="11" borderId="19" xfId="1" applyFont="1" applyFill="1" applyBorder="1" applyAlignment="1" applyProtection="1">
      <alignment horizontal="left" vertical="center"/>
    </xf>
    <xf numFmtId="0" fontId="23" fillId="11" borderId="0" xfId="1" applyFont="1" applyFill="1" applyAlignment="1" applyProtection="1">
      <alignment horizontal="left" vertical="center"/>
    </xf>
    <xf numFmtId="0" fontId="23" fillId="11" borderId="15"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1" borderId="0" xfId="1" applyFont="1" applyFill="1" applyAlignment="1" applyProtection="1">
      <alignment horizontal="center" vertical="center" wrapText="1"/>
    </xf>
    <xf numFmtId="0" fontId="23" fillId="11" borderId="0" xfId="1" applyFont="1" applyFill="1" applyAlignment="1" applyProtection="1">
      <alignment horizontal="center" vertical="center" shrinkToFit="1"/>
    </xf>
    <xf numFmtId="0" fontId="23" fillId="11" borderId="23" xfId="1" applyFont="1" applyFill="1" applyBorder="1" applyAlignment="1" applyProtection="1">
      <alignment horizontal="center" vertical="center" wrapText="1"/>
    </xf>
    <xf numFmtId="0" fontId="23" fillId="11" borderId="24" xfId="1" applyFont="1" applyFill="1" applyBorder="1" applyAlignment="1" applyProtection="1">
      <alignment horizontal="center" vertical="center" wrapText="1"/>
    </xf>
    <xf numFmtId="0" fontId="23" fillId="11" borderId="25"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shrinkToFit="1"/>
    </xf>
    <xf numFmtId="0" fontId="22" fillId="2" borderId="26"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3" borderId="14" xfId="1" applyFont="1" applyFill="1" applyBorder="1" applyAlignment="1" applyProtection="1">
      <alignment horizontal="center" vertical="center" wrapText="1"/>
    </xf>
    <xf numFmtId="0" fontId="22" fillId="13" borderId="0" xfId="1" applyFont="1" applyFill="1" applyAlignment="1" applyProtection="1">
      <alignment horizontal="center" vertical="center" wrapText="1"/>
    </xf>
    <xf numFmtId="0" fontId="22" fillId="13" borderId="0" xfId="1" applyFont="1" applyFill="1" applyAlignment="1" applyProtection="1">
      <alignment vertical="center" wrapText="1"/>
    </xf>
    <xf numFmtId="0" fontId="25" fillId="13" borderId="0" xfId="1" applyFont="1" applyFill="1" applyAlignment="1" applyProtection="1">
      <alignment horizontal="left" vertical="center" shrinkToFit="1"/>
    </xf>
    <xf numFmtId="0" fontId="22" fillId="13" borderId="23" xfId="1" applyFont="1" applyFill="1" applyBorder="1" applyAlignment="1" applyProtection="1">
      <alignment horizontal="center" vertical="center" wrapText="1"/>
    </xf>
    <xf numFmtId="0" fontId="22" fillId="13" borderId="24" xfId="1" applyFont="1" applyFill="1" applyBorder="1" applyAlignment="1" applyProtection="1">
      <alignment horizontal="center" vertical="center" wrapText="1"/>
    </xf>
    <xf numFmtId="0" fontId="22" fillId="13" borderId="25"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6"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4" fillId="2" borderId="0" xfId="1" applyFont="1" applyFill="1" applyAlignment="1" applyProtection="1">
      <alignment horizontal="center" vertical="center"/>
    </xf>
    <xf numFmtId="0" fontId="22" fillId="0" borderId="17" xfId="1" applyFont="1" applyBorder="1" applyAlignment="1" applyProtection="1">
      <alignment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4" fillId="2" borderId="0" xfId="1" applyFont="1" applyFill="1" applyAlignment="1" applyProtection="1">
      <alignment horizontal="center" vertical="center" wrapText="1"/>
    </xf>
    <xf numFmtId="0" fontId="35" fillId="2" borderId="0" xfId="1" applyFont="1" applyFill="1" applyAlignment="1" applyProtection="1">
      <alignment vertical="center" shrinkToFit="1"/>
    </xf>
    <xf numFmtId="0" fontId="35" fillId="2" borderId="0" xfId="1" applyFont="1" applyFill="1" applyAlignment="1" applyProtection="1">
      <alignment vertical="center"/>
    </xf>
    <xf numFmtId="0" fontId="36" fillId="2" borderId="0" xfId="1" applyFont="1" applyFill="1" applyAlignment="1" applyProtection="1">
      <alignment horizontal="center" vertical="center"/>
    </xf>
    <xf numFmtId="0" fontId="36" fillId="2" borderId="0" xfId="1" applyFont="1" applyFill="1" applyProtection="1"/>
    <xf numFmtId="0" fontId="12" fillId="2" borderId="0" xfId="1" applyFont="1" applyFill="1" applyProtection="1"/>
    <xf numFmtId="0" fontId="51" fillId="11" borderId="0" xfId="1" applyFont="1" applyFill="1" applyAlignment="1" applyProtection="1">
      <alignment horizontal="left" vertical="center" readingOrder="1"/>
    </xf>
    <xf numFmtId="0" fontId="38" fillId="11" borderId="0" xfId="1" applyFont="1" applyFill="1" applyAlignment="1" applyProtection="1">
      <alignment horizontal="left" vertical="center" readingOrder="1"/>
    </xf>
    <xf numFmtId="0" fontId="21" fillId="11" borderId="0" xfId="1" applyFont="1" applyFill="1" applyAlignment="1" applyProtection="1">
      <alignment horizontal="left" vertical="center" readingOrder="1"/>
    </xf>
    <xf numFmtId="0" fontId="42" fillId="11" borderId="0" xfId="1" applyFont="1" applyFill="1" applyAlignment="1" applyProtection="1">
      <alignment horizontal="center" vertical="center"/>
    </xf>
    <xf numFmtId="0" fontId="42" fillId="11" borderId="0" xfId="1" applyFont="1" applyFill="1" applyAlignment="1" applyProtection="1">
      <alignment horizontal="center" vertical="center" shrinkToFit="1"/>
    </xf>
    <xf numFmtId="0" fontId="42" fillId="11" borderId="0" xfId="1" applyFont="1" applyFill="1" applyAlignment="1" applyProtection="1">
      <alignment horizontal="center" vertical="center" readingOrder="1"/>
    </xf>
    <xf numFmtId="0" fontId="23" fillId="11" borderId="19" xfId="1" applyFont="1" applyFill="1" applyBorder="1" applyAlignment="1" applyProtection="1">
      <alignment vertical="center" readingOrder="1"/>
    </xf>
    <xf numFmtId="0" fontId="23" fillId="11" borderId="0" xfId="1" applyFont="1" applyFill="1" applyAlignment="1" applyProtection="1">
      <alignment vertical="center" readingOrder="1"/>
    </xf>
    <xf numFmtId="0" fontId="42" fillId="11" borderId="0" xfId="1" applyFont="1" applyFill="1" applyAlignment="1" applyProtection="1">
      <alignment vertical="center" readingOrder="1"/>
    </xf>
    <xf numFmtId="0" fontId="42" fillId="11" borderId="15" xfId="1" applyFont="1" applyFill="1" applyBorder="1" applyAlignment="1" applyProtection="1">
      <alignment vertical="center" readingOrder="1"/>
    </xf>
    <xf numFmtId="0" fontId="52" fillId="11" borderId="0" xfId="1" applyFont="1" applyFill="1" applyAlignment="1" applyProtection="1">
      <alignment horizontal="right" vertical="center"/>
    </xf>
    <xf numFmtId="0" fontId="1" fillId="0" borderId="0" xfId="1" applyAlignment="1" applyProtection="1">
      <alignment horizontal="center" vertical="center"/>
    </xf>
    <xf numFmtId="0" fontId="50" fillId="11" borderId="0" xfId="1" applyFont="1" applyFill="1" applyAlignment="1" applyProtection="1">
      <alignment horizontal="left" vertical="center"/>
    </xf>
    <xf numFmtId="0" fontId="38" fillId="11" borderId="0" xfId="1" applyFont="1" applyFill="1" applyAlignment="1" applyProtection="1">
      <alignment horizontal="left" vertical="center"/>
    </xf>
    <xf numFmtId="0" fontId="38" fillId="11" borderId="0" xfId="1" applyFont="1" applyFill="1" applyAlignment="1" applyProtection="1">
      <alignment horizontal="center" vertical="center"/>
    </xf>
    <xf numFmtId="0" fontId="23" fillId="11" borderId="29" xfId="1" applyFont="1" applyFill="1" applyBorder="1" applyAlignment="1" applyProtection="1">
      <alignment horizontal="center" vertical="center" wrapText="1"/>
    </xf>
    <xf numFmtId="0" fontId="1" fillId="0" borderId="0" xfId="1" applyAlignment="1" applyProtection="1">
      <alignment horizontal="center" vertical="top"/>
    </xf>
    <xf numFmtId="0" fontId="37" fillId="0" borderId="16" xfId="1" applyFont="1" applyBorder="1" applyAlignment="1" applyProtection="1">
      <alignment horizontal="left" vertical="center"/>
    </xf>
    <xf numFmtId="0" fontId="37" fillId="0" borderId="17" xfId="1" applyFont="1" applyBorder="1" applyAlignment="1" applyProtection="1">
      <alignment horizontal="center" vertical="center"/>
    </xf>
    <xf numFmtId="0" fontId="37" fillId="0" borderId="17" xfId="1" applyFont="1" applyBorder="1" applyAlignment="1" applyProtection="1">
      <alignment vertical="center"/>
    </xf>
    <xf numFmtId="0" fontId="37" fillId="0" borderId="17" xfId="1" applyFont="1" applyBorder="1" applyAlignment="1" applyProtection="1">
      <alignment horizontal="center" vertical="center" wrapText="1"/>
    </xf>
    <xf numFmtId="0" fontId="22" fillId="2" borderId="26" xfId="1" applyFont="1" applyFill="1" applyBorder="1" applyAlignment="1" applyProtection="1">
      <alignment horizontal="center" vertical="center"/>
    </xf>
    <xf numFmtId="0" fontId="22" fillId="2" borderId="27" xfId="1" applyFont="1" applyFill="1" applyBorder="1" applyAlignment="1" applyProtection="1">
      <alignment horizontal="center" vertical="center"/>
    </xf>
    <xf numFmtId="0" fontId="22" fillId="2" borderId="28" xfId="1" applyFont="1" applyFill="1" applyBorder="1" applyAlignment="1" applyProtection="1">
      <alignment horizontal="center" vertical="center"/>
    </xf>
    <xf numFmtId="0" fontId="37" fillId="0" borderId="0" xfId="1" applyFont="1" applyAlignment="1" applyProtection="1">
      <alignment horizontal="left" vertical="center"/>
    </xf>
    <xf numFmtId="0" fontId="37" fillId="0" borderId="0" xfId="1" applyFont="1" applyAlignment="1" applyProtection="1">
      <alignment vertical="center"/>
    </xf>
    <xf numFmtId="0" fontId="37" fillId="0" borderId="0" xfId="1" applyFont="1" applyAlignment="1" applyProtection="1">
      <alignment horizontal="center" vertical="center" wrapText="1"/>
    </xf>
    <xf numFmtId="0" fontId="25" fillId="2" borderId="0" xfId="1" applyFont="1" applyFill="1" applyAlignment="1" applyProtection="1">
      <alignment horizontal="center" vertical="center" wrapText="1"/>
    </xf>
    <xf numFmtId="0" fontId="22" fillId="2" borderId="0" xfId="1" applyFont="1" applyFill="1" applyAlignment="1" applyProtection="1">
      <alignment horizontal="center" vertical="center"/>
    </xf>
    <xf numFmtId="0" fontId="22" fillId="0" borderId="0" xfId="1" applyFont="1" applyAlignment="1" applyProtection="1">
      <alignment horizontal="left" vertical="center" wrapText="1"/>
    </xf>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57" fillId="6" borderId="22" xfId="1" applyFont="1" applyFill="1" applyBorder="1" applyAlignment="1" applyProtection="1">
      <alignment horizontal="center" vertical="center"/>
      <protection locked="0"/>
    </xf>
  </cellXfs>
  <cellStyles count="4">
    <cellStyle name="Good" xfId="3" builtinId="26"/>
    <cellStyle name="Hyperlink" xfId="2" builtinId="8"/>
    <cellStyle name="Normal" xfId="0" builtinId="0"/>
    <cellStyle name="Normal 2" xfId="1" xr:uid="{00000000-0005-0000-0000-000003000000}"/>
  </cellStyles>
  <dxfs count="17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fill>
        <patternFill>
          <bgColor theme="0" tint="-0.14996795556505021"/>
        </patternFill>
      </fill>
    </dxf>
    <dxf>
      <font>
        <b/>
        <i/>
        <color rgb="FFFF0000"/>
      </font>
    </dxf>
    <dxf>
      <font>
        <b/>
        <i/>
        <color rgb="FFFF0000"/>
      </font>
    </dxf>
    <dxf>
      <font>
        <b/>
        <i/>
      </font>
      <fill>
        <patternFill>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alignment horizontal="center" vertical="bottom"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alignment horizontal="center" vertical="bottom"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numFmt numFmtId="0" formatCode="General"/>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scheme val="none"/>
      </font>
      <border diagonalUp="0" diagonalDown="0" outline="0">
        <left/>
        <right/>
        <top style="thin">
          <color theme="1"/>
        </top>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0"/>
        <name val="Arial"/>
        <scheme val="none"/>
      </font>
      <fill>
        <patternFill patternType="solid">
          <fgColor theme="1"/>
          <bgColor theme="1"/>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276226</xdr:colOff>
      <xdr:row>3</xdr:row>
      <xdr:rowOff>133352</xdr:rowOff>
    </xdr:from>
    <xdr:ext cx="5629275" cy="5276848"/>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1696701" y="1019177"/>
          <a:ext cx="5629275" cy="527684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Bachelor of Applied Science (Construction Management) (OpenUnis)</a:t>
          </a:r>
        </a:p>
        <a:p>
          <a:endParaRPr lang="en-AU" sz="1000">
            <a:effectLst/>
          </a:endParaRPr>
        </a:p>
        <a:p>
          <a:pPr algn="ctr"/>
          <a:r>
            <a:rPr lang="en-AU" sz="1100" i="1">
              <a:solidFill>
                <a:schemeClr val="dk1"/>
              </a:solidFill>
              <a:effectLst/>
              <a:latin typeface="+mn-lt"/>
              <a:ea typeface="+mn-ea"/>
              <a:cs typeface="+mn-cs"/>
            </a:rPr>
            <a:t>Use the drop-down lists</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t>
          </a:r>
          <a:r>
            <a:rPr lang="en-AU" sz="1100" b="1" i="1" baseline="0">
              <a:solidFill>
                <a:schemeClr val="dk1"/>
              </a:solidFill>
              <a:effectLst/>
              <a:latin typeface="+mn-lt"/>
              <a:ea typeface="+mn-ea"/>
              <a:cs typeface="+mn-cs"/>
            </a:rPr>
            <a:t>Specialisation</a:t>
          </a:r>
          <a:r>
            <a:rPr lang="en-AU" sz="1100" i="1" baseline="0">
              <a:solidFill>
                <a:schemeClr val="dk1"/>
              </a:solidFill>
              <a:effectLst/>
              <a:latin typeface="+mn-lt"/>
              <a:ea typeface="+mn-ea"/>
              <a:cs typeface="+mn-cs"/>
            </a:rPr>
            <a:t> &amp;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pPr rtl="0" fontAlgn="base"/>
          <a:r>
            <a:rPr lang="en-AU" sz="1100" b="0" i="0">
              <a:solidFill>
                <a:schemeClr val="dk1"/>
              </a:solidFill>
              <a:effectLst/>
              <a:latin typeface="+mn-lt"/>
              <a:ea typeface="+mn-ea"/>
              <a:cs typeface="+mn-cs"/>
            </a:rPr>
            <a:t>If you wish to enrol in a part-time load, please contact your</a:t>
          </a:r>
          <a:r>
            <a:rPr lang="en-AU" sz="1100" b="0" i="0" baseline="0">
              <a:solidFill>
                <a:schemeClr val="dk1"/>
              </a:solidFill>
              <a:effectLst/>
              <a:latin typeface="+mn-lt"/>
              <a:ea typeface="+mn-ea"/>
              <a:cs typeface="+mn-cs"/>
            </a:rPr>
            <a:t> Course Coordinator (Email: constructionmanagement@curtin.edu.au) or </a:t>
          </a:r>
          <a:r>
            <a:rPr lang="en-AU" sz="1100" b="0" i="0">
              <a:solidFill>
                <a:schemeClr val="dk1"/>
              </a:solidFill>
              <a:effectLst/>
              <a:latin typeface="+mn-lt"/>
              <a:ea typeface="+mn-ea"/>
              <a:cs typeface="+mn-cs"/>
            </a:rPr>
            <a:t>please select one subject from the two listed for each study period.</a:t>
          </a:r>
          <a:endParaRPr lang="en-AU">
            <a:effectLst/>
          </a:endParaRPr>
        </a:p>
        <a:p>
          <a:endParaRPr lang="en-AU" sz="1100">
            <a:solidFill>
              <a:schemeClr val="dk1"/>
            </a:solidFill>
            <a:effectLst/>
            <a:latin typeface="+mn-lt"/>
            <a:ea typeface="+mn-ea"/>
            <a:cs typeface="+mn-cs"/>
          </a:endParaRPr>
        </a:p>
        <a:p>
          <a:r>
            <a:rPr lang="en-AU" sz="1100" b="1"/>
            <a:t>Industry Placements</a:t>
          </a:r>
        </a:p>
        <a:p>
          <a:r>
            <a:rPr lang="en-AU" sz="1100" baseline="0">
              <a:solidFill>
                <a:schemeClr val="dk1"/>
              </a:solidFill>
              <a:effectLst/>
              <a:latin typeface="+mn-lt"/>
              <a:ea typeface="+mn-ea"/>
              <a:cs typeface="+mn-cs"/>
            </a:rPr>
            <a:t>Students must undertake 80 days of work experience in the construction industry to meet the completion requirement of this course. The work experience must be in approved professional roles which are relevant to the course (e.g. quantity surveying, construction management, project management, building surveying, property development, contract administration, construction law, procurement/supply chain management etc.). This must be undertaken in an organization having a valid registration, conducting their business as a construction entity or consultancy firm, or a public or private organization in which construction or project procurement is their primary business.</a:t>
          </a:r>
        </a:p>
        <a:p>
          <a:r>
            <a:rPr lang="en-AU" sz="1100" baseline="0">
              <a:solidFill>
                <a:schemeClr val="dk1"/>
              </a:solidFill>
              <a:effectLst/>
              <a:latin typeface="+mn-lt"/>
              <a:ea typeface="+mn-ea"/>
              <a:cs typeface="+mn-cs"/>
            </a:rPr>
            <a:t> </a:t>
          </a: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1447801</xdr:colOff>
      <xdr:row>2</xdr:row>
      <xdr:rowOff>314326</xdr:rowOff>
    </xdr:from>
    <xdr:to>
      <xdr:col>16</xdr:col>
      <xdr:colOff>609601</xdr:colOff>
      <xdr:row>3</xdr:row>
      <xdr:rowOff>133351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14906626" y="6953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6" totalsRowShown="0" headerRowDxfId="174">
  <autoFilter ref="A4:I6" xr:uid="{00000000-0009-0000-0100-000003000000}"/>
  <tableColumns count="9">
    <tableColumn id="3" xr3:uid="{00000000-0010-0000-0000-000003000000}" name="Choose your Construction Management Course (drop-down list)" dataDxfId="173"/>
    <tableColumn id="1" xr3:uid="{00000000-0010-0000-0000-000001000000}" name="UDC" dataDxfId="172"/>
    <tableColumn id="2" xr3:uid="{00000000-0010-0000-0000-000002000000}" name="SM Version" dataDxfId="171"/>
    <tableColumn id="5" xr3:uid="{00000000-0010-0000-0000-000005000000}" name="SM Effective Date" dataDxfId="170"/>
    <tableColumn id="4" xr3:uid="{00000000-0010-0000-0000-000004000000}" name="Akari Iteration" dataDxfId="169"/>
    <tableColumn id="6" xr3:uid="{00000000-0010-0000-0000-000006000000}" name="Akari Effective Date" dataDxfId="168"/>
    <tableColumn id="7" xr3:uid="{00000000-0010-0000-0000-000007000000}" name="Credit Points" dataDxfId="167"/>
    <tableColumn id="8" xr3:uid="{00000000-0010-0000-0000-000008000000}" name="SM Availabilities" dataDxfId="166"/>
    <tableColumn id="9" xr3:uid="{F1C7F554-F2B5-49EA-BB10-11C09D43D73F}" name="Notes" dataDxfId="165"/>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OUSHCONMN" displayName="TableOUSHCONMN" ref="A61:O68" totalsRowShown="0">
  <autoFilter ref="A61:O68" xr:uid="{00000000-0009-0000-0100-000008000000}"/>
  <sortState xmlns:xlrd2="http://schemas.microsoft.com/office/spreadsheetml/2017/richdata2" ref="A65:R72">
    <sortCondition ref="N10:N18"/>
  </sortState>
  <tableColumns count="15">
    <tableColumn id="1" xr3:uid="{00000000-0010-0000-0900-000001000000}" name="UDC" dataDxfId="79">
      <calculatedColumnFormula>TableOUSHCONMN[[#This Row],[Study Package Code]]</calculatedColumnFormula>
    </tableColumn>
    <tableColumn id="9" xr3:uid="{00000000-0010-0000-0900-000009000000}" name="V" dataDxfId="78">
      <calculatedColumnFormula>TableOUSHCONMN[[#This Row],[Ver]]</calculatedColumnFormula>
    </tableColumn>
    <tableColumn id="10" xr3:uid="{00000000-0010-0000-0900-00000A000000}" name="OUA Code" dataDxfId="77">
      <calculatedColumnFormula>IF(TableOUSHCONMN[[#This Row],[Ver]]&gt;0,_xlfn.TEXTBEFORE(TableOUSHCONMN[[#This Row],[Structure Line]]," "),"")</calculatedColumnFormula>
    </tableColumn>
    <tableColumn id="11" xr3:uid="{00000000-0010-0000-0900-00000B000000}" name="Unit Title" dataDxfId="76">
      <calculatedColumnFormula>IF(TableOUSHCONMN[[#This Row],[OUA Code]]&lt;&gt;"",_xlfn.TEXTAFTER(TableOUSHCONMN[[#This Row],[Structure Line]]," "),TableOUSHCONMN[[#This Row],[Structure Line]])</calculatedColumnFormula>
    </tableColumn>
    <tableColumn id="12" xr3:uid="{00000000-0010-0000-0900-00000C000000}" name="CPs" dataDxfId="75">
      <calculatedColumnFormula>TableOUSHCONMN[[#This Row],[Credit Points]]</calculatedColumnFormula>
    </tableColumn>
    <tableColumn id="13" xr3:uid="{00000000-0010-0000-0900-00000D000000}" name="No." dataDxfId="74"/>
    <tableColumn id="2" xr3:uid="{00000000-0010-0000-0900-000002000000}" name="Component Type" dataDxfId="73"/>
    <tableColumn id="3" xr3:uid="{00000000-0010-0000-0900-000003000000}" name="Year Level" dataDxfId="72"/>
    <tableColumn id="4" xr3:uid="{00000000-0010-0000-0900-000004000000}" name="Study Period" dataDxfId="71"/>
    <tableColumn id="5" xr3:uid="{00000000-0010-0000-0900-000005000000}" name="Study Package Code" dataDxfId="70"/>
    <tableColumn id="6" xr3:uid="{00000000-0010-0000-0900-000006000000}" name="Ver" dataDxfId="69"/>
    <tableColumn id="7" xr3:uid="{00000000-0010-0000-0900-000007000000}" name="Structure Line" dataDxfId="68"/>
    <tableColumn id="8" xr3:uid="{00000000-0010-0000-0900-000008000000}" name="Credit Points" dataDxfId="67"/>
    <tableColumn id="14" xr3:uid="{00000000-0010-0000-0900-00000E000000}" name="Effective" dataDxfId="66"/>
    <tableColumn id="15" xr3:uid="{00000000-0010-0000-0900-00000F000000}" name="Discont." dataDxfId="65"/>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OUSUCONMN" displayName="TableOUSUCONMN" ref="A70:O77" totalsRowShown="0">
  <autoFilter ref="A70:O77" xr:uid="{00000000-0009-0000-0100-00000E000000}"/>
  <sortState xmlns:xlrd2="http://schemas.microsoft.com/office/spreadsheetml/2017/richdata2" ref="A74:R81">
    <sortCondition ref="N10:N18"/>
  </sortState>
  <tableColumns count="15">
    <tableColumn id="1" xr3:uid="{00000000-0010-0000-0A00-000001000000}" name="UDC" dataDxfId="64">
      <calculatedColumnFormula>TableOUSUCONMN[[#This Row],[Study Package Code]]</calculatedColumnFormula>
    </tableColumn>
    <tableColumn id="9" xr3:uid="{00000000-0010-0000-0A00-000009000000}" name="V" dataDxfId="63">
      <calculatedColumnFormula>TableOUSUCONMN[[#This Row],[Ver]]</calculatedColumnFormula>
    </tableColumn>
    <tableColumn id="10" xr3:uid="{00000000-0010-0000-0A00-00000A000000}" name="OUA Code" dataDxfId="62">
      <calculatedColumnFormula>IF(TableOUSUCONMN[[#This Row],[Ver]]&gt;0,_xlfn.TEXTBEFORE(TableOUSUCONMN[[#This Row],[Structure Line]]," "),"")</calculatedColumnFormula>
    </tableColumn>
    <tableColumn id="11" xr3:uid="{00000000-0010-0000-0A00-00000B000000}" name="Unit Title" dataDxfId="61">
      <calculatedColumnFormula>IF(TableOUSUCONMN[[#This Row],[OUA Code]]&lt;&gt;"",_xlfn.TEXTAFTER(TableOUSUCONMN[[#This Row],[Structure Line]]," "),TableOUSUCONMN[[#This Row],[Structure Line]])</calculatedColumnFormula>
    </tableColumn>
    <tableColumn id="12" xr3:uid="{00000000-0010-0000-0A00-00000C000000}" name="CPs" dataDxfId="60">
      <calculatedColumnFormula>TableOUSUCONMN[[#This Row],[Credit Points]]</calculatedColumnFormula>
    </tableColumn>
    <tableColumn id="13" xr3:uid="{00000000-0010-0000-0A00-00000D000000}" name="No." dataDxfId="59"/>
    <tableColumn id="2" xr3:uid="{00000000-0010-0000-0A00-000002000000}" name="Component Type" dataDxfId="58"/>
    <tableColumn id="3" xr3:uid="{00000000-0010-0000-0A00-000003000000}" name="Year Level" dataDxfId="57"/>
    <tableColumn id="4" xr3:uid="{00000000-0010-0000-0A00-000004000000}" name="Study Period" dataDxfId="56"/>
    <tableColumn id="5" xr3:uid="{00000000-0010-0000-0A00-000005000000}" name="Study Package Code" dataDxfId="55"/>
    <tableColumn id="6" xr3:uid="{00000000-0010-0000-0A00-000006000000}" name="Ver" dataDxfId="54"/>
    <tableColumn id="7" xr3:uid="{00000000-0010-0000-0A00-000007000000}" name="Structure Line" dataDxfId="53"/>
    <tableColumn id="8" xr3:uid="{00000000-0010-0000-0A00-000008000000}" name="Credit Points" dataDxfId="52"/>
    <tableColumn id="14" xr3:uid="{00000000-0010-0000-0A00-00000E000000}" name="Effective" dataDxfId="51"/>
    <tableColumn id="15" xr3:uid="{00000000-0010-0000-0A00-00000F000000}" name="Discont." dataDxfId="5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TableOBCONMNCheck" displayName="TableOBCONMNCheck" ref="Q2:R29" totalsRowShown="0">
  <autoFilter ref="Q2:R29" xr:uid="{00000000-0009-0000-0100-00000A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bleOUSHCONMNCheck" displayName="TableOUSHCONMNCheck" ref="Q61:R68" totalsRowShown="0">
  <autoFilter ref="Q61:R68" xr:uid="{00000000-0009-0000-0100-00000B000000}"/>
  <tableColumns count="2">
    <tableColumn id="1" xr3:uid="{00000000-0010-0000-0C00-000001000000}" name="Column1"/>
    <tableColumn id="2" xr3:uid="{00000000-0010-0000-0C00-000002000000}" name="Column2"/>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ableOUSUCONMNCheck" displayName="TableOUSUCONMNCheck" ref="Q70:R77" totalsRowShown="0">
  <autoFilter ref="Q70:R77" xr:uid="{00000000-0009-0000-0100-00000C000000}"/>
  <tableColumns count="2">
    <tableColumn id="1" xr3:uid="{00000000-0010-0000-0D00-000001000000}" name="Column1" dataDxfId="49"/>
    <tableColumn id="2" xr3:uid="{00000000-0010-0000-0D00-000002000000}" name="Column2" dataDxfId="48"/>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OSCUANGADCheck" displayName="TableOSCUANGADCheck" ref="Q79:R85" totalsRowShown="0">
  <autoFilter ref="Q79:R85" xr:uid="{00000000-0009-0000-0100-00000F000000}"/>
  <tableColumns count="2">
    <tableColumn id="1" xr3:uid="{00000000-0010-0000-0E00-000001000000}" name="Column1" dataDxfId="47"/>
    <tableColumn id="2" xr3:uid="{00000000-0010-0000-0E00-000002000000}" name="Column2" dataDxfId="46"/>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OSCUPLGEOCheck" displayName="TableOSCUPLGEOCheck" ref="Q101:R107" totalsRowShown="0">
  <autoFilter ref="Q101:R107" xr:uid="{00000000-0009-0000-0100-000011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OSCUINARSCheck" displayName="TableOSCUINARSCheck" ref="Q87:R99" totalsRowShown="0">
  <autoFilter ref="Q87:R99" xr:uid="{00000000-0009-0000-0100-000012000000}"/>
  <tableColumns count="2">
    <tableColumn id="1" xr3:uid="{00000000-0010-0000-1000-000001000000}" name="Column1"/>
    <tableColumn id="2" xr3:uid="{00000000-0010-0000-1000-000002000000}" name="Column2"/>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DE14040-DEB4-45A1-84ED-AFD23B39685B}" name="TableOUCONMN" displayName="TableOUCONMN" ref="A31:O58" totalsRowShown="0">
  <autoFilter ref="A31:O58" xr:uid="{0DE14040-DEB4-45A1-84ED-AFD23B39685B}"/>
  <sortState xmlns:xlrd2="http://schemas.microsoft.com/office/spreadsheetml/2017/richdata2" ref="A32:R35">
    <sortCondition ref="O2:O6"/>
  </sortState>
  <tableColumns count="15">
    <tableColumn id="1" xr3:uid="{2C48F3E4-43B2-43AB-9EF3-FCC0E8D19CAA}" name="UDC" dataDxfId="45">
      <calculatedColumnFormula>TableOUCONMN[[#This Row],[Study Package Code]]</calculatedColumnFormula>
    </tableColumn>
    <tableColumn id="9" xr3:uid="{5BFBE76C-310C-40FD-B11A-F94F5F92C0B5}" name="V" dataDxfId="44">
      <calculatedColumnFormula>TableOUCONMN[[#This Row],[Ver]]</calculatedColumnFormula>
    </tableColumn>
    <tableColumn id="10" xr3:uid="{372BC11A-E14B-4F32-8813-FC4E912CDDEC}" name="OUA Code" dataDxfId="43">
      <calculatedColumnFormula>IF(TableOUCONMN[[#This Row],[Ver]]&gt;0,_xlfn.TEXTBEFORE(TableOUCONMN[[#This Row],[Structure Line]]," "),"")</calculatedColumnFormula>
    </tableColumn>
    <tableColumn id="11" xr3:uid="{B24AE75F-81A5-4D05-9D7C-DF554C19C6DA}" name="Unit Title" dataDxfId="42">
      <calculatedColumnFormula>IF(TableOUCONMN[[#This Row],[OUA Code]]&lt;&gt;"",_xlfn.TEXTAFTER(TableOUCONMN[[#This Row],[Structure Line]]," "),TableOUCONMN[[#This Row],[Structure Line]])</calculatedColumnFormula>
    </tableColumn>
    <tableColumn id="12" xr3:uid="{69E9F248-76DA-4F86-ADB3-7EB32B5A3F28}" name="CPs" dataDxfId="41">
      <calculatedColumnFormula>TableOUCONMN[[#This Row],[Credit Points]]</calculatedColumnFormula>
    </tableColumn>
    <tableColumn id="13" xr3:uid="{98F478A5-36EA-49A6-A121-63C3EE10DAA4}" name="No."/>
    <tableColumn id="2" xr3:uid="{8B4CE9BF-00C9-4DDC-9B1B-D2048F0D9DB9}" name="Component Type"/>
    <tableColumn id="3" xr3:uid="{8FFC9992-3490-4B79-9BB1-2FD958306138}" name="Year Level" dataDxfId="40"/>
    <tableColumn id="4" xr3:uid="{6C72FF4A-4CEE-4328-A175-35FB59A4A759}" name="Study Period"/>
    <tableColumn id="5" xr3:uid="{BDDAA832-FE9F-4130-A94F-F8AE536E8893}" name="Study Package Code"/>
    <tableColumn id="6" xr3:uid="{577D27D2-9456-4A51-A0AA-E2AF457B1520}" name="Ver" dataDxfId="39"/>
    <tableColumn id="7" xr3:uid="{EED10C4F-57B7-4BFF-B482-A177BEB4BE93}" name="Structure Line" dataDxfId="38"/>
    <tableColumn id="8" xr3:uid="{88A8AA7A-B936-47AC-AFBA-D2046EDBA15B}" name="Credit Points" dataDxfId="37"/>
    <tableColumn id="14" xr3:uid="{1617C177-CB42-42E9-92DF-2B5D36417EED}" name="Effective" dataDxfId="36"/>
    <tableColumn id="15" xr3:uid="{8760F121-C4C9-456F-A567-8A12C764E691}" name="Discont." dataDxfId="35"/>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EEC66-D520-492C-B9B0-30711B5097B5}" name="TableOUCONMNCheck" displayName="TableOUCONMNCheck" ref="Q31:R58" totalsRowShown="0">
  <autoFilter ref="Q31:R58" xr:uid="{0FAEEC66-D520-492C-B9B0-30711B5097B5}"/>
  <tableColumns count="2">
    <tableColumn id="1" xr3:uid="{63B6789F-BA1C-4BD4-A4E4-79C97D40228F}" name="Column1"/>
    <tableColumn id="2" xr3:uid="{D1FCCF31-9FE1-4DD4-94E5-BD1EE4755E33}" name="Column2"/>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9:E13" totalsRowShown="0" dataDxfId="164">
  <autoFilter ref="A9:E13" xr:uid="{00000000-0009-0000-0100-000004000000}"/>
  <tableColumns count="5">
    <tableColumn id="1" xr3:uid="{00000000-0010-0000-0100-000001000000}" name="Choose your commencing study period (drop-down list)" dataDxfId="163"/>
    <tableColumn id="2" xr3:uid="{00000000-0010-0000-0100-000002000000}" name="START" dataDxfId="162"/>
    <tableColumn id="3" xr3:uid="{00000000-0010-0000-0100-000003000000}" name="Next" dataDxfId="161"/>
    <tableColumn id="4" xr3:uid="{00000000-0010-0000-0100-000004000000}" name="Next2" dataDxfId="160"/>
    <tableColumn id="5" xr3:uid="{00000000-0010-0000-0100-000005000000}" name="Next3" dataDxfId="159"/>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Availabilities" displayName="TableAvailabilities" ref="A3:E46" totalsRowShown="0">
  <autoFilter ref="A3:E46" xr:uid="{00000000-0009-0000-0100-00000D000000}"/>
  <sortState xmlns:xlrd2="http://schemas.microsoft.com/office/spreadsheetml/2017/richdata2" ref="A4:E4">
    <sortCondition ref="A3:A4"/>
  </sortState>
  <tableColumns count="5">
    <tableColumn id="1" xr3:uid="{00000000-0010-0000-1100-000001000000}" name="Row Labels"/>
    <tableColumn id="2" xr3:uid="{00000000-0010-0000-1100-000002000000}" name="OpenUnis SP 1" dataDxfId="34"/>
    <tableColumn id="3" xr3:uid="{00000000-0010-0000-1100-000003000000}" name="OpenUnis SP 2" dataDxfId="33"/>
    <tableColumn id="4" xr3:uid="{00000000-0010-0000-1100-000004000000}" name="OpenUnis SP 3" dataDxfId="32"/>
    <tableColumn id="5" xr3:uid="{00000000-0010-0000-1100-000005000000}" name="OpenUnis SP 4" dataDxfId="31"/>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21:G24" totalsRowShown="0" dataDxfId="158">
  <autoFilter ref="A21:G24" xr:uid="{00000000-0009-0000-0100-000005000000}"/>
  <tableColumns count="7">
    <tableColumn id="1" xr3:uid="{00000000-0010-0000-0200-000001000000}" name="Choose your Specialisation (drop-down list)" dataDxfId="157">
      <calculatedColumnFormula>D67</calculatedColumnFormula>
    </tableColumn>
    <tableColumn id="2" xr3:uid="{00000000-0010-0000-0200-000002000000}" name="UDC" dataDxfId="156"/>
    <tableColumn id="3" xr3:uid="{00000000-0010-0000-0200-000003000000}" name="SM Version" dataDxfId="155"/>
    <tableColumn id="4" xr3:uid="{00000000-0010-0000-0200-000004000000}" name="SM Effective Date" dataDxfId="154"/>
    <tableColumn id="5" xr3:uid="{00000000-0010-0000-0200-000005000000}" name="Akari Iteration" dataDxfId="153"/>
    <tableColumn id="6" xr3:uid="{00000000-0010-0000-0200-000006000000}" name="Akari Effective Date" dataDxfId="152"/>
    <tableColumn id="7" xr3:uid="{00000000-0010-0000-0200-000007000000}" name="Credit Points" dataDxfId="15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Stream" displayName="TableStream" ref="A16:G18" totalsRowShown="0" headerRowDxfId="150" tableBorderDxfId="149">
  <autoFilter ref="A16:G18" xr:uid="{00000000-0009-0000-0100-000010000000}"/>
  <tableColumns count="7">
    <tableColumn id="1" xr3:uid="{00000000-0010-0000-0300-000001000000}" name="Choose your Stream (drop-down list)" dataDxfId="148"/>
    <tableColumn id="2" xr3:uid="{00000000-0010-0000-0300-000002000000}" name="UDC" dataDxfId="147"/>
    <tableColumn id="3" xr3:uid="{00000000-0010-0000-0300-000003000000}" name="SM Version" dataDxfId="146"/>
    <tableColumn id="4" xr3:uid="{00000000-0010-0000-0300-000004000000}" name="SM Effective Date" dataDxfId="145"/>
    <tableColumn id="5" xr3:uid="{00000000-0010-0000-0300-000005000000}" name="Akari Iteration" dataDxfId="144"/>
    <tableColumn id="6" xr3:uid="{00000000-0010-0000-0300-000006000000}" name="Akari Effective Date" dataDxfId="143"/>
    <tableColumn id="7" xr3:uid="{00000000-0010-0000-0300-000007000000}" name="Credit Points" dataDxfId="142"/>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Handbook" displayName="TableHandbook" ref="A2:R73" totalsRowShown="0" headerRowDxfId="141">
  <autoFilter ref="A2:R73" xr:uid="{00000000-0009-0000-0100-000002000000}"/>
  <sortState xmlns:xlrd2="http://schemas.microsoft.com/office/spreadsheetml/2017/richdata2" ref="A3:R73">
    <sortCondition ref="A2:A73"/>
  </sortState>
  <tableColumns count="18">
    <tableColumn id="1" xr3:uid="{00000000-0010-0000-0400-000001000000}" name="UDC"/>
    <tableColumn id="2" xr3:uid="{00000000-0010-0000-0400-000002000000}" name="Ver" dataDxfId="140"/>
    <tableColumn id="3" xr3:uid="{00000000-0010-0000-0400-000003000000}" name="OUA Cd" dataDxfId="139"/>
    <tableColumn id="4" xr3:uid="{00000000-0010-0000-0400-000004000000}" name="Title" dataDxfId="138"/>
    <tableColumn id="5" xr3:uid="{00000000-0010-0000-0400-000005000000}" name="Credits" dataDxfId="137"/>
    <tableColumn id="6" xr3:uid="{00000000-0010-0000-0400-000006000000}" name="Pre-reqs (7/11/2025)" dataDxfId="136"/>
    <tableColumn id="12" xr3:uid="{00000000-0010-0000-0400-00000C000000}" name="SP1" dataDxfId="135">
      <calculatedColumnFormula>IFERROR(IF(VLOOKUP(TableHandbook[[#This Row],[UDC]],TableAvailabilities[],2,FALSE)&gt;0,"Y",""),"")</calculatedColumnFormula>
    </tableColumn>
    <tableColumn id="13" xr3:uid="{00000000-0010-0000-0400-00000D000000}" name="SP2" dataDxfId="134">
      <calculatedColumnFormula>IFERROR(IF(VLOOKUP(TableHandbook[[#This Row],[UDC]],TableAvailabilities[],3,FALSE)&gt;0,"Y",""),"")</calculatedColumnFormula>
    </tableColumn>
    <tableColumn id="14" xr3:uid="{00000000-0010-0000-0400-00000E000000}" name="SP3" dataDxfId="133">
      <calculatedColumnFormula>IFERROR(IF(VLOOKUP(TableHandbook[[#This Row],[UDC]],TableAvailabilities[],4,FALSE)&gt;0,"Y",""),"")</calculatedColumnFormula>
    </tableColumn>
    <tableColumn id="15" xr3:uid="{00000000-0010-0000-0400-00000F000000}" name="SP4" dataDxfId="132">
      <calculatedColumnFormula>IFERROR(IF(VLOOKUP(TableHandbook[[#This Row],[UDC]],TableAvailabilities[],5,FALSE)&gt;0,"Y",""),"")</calculatedColumnFormula>
    </tableColumn>
    <tableColumn id="16" xr3:uid="{00000000-0010-0000-0400-000010000000}" name="Notes" dataDxfId="131"/>
    <tableColumn id="8" xr3:uid="{00000000-0010-0000-0400-000008000000}" name="OB-CONMN" dataDxfId="130">
      <calculatedColumnFormula>IFERROR(VLOOKUP(TableHandbook[[#This Row],[UDC]],TableOBCONMN[],7,FALSE),"")</calculatedColumnFormula>
    </tableColumn>
    <tableColumn id="7" xr3:uid="{E48A4922-BD7C-4D13-85CD-A0639D4AA058}" name="OU-CONMN" dataDxfId="129">
      <calculatedColumnFormula>IFERROR(VLOOKUP(TableHandbook[[#This Row],[UDC]],TableOUCONMN[],7,FALSE),"")</calculatedColumnFormula>
    </tableColumn>
    <tableColumn id="9" xr3:uid="{00000000-0010-0000-0400-000009000000}" name="OUSH-CONMN" dataDxfId="128">
      <calculatedColumnFormula>IFERROR(VLOOKUP(TableHandbook[[#This Row],[UDC]],TableOUSHCONMN[],7,FALSE),"")</calculatedColumnFormula>
    </tableColumn>
    <tableColumn id="10" xr3:uid="{00000000-0010-0000-0400-00000A000000}" name="OUSU-CONMN" dataDxfId="127">
      <calculatedColumnFormula>IFERROR(VLOOKUP(TableHandbook[[#This Row],[UDC]],TableOUSUCONMN[],7,FALSE),"")</calculatedColumnFormula>
    </tableColumn>
    <tableColumn id="20" xr3:uid="{00000000-0010-0000-0400-000014000000}" name="OSCU-ANGAD" dataDxfId="126">
      <calculatedColumnFormula>IFERROR(VLOOKUP(TableHandbook[[#This Row],[UDC]],TableOSCUANGAD[],7,FALSE),"")</calculatedColumnFormula>
    </tableColumn>
    <tableColumn id="21" xr3:uid="{00000000-0010-0000-0400-000015000000}" name="OSCU-INARS" dataDxfId="125">
      <calculatedColumnFormula>IFERROR(VLOOKUP(TableHandbook[[#This Row],[UDC]],TableOSCUINARS[],7,FALSE),"")</calculatedColumnFormula>
    </tableColumn>
    <tableColumn id="17" xr3:uid="{00000000-0010-0000-0400-000011000000}" name="OSCU-PLGEO" dataDxfId="124">
      <calculatedColumnFormula>IFERROR(VLOOKUP(TableHandbook[[#This Row],[UDC]],TableOSCUPLGEO[],7,FALSE),"")</calculatedColumnFormula>
    </tableColumn>
  </tableColumns>
  <tableStyleInfo name="TableStyleLight11"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OBCONMN" displayName="TableOBCONMN" ref="A2:O29" totalsRowShown="0">
  <autoFilter ref="A2:O29" xr:uid="{00000000-0009-0000-0100-000001000000}"/>
  <sortState xmlns:xlrd2="http://schemas.microsoft.com/office/spreadsheetml/2017/richdata2" ref="AE3:AV6">
    <sortCondition ref="AS2:AS6"/>
  </sortState>
  <tableColumns count="15">
    <tableColumn id="1" xr3:uid="{00000000-0010-0000-0500-000001000000}" name="UDC" dataDxfId="123">
      <calculatedColumnFormula>TableOBCONMN[[#This Row],[Study Package Code]]</calculatedColumnFormula>
    </tableColumn>
    <tableColumn id="9" xr3:uid="{00000000-0010-0000-0500-000009000000}" name="V" dataDxfId="122">
      <calculatedColumnFormula>TableOBCONMN[[#This Row],[Ver]]</calculatedColumnFormula>
    </tableColumn>
    <tableColumn id="10" xr3:uid="{00000000-0010-0000-0500-00000A000000}" name="OUA Code" dataDxfId="121">
      <calculatedColumnFormula>IF(TableOBCONMN[[#This Row],[Ver]]&gt;0,_xlfn.TEXTBEFORE(TableOBCONMN[[#This Row],[Structure Line]]," "),"")</calculatedColumnFormula>
    </tableColumn>
    <tableColumn id="11" xr3:uid="{00000000-0010-0000-0500-00000B000000}" name="Unit Title" dataDxfId="120">
      <calculatedColumnFormula>IF(TableOBCONMN[[#This Row],[OUA Code]]&lt;&gt;"",_xlfn.TEXTAFTER(TableOBCONMN[[#This Row],[Structure Line]]," "),TableOBCONMN[[#This Row],[Structure Line]])</calculatedColumnFormula>
    </tableColumn>
    <tableColumn id="12" xr3:uid="{00000000-0010-0000-0500-00000C000000}" name="CPs" dataDxfId="119">
      <calculatedColumnFormula>TableOBCONMN[[#This Row],[Credit Points]]</calculatedColumnFormula>
    </tableColumn>
    <tableColumn id="13" xr3:uid="{00000000-0010-0000-0500-00000D000000}" name="No."/>
    <tableColumn id="2" xr3:uid="{00000000-0010-0000-0500-000002000000}" name="Component Type"/>
    <tableColumn id="3" xr3:uid="{00000000-0010-0000-0500-000003000000}" name="Year Level" dataDxfId="118"/>
    <tableColumn id="4" xr3:uid="{00000000-0010-0000-0500-000004000000}" name="Study Period"/>
    <tableColumn id="5" xr3:uid="{00000000-0010-0000-0500-000005000000}" name="Study Package Code"/>
    <tableColumn id="6" xr3:uid="{00000000-0010-0000-0500-000006000000}" name="Ver" dataDxfId="117"/>
    <tableColumn id="7" xr3:uid="{00000000-0010-0000-0500-000007000000}" name="Structure Line" dataDxfId="116"/>
    <tableColumn id="8" xr3:uid="{00000000-0010-0000-0500-000008000000}" name="Credit Points" dataDxfId="115"/>
    <tableColumn id="14" xr3:uid="{00000000-0010-0000-0500-00000E000000}" name="Effective" dataDxfId="114"/>
    <tableColumn id="15" xr3:uid="{00000000-0010-0000-0500-00000F000000}" name="Discont." dataDxfId="11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OSCUANGAD" displayName="TableOSCUANGAD" ref="A79:O85" totalsRowShown="0">
  <autoFilter ref="A79:O85" xr:uid="{00000000-0009-0000-0100-000006000000}"/>
  <sortState xmlns:xlrd2="http://schemas.microsoft.com/office/spreadsheetml/2017/richdata2" ref="AE11:AV18">
    <sortCondition ref="AR10:AR18"/>
  </sortState>
  <tableColumns count="15">
    <tableColumn id="1" xr3:uid="{00000000-0010-0000-0600-000001000000}" name="UDC" dataDxfId="112">
      <calculatedColumnFormula>TableOSCUANGAD[[#This Row],[Study Package Code]]</calculatedColumnFormula>
    </tableColumn>
    <tableColumn id="9" xr3:uid="{00000000-0010-0000-0600-000009000000}" name="V" dataDxfId="111">
      <calculatedColumnFormula>TableOSCUANGAD[[#This Row],[Ver]]</calculatedColumnFormula>
    </tableColumn>
    <tableColumn id="10" xr3:uid="{00000000-0010-0000-0600-00000A000000}" name="OUA Code" dataDxfId="110">
      <calculatedColumnFormula>IF(TableOSCUANGAD[[#This Row],[Ver]]&gt;0,_xlfn.TEXTBEFORE(TableOSCUANGAD[[#This Row],[Structure Line]]," "),"")</calculatedColumnFormula>
    </tableColumn>
    <tableColumn id="11" xr3:uid="{00000000-0010-0000-0600-00000B000000}" name="Unit Title" dataDxfId="109">
      <calculatedColumnFormula>IF(TableOSCUANGAD[[#This Row],[OUA Code]]&lt;&gt;"",_xlfn.TEXTAFTER(TableOSCUANGAD[[#This Row],[Structure Line]]," "),TableOSCUANGAD[[#This Row],[Structure Line]])</calculatedColumnFormula>
    </tableColumn>
    <tableColumn id="12" xr3:uid="{00000000-0010-0000-0600-00000C000000}" name="CPs" dataDxfId="108">
      <calculatedColumnFormula>TableOSCUANGAD[[#This Row],[Credit Points]]</calculatedColumnFormula>
    </tableColumn>
    <tableColumn id="13" xr3:uid="{00000000-0010-0000-0600-00000D000000}" name="No."/>
    <tableColumn id="2" xr3:uid="{00000000-0010-0000-0600-000002000000}" name="Component Type"/>
    <tableColumn id="3" xr3:uid="{00000000-0010-0000-0600-000003000000}" name="Year Level" dataDxfId="107"/>
    <tableColumn id="4" xr3:uid="{00000000-0010-0000-0600-000004000000}" name="Study Period"/>
    <tableColumn id="5" xr3:uid="{00000000-0010-0000-0600-000005000000}" name="Study Package Code"/>
    <tableColumn id="6" xr3:uid="{00000000-0010-0000-0600-000006000000}" name="Ver" dataDxfId="106"/>
    <tableColumn id="7" xr3:uid="{00000000-0010-0000-0600-000007000000}" name="Structure Line" dataDxfId="105"/>
    <tableColumn id="8" xr3:uid="{00000000-0010-0000-0600-000008000000}" name="Credit Points" dataDxfId="104"/>
    <tableColumn id="14" xr3:uid="{00000000-0010-0000-0600-00000E000000}" name="Effective" dataDxfId="103"/>
    <tableColumn id="15" xr3:uid="{00000000-0010-0000-0600-00000F000000}" name="Discont." dataDxfId="10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OSCUINARS" displayName="TableOSCUINARS" ref="A87:O99" totalsRowShown="0">
  <autoFilter ref="A87:O99" xr:uid="{00000000-0009-0000-0100-000007000000}"/>
  <sortState xmlns:xlrd2="http://schemas.microsoft.com/office/spreadsheetml/2017/richdata2" ref="A88:M95">
    <sortCondition ref="F87:F95"/>
  </sortState>
  <tableColumns count="15">
    <tableColumn id="1" xr3:uid="{00000000-0010-0000-0700-000001000000}" name="UDC" dataDxfId="101">
      <calculatedColumnFormula>TableOSCUINARS[[#This Row],[Study Package Code]]</calculatedColumnFormula>
    </tableColumn>
    <tableColumn id="9" xr3:uid="{00000000-0010-0000-0700-000009000000}" name="V" dataDxfId="100">
      <calculatedColumnFormula>TableOSCUINARS[[#This Row],[Ver]]</calculatedColumnFormula>
    </tableColumn>
    <tableColumn id="10" xr3:uid="{00000000-0010-0000-0700-00000A000000}" name="OUA Code" dataDxfId="99">
      <calculatedColumnFormula>IF(TableOSCUINARS[[#This Row],[Ver]]&gt;0,_xlfn.TEXTBEFORE(TableOSCUINARS[[#This Row],[Structure Line]]," "),"")</calculatedColumnFormula>
    </tableColumn>
    <tableColumn id="11" xr3:uid="{00000000-0010-0000-0700-00000B000000}" name="Unit Title" dataDxfId="98">
      <calculatedColumnFormula>IF(TableOSCUINARS[[#This Row],[OUA Code]]&lt;&gt;"",_xlfn.TEXTAFTER(TableOSCUINARS[[#This Row],[Structure Line]]," "),TableOSCUINARS[[#This Row],[Structure Line]])</calculatedColumnFormula>
    </tableColumn>
    <tableColumn id="12" xr3:uid="{00000000-0010-0000-0700-00000C000000}" name="CPs" dataDxfId="97">
      <calculatedColumnFormula>TableOSCUINARS[[#This Row],[Credit Points]]</calculatedColumnFormula>
    </tableColumn>
    <tableColumn id="13" xr3:uid="{00000000-0010-0000-0700-00000D000000}" name="No."/>
    <tableColumn id="2" xr3:uid="{00000000-0010-0000-0700-000002000000}" name="Component Type"/>
    <tableColumn id="3" xr3:uid="{00000000-0010-0000-0700-000003000000}" name="Year Level" dataDxfId="96"/>
    <tableColumn id="4" xr3:uid="{00000000-0010-0000-0700-000004000000}" name="Study Period"/>
    <tableColumn id="5" xr3:uid="{00000000-0010-0000-0700-000005000000}" name="Study Package Code"/>
    <tableColumn id="6" xr3:uid="{00000000-0010-0000-0700-000006000000}" name="Ver" dataDxfId="95"/>
    <tableColumn id="7" xr3:uid="{00000000-0010-0000-0700-000007000000}" name="Structure Line" dataDxfId="94"/>
    <tableColumn id="8" xr3:uid="{00000000-0010-0000-0700-000008000000}" name="Credit Points" dataDxfId="93"/>
    <tableColumn id="14" xr3:uid="{00000000-0010-0000-0700-00000E000000}" name="Effective" dataDxfId="92"/>
    <tableColumn id="15" xr3:uid="{00000000-0010-0000-0700-00000F000000}" name="Discont." dataDxfId="9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SCUPLGEO" displayName="TableOSCUPLGEO" ref="A101:O107" totalsRowShown="0">
  <autoFilter ref="A101:O107" xr:uid="{00000000-0009-0000-0100-000009000000}"/>
  <sortState xmlns:xlrd2="http://schemas.microsoft.com/office/spreadsheetml/2017/richdata2" ref="A84:M89">
    <sortCondition descending="1" ref="G78:G84"/>
  </sortState>
  <tableColumns count="15">
    <tableColumn id="1" xr3:uid="{00000000-0010-0000-0800-000001000000}" name="UDC" dataDxfId="90">
      <calculatedColumnFormula>TableOSCUPLGEO[[#This Row],[Study Package Code]]</calculatedColumnFormula>
    </tableColumn>
    <tableColumn id="9" xr3:uid="{00000000-0010-0000-0800-000009000000}" name="V" dataDxfId="89">
      <calculatedColumnFormula>TableOSCUPLGEO[[#This Row],[Ver]]</calculatedColumnFormula>
    </tableColumn>
    <tableColumn id="10" xr3:uid="{00000000-0010-0000-0800-00000A000000}" name="OUA Code" dataDxfId="88">
      <calculatedColumnFormula>IF(TableOSCUPLGEO[[#This Row],[Ver]]&gt;0,_xlfn.TEXTBEFORE(TableOSCUPLGEO[[#This Row],[Structure Line]]," "),"")</calculatedColumnFormula>
    </tableColumn>
    <tableColumn id="11" xr3:uid="{00000000-0010-0000-0800-00000B000000}" name="Unit Title" dataDxfId="87">
      <calculatedColumnFormula>IF(TableOSCUPLGEO[[#This Row],[OUA Code]]&lt;&gt;"",_xlfn.TEXTAFTER(TableOSCUPLGEO[[#This Row],[Structure Line]]," "),TableOSCUPLGEO[[#This Row],[Structure Line]])</calculatedColumnFormula>
    </tableColumn>
    <tableColumn id="12" xr3:uid="{00000000-0010-0000-0800-00000C000000}" name="CPs" dataDxfId="86">
      <calculatedColumnFormula>TableOSCUPLGEO[[#This Row],[Credit Points]]</calculatedColumnFormula>
    </tableColumn>
    <tableColumn id="13" xr3:uid="{00000000-0010-0000-0800-00000D000000}" name="No."/>
    <tableColumn id="2" xr3:uid="{00000000-0010-0000-0800-000002000000}" name="Component Type"/>
    <tableColumn id="3" xr3:uid="{00000000-0010-0000-0800-000003000000}" name="Year Level" dataDxfId="85"/>
    <tableColumn id="4" xr3:uid="{00000000-0010-0000-0800-000004000000}" name="Study Period"/>
    <tableColumn id="5" xr3:uid="{00000000-0010-0000-0800-000005000000}" name="Study Package Code"/>
    <tableColumn id="6" xr3:uid="{00000000-0010-0000-0800-000006000000}" name="Ver" dataDxfId="84"/>
    <tableColumn id="7" xr3:uid="{00000000-0010-0000-0800-000007000000}" name="Structure Line" dataDxfId="83"/>
    <tableColumn id="8" xr3:uid="{00000000-0010-0000-0800-000008000000}" name="Credit Points" dataDxfId="82"/>
    <tableColumn id="14" xr3:uid="{00000000-0010-0000-0800-00000E000000}" name="Effective" dataDxfId="81"/>
    <tableColumn id="15" xr3:uid="{00000000-0010-0000-0800-00000F000000}" name="Discont." dataDxfId="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printerSettings" Target="../printerSettings/printerSettings4.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9"/>
  <sheetViews>
    <sheetView showGridLines="0" tabSelected="1" topLeftCell="A3" zoomScaleNormal="100" workbookViewId="0">
      <selection activeCell="D7" sqref="D7"/>
    </sheetView>
  </sheetViews>
  <sheetFormatPr defaultColWidth="9" defaultRowHeight="15" x14ac:dyDescent="0.25"/>
  <cols>
    <col min="1" max="1" width="11.75" style="149" customWidth="1"/>
    <col min="2" max="2" width="3.25" style="149" customWidth="1"/>
    <col min="3" max="3" width="9.125" style="149" customWidth="1"/>
    <col min="4" max="4" width="55.125" style="137" bestFit="1" customWidth="1"/>
    <col min="5" max="5" width="9.25" style="137" bestFit="1" customWidth="1"/>
    <col min="6" max="6" width="21.375" style="137" customWidth="1"/>
    <col min="7" max="7" width="5.625" style="137" customWidth="1"/>
    <col min="8" max="11" width="4.625" style="137" customWidth="1"/>
    <col min="12" max="12" width="15.625" style="137" customWidth="1"/>
    <col min="13" max="13" width="2.5" style="137" hidden="1" customWidth="1"/>
    <col min="14" max="14" width="9" style="137"/>
    <col min="15" max="15" width="17.75" style="137" bestFit="1" customWidth="1"/>
    <col min="16" max="16" width="42.75" style="137" customWidth="1"/>
    <col min="17" max="16384" width="9" style="137"/>
  </cols>
  <sheetData>
    <row r="1" spans="1:16" hidden="1" x14ac:dyDescent="0.25">
      <c r="A1" s="133" t="s">
        <v>0</v>
      </c>
      <c r="B1" s="134" t="s">
        <v>1</v>
      </c>
      <c r="C1" s="134" t="s">
        <v>2</v>
      </c>
      <c r="D1" s="135" t="s">
        <v>3</v>
      </c>
      <c r="E1" s="135" t="s">
        <v>4</v>
      </c>
      <c r="F1" s="135" t="s">
        <v>5</v>
      </c>
      <c r="G1" s="135" t="s">
        <v>6</v>
      </c>
      <c r="H1" s="136" t="s">
        <v>7</v>
      </c>
      <c r="I1" s="135"/>
      <c r="J1" s="135"/>
      <c r="K1" s="135"/>
      <c r="L1" s="135" t="s">
        <v>8</v>
      </c>
    </row>
    <row r="2" spans="1:16" hidden="1" x14ac:dyDescent="0.25">
      <c r="A2" s="138">
        <v>1</v>
      </c>
      <c r="B2" s="138">
        <v>2</v>
      </c>
      <c r="C2" s="138">
        <v>3</v>
      </c>
      <c r="D2" s="138">
        <v>4</v>
      </c>
      <c r="E2" s="138"/>
      <c r="F2" s="138">
        <v>6</v>
      </c>
      <c r="G2" s="138">
        <v>5</v>
      </c>
      <c r="H2" s="138">
        <v>7</v>
      </c>
      <c r="I2" s="138">
        <v>8</v>
      </c>
      <c r="J2" s="138">
        <v>9</v>
      </c>
      <c r="K2" s="138">
        <v>10</v>
      </c>
      <c r="L2" s="138"/>
    </row>
    <row r="3" spans="1:16" ht="39.950000000000003" customHeight="1" x14ac:dyDescent="0.25">
      <c r="A3" s="139" t="s">
        <v>9</v>
      </c>
      <c r="B3" s="139"/>
      <c r="C3" s="139"/>
      <c r="D3" s="139"/>
      <c r="E3" s="140"/>
      <c r="F3" s="140"/>
      <c r="G3" s="140"/>
      <c r="H3" s="140"/>
      <c r="I3" s="140"/>
      <c r="J3" s="140"/>
      <c r="K3" s="140"/>
      <c r="L3" s="140"/>
      <c r="O3" s="141"/>
      <c r="P3" s="141"/>
    </row>
    <row r="4" spans="1:16" ht="26.25" x14ac:dyDescent="0.25">
      <c r="A4" s="142"/>
      <c r="B4" s="143"/>
      <c r="C4" s="143"/>
      <c r="D4" s="143"/>
      <c r="E4" s="144" t="s">
        <v>10</v>
      </c>
      <c r="F4" s="143"/>
      <c r="G4" s="145"/>
      <c r="H4" s="145"/>
      <c r="I4" s="145"/>
      <c r="J4" s="145"/>
      <c r="K4" s="145"/>
      <c r="L4" s="145"/>
      <c r="O4" s="141"/>
      <c r="P4" s="141"/>
    </row>
    <row r="5" spans="1:16" ht="21.75" customHeight="1" x14ac:dyDescent="0.25">
      <c r="A5" s="146"/>
      <c r="B5" s="146"/>
      <c r="C5" s="147" t="s">
        <v>11</v>
      </c>
      <c r="D5" s="249"/>
      <c r="E5" s="148" t="s">
        <v>12</v>
      </c>
      <c r="F5" s="249"/>
      <c r="G5" s="146"/>
      <c r="H5" s="146"/>
      <c r="I5" s="146"/>
      <c r="J5" s="146"/>
      <c r="K5" s="146"/>
      <c r="L5" s="146"/>
      <c r="O5" s="141"/>
      <c r="P5" s="141"/>
    </row>
    <row r="6" spans="1:16" ht="20.100000000000001" customHeight="1" x14ac:dyDescent="0.25">
      <c r="B6" s="150"/>
      <c r="C6" s="151" t="s">
        <v>13</v>
      </c>
      <c r="D6" s="152" t="s">
        <v>14</v>
      </c>
      <c r="E6" s="153"/>
      <c r="F6" s="151" t="s">
        <v>13</v>
      </c>
      <c r="G6" s="153" t="str">
        <f>IFERROR(CONCATENATE(VLOOKUP(D6,TableCourses[],2,FALSE)," ",VLOOKUP(D6,TableCourses[],3,FALSE)),"")</f>
        <v>OB-CONMN v.3</v>
      </c>
      <c r="H6" s="153"/>
      <c r="I6" s="153"/>
      <c r="J6" s="153"/>
      <c r="K6" s="153"/>
      <c r="L6" s="154" t="e">
        <f>CONCATENATE(VLOOKUP(D6,TableCourses[],2,FALSE),VLOOKUP(D9,TableStudyPeriod[],2,FALSE))</f>
        <v>#N/A</v>
      </c>
      <c r="O6" s="141"/>
      <c r="P6" s="141"/>
    </row>
    <row r="7" spans="1:16" ht="20.100000000000001" customHeight="1" x14ac:dyDescent="0.25">
      <c r="B7" s="150"/>
      <c r="C7" s="151" t="s">
        <v>15</v>
      </c>
      <c r="D7" s="52" t="s">
        <v>16</v>
      </c>
      <c r="E7" s="153"/>
      <c r="F7" s="151" t="s">
        <v>15</v>
      </c>
      <c r="G7" s="153" t="str">
        <f>IFERROR(CONCATENATE(VLOOKUP(D7,TableStream[],2,FALSE)," ",VLOOKUP(D7,TableStream[],3,FALSE)),"")</f>
        <v/>
      </c>
      <c r="H7" s="153"/>
      <c r="I7" s="153"/>
      <c r="J7" s="153"/>
      <c r="K7" s="153"/>
      <c r="L7" s="154" t="e">
        <f>CONCATENATE(VLOOKUP(D7,TableStream[],2,FALSE),VLOOKUP(D9,TableStudyPeriod[],2,FALSE))</f>
        <v>#N/A</v>
      </c>
    </row>
    <row r="8" spans="1:16" ht="20.100000000000001" customHeight="1" x14ac:dyDescent="0.25">
      <c r="B8" s="150"/>
      <c r="C8" s="151" t="s">
        <v>17</v>
      </c>
      <c r="D8" s="53" t="s">
        <v>18</v>
      </c>
      <c r="E8" s="153"/>
      <c r="F8" s="151" t="s">
        <v>19</v>
      </c>
      <c r="G8" s="153" t="str">
        <f>IFERROR(CONCATENATE(VLOOKUP(D8,TableSpecialisations[],2,FALSE)," ",VLOOKUP(D8,TableSpecialisations[],3,FALSE)),"")</f>
        <v/>
      </c>
      <c r="H8" s="153"/>
      <c r="I8" s="153"/>
      <c r="J8" s="153"/>
      <c r="K8" s="153"/>
      <c r="L8" s="154" t="e">
        <f>CONCATENATE(VLOOKUP(D8,TableSpecialisations[],2,FALSE),VLOOKUP(D9,TableStudyPeriod[],2,FALSE))</f>
        <v>#N/A</v>
      </c>
    </row>
    <row r="9" spans="1:16" ht="20.100000000000001" customHeight="1" x14ac:dyDescent="0.25">
      <c r="A9" s="155"/>
      <c r="B9" s="156"/>
      <c r="C9" s="151" t="s">
        <v>20</v>
      </c>
      <c r="D9" s="54" t="s">
        <v>21</v>
      </c>
      <c r="E9" s="157"/>
      <c r="F9" s="151" t="s">
        <v>22</v>
      </c>
      <c r="G9" s="153" t="str">
        <f>IFERROR(VLOOKUP($D$6,TableCourses[],7,FALSE),"")</f>
        <v>800 credit points required</v>
      </c>
      <c r="H9" s="158"/>
      <c r="I9" s="158"/>
      <c r="J9" s="158"/>
      <c r="K9" s="158"/>
      <c r="L9" s="154"/>
    </row>
    <row r="10" spans="1:16" ht="35.1" customHeight="1" x14ac:dyDescent="0.25">
      <c r="A10" s="159" t="s">
        <v>23</v>
      </c>
      <c r="B10" s="160"/>
      <c r="C10" s="161"/>
      <c r="D10" s="162"/>
      <c r="E10" s="163"/>
      <c r="F10" s="161"/>
      <c r="G10" s="162"/>
      <c r="H10" s="164"/>
      <c r="I10" s="164"/>
      <c r="J10" s="164"/>
      <c r="K10" s="164"/>
      <c r="L10" s="165"/>
    </row>
    <row r="11" spans="1:16" s="173" customFormat="1" ht="14.1" customHeight="1" x14ac:dyDescent="0.25">
      <c r="A11" s="166"/>
      <c r="B11" s="166"/>
      <c r="C11" s="166"/>
      <c r="D11" s="167"/>
      <c r="E11" s="168"/>
      <c r="F11" s="166"/>
      <c r="G11" s="166"/>
      <c r="H11" s="169" t="s">
        <v>24</v>
      </c>
      <c r="I11" s="170"/>
      <c r="J11" s="170"/>
      <c r="K11" s="171"/>
      <c r="L11" s="168"/>
      <c r="M11" s="172"/>
      <c r="N11" s="172"/>
      <c r="O11" s="172"/>
    </row>
    <row r="12" spans="1:16" s="173" customFormat="1" ht="21" x14ac:dyDescent="0.25">
      <c r="A12" s="166" t="s">
        <v>25</v>
      </c>
      <c r="B12" s="166"/>
      <c r="C12" s="166" t="s">
        <v>26</v>
      </c>
      <c r="D12" s="167" t="s">
        <v>3</v>
      </c>
      <c r="E12" s="174" t="s">
        <v>27</v>
      </c>
      <c r="F12" s="175" t="s">
        <v>28</v>
      </c>
      <c r="G12" s="166" t="s">
        <v>29</v>
      </c>
      <c r="H12" s="176" t="s">
        <v>30</v>
      </c>
      <c r="I12" s="177" t="s">
        <v>31</v>
      </c>
      <c r="J12" s="177" t="s">
        <v>32</v>
      </c>
      <c r="K12" s="178" t="s">
        <v>33</v>
      </c>
      <c r="L12" s="166" t="s">
        <v>34</v>
      </c>
      <c r="M12" s="172"/>
      <c r="N12" s="172"/>
      <c r="O12" s="172"/>
    </row>
    <row r="13" spans="1:16" s="188" customFormat="1" ht="20.100000000000001" customHeight="1" x14ac:dyDescent="0.15">
      <c r="A13" s="179" t="str">
        <f>IFERROR(IF(HLOOKUP($L$6,RangeUnitsets,M13,FALSE)=0,"",HLOOKUP($L$6,RangeUnitsets,M13,FALSE)),"")</f>
        <v/>
      </c>
      <c r="B13" s="180" t="str">
        <f>IFERROR(IF(VLOOKUP($A13,TableHandbook[],2,FALSE)=0,"",VLOOKUP($A13,TableHandbook[],2,FALSE)),"")</f>
        <v/>
      </c>
      <c r="C13" s="180" t="str">
        <f>IFERROR(IF(VLOOKUP($A13,TableHandbook[],3,FALSE)=0,"",VLOOKUP($A13,TableHandbook[],3,FALSE)),"")</f>
        <v/>
      </c>
      <c r="D13" s="181" t="str">
        <f>IFERROR(IF(VLOOKUP($A13,TableHandbook[],4,FALSE)=0,"",VLOOKUP($A13,TableHandbook[],4,FALSE)),"")</f>
        <v/>
      </c>
      <c r="E13" s="180" t="str">
        <f>IF(A13="","",VLOOKUP($D$9,TableStudyPeriod[],2,FALSE))</f>
        <v/>
      </c>
      <c r="F13" s="182" t="str">
        <f>IFERROR(IF(VLOOKUP($A13,TableHandbook[],6,FALSE)=0,"",VLOOKUP($A13,TableHandbook[],6,FALSE)),"")</f>
        <v/>
      </c>
      <c r="G13" s="180" t="str">
        <f>IFERROR(IF(VLOOKUP($A13,TableHandbook[],5,FALSE)=0,"",VLOOKUP($A13,TableHandbook[],5,FALSE)),"")</f>
        <v/>
      </c>
      <c r="H13" s="183" t="str">
        <f>IFERROR(VLOOKUP($A13,TableHandbook[],H$2,FALSE),"")</f>
        <v/>
      </c>
      <c r="I13" s="184" t="str">
        <f>IFERROR(VLOOKUP($A13,TableHandbook[],I$2,FALSE),"")</f>
        <v/>
      </c>
      <c r="J13" s="184" t="str">
        <f>IFERROR(VLOOKUP($A13,TableHandbook[],J$2,FALSE),"")</f>
        <v/>
      </c>
      <c r="K13" s="185" t="str">
        <f>IFERROR(VLOOKUP($A13,TableHandbook[],K$2,FALSE),"")</f>
        <v/>
      </c>
      <c r="L13" s="97"/>
      <c r="M13" s="186">
        <v>2</v>
      </c>
      <c r="N13" s="187"/>
      <c r="O13" s="187"/>
    </row>
    <row r="14" spans="1:16" s="188" customFormat="1" ht="20.100000000000001" customHeight="1" x14ac:dyDescent="0.15">
      <c r="A14" s="179" t="str">
        <f>IFERROR(IF(HLOOKUP($L$6,RangeUnitsets,M14,FALSE)=0,"",HLOOKUP($L$6,RangeUnitsets,M14,FALSE)),"")</f>
        <v/>
      </c>
      <c r="B14" s="180" t="str">
        <f>IFERROR(IF(VLOOKUP($A14,TableHandbook[],2,FALSE)=0,"",VLOOKUP($A14,TableHandbook[],2,FALSE)),"")</f>
        <v/>
      </c>
      <c r="C14" s="180" t="str">
        <f>IFERROR(IF(VLOOKUP($A14,TableHandbook[],3,FALSE)=0,"",VLOOKUP($A14,TableHandbook[],3,FALSE)),"")</f>
        <v/>
      </c>
      <c r="D14" s="181" t="str">
        <f>IFERROR(IF(VLOOKUP($A14,TableHandbook[],4,FALSE)=0,"",VLOOKUP($A14,TableHandbook[],4,FALSE)),"")</f>
        <v/>
      </c>
      <c r="E14" s="180" t="str">
        <f>IF(OR(A14="",A14="-"),"",E13)</f>
        <v/>
      </c>
      <c r="F14" s="182" t="str">
        <f>IFERROR(IF(VLOOKUP($A14,TableHandbook[],6,FALSE)=0,"",VLOOKUP($A14,TableHandbook[],6,FALSE)),"")</f>
        <v/>
      </c>
      <c r="G14" s="180" t="str">
        <f>IFERROR(IF(VLOOKUP($A14,TableHandbook[],5,FALSE)=0,"",VLOOKUP($A14,TableHandbook[],5,FALSE)),"")</f>
        <v/>
      </c>
      <c r="H14" s="183" t="str">
        <f>IFERROR(VLOOKUP($A14,TableHandbook[],H$2,FALSE),"")</f>
        <v/>
      </c>
      <c r="I14" s="184" t="str">
        <f>IFERROR(VLOOKUP($A14,TableHandbook[],I$2,FALSE),"")</f>
        <v/>
      </c>
      <c r="J14" s="184" t="str">
        <f>IFERROR(VLOOKUP($A14,TableHandbook[],J$2,FALSE),"")</f>
        <v/>
      </c>
      <c r="K14" s="185" t="str">
        <f>IFERROR(VLOOKUP($A14,TableHandbook[],K$2,FALSE),"")</f>
        <v/>
      </c>
      <c r="L14" s="97"/>
      <c r="M14" s="186">
        <v>3</v>
      </c>
      <c r="N14" s="187"/>
      <c r="O14" s="187"/>
    </row>
    <row r="15" spans="1:16" s="188" customFormat="1" ht="5.0999999999999996" customHeight="1" x14ac:dyDescent="0.15">
      <c r="A15" s="189"/>
      <c r="B15" s="190"/>
      <c r="C15" s="190"/>
      <c r="D15" s="191"/>
      <c r="E15" s="190"/>
      <c r="F15" s="192"/>
      <c r="G15" s="190"/>
      <c r="H15" s="193"/>
      <c r="I15" s="194"/>
      <c r="J15" s="194"/>
      <c r="K15" s="195"/>
      <c r="L15" s="98"/>
      <c r="M15" s="186"/>
      <c r="N15" s="187"/>
      <c r="O15" s="187"/>
      <c r="P15" s="187"/>
    </row>
    <row r="16" spans="1:16" s="188" customFormat="1" ht="20.100000000000001" customHeight="1" x14ac:dyDescent="0.15">
      <c r="A16" s="179" t="str">
        <f>IFERROR(IF(HLOOKUP($L$6,RangeUnitsets,M16,FALSE)=0,"",HLOOKUP($L$6,RangeUnitsets,M16,FALSE)),"")</f>
        <v/>
      </c>
      <c r="B16" s="180" t="str">
        <f>IFERROR(IF(VLOOKUP($A16,TableHandbook[],2,FALSE)=0,"",VLOOKUP($A16,TableHandbook[],2,FALSE)),"")</f>
        <v/>
      </c>
      <c r="C16" s="180" t="str">
        <f>IFERROR(IF(VLOOKUP($A16,TableHandbook[],3,FALSE)=0,"",VLOOKUP($A16,TableHandbook[],3,FALSE)),"")</f>
        <v/>
      </c>
      <c r="D16" s="181" t="str">
        <f>IFERROR(IF(VLOOKUP($A16,TableHandbook[],4,FALSE)=0,"",VLOOKUP($A16,TableHandbook[],4,FALSE)),"")</f>
        <v/>
      </c>
      <c r="E16" s="180" t="str">
        <f>IF(A16="","",VLOOKUP($D$9,TableStudyPeriod[],3,FALSE))</f>
        <v/>
      </c>
      <c r="F16" s="182" t="str">
        <f>IFERROR(IF(VLOOKUP($A16,TableHandbook[],6,FALSE)=0,"",VLOOKUP($A16,TableHandbook[],6,FALSE)),"")</f>
        <v/>
      </c>
      <c r="G16" s="180" t="str">
        <f>IFERROR(IF(VLOOKUP($A16,TableHandbook[],5,FALSE)=0,"",VLOOKUP($A16,TableHandbook[],5,FALSE)),"")</f>
        <v/>
      </c>
      <c r="H16" s="183" t="str">
        <f>IFERROR(VLOOKUP(A16,TableHandbook[],7,FALSE),"")</f>
        <v/>
      </c>
      <c r="I16" s="184" t="str">
        <f>IFERROR(VLOOKUP(A16,TableHandbook[],8,FALSE),"")</f>
        <v/>
      </c>
      <c r="J16" s="184" t="str">
        <f>IFERROR(VLOOKUP(A16,TableHandbook[],9,FALSE),"")</f>
        <v/>
      </c>
      <c r="K16" s="185" t="str">
        <f>IFERROR(VLOOKUP(A16,TableHandbook[],10,FALSE),"")</f>
        <v/>
      </c>
      <c r="L16" s="99"/>
      <c r="M16" s="186">
        <v>4</v>
      </c>
      <c r="N16" s="187"/>
      <c r="O16" s="187"/>
    </row>
    <row r="17" spans="1:16" s="188" customFormat="1" ht="20.100000000000001" customHeight="1" x14ac:dyDescent="0.15">
      <c r="A17" s="179" t="str">
        <f>IFERROR(IF(HLOOKUP($L$6,RangeUnitsets,M17,FALSE)=0,"",HLOOKUP($L$6,RangeUnitsets,M17,FALSE)),"")</f>
        <v/>
      </c>
      <c r="B17" s="180" t="str">
        <f>IFERROR(IF(VLOOKUP($A17,TableHandbook[],2,FALSE)=0,"",VLOOKUP($A17,TableHandbook[],2,FALSE)),"")</f>
        <v/>
      </c>
      <c r="C17" s="180" t="str">
        <f>IFERROR(IF(VLOOKUP($A17,TableHandbook[],3,FALSE)=0,"",VLOOKUP($A17,TableHandbook[],3,FALSE)),"")</f>
        <v/>
      </c>
      <c r="D17" s="181" t="str">
        <f>IFERROR(IF(VLOOKUP($A17,TableHandbook[],4,FALSE)=0,"",VLOOKUP($A17,TableHandbook[],4,FALSE)),"")</f>
        <v/>
      </c>
      <c r="E17" s="180" t="str">
        <f>IF(OR(A17="",A17="-"),"",E16)</f>
        <v/>
      </c>
      <c r="F17" s="182" t="str">
        <f>IFERROR(IF(VLOOKUP($A17,TableHandbook[],6,FALSE)=0,"",VLOOKUP($A17,TableHandbook[],6,FALSE)),"")</f>
        <v/>
      </c>
      <c r="G17" s="180" t="str">
        <f>IFERROR(IF(VLOOKUP($A17,TableHandbook[],5,FALSE)=0,"",VLOOKUP($A17,TableHandbook[],5,FALSE)),"")</f>
        <v/>
      </c>
      <c r="H17" s="183" t="str">
        <f>IFERROR(VLOOKUP(A17,TableHandbook[],7,FALSE),"")</f>
        <v/>
      </c>
      <c r="I17" s="184" t="str">
        <f>IFERROR(VLOOKUP(A17,TableHandbook[],8,FALSE),"")</f>
        <v/>
      </c>
      <c r="J17" s="184" t="str">
        <f>IFERROR(VLOOKUP(A17,TableHandbook[],9,FALSE),"")</f>
        <v/>
      </c>
      <c r="K17" s="185" t="str">
        <f>IFERROR(VLOOKUP(A17,TableHandbook[],10,FALSE),"")</f>
        <v/>
      </c>
      <c r="L17" s="97"/>
      <c r="M17" s="186">
        <v>5</v>
      </c>
      <c r="N17" s="187"/>
      <c r="O17" s="187"/>
    </row>
    <row r="18" spans="1:16" s="188" customFormat="1" ht="5.0999999999999996" customHeight="1" x14ac:dyDescent="0.15">
      <c r="A18" s="189"/>
      <c r="B18" s="190"/>
      <c r="C18" s="190"/>
      <c r="D18" s="191"/>
      <c r="E18" s="190"/>
      <c r="F18" s="192"/>
      <c r="G18" s="190"/>
      <c r="H18" s="193"/>
      <c r="I18" s="194"/>
      <c r="J18" s="194"/>
      <c r="K18" s="195"/>
      <c r="L18" s="98"/>
      <c r="M18" s="186"/>
      <c r="N18" s="187"/>
      <c r="O18" s="187"/>
      <c r="P18" s="187"/>
    </row>
    <row r="19" spans="1:16" s="188" customFormat="1" ht="20.100000000000001" customHeight="1" x14ac:dyDescent="0.15">
      <c r="A19" s="179" t="str">
        <f>IFERROR(IF(HLOOKUP($L$6,RangeUnitsets,M19,FALSE)=0,"",HLOOKUP($L$6,RangeUnitsets,M19,FALSE)),"")</f>
        <v/>
      </c>
      <c r="B19" s="196" t="str">
        <f>IFERROR(IF(VLOOKUP($A19,TableHandbook[],2,FALSE)=0,"",VLOOKUP($A19,TableHandbook[],2,FALSE)),"")</f>
        <v/>
      </c>
      <c r="C19" s="196" t="str">
        <f>IFERROR(IF(VLOOKUP($A19,TableHandbook[],3,FALSE)=0,"",VLOOKUP($A19,TableHandbook[],3,FALSE)),"")</f>
        <v/>
      </c>
      <c r="D19" s="181" t="str">
        <f>IFERROR(IF(VLOOKUP($A19,TableHandbook[],4,FALSE)=0,"",VLOOKUP($A19,TableHandbook[],4,FALSE)),"")</f>
        <v/>
      </c>
      <c r="E19" s="180" t="str">
        <f>IF(A19="","",VLOOKUP($D$9,TableStudyPeriod[],4,FALSE))</f>
        <v/>
      </c>
      <c r="F19" s="182" t="str">
        <f>IFERROR(IF(VLOOKUP($A19,TableHandbook[],6,FALSE)=0,"",VLOOKUP($A19,TableHandbook[],6,FALSE)),"")</f>
        <v/>
      </c>
      <c r="G19" s="196" t="str">
        <f>IFERROR(IF(VLOOKUP($A19,TableHandbook[],5,FALSE)=0,"",VLOOKUP($A19,TableHandbook[],5,FALSE)),"")</f>
        <v/>
      </c>
      <c r="H19" s="197" t="str">
        <f>IFERROR(VLOOKUP(A19,TableHandbook[],7,FALSE),"")</f>
        <v/>
      </c>
      <c r="I19" s="198" t="str">
        <f>IFERROR(VLOOKUP(A19,TableHandbook[],8,FALSE),"")</f>
        <v/>
      </c>
      <c r="J19" s="198" t="str">
        <f>IFERROR(VLOOKUP(A19,TableHandbook[],9,FALSE),"")</f>
        <v/>
      </c>
      <c r="K19" s="199" t="str">
        <f>IFERROR(VLOOKUP(A19,TableHandbook[],10,FALSE),"")</f>
        <v/>
      </c>
      <c r="L19" s="99"/>
      <c r="M19" s="186">
        <v>6</v>
      </c>
      <c r="N19" s="187"/>
      <c r="O19" s="187"/>
    </row>
    <row r="20" spans="1:16" s="201" customFormat="1" ht="20.100000000000001" customHeight="1" x14ac:dyDescent="0.15">
      <c r="A20" s="179" t="str">
        <f>IFERROR(IF(HLOOKUP($L$6,RangeUnitsets,M20,FALSE)=0,"",HLOOKUP($L$6,RangeUnitsets,M20,FALSE)),"")</f>
        <v/>
      </c>
      <c r="B20" s="196" t="str">
        <f>IFERROR(IF(VLOOKUP($A20,TableHandbook[],2,FALSE)=0,"",VLOOKUP($A20,TableHandbook[],2,FALSE)),"")</f>
        <v/>
      </c>
      <c r="C20" s="196" t="str">
        <f>IFERROR(IF(VLOOKUP($A20,TableHandbook[],3,FALSE)=0,"",VLOOKUP($A20,TableHandbook[],3,FALSE)),"")</f>
        <v/>
      </c>
      <c r="D20" s="181" t="str">
        <f>IFERROR(IF(VLOOKUP($A20,TableHandbook[],4,FALSE)=0,"",VLOOKUP($A20,TableHandbook[],4,FALSE)),"")</f>
        <v/>
      </c>
      <c r="E20" s="180" t="str">
        <f>IF(OR(A20="",A20="-"),"",E19)</f>
        <v/>
      </c>
      <c r="F20" s="182" t="str">
        <f>IFERROR(IF(VLOOKUP($A20,TableHandbook[],6,FALSE)=0,"",VLOOKUP($A20,TableHandbook[],6,FALSE)),"")</f>
        <v/>
      </c>
      <c r="G20" s="196" t="str">
        <f>IFERROR(IF(VLOOKUP($A20,TableHandbook[],5,FALSE)=0,"",VLOOKUP($A20,TableHandbook[],5,FALSE)),"")</f>
        <v/>
      </c>
      <c r="H20" s="197" t="str">
        <f>IFERROR(VLOOKUP(A20,TableHandbook[],7,FALSE),"")</f>
        <v/>
      </c>
      <c r="I20" s="198" t="str">
        <f>IFERROR(VLOOKUP(A20,TableHandbook[],8,FALSE),"")</f>
        <v/>
      </c>
      <c r="J20" s="198" t="str">
        <f>IFERROR(VLOOKUP(A20,TableHandbook[],9,FALSE),"")</f>
        <v/>
      </c>
      <c r="K20" s="199" t="str">
        <f>IFERROR(VLOOKUP(A20,TableHandbook[],10,FALSE),"")</f>
        <v/>
      </c>
      <c r="L20" s="99"/>
      <c r="M20" s="186">
        <v>7</v>
      </c>
      <c r="N20" s="200"/>
      <c r="O20" s="200"/>
    </row>
    <row r="21" spans="1:16" s="188" customFormat="1" ht="5.0999999999999996" customHeight="1" x14ac:dyDescent="0.15">
      <c r="A21" s="189"/>
      <c r="B21" s="190"/>
      <c r="C21" s="190"/>
      <c r="D21" s="191"/>
      <c r="E21" s="190"/>
      <c r="F21" s="192"/>
      <c r="G21" s="190"/>
      <c r="H21" s="193"/>
      <c r="I21" s="194"/>
      <c r="J21" s="194"/>
      <c r="K21" s="195"/>
      <c r="L21" s="98"/>
      <c r="M21" s="186"/>
      <c r="N21" s="187"/>
      <c r="O21" s="187"/>
      <c r="P21" s="187"/>
    </row>
    <row r="22" spans="1:16" s="201" customFormat="1" ht="20.100000000000001" customHeight="1" x14ac:dyDescent="0.15">
      <c r="A22" s="179" t="str">
        <f>IFERROR(IF(HLOOKUP($L$6,RangeUnitsets,M22,FALSE)=0,"",HLOOKUP($L$6,RangeUnitsets,M22,FALSE)),"")</f>
        <v/>
      </c>
      <c r="B22" s="196" t="str">
        <f>IFERROR(IF(VLOOKUP($A22,TableHandbook[],2,FALSE)=0,"",VLOOKUP($A22,TableHandbook[],2,FALSE)),"")</f>
        <v/>
      </c>
      <c r="C22" s="196" t="str">
        <f>IFERROR(IF(VLOOKUP($A22,TableHandbook[],3,FALSE)=0,"",VLOOKUP($A22,TableHandbook[],3,FALSE)),"")</f>
        <v/>
      </c>
      <c r="D22" s="181" t="str">
        <f>IFERROR(IF(VLOOKUP($A22,TableHandbook[],4,FALSE)=0,"",VLOOKUP($A22,TableHandbook[],4,FALSE)),"")</f>
        <v/>
      </c>
      <c r="E22" s="180" t="str">
        <f>IF(A22="","",VLOOKUP($D$9,TableStudyPeriod[],5,FALSE))</f>
        <v/>
      </c>
      <c r="F22" s="182" t="str">
        <f>IFERROR(IF(VLOOKUP($A22,TableHandbook[],6,FALSE)=0,"",VLOOKUP($A22,TableHandbook[],6,FALSE)),"")</f>
        <v/>
      </c>
      <c r="G22" s="196" t="str">
        <f>IFERROR(IF(VLOOKUP($A22,TableHandbook[],5,FALSE)=0,"",VLOOKUP($A22,TableHandbook[],5,FALSE)),"")</f>
        <v/>
      </c>
      <c r="H22" s="197" t="str">
        <f>IFERROR(VLOOKUP(A22,TableHandbook[],7,FALSE),"")</f>
        <v/>
      </c>
      <c r="I22" s="198" t="str">
        <f>IFERROR(VLOOKUP(A22,TableHandbook[],8,FALSE),"")</f>
        <v/>
      </c>
      <c r="J22" s="198" t="str">
        <f>IFERROR(VLOOKUP(A22,TableHandbook[],9,FALSE),"")</f>
        <v/>
      </c>
      <c r="K22" s="199" t="str">
        <f>IFERROR(VLOOKUP(A22,TableHandbook[],10,FALSE),"")</f>
        <v/>
      </c>
      <c r="L22" s="99"/>
      <c r="M22" s="186">
        <v>8</v>
      </c>
      <c r="N22" s="200"/>
      <c r="O22" s="200"/>
    </row>
    <row r="23" spans="1:16" s="201" customFormat="1" ht="20.100000000000001" customHeight="1" x14ac:dyDescent="0.15">
      <c r="A23" s="179" t="str">
        <f>IFERROR(IF(HLOOKUP($L$6,RangeUnitsets,M23,FALSE)=0,"",HLOOKUP($L$6,RangeUnitsets,M23,FALSE)),"")</f>
        <v/>
      </c>
      <c r="B23" s="196" t="str">
        <f>IFERROR(IF(VLOOKUP($A23,TableHandbook[],2,FALSE)=0,"",VLOOKUP($A23,TableHandbook[],2,FALSE)),"")</f>
        <v/>
      </c>
      <c r="C23" s="196" t="str">
        <f>IFERROR(IF(VLOOKUP($A23,TableHandbook[],3,FALSE)=0,"",VLOOKUP($A23,TableHandbook[],3,FALSE)),"")</f>
        <v/>
      </c>
      <c r="D23" s="202" t="str">
        <f>IFERROR(IF(VLOOKUP($A23,TableHandbook[],4,FALSE)=0,"",VLOOKUP($A23,TableHandbook[],4,FALSE)),"")</f>
        <v/>
      </c>
      <c r="E23" s="196" t="str">
        <f>IF(OR(A23="",A23="-"),"",E22)</f>
        <v/>
      </c>
      <c r="F23" s="182" t="str">
        <f>IFERROR(IF(VLOOKUP($A23,TableHandbook[],6,FALSE)=0,"",VLOOKUP($A23,TableHandbook[],6,FALSE)),"")</f>
        <v/>
      </c>
      <c r="G23" s="196" t="str">
        <f>IFERROR(IF(VLOOKUP($A23,TableHandbook[],5,FALSE)=0,"",VLOOKUP($A23,TableHandbook[],5,FALSE)),"")</f>
        <v/>
      </c>
      <c r="H23" s="197" t="str">
        <f>IFERROR(VLOOKUP(A23,TableHandbook[],7,FALSE),"")</f>
        <v/>
      </c>
      <c r="I23" s="198" t="str">
        <f>IFERROR(VLOOKUP(A23,TableHandbook[],8,FALSE),"")</f>
        <v/>
      </c>
      <c r="J23" s="198" t="str">
        <f>IFERROR(VLOOKUP(A23,TableHandbook[],9,FALSE),"")</f>
        <v/>
      </c>
      <c r="K23" s="199" t="str">
        <f>IFERROR(VLOOKUP(A23,TableHandbook[],10,FALSE),"")</f>
        <v/>
      </c>
      <c r="L23" s="99"/>
      <c r="M23" s="186">
        <v>9</v>
      </c>
      <c r="N23" s="200"/>
      <c r="O23" s="200"/>
    </row>
    <row r="24" spans="1:16" s="173" customFormat="1" ht="21" x14ac:dyDescent="0.25">
      <c r="A24" s="166" t="s">
        <v>35</v>
      </c>
      <c r="B24" s="166"/>
      <c r="C24" s="166" t="s">
        <v>26</v>
      </c>
      <c r="D24" s="167" t="s">
        <v>3</v>
      </c>
      <c r="E24" s="174" t="s">
        <v>27</v>
      </c>
      <c r="F24" s="175" t="s">
        <v>28</v>
      </c>
      <c r="G24" s="166" t="s">
        <v>29</v>
      </c>
      <c r="H24" s="176" t="str">
        <f>H$12</f>
        <v>SP1</v>
      </c>
      <c r="I24" s="177" t="str">
        <f t="shared" ref="I24:L24" si="0">I$12</f>
        <v>SP2</v>
      </c>
      <c r="J24" s="177" t="str">
        <f t="shared" si="0"/>
        <v>SP3</v>
      </c>
      <c r="K24" s="178" t="str">
        <f t="shared" si="0"/>
        <v>SP4</v>
      </c>
      <c r="L24" s="166" t="str">
        <f t="shared" si="0"/>
        <v>Notes / Progress</v>
      </c>
      <c r="M24" s="203"/>
      <c r="N24" s="172"/>
      <c r="O24" s="172"/>
    </row>
    <row r="25" spans="1:16" s="188" customFormat="1" ht="20.100000000000001" customHeight="1" x14ac:dyDescent="0.15">
      <c r="A25" s="179" t="str">
        <f>IFERROR(IF(HLOOKUP($L$6,RangeUnitsets,M25,FALSE)=0,"",HLOOKUP($L$6,RangeUnitsets,M25,FALSE)),"")</f>
        <v/>
      </c>
      <c r="B25" s="196" t="str">
        <f>IFERROR(IF(VLOOKUP($A25,TableHandbook[],2,FALSE)=0,"",VLOOKUP($A25,TableHandbook[],2,FALSE)),"")</f>
        <v/>
      </c>
      <c r="C25" s="196" t="str">
        <f>IFERROR(IF(VLOOKUP($A25,TableHandbook[],3,FALSE)=0,"",VLOOKUP($A25,TableHandbook[],3,FALSE)),"")</f>
        <v/>
      </c>
      <c r="D25" s="204" t="str">
        <f>IFERROR(IF(VLOOKUP($A25,TableHandbook[],4,FALSE)=0,"",VLOOKUP($A25,TableHandbook[],4,FALSE)),"")</f>
        <v/>
      </c>
      <c r="E25" s="196" t="str">
        <f>IF(A25="","",VLOOKUP($D$9,TableStudyPeriod[],2,FALSE))</f>
        <v/>
      </c>
      <c r="F25" s="182" t="str">
        <f>IFERROR(IF(VLOOKUP($A25,TableHandbook[],6,FALSE)=0,"",VLOOKUP($A25,TableHandbook[],6,FALSE)),"")</f>
        <v/>
      </c>
      <c r="G25" s="180" t="str">
        <f>IFERROR(IF(VLOOKUP($A25,TableHandbook[],5,FALSE)=0,"",VLOOKUP($A25,TableHandbook[],5,FALSE)),"")</f>
        <v/>
      </c>
      <c r="H25" s="183" t="str">
        <f>IFERROR(VLOOKUP(A25,TableHandbook[],7,FALSE),"")</f>
        <v/>
      </c>
      <c r="I25" s="184" t="str">
        <f>IFERROR(VLOOKUP(A25,TableHandbook[],8,FALSE),"")</f>
        <v/>
      </c>
      <c r="J25" s="184" t="str">
        <f>IFERROR(VLOOKUP(A25,TableHandbook[],9,FALSE),"")</f>
        <v/>
      </c>
      <c r="K25" s="185" t="str">
        <f>IFERROR(VLOOKUP(A25,TableHandbook[],10,FALSE),"")</f>
        <v/>
      </c>
      <c r="L25" s="97"/>
      <c r="M25" s="186">
        <v>10</v>
      </c>
      <c r="N25" s="187"/>
      <c r="O25" s="187"/>
    </row>
    <row r="26" spans="1:16" s="188" customFormat="1" ht="20.100000000000001" customHeight="1" x14ac:dyDescent="0.15">
      <c r="A26" s="179" t="str">
        <f>IFERROR(IF(HLOOKUP($L$6,RangeUnitsets,M26,FALSE)=0,"",HLOOKUP($L$6,RangeUnitsets,M26,FALSE)),"")</f>
        <v/>
      </c>
      <c r="B26" s="196" t="str">
        <f>IFERROR(IF(VLOOKUP($A26,TableHandbook[],2,FALSE)=0,"",VLOOKUP($A26,TableHandbook[],2,FALSE)),"")</f>
        <v/>
      </c>
      <c r="C26" s="196" t="str">
        <f>IFERROR(IF(VLOOKUP($A26,TableHandbook[],3,FALSE)=0,"",VLOOKUP($A26,TableHandbook[],3,FALSE)),"")</f>
        <v/>
      </c>
      <c r="D26" s="202" t="str">
        <f>IFERROR(IF(VLOOKUP($A26,TableHandbook[],4,FALSE)=0,"",VLOOKUP($A26,TableHandbook[],4,FALSE)),"")</f>
        <v/>
      </c>
      <c r="E26" s="196" t="str">
        <f>IF(OR(A26="",A26="-"),"",E25)</f>
        <v/>
      </c>
      <c r="F26" s="182" t="str">
        <f>IFERROR(IF(VLOOKUP($A26,TableHandbook[],6,FALSE)=0,"",VLOOKUP($A26,TableHandbook[],6,FALSE)),"")</f>
        <v/>
      </c>
      <c r="G26" s="180" t="str">
        <f>IFERROR(IF(VLOOKUP($A26,TableHandbook[],5,FALSE)=0,"",VLOOKUP($A26,TableHandbook[],5,FALSE)),"")</f>
        <v/>
      </c>
      <c r="H26" s="183" t="str">
        <f>IFERROR(VLOOKUP(A26,TableHandbook[],7,FALSE),"")</f>
        <v/>
      </c>
      <c r="I26" s="184" t="str">
        <f>IFERROR(VLOOKUP(A26,TableHandbook[],8,FALSE),"")</f>
        <v/>
      </c>
      <c r="J26" s="184" t="str">
        <f>IFERROR(VLOOKUP(A26,TableHandbook[],9,FALSE),"")</f>
        <v/>
      </c>
      <c r="K26" s="185" t="str">
        <f>IFERROR(VLOOKUP(A26,TableHandbook[],10,FALSE),"")</f>
        <v/>
      </c>
      <c r="L26" s="97"/>
      <c r="M26" s="186">
        <v>11</v>
      </c>
      <c r="N26" s="187"/>
      <c r="O26" s="187"/>
    </row>
    <row r="27" spans="1:16" s="188" customFormat="1" ht="5.0999999999999996" customHeight="1" x14ac:dyDescent="0.15">
      <c r="A27" s="189"/>
      <c r="B27" s="190"/>
      <c r="C27" s="190"/>
      <c r="D27" s="191"/>
      <c r="E27" s="190"/>
      <c r="F27" s="192"/>
      <c r="G27" s="190"/>
      <c r="H27" s="193"/>
      <c r="I27" s="194"/>
      <c r="J27" s="194"/>
      <c r="K27" s="195"/>
      <c r="L27" s="98"/>
      <c r="M27" s="186"/>
      <c r="N27" s="187"/>
      <c r="O27" s="187"/>
      <c r="P27" s="187"/>
    </row>
    <row r="28" spans="1:16" s="188" customFormat="1" ht="20.100000000000001" customHeight="1" x14ac:dyDescent="0.15">
      <c r="A28" s="179" t="str">
        <f>IFERROR(IF(HLOOKUP($L$6,RangeUnitsets,M28,FALSE)=0,"",HLOOKUP($L$6,RangeUnitsets,M28,FALSE)),"")</f>
        <v/>
      </c>
      <c r="B28" s="196" t="str">
        <f>IFERROR(IF(VLOOKUP($A28,TableHandbook[],2,FALSE)=0,"",VLOOKUP($A28,TableHandbook[],2,FALSE)),"")</f>
        <v/>
      </c>
      <c r="C28" s="196" t="str">
        <f>IFERROR(IF(VLOOKUP($A28,TableHandbook[],3,FALSE)=0,"",VLOOKUP($A28,TableHandbook[],3,FALSE)),"")</f>
        <v/>
      </c>
      <c r="D28" s="202" t="str">
        <f>IFERROR(IF(VLOOKUP($A28,TableHandbook[],4,FALSE)=0,"",VLOOKUP($A28,TableHandbook[],4,FALSE)),"")</f>
        <v/>
      </c>
      <c r="E28" s="196" t="str">
        <f>IF(A28="","",VLOOKUP($D$9,TableStudyPeriod[],3,FALSE))</f>
        <v/>
      </c>
      <c r="F28" s="182" t="str">
        <f>IFERROR(IF(VLOOKUP($A28,TableHandbook[],6,FALSE)=0,"",VLOOKUP($A28,TableHandbook[],6,FALSE)),"")</f>
        <v/>
      </c>
      <c r="G28" s="180" t="str">
        <f>IFERROR(IF(VLOOKUP($A28,TableHandbook[],5,FALSE)=0,"",VLOOKUP($A28,TableHandbook[],5,FALSE)),"")</f>
        <v/>
      </c>
      <c r="H28" s="183" t="str">
        <f>IFERROR(VLOOKUP(A28,TableHandbook[],7,FALSE),"")</f>
        <v/>
      </c>
      <c r="I28" s="184" t="str">
        <f>IFERROR(VLOOKUP(A28,TableHandbook[],8,FALSE),"")</f>
        <v/>
      </c>
      <c r="J28" s="184" t="str">
        <f>IFERROR(VLOOKUP(A28,TableHandbook[],9,FALSE),"")</f>
        <v/>
      </c>
      <c r="K28" s="185" t="str">
        <f>IFERROR(VLOOKUP(A28,TableHandbook[],10,FALSE),"")</f>
        <v/>
      </c>
      <c r="L28" s="97"/>
      <c r="M28" s="186">
        <v>12</v>
      </c>
      <c r="N28" s="187"/>
      <c r="O28" s="187"/>
    </row>
    <row r="29" spans="1:16" s="188" customFormat="1" ht="20.100000000000001" customHeight="1" x14ac:dyDescent="0.15">
      <c r="A29" s="179" t="str">
        <f>IFERROR(IF(HLOOKUP($L$6,RangeUnitsets,M29,FALSE)=0,"",HLOOKUP($L$6,RangeUnitsets,M29,FALSE)),"")</f>
        <v/>
      </c>
      <c r="B29" s="196" t="str">
        <f>IFERROR(IF(VLOOKUP($A29,TableHandbook[],2,FALSE)=0,"",VLOOKUP($A29,TableHandbook[],2,FALSE)),"")</f>
        <v/>
      </c>
      <c r="C29" s="196" t="str">
        <f>IFERROR(IF(VLOOKUP($A29,TableHandbook[],3,FALSE)=0,"",VLOOKUP($A29,TableHandbook[],3,FALSE)),"")</f>
        <v/>
      </c>
      <c r="D29" s="202" t="str">
        <f>IFERROR(IF(VLOOKUP($A29,TableHandbook[],4,FALSE)=0,"",VLOOKUP($A29,TableHandbook[],4,FALSE)),"")</f>
        <v/>
      </c>
      <c r="E29" s="196" t="str">
        <f>IF(OR(A29="",A29="-"),"",E28)</f>
        <v/>
      </c>
      <c r="F29" s="182" t="str">
        <f>IFERROR(IF(VLOOKUP($A29,TableHandbook[],6,FALSE)=0,"",VLOOKUP($A29,TableHandbook[],6,FALSE)),"")</f>
        <v/>
      </c>
      <c r="G29" s="180" t="str">
        <f>IFERROR(IF(VLOOKUP($A29,TableHandbook[],5,FALSE)=0,"",VLOOKUP($A29,TableHandbook[],5,FALSE)),"")</f>
        <v/>
      </c>
      <c r="H29" s="183" t="str">
        <f>IFERROR(VLOOKUP(A29,TableHandbook[],7,FALSE),"")</f>
        <v/>
      </c>
      <c r="I29" s="184" t="str">
        <f>IFERROR(VLOOKUP(A29,TableHandbook[],8,FALSE),"")</f>
        <v/>
      </c>
      <c r="J29" s="184" t="str">
        <f>IFERROR(VLOOKUP(A29,TableHandbook[],9,FALSE),"")</f>
        <v/>
      </c>
      <c r="K29" s="185" t="str">
        <f>IFERROR(VLOOKUP(A29,TableHandbook[],10,FALSE),"")</f>
        <v/>
      </c>
      <c r="L29" s="97"/>
      <c r="M29" s="186">
        <v>13</v>
      </c>
      <c r="N29" s="187"/>
      <c r="O29" s="187"/>
    </row>
    <row r="30" spans="1:16" s="188" customFormat="1" ht="5.0999999999999996" customHeight="1" x14ac:dyDescent="0.15">
      <c r="A30" s="189"/>
      <c r="B30" s="190"/>
      <c r="C30" s="190"/>
      <c r="D30" s="191"/>
      <c r="E30" s="190"/>
      <c r="F30" s="192"/>
      <c r="G30" s="190"/>
      <c r="H30" s="193"/>
      <c r="I30" s="194"/>
      <c r="J30" s="194"/>
      <c r="K30" s="195"/>
      <c r="L30" s="98"/>
      <c r="M30" s="186"/>
      <c r="N30" s="187"/>
      <c r="O30" s="187"/>
      <c r="P30" s="187"/>
    </row>
    <row r="31" spans="1:16" s="188" customFormat="1" ht="20.100000000000001" customHeight="1" x14ac:dyDescent="0.15">
      <c r="A31" s="179" t="str">
        <f>IFERROR(IF(HLOOKUP($L$6,RangeUnitsets,M31,FALSE)=0,"",HLOOKUP($L$6,RangeUnitsets,M31,FALSE)),"")</f>
        <v/>
      </c>
      <c r="B31" s="196" t="str">
        <f>IFERROR(IF(VLOOKUP($A31,TableHandbook[],2,FALSE)=0,"",VLOOKUP($A31,TableHandbook[],2,FALSE)),"")</f>
        <v/>
      </c>
      <c r="C31" s="196" t="str">
        <f>IFERROR(IF(VLOOKUP($A31,TableHandbook[],3,FALSE)=0,"",VLOOKUP($A31,TableHandbook[],3,FALSE)),"")</f>
        <v/>
      </c>
      <c r="D31" s="202" t="str">
        <f>IFERROR(IF(VLOOKUP($A31,TableHandbook[],4,FALSE)=0,"",VLOOKUP($A31,TableHandbook[],4,FALSE)),"")</f>
        <v/>
      </c>
      <c r="E31" s="196" t="str">
        <f>IF(A31="","",VLOOKUP($D$9,TableStudyPeriod[],4,FALSE))</f>
        <v/>
      </c>
      <c r="F31" s="182" t="str">
        <f>IFERROR(IF(VLOOKUP($A31,TableHandbook[],6,FALSE)=0,"",VLOOKUP($A31,TableHandbook[],6,FALSE)),"")</f>
        <v/>
      </c>
      <c r="G31" s="180" t="str">
        <f>IFERROR(IF(VLOOKUP($A31,TableHandbook[],5,FALSE)=0,"",VLOOKUP($A31,TableHandbook[],5,FALSE)),"")</f>
        <v/>
      </c>
      <c r="H31" s="183" t="str">
        <f>IFERROR(VLOOKUP(A31,TableHandbook[],7,FALSE),"")</f>
        <v/>
      </c>
      <c r="I31" s="184" t="str">
        <f>IFERROR(VLOOKUP(A31,TableHandbook[],8,FALSE),"")</f>
        <v/>
      </c>
      <c r="J31" s="184" t="str">
        <f>IFERROR(VLOOKUP(A31,TableHandbook[],9,FALSE),"")</f>
        <v/>
      </c>
      <c r="K31" s="185" t="str">
        <f>IFERROR(VLOOKUP(A31,TableHandbook[],10,FALSE),"")</f>
        <v/>
      </c>
      <c r="L31" s="97"/>
      <c r="M31" s="186">
        <v>14</v>
      </c>
      <c r="N31" s="187"/>
      <c r="O31" s="187"/>
    </row>
    <row r="32" spans="1:16" s="188" customFormat="1" ht="20.100000000000001" customHeight="1" x14ac:dyDescent="0.15">
      <c r="A32" s="179" t="str">
        <f>IFERROR(IF(HLOOKUP($L$6,RangeUnitsets,M32,FALSE)=0,"",HLOOKUP($L$6,RangeUnitsets,M32,FALSE)),"")</f>
        <v/>
      </c>
      <c r="B32" s="196" t="str">
        <f>IFERROR(IF(VLOOKUP($A32,TableHandbook[],2,FALSE)=0,"",VLOOKUP($A32,TableHandbook[],2,FALSE)),"")</f>
        <v/>
      </c>
      <c r="C32" s="196" t="str">
        <f>IFERROR(IF(VLOOKUP($A32,TableHandbook[],3,FALSE)=0,"",VLOOKUP($A32,TableHandbook[],3,FALSE)),"")</f>
        <v/>
      </c>
      <c r="D32" s="202" t="str">
        <f>IFERROR(IF(VLOOKUP($A32,TableHandbook[],4,FALSE)=0,"",VLOOKUP($A32,TableHandbook[],4,FALSE)),"")</f>
        <v/>
      </c>
      <c r="E32" s="196" t="str">
        <f>IF(OR(A32="",A32="-"),"",E31)</f>
        <v/>
      </c>
      <c r="F32" s="182" t="str">
        <f>IFERROR(IF(VLOOKUP($A32,TableHandbook[],6,FALSE)=0,"",VLOOKUP($A32,TableHandbook[],6,FALSE)),"")</f>
        <v/>
      </c>
      <c r="G32" s="180" t="str">
        <f>IFERROR(IF(VLOOKUP($A32,TableHandbook[],5,FALSE)=0,"",VLOOKUP($A32,TableHandbook[],5,FALSE)),"")</f>
        <v/>
      </c>
      <c r="H32" s="183" t="str">
        <f>IFERROR(VLOOKUP(A32,TableHandbook[],7,FALSE),"")</f>
        <v/>
      </c>
      <c r="I32" s="184" t="str">
        <f>IFERROR(VLOOKUP(A32,TableHandbook[],8,FALSE),"")</f>
        <v/>
      </c>
      <c r="J32" s="184" t="str">
        <f>IFERROR(VLOOKUP(A32,TableHandbook[],9,FALSE),"")</f>
        <v/>
      </c>
      <c r="K32" s="185" t="str">
        <f>IFERROR(VLOOKUP(A32,TableHandbook[],10,FALSE),"")</f>
        <v/>
      </c>
      <c r="L32" s="97"/>
      <c r="M32" s="186">
        <v>15</v>
      </c>
      <c r="N32" s="187"/>
      <c r="O32" s="187"/>
    </row>
    <row r="33" spans="1:16" s="188" customFormat="1" ht="5.0999999999999996" customHeight="1" x14ac:dyDescent="0.15">
      <c r="A33" s="189"/>
      <c r="B33" s="190"/>
      <c r="C33" s="190"/>
      <c r="D33" s="191"/>
      <c r="E33" s="190"/>
      <c r="F33" s="192"/>
      <c r="G33" s="190"/>
      <c r="H33" s="193"/>
      <c r="I33" s="194"/>
      <c r="J33" s="194"/>
      <c r="K33" s="195"/>
      <c r="L33" s="98"/>
      <c r="M33" s="186"/>
      <c r="N33" s="187"/>
      <c r="O33" s="187"/>
      <c r="P33" s="187"/>
    </row>
    <row r="34" spans="1:16" s="201" customFormat="1" ht="20.100000000000001" customHeight="1" x14ac:dyDescent="0.15">
      <c r="A34" s="179" t="str">
        <f>IFERROR(IF(HLOOKUP($L$6,RangeUnitsets,M34,FALSE)=0,"",HLOOKUP($L$6,RangeUnitsets,M34,FALSE)),"")</f>
        <v/>
      </c>
      <c r="B34" s="196" t="str">
        <f>IFERROR(IF(VLOOKUP($A34,TableHandbook[],2,FALSE)=0,"",VLOOKUP($A34,TableHandbook[],2,FALSE)),"")</f>
        <v/>
      </c>
      <c r="C34" s="196" t="str">
        <f>IFERROR(IF(VLOOKUP($A34,TableHandbook[],3,FALSE)=0,"",VLOOKUP($A34,TableHandbook[],3,FALSE)),"")</f>
        <v/>
      </c>
      <c r="D34" s="202" t="str">
        <f>IFERROR(IF(VLOOKUP($A34,TableHandbook[],4,FALSE)=0,"",VLOOKUP($A34,TableHandbook[],4,FALSE)),"")</f>
        <v/>
      </c>
      <c r="E34" s="196" t="str">
        <f>IF(A34="","",VLOOKUP($D$9,TableStudyPeriod[],5,FALSE))</f>
        <v/>
      </c>
      <c r="F34" s="182" t="str">
        <f>IFERROR(IF(VLOOKUP($A34,TableHandbook[],6,FALSE)=0,"",VLOOKUP($A34,TableHandbook[],6,FALSE)),"")</f>
        <v/>
      </c>
      <c r="G34" s="180" t="str">
        <f>IFERROR(IF(VLOOKUP($A34,TableHandbook[],5,FALSE)=0,"",VLOOKUP($A34,TableHandbook[],5,FALSE)),"")</f>
        <v/>
      </c>
      <c r="H34" s="183" t="str">
        <f>IFERROR(VLOOKUP(A34,TableHandbook[],7,FALSE),"")</f>
        <v/>
      </c>
      <c r="I34" s="184" t="str">
        <f>IFERROR(VLOOKUP(A34,TableHandbook[],8,FALSE),"")</f>
        <v/>
      </c>
      <c r="J34" s="184" t="str">
        <f>IFERROR(VLOOKUP(A34,TableHandbook[],9,FALSE),"")</f>
        <v/>
      </c>
      <c r="K34" s="185" t="str">
        <f>IFERROR(VLOOKUP(A34,TableHandbook[],10,FALSE),"")</f>
        <v/>
      </c>
      <c r="L34" s="97"/>
      <c r="M34" s="186">
        <v>16</v>
      </c>
      <c r="N34" s="200"/>
      <c r="O34" s="200"/>
    </row>
    <row r="35" spans="1:16" s="201" customFormat="1" ht="20.100000000000001" customHeight="1" x14ac:dyDescent="0.15">
      <c r="A35" s="179" t="str">
        <f>IFERROR(IF(HLOOKUP($L$6,RangeUnitsets,M35,FALSE)=0,"",HLOOKUP($L$6,RangeUnitsets,M35,FALSE)),"")</f>
        <v/>
      </c>
      <c r="B35" s="196" t="str">
        <f>IFERROR(IF(VLOOKUP($A35,TableHandbook[],2,FALSE)=0,"",VLOOKUP($A35,TableHandbook[],2,FALSE)),"")</f>
        <v/>
      </c>
      <c r="C35" s="196" t="str">
        <f>IFERROR(IF(VLOOKUP($A35,TableHandbook[],3,FALSE)=0,"",VLOOKUP($A35,TableHandbook[],3,FALSE)),"")</f>
        <v/>
      </c>
      <c r="D35" s="202" t="str">
        <f>IFERROR(IF(VLOOKUP($A35,TableHandbook[],4,FALSE)=0,"",VLOOKUP($A35,TableHandbook[],4,FALSE)),"")</f>
        <v/>
      </c>
      <c r="E35" s="180" t="str">
        <f>IF(OR(A35="",A35="-"),"",E34)</f>
        <v/>
      </c>
      <c r="F35" s="182" t="str">
        <f>IFERROR(IF(VLOOKUP($A35,TableHandbook[],6,FALSE)=0,"",VLOOKUP($A35,TableHandbook[],6,FALSE)),"")</f>
        <v/>
      </c>
      <c r="G35" s="180" t="str">
        <f>IFERROR(IF(VLOOKUP($A35,TableHandbook[],5,FALSE)=0,"",VLOOKUP($A35,TableHandbook[],5,FALSE)),"")</f>
        <v/>
      </c>
      <c r="H35" s="183" t="str">
        <f>IFERROR(VLOOKUP(A35,TableHandbook[],7,FALSE),"")</f>
        <v/>
      </c>
      <c r="I35" s="184" t="str">
        <f>IFERROR(VLOOKUP(A35,TableHandbook[],8,FALSE),"")</f>
        <v/>
      </c>
      <c r="J35" s="184" t="str">
        <f>IFERROR(VLOOKUP(A35,TableHandbook[],9,FALSE),"")</f>
        <v/>
      </c>
      <c r="K35" s="185" t="str">
        <f>IFERROR(VLOOKUP(A35,TableHandbook[],10,FALSE),"")</f>
        <v/>
      </c>
      <c r="L35" s="97"/>
      <c r="M35" s="186">
        <v>17</v>
      </c>
      <c r="N35" s="200"/>
      <c r="O35" s="200"/>
    </row>
    <row r="36" spans="1:16" s="173" customFormat="1" ht="21" x14ac:dyDescent="0.25">
      <c r="A36" s="166" t="s">
        <v>36</v>
      </c>
      <c r="B36" s="166"/>
      <c r="C36" s="166" t="s">
        <v>26</v>
      </c>
      <c r="D36" s="167" t="s">
        <v>3</v>
      </c>
      <c r="E36" s="174" t="s">
        <v>27</v>
      </c>
      <c r="F36" s="175" t="s">
        <v>28</v>
      </c>
      <c r="G36" s="166" t="s">
        <v>29</v>
      </c>
      <c r="H36" s="176" t="str">
        <f>H$12</f>
        <v>SP1</v>
      </c>
      <c r="I36" s="177" t="str">
        <f t="shared" ref="I36:L36" si="1">I$12</f>
        <v>SP2</v>
      </c>
      <c r="J36" s="177" t="str">
        <f t="shared" si="1"/>
        <v>SP3</v>
      </c>
      <c r="K36" s="178" t="str">
        <f t="shared" si="1"/>
        <v>SP4</v>
      </c>
      <c r="L36" s="166" t="str">
        <f t="shared" si="1"/>
        <v>Notes / Progress</v>
      </c>
      <c r="M36" s="203"/>
      <c r="N36" s="172"/>
      <c r="O36" s="172"/>
    </row>
    <row r="37" spans="1:16" s="188" customFormat="1" ht="20.100000000000001" customHeight="1" x14ac:dyDescent="0.15">
      <c r="A37" s="179" t="str">
        <f>IFERROR(IF(HLOOKUP($L$6,RangeUnitsets,M37,FALSE)=0,"",HLOOKUP($L$6,RangeUnitsets,M37,FALSE)),"")</f>
        <v/>
      </c>
      <c r="B37" s="196" t="str">
        <f>IFERROR(IF(VLOOKUP($A37,TableHandbook[],2,FALSE)=0,"",VLOOKUP($A37,TableHandbook[],2,FALSE)),"")</f>
        <v/>
      </c>
      <c r="C37" s="196" t="str">
        <f>IFERROR(IF(VLOOKUP($A37,TableHandbook[],3,FALSE)=0,"",VLOOKUP($A37,TableHandbook[],3,FALSE)),"")</f>
        <v/>
      </c>
      <c r="D37" s="204" t="str">
        <f>IFERROR(IF(VLOOKUP($A37,TableHandbook[],4,FALSE)=0,"",VLOOKUP($A37,TableHandbook[],4,FALSE)),"")</f>
        <v/>
      </c>
      <c r="E37" s="196" t="str">
        <f>IF(A37="","",VLOOKUP($D$9,TableStudyPeriod[],2,FALSE))</f>
        <v/>
      </c>
      <c r="F37" s="182" t="str">
        <f>IFERROR(IF(VLOOKUP($A37,TableHandbook[],6,FALSE)=0,"",VLOOKUP($A37,TableHandbook[],6,FALSE)),"")</f>
        <v/>
      </c>
      <c r="G37" s="180" t="str">
        <f>IFERROR(IF(VLOOKUP($A37,TableHandbook[],5,FALSE)=0,"",VLOOKUP($A37,TableHandbook[],5,FALSE)),"")</f>
        <v/>
      </c>
      <c r="H37" s="183" t="str">
        <f>IFERROR(VLOOKUP(A37,TableHandbook[],7,FALSE),"")</f>
        <v/>
      </c>
      <c r="I37" s="184" t="str">
        <f>IFERROR(VLOOKUP(A37,TableHandbook[],8,FALSE),"")</f>
        <v/>
      </c>
      <c r="J37" s="184" t="str">
        <f>IFERROR(VLOOKUP(A37,TableHandbook[],9,FALSE),"")</f>
        <v/>
      </c>
      <c r="K37" s="185" t="str">
        <f>IFERROR(VLOOKUP(A37,TableHandbook[],10,FALSE),"")</f>
        <v/>
      </c>
      <c r="L37" s="97"/>
      <c r="M37" s="186">
        <v>18</v>
      </c>
      <c r="N37" s="187"/>
      <c r="O37" s="187"/>
    </row>
    <row r="38" spans="1:16" s="188" customFormat="1" ht="20.100000000000001" customHeight="1" x14ac:dyDescent="0.15">
      <c r="A38" s="179" t="str">
        <f>IFERROR(IF(HLOOKUP($L$6,RangeUnitsets,M38,FALSE)=0,"",HLOOKUP($L$6,RangeUnitsets,M38,FALSE)),"")</f>
        <v/>
      </c>
      <c r="B38" s="196" t="str">
        <f>IFERROR(IF(VLOOKUP($A38,TableHandbook[],2,FALSE)=0,"",VLOOKUP($A38,TableHandbook[],2,FALSE)),"")</f>
        <v/>
      </c>
      <c r="C38" s="196" t="str">
        <f>IFERROR(IF(VLOOKUP($A38,TableHandbook[],3,FALSE)=0,"",VLOOKUP($A38,TableHandbook[],3,FALSE)),"")</f>
        <v/>
      </c>
      <c r="D38" s="202" t="str">
        <f>IFERROR(IF(VLOOKUP($A38,TableHandbook[],4,FALSE)=0,"",VLOOKUP($A38,TableHandbook[],4,FALSE)),"")</f>
        <v/>
      </c>
      <c r="E38" s="196" t="str">
        <f>IF(OR(A38="",A38="-"),"",E37)</f>
        <v/>
      </c>
      <c r="F38" s="182" t="str">
        <f>IFERROR(IF(VLOOKUP($A38,TableHandbook[],6,FALSE)=0,"",VLOOKUP($A38,TableHandbook[],6,FALSE)),"")</f>
        <v/>
      </c>
      <c r="G38" s="180" t="str">
        <f>IFERROR(IF(VLOOKUP($A38,TableHandbook[],5,FALSE)=0,"",VLOOKUP($A38,TableHandbook[],5,FALSE)),"")</f>
        <v/>
      </c>
      <c r="H38" s="183" t="str">
        <f>IFERROR(VLOOKUP(A38,TableHandbook[],7,FALSE),"")</f>
        <v/>
      </c>
      <c r="I38" s="184" t="str">
        <f>IFERROR(VLOOKUP(A38,TableHandbook[],8,FALSE),"")</f>
        <v/>
      </c>
      <c r="J38" s="184" t="str">
        <f>IFERROR(VLOOKUP(A38,TableHandbook[],9,FALSE),"")</f>
        <v/>
      </c>
      <c r="K38" s="185" t="str">
        <f>IFERROR(VLOOKUP(A38,TableHandbook[],10,FALSE),"")</f>
        <v/>
      </c>
      <c r="L38" s="97"/>
      <c r="M38" s="186">
        <v>19</v>
      </c>
      <c r="N38" s="187"/>
      <c r="O38" s="187"/>
    </row>
    <row r="39" spans="1:16" s="188" customFormat="1" ht="5.0999999999999996" customHeight="1" x14ac:dyDescent="0.15">
      <c r="A39" s="189"/>
      <c r="B39" s="190"/>
      <c r="C39" s="190"/>
      <c r="D39" s="191"/>
      <c r="E39" s="190"/>
      <c r="F39" s="192"/>
      <c r="G39" s="190"/>
      <c r="H39" s="193"/>
      <c r="I39" s="194"/>
      <c r="J39" s="194"/>
      <c r="K39" s="195"/>
      <c r="L39" s="98"/>
      <c r="M39" s="186"/>
      <c r="N39" s="187"/>
      <c r="O39" s="187"/>
      <c r="P39" s="187"/>
    </row>
    <row r="40" spans="1:16" s="188" customFormat="1" ht="20.100000000000001" customHeight="1" x14ac:dyDescent="0.15">
      <c r="A40" s="179" t="str">
        <f>IFERROR(IF(HLOOKUP($L$6,RangeUnitsets,M40,FALSE)=0,"",HLOOKUP($L$6,RangeUnitsets,M40,FALSE)),"")</f>
        <v/>
      </c>
      <c r="B40" s="196" t="str">
        <f>IFERROR(IF(VLOOKUP($A40,TableHandbook[],2,FALSE)=0,"",VLOOKUP($A40,TableHandbook[],2,FALSE)),"")</f>
        <v/>
      </c>
      <c r="C40" s="196" t="str">
        <f>IFERROR(IF(VLOOKUP($A40,TableHandbook[],3,FALSE)=0,"",VLOOKUP($A40,TableHandbook[],3,FALSE)),"")</f>
        <v/>
      </c>
      <c r="D40" s="202" t="str">
        <f>IFERROR(IF(VLOOKUP($A40,TableHandbook[],4,FALSE)=0,"",VLOOKUP($A40,TableHandbook[],4,FALSE)),"")</f>
        <v/>
      </c>
      <c r="E40" s="196" t="str">
        <f>IF(A40="","",VLOOKUP($D$9,TableStudyPeriod[],3,FALSE))</f>
        <v/>
      </c>
      <c r="F40" s="182" t="str">
        <f>IFERROR(IF(VLOOKUP($A40,TableHandbook[],6,FALSE)=0,"",VLOOKUP($A40,TableHandbook[],6,FALSE)),"")</f>
        <v/>
      </c>
      <c r="G40" s="180" t="str">
        <f>IFERROR(IF(VLOOKUP($A40,TableHandbook[],5,FALSE)=0,"",VLOOKUP($A40,TableHandbook[],5,FALSE)),"")</f>
        <v/>
      </c>
      <c r="H40" s="183" t="str">
        <f>IFERROR(VLOOKUP(A40,TableHandbook[],7,FALSE),"")</f>
        <v/>
      </c>
      <c r="I40" s="184" t="str">
        <f>IFERROR(VLOOKUP(A40,TableHandbook[],8,FALSE),"")</f>
        <v/>
      </c>
      <c r="J40" s="184" t="str">
        <f>IFERROR(VLOOKUP(A40,TableHandbook[],9,FALSE),"")</f>
        <v/>
      </c>
      <c r="K40" s="185" t="str">
        <f>IFERROR(VLOOKUP(A40,TableHandbook[],10,FALSE),"")</f>
        <v/>
      </c>
      <c r="L40" s="97"/>
      <c r="M40" s="186">
        <v>20</v>
      </c>
      <c r="N40" s="187"/>
      <c r="O40" s="187"/>
    </row>
    <row r="41" spans="1:16" s="188" customFormat="1" ht="20.100000000000001" customHeight="1" x14ac:dyDescent="0.15">
      <c r="A41" s="179" t="str">
        <f>IFERROR(IF(HLOOKUP($L$6,RangeUnitsets,M41,FALSE)=0,"",HLOOKUP($L$6,RangeUnitsets,M41,FALSE)),"")</f>
        <v/>
      </c>
      <c r="B41" s="196" t="str">
        <f>IFERROR(IF(VLOOKUP($A41,TableHandbook[],2,FALSE)=0,"",VLOOKUP($A41,TableHandbook[],2,FALSE)),"")</f>
        <v/>
      </c>
      <c r="C41" s="196" t="str">
        <f>IFERROR(IF(VLOOKUP($A41,TableHandbook[],3,FALSE)=0,"",VLOOKUP($A41,TableHandbook[],3,FALSE)),"")</f>
        <v/>
      </c>
      <c r="D41" s="202" t="str">
        <f>IFERROR(IF(VLOOKUP($A41,TableHandbook[],4,FALSE)=0,"",VLOOKUP($A41,TableHandbook[],4,FALSE)),"")</f>
        <v/>
      </c>
      <c r="E41" s="196" t="str">
        <f>IF(OR(A41="",A41="-"),"",E40)</f>
        <v/>
      </c>
      <c r="F41" s="182" t="str">
        <f>IFERROR(IF(VLOOKUP($A41,TableHandbook[],6,FALSE)=0,"",VLOOKUP($A41,TableHandbook[],6,FALSE)),"")</f>
        <v/>
      </c>
      <c r="G41" s="180" t="str">
        <f>IFERROR(IF(VLOOKUP($A41,TableHandbook[],5,FALSE)=0,"",VLOOKUP($A41,TableHandbook[],5,FALSE)),"")</f>
        <v/>
      </c>
      <c r="H41" s="183" t="str">
        <f>IFERROR(VLOOKUP(A41,TableHandbook[],7,FALSE),"")</f>
        <v/>
      </c>
      <c r="I41" s="184" t="str">
        <f>IFERROR(VLOOKUP(A41,TableHandbook[],8,FALSE),"")</f>
        <v/>
      </c>
      <c r="J41" s="184" t="str">
        <f>IFERROR(VLOOKUP(A41,TableHandbook[],9,FALSE),"")</f>
        <v/>
      </c>
      <c r="K41" s="185" t="str">
        <f>IFERROR(VLOOKUP(A41,TableHandbook[],10,FALSE),"")</f>
        <v/>
      </c>
      <c r="L41" s="97"/>
      <c r="M41" s="186">
        <v>21</v>
      </c>
      <c r="N41" s="187"/>
      <c r="O41" s="187"/>
    </row>
    <row r="42" spans="1:16" s="188" customFormat="1" ht="5.0999999999999996" customHeight="1" x14ac:dyDescent="0.15">
      <c r="A42" s="189"/>
      <c r="B42" s="190"/>
      <c r="C42" s="190"/>
      <c r="D42" s="191"/>
      <c r="E42" s="190"/>
      <c r="F42" s="192"/>
      <c r="G42" s="190"/>
      <c r="H42" s="193"/>
      <c r="I42" s="194"/>
      <c r="J42" s="194"/>
      <c r="K42" s="195"/>
      <c r="L42" s="98"/>
      <c r="M42" s="186"/>
      <c r="N42" s="187"/>
      <c r="O42" s="187"/>
      <c r="P42" s="187"/>
    </row>
    <row r="43" spans="1:16" s="188" customFormat="1" ht="20.100000000000001" customHeight="1" x14ac:dyDescent="0.15">
      <c r="A43" s="179" t="str">
        <f>IFERROR(IF(HLOOKUP($L$6,RangeUnitsets,M43,FALSE)=0,"",HLOOKUP($L$6,RangeUnitsets,M43,FALSE)),"")</f>
        <v/>
      </c>
      <c r="B43" s="196" t="str">
        <f>IFERROR(IF(VLOOKUP($A43,TableHandbook[],2,FALSE)=0,"",VLOOKUP($A43,TableHandbook[],2,FALSE)),"")</f>
        <v/>
      </c>
      <c r="C43" s="196" t="str">
        <f>IFERROR(IF(VLOOKUP($A43,TableHandbook[],3,FALSE)=0,"",VLOOKUP($A43,TableHandbook[],3,FALSE)),"")</f>
        <v/>
      </c>
      <c r="D43" s="202" t="str">
        <f>IFERROR(IF(VLOOKUP($A43,TableHandbook[],4,FALSE)=0,"",VLOOKUP($A43,TableHandbook[],4,FALSE)),"")</f>
        <v/>
      </c>
      <c r="E43" s="196" t="str">
        <f>IF(A43="","",VLOOKUP($D$9,TableStudyPeriod[],4,FALSE))</f>
        <v/>
      </c>
      <c r="F43" s="182" t="str">
        <f>IFERROR(IF(VLOOKUP($A43,TableHandbook[],6,FALSE)=0,"",VLOOKUP($A43,TableHandbook[],6,FALSE)),"")</f>
        <v/>
      </c>
      <c r="G43" s="180" t="str">
        <f>IFERROR(IF(VLOOKUP($A43,TableHandbook[],5,FALSE)=0,"",VLOOKUP($A43,TableHandbook[],5,FALSE)),"")</f>
        <v/>
      </c>
      <c r="H43" s="183" t="str">
        <f>IFERROR(VLOOKUP(A43,TableHandbook[],7,FALSE),"")</f>
        <v/>
      </c>
      <c r="I43" s="184" t="str">
        <f>IFERROR(VLOOKUP(A43,TableHandbook[],8,FALSE),"")</f>
        <v/>
      </c>
      <c r="J43" s="184" t="str">
        <f>IFERROR(VLOOKUP(A43,TableHandbook[],9,FALSE),"")</f>
        <v/>
      </c>
      <c r="K43" s="185" t="str">
        <f>IFERROR(VLOOKUP(A43,TableHandbook[],10,FALSE),"")</f>
        <v/>
      </c>
      <c r="L43" s="97"/>
      <c r="M43" s="186">
        <v>22</v>
      </c>
      <c r="N43" s="187"/>
      <c r="O43" s="187"/>
    </row>
    <row r="44" spans="1:16" s="188" customFormat="1" ht="20.100000000000001" customHeight="1" x14ac:dyDescent="0.15">
      <c r="A44" s="179" t="str">
        <f>IFERROR(IF(HLOOKUP($L$6,RangeUnitsets,M44,FALSE)=0,"",HLOOKUP($L$6,RangeUnitsets,M44,FALSE)),"")</f>
        <v/>
      </c>
      <c r="B44" s="196" t="str">
        <f>IFERROR(IF(VLOOKUP($A44,TableHandbook[],2,FALSE)=0,"",VLOOKUP($A44,TableHandbook[],2,FALSE)),"")</f>
        <v/>
      </c>
      <c r="C44" s="196" t="str">
        <f>IFERROR(IF(VLOOKUP($A44,TableHandbook[],3,FALSE)=0,"",VLOOKUP($A44,TableHandbook[],3,FALSE)),"")</f>
        <v/>
      </c>
      <c r="D44" s="202" t="str">
        <f>IFERROR(IF(VLOOKUP($A44,TableHandbook[],4,FALSE)=0,"",VLOOKUP($A44,TableHandbook[],4,FALSE)),"")</f>
        <v/>
      </c>
      <c r="E44" s="196" t="str">
        <f>IF(OR(A44="",A44="-"),"",E43)</f>
        <v/>
      </c>
      <c r="F44" s="182" t="str">
        <f>IFERROR(IF(VLOOKUP($A44,TableHandbook[],6,FALSE)=0,"",VLOOKUP($A44,TableHandbook[],6,FALSE)),"")</f>
        <v/>
      </c>
      <c r="G44" s="180" t="str">
        <f>IFERROR(IF(VLOOKUP($A44,TableHandbook[],5,FALSE)=0,"",VLOOKUP($A44,TableHandbook[],5,FALSE)),"")</f>
        <v/>
      </c>
      <c r="H44" s="183" t="str">
        <f>IFERROR(VLOOKUP(A44,TableHandbook[],7,FALSE),"")</f>
        <v/>
      </c>
      <c r="I44" s="184" t="str">
        <f>IFERROR(VLOOKUP(A44,TableHandbook[],8,FALSE),"")</f>
        <v/>
      </c>
      <c r="J44" s="184" t="str">
        <f>IFERROR(VLOOKUP(A44,TableHandbook[],9,FALSE),"")</f>
        <v/>
      </c>
      <c r="K44" s="185" t="str">
        <f>IFERROR(VLOOKUP(A44,TableHandbook[],10,FALSE),"")</f>
        <v/>
      </c>
      <c r="L44" s="97"/>
      <c r="M44" s="186">
        <v>23</v>
      </c>
      <c r="N44" s="187"/>
      <c r="O44" s="187"/>
    </row>
    <row r="45" spans="1:16" s="188" customFormat="1" ht="5.0999999999999996" customHeight="1" x14ac:dyDescent="0.15">
      <c r="A45" s="189"/>
      <c r="B45" s="190"/>
      <c r="C45" s="190"/>
      <c r="D45" s="191"/>
      <c r="E45" s="190"/>
      <c r="F45" s="192"/>
      <c r="G45" s="190"/>
      <c r="H45" s="193"/>
      <c r="I45" s="194"/>
      <c r="J45" s="194"/>
      <c r="K45" s="195"/>
      <c r="L45" s="98"/>
      <c r="M45" s="186"/>
      <c r="N45" s="187"/>
      <c r="O45" s="187"/>
      <c r="P45" s="187"/>
    </row>
    <row r="46" spans="1:16" s="201" customFormat="1" ht="20.100000000000001" customHeight="1" x14ac:dyDescent="0.15">
      <c r="A46" s="179" t="str">
        <f>IFERROR(IF(HLOOKUP($L$6,RangeUnitsets,M46,FALSE)=0,"",HLOOKUP($L$6,RangeUnitsets,M46,FALSE)),"")</f>
        <v/>
      </c>
      <c r="B46" s="196" t="str">
        <f>IFERROR(IF(VLOOKUP($A46,TableHandbook[],2,FALSE)=0,"",VLOOKUP($A46,TableHandbook[],2,FALSE)),"")</f>
        <v/>
      </c>
      <c r="C46" s="196" t="str">
        <f>IFERROR(IF(VLOOKUP($A46,TableHandbook[],3,FALSE)=0,"",VLOOKUP($A46,TableHandbook[],3,FALSE)),"")</f>
        <v/>
      </c>
      <c r="D46" s="202" t="str">
        <f>IFERROR(IF(VLOOKUP($A46,TableHandbook[],4,FALSE)=0,"",VLOOKUP($A46,TableHandbook[],4,FALSE)),"")</f>
        <v/>
      </c>
      <c r="E46" s="196" t="str">
        <f>IF(A46="","",VLOOKUP($D$9,TableStudyPeriod[],5,FALSE))</f>
        <v/>
      </c>
      <c r="F46" s="182" t="str">
        <f>IFERROR(IF(VLOOKUP($A46,TableHandbook[],6,FALSE)=0,"",VLOOKUP($A46,TableHandbook[],6,FALSE)),"")</f>
        <v/>
      </c>
      <c r="G46" s="180" t="str">
        <f>IFERROR(IF(VLOOKUP($A46,TableHandbook[],5,FALSE)=0,"",VLOOKUP($A46,TableHandbook[],5,FALSE)),"")</f>
        <v/>
      </c>
      <c r="H46" s="183" t="str">
        <f>IFERROR(VLOOKUP(A46,TableHandbook[],7,FALSE),"")</f>
        <v/>
      </c>
      <c r="I46" s="184" t="str">
        <f>IFERROR(VLOOKUP(A46,TableHandbook[],8,FALSE),"")</f>
        <v/>
      </c>
      <c r="J46" s="184" t="str">
        <f>IFERROR(VLOOKUP(A46,TableHandbook[],9,FALSE),"")</f>
        <v/>
      </c>
      <c r="K46" s="185" t="str">
        <f>IFERROR(VLOOKUP(A46,TableHandbook[],10,FALSE),"")</f>
        <v/>
      </c>
      <c r="L46" s="97"/>
      <c r="M46" s="186">
        <v>24</v>
      </c>
      <c r="N46" s="200"/>
      <c r="O46" s="200"/>
    </row>
    <row r="47" spans="1:16" s="201" customFormat="1" ht="20.100000000000001" customHeight="1" x14ac:dyDescent="0.15">
      <c r="A47" s="179" t="str">
        <f>IFERROR(IF(HLOOKUP($L$6,RangeUnitsets,M47,FALSE)=0,"",HLOOKUP($L$6,RangeUnitsets,M47,FALSE)),"")</f>
        <v/>
      </c>
      <c r="B47" s="196" t="str">
        <f>IFERROR(IF(VLOOKUP($A47,TableHandbook[],2,FALSE)=0,"",VLOOKUP($A47,TableHandbook[],2,FALSE)),"")</f>
        <v/>
      </c>
      <c r="C47" s="196" t="str">
        <f>IFERROR(IF(VLOOKUP($A47,TableHandbook[],3,FALSE)=0,"",VLOOKUP($A47,TableHandbook[],3,FALSE)),"")</f>
        <v/>
      </c>
      <c r="D47" s="202" t="str">
        <f>IFERROR(IF(VLOOKUP($A47,TableHandbook[],4,FALSE)=0,"",VLOOKUP($A47,TableHandbook[],4,FALSE)),"")</f>
        <v/>
      </c>
      <c r="E47" s="180" t="str">
        <f>IF(OR(A47="",A47="-"),"",E46)</f>
        <v/>
      </c>
      <c r="F47" s="182" t="str">
        <f>IFERROR(IF(VLOOKUP($A47,TableHandbook[],6,FALSE)=0,"",VLOOKUP($A47,TableHandbook[],6,FALSE)),"")</f>
        <v/>
      </c>
      <c r="G47" s="180" t="str">
        <f>IFERROR(IF(VLOOKUP($A47,TableHandbook[],5,FALSE)=0,"",VLOOKUP($A47,TableHandbook[],5,FALSE)),"")</f>
        <v/>
      </c>
      <c r="H47" s="183" t="str">
        <f>IFERROR(VLOOKUP(A47,TableHandbook[],7,FALSE),"")</f>
        <v/>
      </c>
      <c r="I47" s="184" t="str">
        <f>IFERROR(VLOOKUP(A47,TableHandbook[],8,FALSE),"")</f>
        <v/>
      </c>
      <c r="J47" s="184" t="str">
        <f>IFERROR(VLOOKUP(A47,TableHandbook[],9,FALSE),"")</f>
        <v/>
      </c>
      <c r="K47" s="185" t="str">
        <f>IFERROR(VLOOKUP(A47,TableHandbook[],10,FALSE),"")</f>
        <v/>
      </c>
      <c r="L47" s="97"/>
      <c r="M47" s="186">
        <v>25</v>
      </c>
      <c r="N47" s="200"/>
      <c r="O47" s="200"/>
    </row>
    <row r="48" spans="1:16" s="201" customFormat="1" ht="21" customHeight="1" x14ac:dyDescent="0.15">
      <c r="A48" s="166" t="s">
        <v>37</v>
      </c>
      <c r="B48" s="166"/>
      <c r="C48" s="166" t="s">
        <v>26</v>
      </c>
      <c r="D48" s="167" t="s">
        <v>3</v>
      </c>
      <c r="E48" s="174" t="s">
        <v>27</v>
      </c>
      <c r="F48" s="175" t="s">
        <v>28</v>
      </c>
      <c r="G48" s="166" t="s">
        <v>29</v>
      </c>
      <c r="H48" s="176" t="str">
        <f>H$12</f>
        <v>SP1</v>
      </c>
      <c r="I48" s="177" t="str">
        <f t="shared" ref="I48:L48" si="2">I$12</f>
        <v>SP2</v>
      </c>
      <c r="J48" s="177" t="str">
        <f t="shared" si="2"/>
        <v>SP3</v>
      </c>
      <c r="K48" s="178" t="str">
        <f t="shared" si="2"/>
        <v>SP4</v>
      </c>
      <c r="L48" s="166" t="str">
        <f t="shared" si="2"/>
        <v>Notes / Progress</v>
      </c>
      <c r="M48" s="203"/>
      <c r="N48" s="200"/>
      <c r="O48" s="200"/>
    </row>
    <row r="49" spans="1:16" s="201" customFormat="1" ht="20.100000000000001" customHeight="1" x14ac:dyDescent="0.15">
      <c r="A49" s="179" t="str">
        <f t="shared" ref="A49:A59" si="3">IFERROR(IF(HLOOKUP($L$7,RangeUnitSetsY4,M49,FALSE)=0,"",HLOOKUP($L$7,RangeUnitSetsY4,M49,FALSE)),"")</f>
        <v/>
      </c>
      <c r="B49" s="196" t="str">
        <f>IFERROR(IF(VLOOKUP($A49,TableHandbook[],2,FALSE)=0,"",VLOOKUP($A49,TableHandbook[],2,FALSE)),"")</f>
        <v/>
      </c>
      <c r="C49" s="196" t="str">
        <f>IFERROR(IF(VLOOKUP($A49,TableHandbook[],3,FALSE)=0,"",VLOOKUP($A49,TableHandbook[],3,FALSE)),"")</f>
        <v/>
      </c>
      <c r="D49" s="204" t="str">
        <f>IFERROR(IF(VLOOKUP($A49,TableHandbook[],4,FALSE)=0,"",VLOOKUP($A49,TableHandbook[],4,FALSE)),"")</f>
        <v/>
      </c>
      <c r="E49" s="196" t="str">
        <f>IF(A49="","",VLOOKUP($D$9,TableStudyPeriod[],2,FALSE))</f>
        <v/>
      </c>
      <c r="F49" s="182" t="str">
        <f>IFERROR(IF(VLOOKUP($A49,TableHandbook[],6,FALSE)=0,"",VLOOKUP($A49,TableHandbook[],6,FALSE)),"")</f>
        <v/>
      </c>
      <c r="G49" s="180" t="str">
        <f>IFERROR(IF(VLOOKUP($A49,TableHandbook[],5,FALSE)=0,"",VLOOKUP($A49,TableHandbook[],5,FALSE)),"")</f>
        <v/>
      </c>
      <c r="H49" s="183" t="str">
        <f>IFERROR(VLOOKUP(A49,TableHandbook[],7,FALSE),"")</f>
        <v/>
      </c>
      <c r="I49" s="184" t="str">
        <f>IFERROR(VLOOKUP(A49,TableHandbook[],8,FALSE),"")</f>
        <v/>
      </c>
      <c r="J49" s="184" t="str">
        <f>IFERROR(VLOOKUP(A49,TableHandbook[],9,FALSE),"")</f>
        <v/>
      </c>
      <c r="K49" s="185" t="str">
        <f>IFERROR(VLOOKUP(A49,TableHandbook[],10,FALSE),"")</f>
        <v/>
      </c>
      <c r="L49" s="97"/>
      <c r="M49" s="186">
        <v>2</v>
      </c>
      <c r="N49" s="200"/>
      <c r="O49" s="200"/>
    </row>
    <row r="50" spans="1:16" s="201" customFormat="1" ht="20.100000000000001" customHeight="1" x14ac:dyDescent="0.15">
      <c r="A50" s="179" t="str">
        <f t="shared" si="3"/>
        <v/>
      </c>
      <c r="B50" s="196" t="str">
        <f>IFERROR(IF(VLOOKUP($A50,TableHandbook[],2,FALSE)=0,"",VLOOKUP($A50,TableHandbook[],2,FALSE)),"")</f>
        <v/>
      </c>
      <c r="C50" s="196" t="str">
        <f>IFERROR(IF(VLOOKUP($A50,TableHandbook[],3,FALSE)=0,"",VLOOKUP($A50,TableHandbook[],3,FALSE)),"")</f>
        <v/>
      </c>
      <c r="D50" s="202" t="str">
        <f>IFERROR(IF(VLOOKUP($A50,TableHandbook[],4,FALSE)=0,"",VLOOKUP($A50,TableHandbook[],4,FALSE)),"")</f>
        <v/>
      </c>
      <c r="E50" s="196" t="str">
        <f>IF(OR(A50="",A50="-"),"",E49)</f>
        <v/>
      </c>
      <c r="F50" s="182" t="str">
        <f>IFERROR(IF(VLOOKUP($A50,TableHandbook[],6,FALSE)=0,"",VLOOKUP($A50,TableHandbook[],6,FALSE)),"")</f>
        <v/>
      </c>
      <c r="G50" s="180" t="str">
        <f>IFERROR(IF(VLOOKUP($A50,TableHandbook[],5,FALSE)=0,"",VLOOKUP($A50,TableHandbook[],5,FALSE)),"")</f>
        <v/>
      </c>
      <c r="H50" s="183" t="str">
        <f>IFERROR(VLOOKUP(A50,TableHandbook[],7,FALSE),"")</f>
        <v/>
      </c>
      <c r="I50" s="184" t="str">
        <f>IFERROR(VLOOKUP(A50,TableHandbook[],8,FALSE),"")</f>
        <v/>
      </c>
      <c r="J50" s="184" t="str">
        <f>IFERROR(VLOOKUP(A50,TableHandbook[],9,FALSE),"")</f>
        <v/>
      </c>
      <c r="K50" s="185" t="str">
        <f>IFERROR(VLOOKUP(A50,TableHandbook[],10,FALSE),"")</f>
        <v/>
      </c>
      <c r="L50" s="97"/>
      <c r="M50" s="186">
        <v>3</v>
      </c>
      <c r="N50" s="200"/>
      <c r="O50" s="200"/>
    </row>
    <row r="51" spans="1:16" s="188" customFormat="1" ht="5.0999999999999996" customHeight="1" x14ac:dyDescent="0.15">
      <c r="A51" s="189"/>
      <c r="B51" s="190"/>
      <c r="C51" s="190"/>
      <c r="D51" s="191"/>
      <c r="E51" s="190"/>
      <c r="F51" s="192"/>
      <c r="G51" s="190"/>
      <c r="H51" s="193"/>
      <c r="I51" s="194"/>
      <c r="J51" s="194"/>
      <c r="K51" s="195"/>
      <c r="L51" s="98"/>
      <c r="M51" s="186"/>
      <c r="N51" s="187"/>
      <c r="O51" s="187"/>
      <c r="P51" s="187"/>
    </row>
    <row r="52" spans="1:16" s="201" customFormat="1" ht="20.100000000000001" customHeight="1" x14ac:dyDescent="0.15">
      <c r="A52" s="179" t="str">
        <f t="shared" si="3"/>
        <v/>
      </c>
      <c r="B52" s="196" t="str">
        <f>IFERROR(IF(VLOOKUP($A52,TableHandbook[],2,FALSE)=0,"",VLOOKUP($A52,TableHandbook[],2,FALSE)),"")</f>
        <v/>
      </c>
      <c r="C52" s="196" t="str">
        <f>IFERROR(IF(VLOOKUP($A52,TableHandbook[],3,FALSE)=0,"",VLOOKUP($A52,TableHandbook[],3,FALSE)),"")</f>
        <v/>
      </c>
      <c r="D52" s="202" t="str">
        <f>IFERROR(IF(VLOOKUP($A52,TableHandbook[],4,FALSE)=0,"",VLOOKUP($A52,TableHandbook[],4,FALSE)),"")</f>
        <v/>
      </c>
      <c r="E52" s="196" t="str">
        <f>IF(A52="","",VLOOKUP($D$9,TableStudyPeriod[],3,FALSE))</f>
        <v/>
      </c>
      <c r="F52" s="182" t="str">
        <f>IFERROR(IF(VLOOKUP($A52,TableHandbook[],6,FALSE)=0,"",VLOOKUP($A52,TableHandbook[],6,FALSE)),"")</f>
        <v/>
      </c>
      <c r="G52" s="180" t="str">
        <f>IFERROR(IF(VLOOKUP($A52,TableHandbook[],5,FALSE)=0,"",VLOOKUP($A52,TableHandbook[],5,FALSE)),"")</f>
        <v/>
      </c>
      <c r="H52" s="183" t="str">
        <f>IFERROR(VLOOKUP(A52,TableHandbook[],7,FALSE),"")</f>
        <v/>
      </c>
      <c r="I52" s="184" t="str">
        <f>IFERROR(VLOOKUP(A52,TableHandbook[],8,FALSE),"")</f>
        <v/>
      </c>
      <c r="J52" s="184" t="str">
        <f>IFERROR(VLOOKUP(A52,TableHandbook[],9,FALSE),"")</f>
        <v/>
      </c>
      <c r="K52" s="185" t="str">
        <f>IFERROR(VLOOKUP(A52,TableHandbook[],10,FALSE),"")</f>
        <v/>
      </c>
      <c r="L52" s="97"/>
      <c r="M52" s="186">
        <v>4</v>
      </c>
      <c r="N52" s="200"/>
      <c r="O52" s="200"/>
    </row>
    <row r="53" spans="1:16" s="201" customFormat="1" ht="20.100000000000001" customHeight="1" x14ac:dyDescent="0.15">
      <c r="A53" s="179" t="str">
        <f t="shared" si="3"/>
        <v/>
      </c>
      <c r="B53" s="196" t="str">
        <f>IFERROR(IF(VLOOKUP($A53,TableHandbook[],2,FALSE)=0,"",VLOOKUP($A53,TableHandbook[],2,FALSE)),"")</f>
        <v/>
      </c>
      <c r="C53" s="196" t="str">
        <f>IFERROR(IF(VLOOKUP($A53,TableHandbook[],3,FALSE)=0,"",VLOOKUP($A53,TableHandbook[],3,FALSE)),"")</f>
        <v/>
      </c>
      <c r="D53" s="202" t="str">
        <f>IFERROR(IF(VLOOKUP($A53,TableHandbook[],4,FALSE)=0,"",VLOOKUP($A53,TableHandbook[],4,FALSE)),"")</f>
        <v/>
      </c>
      <c r="E53" s="196" t="str">
        <f>IF(OR(A53="",A53="-"),"",E52)</f>
        <v/>
      </c>
      <c r="F53" s="182" t="str">
        <f>IFERROR(IF(VLOOKUP($A53,TableHandbook[],6,FALSE)=0,"",VLOOKUP($A53,TableHandbook[],6,FALSE)),"")</f>
        <v/>
      </c>
      <c r="G53" s="180" t="str">
        <f>IFERROR(IF(VLOOKUP($A53,TableHandbook[],5,FALSE)=0,"",VLOOKUP($A53,TableHandbook[],5,FALSE)),"")</f>
        <v/>
      </c>
      <c r="H53" s="183" t="str">
        <f>IFERROR(VLOOKUP(A53,TableHandbook[],7,FALSE),"")</f>
        <v/>
      </c>
      <c r="I53" s="184" t="str">
        <f>IFERROR(VLOOKUP(A53,TableHandbook[],8,FALSE),"")</f>
        <v/>
      </c>
      <c r="J53" s="184" t="str">
        <f>IFERROR(VLOOKUP(A53,TableHandbook[],9,FALSE),"")</f>
        <v/>
      </c>
      <c r="K53" s="185" t="str">
        <f>IFERROR(VLOOKUP(A53,TableHandbook[],10,FALSE),"")</f>
        <v/>
      </c>
      <c r="L53" s="97"/>
      <c r="M53" s="186">
        <v>5</v>
      </c>
      <c r="N53" s="200"/>
      <c r="O53" s="200"/>
    </row>
    <row r="54" spans="1:16" s="188" customFormat="1" ht="5.0999999999999996" customHeight="1" x14ac:dyDescent="0.15">
      <c r="A54" s="189"/>
      <c r="B54" s="190"/>
      <c r="C54" s="190"/>
      <c r="D54" s="191"/>
      <c r="E54" s="190"/>
      <c r="F54" s="192"/>
      <c r="G54" s="190"/>
      <c r="H54" s="193"/>
      <c r="I54" s="194"/>
      <c r="J54" s="194"/>
      <c r="K54" s="195"/>
      <c r="L54" s="98"/>
      <c r="M54" s="186"/>
      <c r="N54" s="187"/>
      <c r="O54" s="187"/>
      <c r="P54" s="187"/>
    </row>
    <row r="55" spans="1:16" s="201" customFormat="1" ht="20.100000000000001" customHeight="1" x14ac:dyDescent="0.15">
      <c r="A55" s="179" t="str">
        <f t="shared" si="3"/>
        <v/>
      </c>
      <c r="B55" s="196" t="str">
        <f>IFERROR(IF(VLOOKUP($A55,TableHandbook[],2,FALSE)=0,"",VLOOKUP($A55,TableHandbook[],2,FALSE)),"")</f>
        <v/>
      </c>
      <c r="C55" s="196" t="str">
        <f>IFERROR(IF(VLOOKUP($A55,TableHandbook[],3,FALSE)=0,"",VLOOKUP($A55,TableHandbook[],3,FALSE)),"")</f>
        <v/>
      </c>
      <c r="D55" s="202" t="str">
        <f>IFERROR(IF(VLOOKUP($A55,TableHandbook[],4,FALSE)=0,"",VLOOKUP($A55,TableHandbook[],4,FALSE)),"")</f>
        <v/>
      </c>
      <c r="E55" s="196" t="str">
        <f>IF(A55="","",VLOOKUP($D$9,TableStudyPeriod[],4,FALSE))</f>
        <v/>
      </c>
      <c r="F55" s="182" t="str">
        <f>IFERROR(IF(VLOOKUP($A55,TableHandbook[],6,FALSE)=0,"",VLOOKUP($A55,TableHandbook[],6,FALSE)),"")</f>
        <v/>
      </c>
      <c r="G55" s="180" t="str">
        <f>IFERROR(IF(VLOOKUP($A55,TableHandbook[],5,FALSE)=0,"",VLOOKUP($A55,TableHandbook[],5,FALSE)),"")</f>
        <v/>
      </c>
      <c r="H55" s="183" t="str">
        <f>IFERROR(VLOOKUP(A55,TableHandbook[],7,FALSE),"")</f>
        <v/>
      </c>
      <c r="I55" s="184" t="str">
        <f>IFERROR(VLOOKUP(A55,TableHandbook[],8,FALSE),"")</f>
        <v/>
      </c>
      <c r="J55" s="184" t="str">
        <f>IFERROR(VLOOKUP(A55,TableHandbook[],9,FALSE),"")</f>
        <v/>
      </c>
      <c r="K55" s="185" t="str">
        <f>IFERROR(VLOOKUP(A55,TableHandbook[],10,FALSE),"")</f>
        <v/>
      </c>
      <c r="L55" s="97"/>
      <c r="M55" s="186">
        <v>6</v>
      </c>
      <c r="N55" s="200"/>
      <c r="O55" s="200"/>
    </row>
    <row r="56" spans="1:16" s="201" customFormat="1" ht="20.100000000000001" customHeight="1" x14ac:dyDescent="0.15">
      <c r="A56" s="179" t="str">
        <f t="shared" si="3"/>
        <v/>
      </c>
      <c r="B56" s="196" t="str">
        <f>IFERROR(IF(VLOOKUP($A56,TableHandbook[],2,FALSE)=0,"",VLOOKUP($A56,TableHandbook[],2,FALSE)),"")</f>
        <v/>
      </c>
      <c r="C56" s="196" t="str">
        <f>IFERROR(IF(VLOOKUP($A56,TableHandbook[],3,FALSE)=0,"",VLOOKUP($A56,TableHandbook[],3,FALSE)),"")</f>
        <v/>
      </c>
      <c r="D56" s="202" t="str">
        <f>IFERROR(IF(VLOOKUP($A56,TableHandbook[],4,FALSE)=0,"",VLOOKUP($A56,TableHandbook[],4,FALSE)),"")</f>
        <v/>
      </c>
      <c r="E56" s="196" t="str">
        <f>IF(OR(A56="",A56="-"),"",E55)</f>
        <v/>
      </c>
      <c r="F56" s="182" t="str">
        <f>IFERROR(IF(VLOOKUP($A56,TableHandbook[],6,FALSE)=0,"",VLOOKUP($A56,TableHandbook[],6,FALSE)),"")</f>
        <v/>
      </c>
      <c r="G56" s="180" t="str">
        <f>IFERROR(IF(VLOOKUP($A56,TableHandbook[],5,FALSE)=0,"",VLOOKUP($A56,TableHandbook[],5,FALSE)),"")</f>
        <v/>
      </c>
      <c r="H56" s="183" t="str">
        <f>IFERROR(VLOOKUP(A56,TableHandbook[],7,FALSE),"")</f>
        <v/>
      </c>
      <c r="I56" s="184" t="str">
        <f>IFERROR(VLOOKUP(A56,TableHandbook[],8,FALSE),"")</f>
        <v/>
      </c>
      <c r="J56" s="184" t="str">
        <f>IFERROR(VLOOKUP(A56,TableHandbook[],9,FALSE),"")</f>
        <v/>
      </c>
      <c r="K56" s="185" t="str">
        <f>IFERROR(VLOOKUP(A56,TableHandbook[],10,FALSE),"")</f>
        <v/>
      </c>
      <c r="L56" s="97"/>
      <c r="M56" s="186">
        <v>7</v>
      </c>
      <c r="N56" s="200"/>
      <c r="O56" s="200"/>
    </row>
    <row r="57" spans="1:16" s="188" customFormat="1" ht="5.0999999999999996" customHeight="1" x14ac:dyDescent="0.15">
      <c r="A57" s="189"/>
      <c r="B57" s="190"/>
      <c r="C57" s="190"/>
      <c r="D57" s="191"/>
      <c r="E57" s="190"/>
      <c r="F57" s="192"/>
      <c r="G57" s="190"/>
      <c r="H57" s="193"/>
      <c r="I57" s="194"/>
      <c r="J57" s="194"/>
      <c r="K57" s="195"/>
      <c r="L57" s="98"/>
      <c r="M57" s="186"/>
      <c r="N57" s="187"/>
      <c r="O57" s="187"/>
      <c r="P57" s="187"/>
    </row>
    <row r="58" spans="1:16" s="201" customFormat="1" ht="20.100000000000001" customHeight="1" x14ac:dyDescent="0.15">
      <c r="A58" s="179" t="str">
        <f t="shared" si="3"/>
        <v/>
      </c>
      <c r="B58" s="196" t="str">
        <f>IFERROR(IF(VLOOKUP($A58,TableHandbook[],2,FALSE)=0,"",VLOOKUP($A58,TableHandbook[],2,FALSE)),"")</f>
        <v/>
      </c>
      <c r="C58" s="196" t="str">
        <f>IFERROR(IF(VLOOKUP($A58,TableHandbook[],3,FALSE)=0,"",VLOOKUP($A58,TableHandbook[],3,FALSE)),"")</f>
        <v/>
      </c>
      <c r="D58" s="202" t="str">
        <f>IFERROR(IF(VLOOKUP($A58,TableHandbook[],4,FALSE)=0,"",VLOOKUP($A58,TableHandbook[],4,FALSE)),"")</f>
        <v/>
      </c>
      <c r="E58" s="196" t="str">
        <f>IF(A58="","",VLOOKUP($D$9,TableStudyPeriod[],5,FALSE))</f>
        <v/>
      </c>
      <c r="F58" s="182" t="str">
        <f>IFERROR(IF(VLOOKUP($A58,TableHandbook[],6,FALSE)=0,"",VLOOKUP($A58,TableHandbook[],6,FALSE)),"")</f>
        <v/>
      </c>
      <c r="G58" s="180" t="str">
        <f>IFERROR(IF(VLOOKUP($A58,TableHandbook[],5,FALSE)=0,"",VLOOKUP($A58,TableHandbook[],5,FALSE)),"")</f>
        <v/>
      </c>
      <c r="H58" s="183" t="str">
        <f>IFERROR(VLOOKUP(A58,TableHandbook[],7,FALSE),"")</f>
        <v/>
      </c>
      <c r="I58" s="184" t="str">
        <f>IFERROR(VLOOKUP(A58,TableHandbook[],8,FALSE),"")</f>
        <v/>
      </c>
      <c r="J58" s="184" t="str">
        <f>IFERROR(VLOOKUP(A58,TableHandbook[],9,FALSE),"")</f>
        <v/>
      </c>
      <c r="K58" s="185" t="str">
        <f>IFERROR(VLOOKUP(A58,TableHandbook[],10,FALSE),"")</f>
        <v/>
      </c>
      <c r="L58" s="97"/>
      <c r="M58" s="186">
        <v>8</v>
      </c>
      <c r="N58" s="200"/>
      <c r="O58" s="200"/>
    </row>
    <row r="59" spans="1:16" s="201" customFormat="1" ht="20.100000000000001" customHeight="1" x14ac:dyDescent="0.15">
      <c r="A59" s="179" t="str">
        <f t="shared" si="3"/>
        <v/>
      </c>
      <c r="B59" s="196" t="str">
        <f>IFERROR(IF(VLOOKUP($A59,TableHandbook[],2,FALSE)=0,"",VLOOKUP($A59,TableHandbook[],2,FALSE)),"")</f>
        <v/>
      </c>
      <c r="C59" s="196" t="str">
        <f>IFERROR(IF(VLOOKUP($A59,TableHandbook[],3,FALSE)=0,"",VLOOKUP($A59,TableHandbook[],3,FALSE)),"")</f>
        <v/>
      </c>
      <c r="D59" s="202" t="str">
        <f>IFERROR(IF(VLOOKUP($A59,TableHandbook[],4,FALSE)=0,"",VLOOKUP($A59,TableHandbook[],4,FALSE)),"")</f>
        <v/>
      </c>
      <c r="E59" s="180" t="str">
        <f>IF(OR(A59="",A59="-"),"",E58)</f>
        <v/>
      </c>
      <c r="F59" s="182" t="str">
        <f>IFERROR(IF(VLOOKUP($A59,TableHandbook[],6,FALSE)=0,"",VLOOKUP($A59,TableHandbook[],6,FALSE)),"")</f>
        <v/>
      </c>
      <c r="G59" s="180" t="str">
        <f>IFERROR(IF(VLOOKUP($A59,TableHandbook[],5,FALSE)=0,"",VLOOKUP($A59,TableHandbook[],5,FALSE)),"")</f>
        <v/>
      </c>
      <c r="H59" s="183" t="str">
        <f>IFERROR(VLOOKUP(A59,TableHandbook[],7,FALSE),"")</f>
        <v/>
      </c>
      <c r="I59" s="184" t="str">
        <f>IFERROR(VLOOKUP(A59,TableHandbook[],8,FALSE),"")</f>
        <v/>
      </c>
      <c r="J59" s="184" t="str">
        <f>IFERROR(VLOOKUP(A59,TableHandbook[],9,FALSE),"")</f>
        <v/>
      </c>
      <c r="K59" s="185" t="str">
        <f>IFERROR(VLOOKUP(A59,TableHandbook[],10,FALSE),"")</f>
        <v/>
      </c>
      <c r="L59" s="97"/>
      <c r="M59" s="186">
        <v>9</v>
      </c>
      <c r="N59" s="200"/>
      <c r="O59" s="200"/>
    </row>
    <row r="60" spans="1:16" s="212" customFormat="1" ht="13.9" customHeight="1" x14ac:dyDescent="0.2">
      <c r="A60" s="205"/>
      <c r="B60" s="205"/>
      <c r="C60" s="205"/>
      <c r="D60" s="206"/>
      <c r="E60" s="207"/>
      <c r="F60" s="208"/>
      <c r="G60" s="209"/>
      <c r="H60" s="209"/>
      <c r="I60" s="209"/>
      <c r="J60" s="209"/>
      <c r="K60" s="209"/>
      <c r="L60" s="209"/>
      <c r="M60" s="210"/>
      <c r="N60" s="211"/>
      <c r="O60" s="211"/>
    </row>
    <row r="61" spans="1:16" ht="17.25" x14ac:dyDescent="0.25">
      <c r="A61" s="213" t="str">
        <f>D8</f>
        <v>Choose your Specialisation (drop-down list)</v>
      </c>
      <c r="B61" s="214"/>
      <c r="C61" s="214"/>
      <c r="D61" s="215"/>
      <c r="E61" s="216"/>
      <c r="F61" s="217"/>
      <c r="G61" s="218"/>
      <c r="H61" s="219" t="str">
        <f>H11</f>
        <v>2026 Availabilities</v>
      </c>
      <c r="I61" s="220"/>
      <c r="J61" s="221"/>
      <c r="K61" s="222"/>
      <c r="L61" s="223" t="e">
        <f>VLOOKUP(D8,TableSpecialisations[],2,FALSE)</f>
        <v>#N/A</v>
      </c>
      <c r="M61" s="224"/>
    </row>
    <row r="62" spans="1:16" s="229" customFormat="1" x14ac:dyDescent="0.25">
      <c r="A62" s="225"/>
      <c r="B62" s="226"/>
      <c r="C62" s="166" t="s">
        <v>26</v>
      </c>
      <c r="D62" s="167" t="s">
        <v>3</v>
      </c>
      <c r="E62" s="227"/>
      <c r="F62" s="175" t="s">
        <v>28</v>
      </c>
      <c r="G62" s="227" t="s">
        <v>29</v>
      </c>
      <c r="H62" s="176" t="str">
        <f>H$12</f>
        <v>SP1</v>
      </c>
      <c r="I62" s="177" t="str">
        <f t="shared" ref="I62:L62" si="4">I$12</f>
        <v>SP2</v>
      </c>
      <c r="J62" s="177" t="str">
        <f t="shared" si="4"/>
        <v>SP3</v>
      </c>
      <c r="K62" s="228" t="str">
        <f t="shared" si="4"/>
        <v>SP4</v>
      </c>
      <c r="L62" s="166" t="str">
        <f t="shared" si="4"/>
        <v>Notes / Progress</v>
      </c>
      <c r="M62" s="224"/>
    </row>
    <row r="63" spans="1:16" x14ac:dyDescent="0.25">
      <c r="A63" s="230" t="str">
        <f t="shared" ref="A63:A71" si="5">IFERROR(IF(HLOOKUP($L$61,RangeSpecSets,M63,FALSE)=0,"",HLOOKUP($L$61,RangeSpecSets,M63,FALSE)),"")</f>
        <v/>
      </c>
      <c r="B63" s="231" t="str">
        <f>IFERROR(IF(VLOOKUP($A63,TableHandbook[],2,FALSE)=0,"",VLOOKUP($A63,TableHandbook[],2,FALSE)),"")</f>
        <v/>
      </c>
      <c r="C63" s="231" t="str">
        <f>IFERROR(IF(VLOOKUP($A63,TableHandbook[],3,FALSE)=0,"",VLOOKUP($A63,TableHandbook[],3,FALSE)),"")</f>
        <v/>
      </c>
      <c r="D63" s="232" t="str">
        <f>IFERROR(IF(VLOOKUP($A63,TableHandbook[],4,FALSE)=0,"",VLOOKUP($A63,TableHandbook[],4,FALSE)),"")</f>
        <v/>
      </c>
      <c r="E63" s="233"/>
      <c r="F63" s="182" t="str">
        <f>IFERROR(IF(VLOOKUP($A63,TableHandbook[],6,FALSE)=0,"",VLOOKUP($A63,TableHandbook[],6,FALSE)),"")</f>
        <v/>
      </c>
      <c r="G63" s="233" t="str">
        <f>IFERROR(IF(VLOOKUP($A63,TableHandbook[],5,FALSE)=0,"",VLOOKUP($A63,TableHandbook[],5,FALSE)),"")</f>
        <v/>
      </c>
      <c r="H63" s="234" t="str">
        <f>IFERROR(VLOOKUP(A63,TableHandbook[],7,FALSE),"")</f>
        <v/>
      </c>
      <c r="I63" s="235" t="str">
        <f>IFERROR(VLOOKUP(A63,TableHandbook[],8,FALSE),"")</f>
        <v/>
      </c>
      <c r="J63" s="235" t="str">
        <f>IFERROR(VLOOKUP(A63,TableHandbook[],9,FALSE),"")</f>
        <v/>
      </c>
      <c r="K63" s="236" t="str">
        <f>IFERROR(VLOOKUP(A63,TableHandbook[],10,FALSE),"")</f>
        <v/>
      </c>
      <c r="L63" s="99"/>
      <c r="M63" s="186">
        <v>2</v>
      </c>
    </row>
    <row r="64" spans="1:16" x14ac:dyDescent="0.25">
      <c r="A64" s="230" t="str">
        <f t="shared" si="5"/>
        <v/>
      </c>
      <c r="B64" s="231" t="str">
        <f>IFERROR(IF(VLOOKUP($A64,TableHandbook[],2,FALSE)=0,"",VLOOKUP($A64,TableHandbook[],2,FALSE)),"")</f>
        <v/>
      </c>
      <c r="C64" s="231" t="str">
        <f>IFERROR(IF(VLOOKUP($A64,TableHandbook[],3,FALSE)=0,"",VLOOKUP($A64,TableHandbook[],3,FALSE)),"")</f>
        <v/>
      </c>
      <c r="D64" s="232" t="str">
        <f>IFERROR(IF(VLOOKUP($A64,TableHandbook[],4,FALSE)=0,"",VLOOKUP($A64,TableHandbook[],4,FALSE)),"")</f>
        <v/>
      </c>
      <c r="E64" s="233"/>
      <c r="F64" s="182" t="str">
        <f>IFERROR(IF(VLOOKUP($A64,TableHandbook[],6,FALSE)=0,"",VLOOKUP($A64,TableHandbook[],6,FALSE)),"")</f>
        <v/>
      </c>
      <c r="G64" s="233" t="str">
        <f>IFERROR(IF(VLOOKUP($A64,TableHandbook[],5,FALSE)=0,"",VLOOKUP($A64,TableHandbook[],5,FALSE)),"")</f>
        <v/>
      </c>
      <c r="H64" s="234" t="str">
        <f>IFERROR(VLOOKUP(A64,TableHandbook[],7,FALSE),"")</f>
        <v/>
      </c>
      <c r="I64" s="235" t="str">
        <f>IFERROR(VLOOKUP(A64,TableHandbook[],8,FALSE),"")</f>
        <v/>
      </c>
      <c r="J64" s="235" t="str">
        <f>IFERROR(VLOOKUP(A64,TableHandbook[],9,FALSE),"")</f>
        <v/>
      </c>
      <c r="K64" s="236" t="str">
        <f>IFERROR(VLOOKUP(A64,TableHandbook[],10,FALSE),"")</f>
        <v/>
      </c>
      <c r="L64" s="99"/>
      <c r="M64" s="186">
        <v>3</v>
      </c>
    </row>
    <row r="65" spans="1:15" x14ac:dyDescent="0.25">
      <c r="A65" s="230" t="str">
        <f t="shared" si="5"/>
        <v/>
      </c>
      <c r="B65" s="231" t="str">
        <f>IFERROR(IF(VLOOKUP($A65,TableHandbook[],2,FALSE)=0,"",VLOOKUP($A65,TableHandbook[],2,FALSE)),"")</f>
        <v/>
      </c>
      <c r="C65" s="231" t="str">
        <f>IFERROR(IF(VLOOKUP($A65,TableHandbook[],3,FALSE)=0,"",VLOOKUP($A65,TableHandbook[],3,FALSE)),"")</f>
        <v/>
      </c>
      <c r="D65" s="232" t="str">
        <f>IFERROR(IF(VLOOKUP($A65,TableHandbook[],4,FALSE)=0,"",VLOOKUP($A65,TableHandbook[],4,FALSE)),"")</f>
        <v/>
      </c>
      <c r="E65" s="233"/>
      <c r="F65" s="182" t="str">
        <f>IFERROR(IF(VLOOKUP($A65,TableHandbook[],6,FALSE)=0,"",VLOOKUP($A65,TableHandbook[],6,FALSE)),"")</f>
        <v/>
      </c>
      <c r="G65" s="233" t="str">
        <f>IFERROR(IF(VLOOKUP($A65,TableHandbook[],5,FALSE)=0,"",VLOOKUP($A65,TableHandbook[],5,FALSE)),"")</f>
        <v/>
      </c>
      <c r="H65" s="234" t="str">
        <f>IFERROR(VLOOKUP(A65,TableHandbook[],7,FALSE),"")</f>
        <v/>
      </c>
      <c r="I65" s="235" t="str">
        <f>IFERROR(VLOOKUP(A65,TableHandbook[],8,FALSE),"")</f>
        <v/>
      </c>
      <c r="J65" s="235" t="str">
        <f>IFERROR(VLOOKUP(A65,TableHandbook[],9,FALSE),"")</f>
        <v/>
      </c>
      <c r="K65" s="236" t="str">
        <f>IFERROR(VLOOKUP(A65,TableHandbook[],10,FALSE),"")</f>
        <v/>
      </c>
      <c r="L65" s="99"/>
      <c r="M65" s="186">
        <v>4</v>
      </c>
    </row>
    <row r="66" spans="1:15" x14ac:dyDescent="0.25">
      <c r="A66" s="230" t="str">
        <f t="shared" si="5"/>
        <v/>
      </c>
      <c r="B66" s="231" t="str">
        <f>IFERROR(IF(VLOOKUP($A66,TableHandbook[],2,FALSE)=0,"",VLOOKUP($A66,TableHandbook[],2,FALSE)),"")</f>
        <v/>
      </c>
      <c r="C66" s="231" t="str">
        <f>IFERROR(IF(VLOOKUP($A66,TableHandbook[],3,FALSE)=0,"",VLOOKUP($A66,TableHandbook[],3,FALSE)),"")</f>
        <v/>
      </c>
      <c r="D66" s="232" t="str">
        <f>IFERROR(IF(VLOOKUP($A66,TableHandbook[],4,FALSE)=0,"",VLOOKUP($A66,TableHandbook[],4,FALSE)),"")</f>
        <v/>
      </c>
      <c r="E66" s="233"/>
      <c r="F66" s="182" t="str">
        <f>IFERROR(IF(VLOOKUP($A66,TableHandbook[],6,FALSE)=0,"",VLOOKUP($A66,TableHandbook[],6,FALSE)),"")</f>
        <v/>
      </c>
      <c r="G66" s="233" t="str">
        <f>IFERROR(IF(VLOOKUP($A66,TableHandbook[],5,FALSE)=0,"",VLOOKUP($A66,TableHandbook[],5,FALSE)),"")</f>
        <v/>
      </c>
      <c r="H66" s="234" t="str">
        <f>IFERROR(VLOOKUP(A66,TableHandbook[],7,FALSE),"")</f>
        <v/>
      </c>
      <c r="I66" s="235" t="str">
        <f>IFERROR(VLOOKUP(A66,TableHandbook[],8,FALSE),"")</f>
        <v/>
      </c>
      <c r="J66" s="235" t="str">
        <f>IFERROR(VLOOKUP(A66,TableHandbook[],9,FALSE),"")</f>
        <v/>
      </c>
      <c r="K66" s="236" t="str">
        <f>IFERROR(VLOOKUP(A66,TableHandbook[],10,FALSE),"")</f>
        <v/>
      </c>
      <c r="L66" s="99"/>
      <c r="M66" s="186">
        <v>5</v>
      </c>
    </row>
    <row r="67" spans="1:15" x14ac:dyDescent="0.25">
      <c r="A67" s="230" t="str">
        <f t="shared" si="5"/>
        <v/>
      </c>
      <c r="B67" s="231" t="str">
        <f>IFERROR(IF(VLOOKUP($A67,TableHandbook[],2,FALSE)=0,"",VLOOKUP($A67,TableHandbook[],2,FALSE)),"")</f>
        <v/>
      </c>
      <c r="C67" s="231" t="str">
        <f>IFERROR(IF(VLOOKUP($A67,TableHandbook[],3,FALSE)=0,"",VLOOKUP($A67,TableHandbook[],3,FALSE)),"")</f>
        <v/>
      </c>
      <c r="D67" s="232" t="str">
        <f>IFERROR(IF(VLOOKUP($A67,TableHandbook[],4,FALSE)=0,"",VLOOKUP($A67,TableHandbook[],4,FALSE)),"")</f>
        <v/>
      </c>
      <c r="E67" s="233"/>
      <c r="F67" s="182" t="str">
        <f>IFERROR(IF(VLOOKUP($A67,TableHandbook[],6,FALSE)=0,"",VLOOKUP($A67,TableHandbook[],6,FALSE)),"")</f>
        <v/>
      </c>
      <c r="G67" s="233" t="str">
        <f>IFERROR(IF(VLOOKUP($A67,TableHandbook[],5,FALSE)=0,"",VLOOKUP($A67,TableHandbook[],5,FALSE)),"")</f>
        <v/>
      </c>
      <c r="H67" s="234" t="str">
        <f>IFERROR(VLOOKUP(A67,TableHandbook[],7,FALSE),"")</f>
        <v/>
      </c>
      <c r="I67" s="235" t="str">
        <f>IFERROR(VLOOKUP(A67,TableHandbook[],8,FALSE),"")</f>
        <v/>
      </c>
      <c r="J67" s="235" t="str">
        <f>IFERROR(VLOOKUP(A67,TableHandbook[],9,FALSE),"")</f>
        <v/>
      </c>
      <c r="K67" s="236" t="str">
        <f>IFERROR(VLOOKUP(A67,TableHandbook[],10,FALSE),"")</f>
        <v/>
      </c>
      <c r="L67" s="99"/>
      <c r="M67" s="186">
        <v>6</v>
      </c>
    </row>
    <row r="68" spans="1:15" x14ac:dyDescent="0.25">
      <c r="A68" s="230" t="str">
        <f t="shared" si="5"/>
        <v/>
      </c>
      <c r="B68" s="231" t="str">
        <f>IFERROR(IF(VLOOKUP($A68,TableHandbook[],2,FALSE)=0,"",VLOOKUP($A68,TableHandbook[],2,FALSE)),"")</f>
        <v/>
      </c>
      <c r="C68" s="231" t="str">
        <f>IFERROR(IF(VLOOKUP($A68,TableHandbook[],3,FALSE)=0,"",VLOOKUP($A68,TableHandbook[],3,FALSE)),"")</f>
        <v/>
      </c>
      <c r="D68" s="232" t="str">
        <f>IFERROR(IF(VLOOKUP($A68,TableHandbook[],4,FALSE)=0,"",VLOOKUP($A68,TableHandbook[],4,FALSE)),"")</f>
        <v/>
      </c>
      <c r="E68" s="233"/>
      <c r="F68" s="182" t="str">
        <f>IFERROR(IF(VLOOKUP($A68,TableHandbook[],6,FALSE)=0,"",VLOOKUP($A68,TableHandbook[],6,FALSE)),"")</f>
        <v/>
      </c>
      <c r="G68" s="233" t="str">
        <f>IFERROR(IF(VLOOKUP($A68,TableHandbook[],5,FALSE)=0,"",VLOOKUP($A68,TableHandbook[],5,FALSE)),"")</f>
        <v/>
      </c>
      <c r="H68" s="234" t="str">
        <f>IFERROR(VLOOKUP(A68,TableHandbook[],7,FALSE),"")</f>
        <v/>
      </c>
      <c r="I68" s="235" t="str">
        <f>IFERROR(VLOOKUP(A68,TableHandbook[],8,FALSE),"")</f>
        <v/>
      </c>
      <c r="J68" s="235" t="str">
        <f>IFERROR(VLOOKUP(A68,TableHandbook[],9,FALSE),"")</f>
        <v/>
      </c>
      <c r="K68" s="236" t="str">
        <f>IFERROR(VLOOKUP(A68,TableHandbook[],10,FALSE),"")</f>
        <v/>
      </c>
      <c r="L68" s="99"/>
      <c r="M68" s="186">
        <v>7</v>
      </c>
    </row>
    <row r="69" spans="1:15" x14ac:dyDescent="0.25">
      <c r="A69" s="230" t="str">
        <f t="shared" si="5"/>
        <v/>
      </c>
      <c r="B69" s="231" t="str">
        <f>IFERROR(IF(VLOOKUP($A69,TableHandbook[],2,FALSE)=0,"",VLOOKUP($A69,TableHandbook[],2,FALSE)),"")</f>
        <v/>
      </c>
      <c r="C69" s="231" t="str">
        <f>IFERROR(IF(VLOOKUP($A69,TableHandbook[],3,FALSE)=0,"",VLOOKUP($A69,TableHandbook[],3,FALSE)),"")</f>
        <v/>
      </c>
      <c r="D69" s="232" t="str">
        <f>IFERROR(IF(VLOOKUP($A69,TableHandbook[],4,FALSE)=0,"",VLOOKUP($A69,TableHandbook[],4,FALSE)),"")</f>
        <v/>
      </c>
      <c r="E69" s="233"/>
      <c r="F69" s="182" t="str">
        <f>IFERROR(IF(VLOOKUP($A69,TableHandbook[],6,FALSE)=0,"",VLOOKUP($A69,TableHandbook[],6,FALSE)),"")</f>
        <v/>
      </c>
      <c r="G69" s="233" t="str">
        <f>IFERROR(IF(VLOOKUP($A69,TableHandbook[],5,FALSE)=0,"",VLOOKUP($A69,TableHandbook[],5,FALSE)),"")</f>
        <v/>
      </c>
      <c r="H69" s="234" t="str">
        <f>IFERROR(VLOOKUP(A69,TableHandbook[],7,FALSE),"")</f>
        <v/>
      </c>
      <c r="I69" s="235" t="str">
        <f>IFERROR(VLOOKUP(A69,TableHandbook[],8,FALSE),"")</f>
        <v/>
      </c>
      <c r="J69" s="235" t="str">
        <f>IFERROR(VLOOKUP(A69,TableHandbook[],9,FALSE),"")</f>
        <v/>
      </c>
      <c r="K69" s="236" t="str">
        <f>IFERROR(VLOOKUP(A69,TableHandbook[],10,FALSE),"")</f>
        <v/>
      </c>
      <c r="L69" s="99"/>
      <c r="M69" s="186">
        <v>8</v>
      </c>
    </row>
    <row r="70" spans="1:15" x14ac:dyDescent="0.25">
      <c r="A70" s="230" t="str">
        <f t="shared" si="5"/>
        <v/>
      </c>
      <c r="B70" s="231" t="str">
        <f>IFERROR(IF(VLOOKUP($A70,TableHandbook[],2,FALSE)=0,"",VLOOKUP($A70,TableHandbook[],2,FALSE)),"")</f>
        <v/>
      </c>
      <c r="C70" s="231" t="str">
        <f>IFERROR(IF(VLOOKUP($A70,TableHandbook[],3,FALSE)=0,"",VLOOKUP($A70,TableHandbook[],3,FALSE)),"")</f>
        <v/>
      </c>
      <c r="D70" s="232" t="str">
        <f>IFERROR(IF(VLOOKUP($A70,TableHandbook[],4,FALSE)=0,"",VLOOKUP($A70,TableHandbook[],4,FALSE)),"")</f>
        <v/>
      </c>
      <c r="E70" s="233"/>
      <c r="F70" s="182" t="str">
        <f>IFERROR(IF(VLOOKUP($A70,TableHandbook[],6,FALSE)=0,"",VLOOKUP($A70,TableHandbook[],6,FALSE)),"")</f>
        <v/>
      </c>
      <c r="G70" s="233" t="str">
        <f>IFERROR(IF(VLOOKUP($A70,TableHandbook[],5,FALSE)=0,"",VLOOKUP($A70,TableHandbook[],5,FALSE)),"")</f>
        <v/>
      </c>
      <c r="H70" s="234" t="str">
        <f>IFERROR(VLOOKUP(A70,TableHandbook[],7,FALSE),"")</f>
        <v/>
      </c>
      <c r="I70" s="235" t="str">
        <f>IFERROR(VLOOKUP(A70,TableHandbook[],8,FALSE),"")</f>
        <v/>
      </c>
      <c r="J70" s="235" t="str">
        <f>IFERROR(VLOOKUP(A70,TableHandbook[],9,FALSE),"")</f>
        <v/>
      </c>
      <c r="K70" s="236" t="str">
        <f>IFERROR(VLOOKUP(A70,TableHandbook[],10,FALSE),"")</f>
        <v/>
      </c>
      <c r="L70" s="99"/>
      <c r="M70" s="186">
        <v>9</v>
      </c>
    </row>
    <row r="71" spans="1:15" x14ac:dyDescent="0.25">
      <c r="A71" s="230" t="str">
        <f t="shared" si="5"/>
        <v/>
      </c>
      <c r="B71" s="231" t="str">
        <f>IFERROR(IF(VLOOKUP($A71,TableHandbook[],2,FALSE)=0,"",VLOOKUP($A71,TableHandbook[],2,FALSE)),"")</f>
        <v/>
      </c>
      <c r="C71" s="231" t="str">
        <f>IFERROR(IF(VLOOKUP($A71,TableHandbook[],3,FALSE)=0,"",VLOOKUP($A71,TableHandbook[],3,FALSE)),"")</f>
        <v/>
      </c>
      <c r="D71" s="232" t="str">
        <f>IFERROR(IF(VLOOKUP($A71,TableHandbook[],4,FALSE)=0,"",VLOOKUP($A71,TableHandbook[],4,FALSE)),"")</f>
        <v/>
      </c>
      <c r="E71" s="233"/>
      <c r="F71" s="182" t="str">
        <f>IFERROR(IF(VLOOKUP($A71,TableHandbook[],6,FALSE)=0,"",VLOOKUP($A71,TableHandbook[],6,FALSE)),"")</f>
        <v/>
      </c>
      <c r="G71" s="233" t="str">
        <f>IFERROR(IF(VLOOKUP($A71,TableHandbook[],5,FALSE)=0,"",VLOOKUP($A71,TableHandbook[],5,FALSE)),"")</f>
        <v/>
      </c>
      <c r="H71" s="234" t="str">
        <f>IFERROR(VLOOKUP(A71,TableHandbook[],7,FALSE),"")</f>
        <v/>
      </c>
      <c r="I71" s="235" t="str">
        <f>IFERROR(VLOOKUP(A71,TableHandbook[],8,FALSE),"")</f>
        <v/>
      </c>
      <c r="J71" s="235" t="str">
        <f>IFERROR(VLOOKUP(A71,TableHandbook[],9,FALSE),"")</f>
        <v/>
      </c>
      <c r="K71" s="236" t="str">
        <f>IFERROR(VLOOKUP(A71,TableHandbook[],10,FALSE),"")</f>
        <v/>
      </c>
      <c r="L71" s="99"/>
      <c r="M71" s="186">
        <v>10</v>
      </c>
    </row>
    <row r="72" spans="1:15" x14ac:dyDescent="0.25">
      <c r="A72" s="230" t="str">
        <f>IFERROR(IF(HLOOKUP($L$61,RangeSpecSets,M72,FALSE)=0,"",HLOOKUP($L$61,RangeSpecSets,M72,FALSE)),"")</f>
        <v/>
      </c>
      <c r="B72" s="231" t="str">
        <f>IFERROR(IF(VLOOKUP($A72,TableHandbook[],2,FALSE)=0,"",VLOOKUP($A72,TableHandbook[],2,FALSE)),"")</f>
        <v/>
      </c>
      <c r="C72" s="231" t="str">
        <f>IFERROR(IF(VLOOKUP($A72,TableHandbook[],3,FALSE)=0,"",VLOOKUP($A72,TableHandbook[],3,FALSE)),"")</f>
        <v/>
      </c>
      <c r="D72" s="232" t="str">
        <f>IFERROR(IF(VLOOKUP($A72,TableHandbook[],4,FALSE)=0,"",VLOOKUP($A72,TableHandbook[],4,FALSE)),"")</f>
        <v/>
      </c>
      <c r="E72" s="233"/>
      <c r="F72" s="182" t="str">
        <f>IFERROR(IF(VLOOKUP($A72,TableHandbook[],6,FALSE)=0,"",VLOOKUP($A72,TableHandbook[],6,FALSE)),"")</f>
        <v/>
      </c>
      <c r="G72" s="233" t="str">
        <f>IFERROR(IF(VLOOKUP($A72,TableHandbook[],5,FALSE)=0,"",VLOOKUP($A72,TableHandbook[],5,FALSE)),"")</f>
        <v/>
      </c>
      <c r="H72" s="234" t="str">
        <f>IFERROR(VLOOKUP(A72,TableHandbook[],7,FALSE),"")</f>
        <v/>
      </c>
      <c r="I72" s="235" t="str">
        <f>IFERROR(VLOOKUP(A72,TableHandbook[],8,FALSE),"")</f>
        <v/>
      </c>
      <c r="J72" s="235" t="str">
        <f>IFERROR(VLOOKUP(A72,TableHandbook[],9,FALSE),"")</f>
        <v/>
      </c>
      <c r="K72" s="236" t="str">
        <f>IFERROR(VLOOKUP(A72,TableHandbook[],10,FALSE),"")</f>
        <v/>
      </c>
      <c r="L72" s="99"/>
      <c r="M72" s="186">
        <v>11</v>
      </c>
    </row>
    <row r="73" spans="1:15" x14ac:dyDescent="0.25">
      <c r="A73" s="230" t="str">
        <f>IFERROR(IF(HLOOKUP($L$61,RangeSpecSets,M73,FALSE)=0,"",HLOOKUP($L$61,RangeSpecSets,M73,FALSE)),"")</f>
        <v/>
      </c>
      <c r="B73" s="231" t="str">
        <f>IFERROR(IF(VLOOKUP($A73,TableHandbook[],2,FALSE)=0,"",VLOOKUP($A73,TableHandbook[],2,FALSE)),"")</f>
        <v/>
      </c>
      <c r="C73" s="231" t="str">
        <f>IFERROR(IF(VLOOKUP($A73,TableHandbook[],3,FALSE)=0,"",VLOOKUP($A73,TableHandbook[],3,FALSE)),"")</f>
        <v/>
      </c>
      <c r="D73" s="232" t="str">
        <f>IFERROR(IF(VLOOKUP($A73,TableHandbook[],4,FALSE)=0,"",VLOOKUP($A73,TableHandbook[],4,FALSE)),"")</f>
        <v/>
      </c>
      <c r="E73" s="233"/>
      <c r="F73" s="182" t="str">
        <f>IFERROR(IF(VLOOKUP($A73,TableHandbook[],6,FALSE)=0,"",VLOOKUP($A73,TableHandbook[],6,FALSE)),"")</f>
        <v/>
      </c>
      <c r="G73" s="233" t="str">
        <f>IFERROR(IF(VLOOKUP($A73,TableHandbook[],5,FALSE)=0,"",VLOOKUP($A73,TableHandbook[],5,FALSE)),"")</f>
        <v/>
      </c>
      <c r="H73" s="234" t="str">
        <f>IFERROR(VLOOKUP(A73,TableHandbook[],7,FALSE),"")</f>
        <v/>
      </c>
      <c r="I73" s="235" t="str">
        <f>IFERROR(VLOOKUP(A73,TableHandbook[],8,FALSE),"")</f>
        <v/>
      </c>
      <c r="J73" s="235" t="str">
        <f>IFERROR(VLOOKUP(A73,TableHandbook[],9,FALSE),"")</f>
        <v/>
      </c>
      <c r="K73" s="236" t="str">
        <f>IFERROR(VLOOKUP(A73,TableHandbook[],10,FALSE),"")</f>
        <v/>
      </c>
      <c r="L73" s="99"/>
      <c r="M73" s="186">
        <v>12</v>
      </c>
    </row>
    <row r="74" spans="1:15" x14ac:dyDescent="0.25">
      <c r="A74" s="230" t="str">
        <f>IFERROR(IF(HLOOKUP($L$61,RangeSpecSets,M74,FALSE)=0,"",HLOOKUP($L$61,RangeSpecSets,M74,FALSE)),"")</f>
        <v/>
      </c>
      <c r="B74" s="231" t="str">
        <f>IFERROR(IF(VLOOKUP($A74,TableHandbook[],2,FALSE)=0,"",VLOOKUP($A74,TableHandbook[],2,FALSE)),"")</f>
        <v/>
      </c>
      <c r="C74" s="231" t="str">
        <f>IFERROR(IF(VLOOKUP($A74,TableHandbook[],3,FALSE)=0,"",VLOOKUP($A74,TableHandbook[],3,FALSE)),"")</f>
        <v/>
      </c>
      <c r="D74" s="232" t="str">
        <f>IFERROR(IF(VLOOKUP($A74,TableHandbook[],4,FALSE)=0,"",VLOOKUP($A74,TableHandbook[],4,FALSE)),"")</f>
        <v/>
      </c>
      <c r="E74" s="233"/>
      <c r="F74" s="182" t="str">
        <f>IFERROR(IF(VLOOKUP($A74,TableHandbook[],6,FALSE)=0,"",VLOOKUP($A74,TableHandbook[],6,FALSE)),"")</f>
        <v/>
      </c>
      <c r="G74" s="233" t="str">
        <f>IFERROR(IF(VLOOKUP($A74,TableHandbook[],5,FALSE)=0,"",VLOOKUP($A74,TableHandbook[],5,FALSE)),"")</f>
        <v/>
      </c>
      <c r="H74" s="234" t="str">
        <f>IFERROR(VLOOKUP(A74,TableHandbook[],7,FALSE),"")</f>
        <v/>
      </c>
      <c r="I74" s="235" t="str">
        <f>IFERROR(VLOOKUP(A74,TableHandbook[],8,FALSE),"")</f>
        <v/>
      </c>
      <c r="J74" s="235" t="str">
        <f>IFERROR(VLOOKUP(A74,TableHandbook[],9,FALSE),"")</f>
        <v/>
      </c>
      <c r="K74" s="236" t="str">
        <f>IFERROR(VLOOKUP(A74,TableHandbook[],10,FALSE),"")</f>
        <v/>
      </c>
      <c r="L74" s="99"/>
      <c r="M74" s="186">
        <v>13</v>
      </c>
    </row>
    <row r="75" spans="1:15" x14ac:dyDescent="0.25">
      <c r="A75" s="230" t="str">
        <f>IFERROR(IF(HLOOKUP($L$61,RangeSpecSets,M75,FALSE)=0,"",HLOOKUP($L$61,RangeSpecSets,M75,FALSE)),"")</f>
        <v/>
      </c>
      <c r="B75" s="231" t="str">
        <f>IFERROR(IF(VLOOKUP($A75,TableHandbook[],2,FALSE)=0,"",VLOOKUP($A75,TableHandbook[],2,FALSE)),"")</f>
        <v/>
      </c>
      <c r="C75" s="231" t="str">
        <f>IFERROR(IF(VLOOKUP($A75,TableHandbook[],3,FALSE)=0,"",VLOOKUP($A75,TableHandbook[],3,FALSE)),"")</f>
        <v/>
      </c>
      <c r="D75" s="232" t="str">
        <f>IFERROR(IF(VLOOKUP($A75,TableHandbook[],4,FALSE)=0,"",VLOOKUP($A75,TableHandbook[],4,FALSE)),"")</f>
        <v/>
      </c>
      <c r="E75" s="233"/>
      <c r="F75" s="182" t="str">
        <f>IFERROR(IF(VLOOKUP($A75,TableHandbook[],6,FALSE)=0,"",VLOOKUP($A75,TableHandbook[],6,FALSE)),"")</f>
        <v/>
      </c>
      <c r="G75" s="233" t="str">
        <f>IFERROR(IF(VLOOKUP($A75,TableHandbook[],5,FALSE)=0,"",VLOOKUP($A75,TableHandbook[],5,FALSE)),"")</f>
        <v/>
      </c>
      <c r="H75" s="234" t="str">
        <f>IFERROR(VLOOKUP(A75,TableHandbook[],7,FALSE),"")</f>
        <v/>
      </c>
      <c r="I75" s="235" t="str">
        <f>IFERROR(VLOOKUP(A75,TableHandbook[],8,FALSE),"")</f>
        <v/>
      </c>
      <c r="J75" s="235" t="str">
        <f>IFERROR(VLOOKUP(A75,TableHandbook[],9,FALSE),"")</f>
        <v/>
      </c>
      <c r="K75" s="236" t="str">
        <f>IFERROR(VLOOKUP(A75,TableHandbook[],10,FALSE),"")</f>
        <v/>
      </c>
      <c r="L75" s="99"/>
      <c r="M75" s="186">
        <v>14</v>
      </c>
    </row>
    <row r="76" spans="1:15" ht="19.5" customHeight="1" x14ac:dyDescent="0.25">
      <c r="A76" s="237"/>
      <c r="B76" s="237"/>
      <c r="C76" s="238"/>
      <c r="D76" s="238"/>
      <c r="E76" s="239"/>
      <c r="F76" s="240"/>
      <c r="G76" s="239"/>
      <c r="H76" s="241"/>
      <c r="I76" s="241"/>
      <c r="J76" s="241"/>
      <c r="K76" s="241"/>
      <c r="L76" s="242"/>
      <c r="M76" s="186"/>
    </row>
    <row r="77" spans="1:15" ht="32.25" customHeight="1" x14ac:dyDescent="0.25">
      <c r="A77" s="243" t="s">
        <v>38</v>
      </c>
      <c r="B77" s="243"/>
      <c r="C77" s="243"/>
      <c r="D77" s="243"/>
      <c r="E77" s="243"/>
      <c r="F77" s="243"/>
      <c r="G77" s="243"/>
      <c r="H77" s="243"/>
      <c r="I77" s="243"/>
      <c r="J77" s="243"/>
      <c r="K77" s="243"/>
      <c r="L77" s="243"/>
    </row>
    <row r="78" spans="1:15" s="245" customFormat="1" ht="24.95" customHeight="1" x14ac:dyDescent="0.3">
      <c r="A78" s="49" t="s">
        <v>39</v>
      </c>
      <c r="B78" s="49"/>
      <c r="C78" s="49"/>
      <c r="D78" s="50"/>
      <c r="E78" s="51"/>
      <c r="F78" s="50"/>
      <c r="G78" s="50"/>
      <c r="H78" s="50"/>
      <c r="I78" s="50"/>
      <c r="J78" s="50"/>
      <c r="K78" s="50"/>
      <c r="L78" s="50"/>
      <c r="M78" s="244"/>
      <c r="N78" s="244"/>
      <c r="O78" s="244"/>
    </row>
    <row r="79" spans="1:15" ht="15" customHeight="1" x14ac:dyDescent="0.25">
      <c r="A79" s="246" t="s">
        <v>40</v>
      </c>
      <c r="B79" s="246"/>
      <c r="C79" s="246"/>
      <c r="D79" s="246"/>
      <c r="E79" s="247"/>
      <c r="F79" s="209"/>
      <c r="G79" s="248"/>
      <c r="H79" s="248"/>
      <c r="I79" s="248"/>
      <c r="J79" s="248"/>
      <c r="K79" s="248"/>
      <c r="L79" s="248" t="s">
        <v>41</v>
      </c>
    </row>
  </sheetData>
  <sheetProtection algorithmName="SHA-512" hashValue="289dswy5GLITlx1mbLJPUGI1uBoPSyQ1YZ9ApTk8bpJT+s01QVAXerHarZ+lhPF+AQeonpDT9wQXctZ3mFYy4Q==" saltValue="5vGH6oHA5TXZkjfuluMLug==" spinCount="100000" sheet="1" objects="1" scenarios="1" formatCells="0"/>
  <mergeCells count="2">
    <mergeCell ref="A3:D3"/>
    <mergeCell ref="A77:L77"/>
  </mergeCells>
  <conditionalFormatting sqref="A13:L23 A25:L35 A24:B24 L24 A36:B36 L36 A48:B48 L48">
    <cfRule type="expression" dxfId="30" priority="17">
      <formula>$A13="Spec"</formula>
    </cfRule>
  </conditionalFormatting>
  <conditionalFormatting sqref="A37:L47">
    <cfRule type="expression" dxfId="29" priority="8">
      <formula>$A37="Spec"</formula>
    </cfRule>
  </conditionalFormatting>
  <conditionalFormatting sqref="A49:L59">
    <cfRule type="expression" dxfId="28" priority="2">
      <formula>$A49="Spec"</formula>
    </cfRule>
  </conditionalFormatting>
  <conditionalFormatting sqref="A63:L75">
    <cfRule type="expression" dxfId="27" priority="16">
      <formula>$A63=""</formula>
    </cfRule>
    <cfRule type="expression" dxfId="26" priority="19">
      <formula>LEFT($D63,5)="Study"</formula>
    </cfRule>
  </conditionalFormatting>
  <conditionalFormatting sqref="D5:D10">
    <cfRule type="containsText" dxfId="25" priority="15" operator="containsText" text="Choose">
      <formula>NOT(ISERROR(SEARCH("Choose",D5)))</formula>
    </cfRule>
  </conditionalFormatting>
  <conditionalFormatting sqref="F5">
    <cfRule type="containsText" dxfId="24" priority="14" operator="containsText" text="Choose">
      <formula>NOT(ISERROR(SEARCH("Choose",F5)))</formula>
    </cfRule>
  </conditionalFormatting>
  <conditionalFormatting sqref="H13:K59">
    <cfRule type="expression" dxfId="23" priority="1">
      <formula>$E13=H$12</formula>
    </cfRule>
  </conditionalFormatting>
  <dataValidations count="1">
    <dataValidation type="list" allowBlank="1" showInputMessage="1" showErrorMessage="1" sqref="L30 L18 L15 L21 L27 L33 L39 L42 L45 L51 L54 L57" xr:uid="{00000000-0002-0000-0000-000000000000}"/>
  </dataValidations>
  <hyperlinks>
    <hyperlink ref="A78:L78"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59" max="10"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CourseDetails!$A$9:$A$13</xm:f>
          </x14:formula1>
          <xm:sqref>D9</xm:sqref>
        </x14:dataValidation>
        <x14:dataValidation type="list" showInputMessage="1" showErrorMessage="1" xr:uid="{00000000-0002-0000-0000-000002000000}">
          <x14:formula1>
            <xm:f>CourseDetails!$A$21:$A$24</xm:f>
          </x14:formula1>
          <xm:sqref>D8</xm:sqref>
        </x14:dataValidation>
        <x14:dataValidation type="list" showInputMessage="1" showErrorMessage="1" xr:uid="{00000000-0002-0000-0000-000003000000}">
          <x14:formula1>
            <xm:f>CourseDetails!$A$16:$A$18</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035C-B555-4C5F-A532-C9DDE0A729AF}">
  <dimension ref="A1:I69"/>
  <sheetViews>
    <sheetView zoomScale="85" zoomScaleNormal="85" workbookViewId="0">
      <selection activeCell="B35" sqref="B35"/>
    </sheetView>
  </sheetViews>
  <sheetFormatPr defaultRowHeight="15.75" x14ac:dyDescent="0.25"/>
  <cols>
    <col min="1" max="1" width="74.125" style="9" bestFit="1" customWidth="1"/>
    <col min="2" max="2" width="12" style="8" bestFit="1" customWidth="1"/>
    <col min="3" max="3" width="15.25" style="8" customWidth="1"/>
    <col min="4" max="4" width="17.375" style="8" bestFit="1" customWidth="1"/>
    <col min="5" max="5" width="14.875" style="8" bestFit="1" customWidth="1"/>
    <col min="6" max="6" width="19.125" style="8" bestFit="1" customWidth="1"/>
    <col min="7" max="7" width="19.375" style="8" bestFit="1" customWidth="1"/>
    <col min="8" max="8" width="16.625" style="8" bestFit="1" customWidth="1"/>
    <col min="9" max="9" width="8.125" bestFit="1" customWidth="1"/>
  </cols>
  <sheetData>
    <row r="1" spans="1:9" x14ac:dyDescent="0.25">
      <c r="A1" s="11" t="s">
        <v>14</v>
      </c>
      <c r="B1" s="12"/>
      <c r="C1" s="12"/>
      <c r="D1" s="12"/>
    </row>
    <row r="3" spans="1:9" x14ac:dyDescent="0.25">
      <c r="A3" s="56" t="s">
        <v>42</v>
      </c>
      <c r="C3" s="30"/>
    </row>
    <row r="4" spans="1:9" x14ac:dyDescent="0.25">
      <c r="A4" s="8" t="s">
        <v>43</v>
      </c>
      <c r="B4" s="9" t="s">
        <v>0</v>
      </c>
      <c r="C4" s="8" t="s">
        <v>44</v>
      </c>
      <c r="D4" s="8" t="s">
        <v>45</v>
      </c>
      <c r="E4" s="8" t="s">
        <v>46</v>
      </c>
      <c r="F4" s="8" t="s">
        <v>47</v>
      </c>
      <c r="G4" s="8" t="s">
        <v>48</v>
      </c>
      <c r="H4" s="8" t="s">
        <v>49</v>
      </c>
      <c r="I4" s="8" t="s">
        <v>50</v>
      </c>
    </row>
    <row r="5" spans="1:9" x14ac:dyDescent="0.25">
      <c r="A5" s="8" t="s">
        <v>14</v>
      </c>
      <c r="B5" s="114" t="s">
        <v>51</v>
      </c>
      <c r="C5" s="106" t="s">
        <v>52</v>
      </c>
      <c r="D5" s="107">
        <v>46023</v>
      </c>
      <c r="E5" s="106" t="s">
        <v>53</v>
      </c>
      <c r="F5" s="107">
        <v>46023</v>
      </c>
      <c r="G5" s="100" t="s">
        <v>54</v>
      </c>
      <c r="H5" s="115" t="s">
        <v>55</v>
      </c>
      <c r="I5" s="108"/>
    </row>
    <row r="6" spans="1:9" x14ac:dyDescent="0.25">
      <c r="A6" s="8" t="s">
        <v>56</v>
      </c>
      <c r="B6" s="115" t="s">
        <v>57</v>
      </c>
      <c r="C6" s="106" t="s">
        <v>52</v>
      </c>
      <c r="D6" s="107">
        <v>46023</v>
      </c>
      <c r="E6" s="106" t="s">
        <v>58</v>
      </c>
      <c r="F6" s="107">
        <v>46023</v>
      </c>
      <c r="G6" s="100" t="s">
        <v>54</v>
      </c>
      <c r="H6" s="115" t="s">
        <v>55</v>
      </c>
      <c r="I6" s="108"/>
    </row>
    <row r="8" spans="1:9" x14ac:dyDescent="0.25">
      <c r="A8" s="56" t="s">
        <v>59</v>
      </c>
    </row>
    <row r="9" spans="1:9" x14ac:dyDescent="0.25">
      <c r="A9" s="10" t="s">
        <v>21</v>
      </c>
      <c r="B9" s="13" t="s">
        <v>60</v>
      </c>
      <c r="C9" s="8" t="s">
        <v>61</v>
      </c>
      <c r="D9" s="8" t="s">
        <v>62</v>
      </c>
      <c r="E9" s="8" t="s">
        <v>63</v>
      </c>
    </row>
    <row r="10" spans="1:9" x14ac:dyDescent="0.25">
      <c r="A10" s="8" t="s">
        <v>64</v>
      </c>
      <c r="B10" s="30" t="s">
        <v>30</v>
      </c>
      <c r="C10" s="30" t="s">
        <v>31</v>
      </c>
      <c r="D10" s="30" t="s">
        <v>32</v>
      </c>
      <c r="E10" s="30" t="s">
        <v>33</v>
      </c>
    </row>
    <row r="11" spans="1:9" x14ac:dyDescent="0.25">
      <c r="A11" s="8" t="s">
        <v>65</v>
      </c>
      <c r="B11" s="30" t="s">
        <v>31</v>
      </c>
      <c r="C11" s="30" t="s">
        <v>32</v>
      </c>
      <c r="D11" s="30" t="s">
        <v>33</v>
      </c>
      <c r="E11" s="30" t="s">
        <v>30</v>
      </c>
    </row>
    <row r="12" spans="1:9" x14ac:dyDescent="0.25">
      <c r="A12" s="8" t="s">
        <v>66</v>
      </c>
      <c r="B12" s="30" t="s">
        <v>32</v>
      </c>
      <c r="C12" s="30" t="s">
        <v>33</v>
      </c>
      <c r="D12" s="30" t="s">
        <v>30</v>
      </c>
      <c r="E12" s="30" t="s">
        <v>31</v>
      </c>
    </row>
    <row r="13" spans="1:9" x14ac:dyDescent="0.25">
      <c r="A13" s="8" t="s">
        <v>67</v>
      </c>
      <c r="B13" s="30" t="s">
        <v>33</v>
      </c>
      <c r="C13" s="30" t="s">
        <v>30</v>
      </c>
      <c r="D13" s="30" t="s">
        <v>31</v>
      </c>
      <c r="E13" s="30" t="s">
        <v>32</v>
      </c>
    </row>
    <row r="14" spans="1:9" x14ac:dyDescent="0.25">
      <c r="A14" s="8"/>
      <c r="F14" s="14"/>
      <c r="G14" s="14"/>
      <c r="H14" s="14"/>
    </row>
    <row r="15" spans="1:9" x14ac:dyDescent="0.25">
      <c r="A15" s="56" t="s">
        <v>68</v>
      </c>
      <c r="E15" s="14"/>
      <c r="F15" s="14"/>
      <c r="G15" s="14"/>
      <c r="H15" s="14"/>
    </row>
    <row r="16" spans="1:9" x14ac:dyDescent="0.25">
      <c r="A16" s="40" t="s">
        <v>16</v>
      </c>
      <c r="B16" s="9" t="s">
        <v>0</v>
      </c>
      <c r="C16" s="8" t="s">
        <v>44</v>
      </c>
      <c r="D16" s="8" t="s">
        <v>45</v>
      </c>
      <c r="E16" s="8" t="s">
        <v>46</v>
      </c>
      <c r="F16" s="8" t="s">
        <v>47</v>
      </c>
      <c r="G16" s="40" t="s">
        <v>48</v>
      </c>
    </row>
    <row r="17" spans="1:8" x14ac:dyDescent="0.25">
      <c r="A17" s="39" t="s">
        <v>69</v>
      </c>
      <c r="B17" s="116" t="s">
        <v>70</v>
      </c>
      <c r="C17" s="116" t="s">
        <v>71</v>
      </c>
      <c r="D17" s="118">
        <v>45292</v>
      </c>
      <c r="E17" s="116">
        <v>3</v>
      </c>
      <c r="F17" s="117">
        <v>45292</v>
      </c>
      <c r="G17" s="101" t="s">
        <v>72</v>
      </c>
    </row>
    <row r="18" spans="1:8" x14ac:dyDescent="0.25">
      <c r="A18" s="39" t="s">
        <v>73</v>
      </c>
      <c r="B18" s="116" t="s">
        <v>74</v>
      </c>
      <c r="C18" s="116" t="s">
        <v>71</v>
      </c>
      <c r="D18" s="118">
        <v>45292</v>
      </c>
      <c r="E18" s="116">
        <v>3</v>
      </c>
      <c r="F18" s="117">
        <v>45292</v>
      </c>
      <c r="G18" s="101" t="s">
        <v>72</v>
      </c>
    </row>
    <row r="19" spans="1:8" x14ac:dyDescent="0.25">
      <c r="A19" s="8"/>
      <c r="B19" s="9"/>
      <c r="C19" s="4"/>
      <c r="D19" s="4"/>
      <c r="E19" s="29"/>
    </row>
    <row r="20" spans="1:8" x14ac:dyDescent="0.25">
      <c r="A20" s="56" t="s">
        <v>75</v>
      </c>
      <c r="E20" s="14"/>
    </row>
    <row r="21" spans="1:8" x14ac:dyDescent="0.25">
      <c r="A21" s="8" t="s">
        <v>18</v>
      </c>
      <c r="B21" s="9" t="s">
        <v>0</v>
      </c>
      <c r="C21" s="8" t="s">
        <v>44</v>
      </c>
      <c r="D21" s="8" t="s">
        <v>45</v>
      </c>
      <c r="E21" s="8" t="s">
        <v>46</v>
      </c>
      <c r="F21" s="8" t="s">
        <v>47</v>
      </c>
      <c r="G21" s="40" t="s">
        <v>48</v>
      </c>
    </row>
    <row r="22" spans="1:8" x14ac:dyDescent="0.25">
      <c r="A22" s="8" t="s">
        <v>76</v>
      </c>
      <c r="B22" s="115" t="s">
        <v>77</v>
      </c>
      <c r="C22" s="106" t="s">
        <v>71</v>
      </c>
      <c r="D22" s="107">
        <v>46023</v>
      </c>
      <c r="E22" s="106">
        <v>2</v>
      </c>
      <c r="F22" s="107">
        <v>46023</v>
      </c>
      <c r="G22" s="100" t="s">
        <v>78</v>
      </c>
    </row>
    <row r="23" spans="1:8" x14ac:dyDescent="0.25">
      <c r="A23" s="8" t="s">
        <v>79</v>
      </c>
      <c r="B23" s="115" t="s">
        <v>80</v>
      </c>
      <c r="C23" s="115" t="s">
        <v>52</v>
      </c>
      <c r="D23" s="117">
        <v>45292</v>
      </c>
      <c r="E23" s="106" t="s">
        <v>58</v>
      </c>
      <c r="F23" s="107">
        <v>45931</v>
      </c>
      <c r="G23" s="100" t="s">
        <v>78</v>
      </c>
      <c r="H23"/>
    </row>
    <row r="24" spans="1:8" x14ac:dyDescent="0.25">
      <c r="A24" s="8" t="s">
        <v>81</v>
      </c>
      <c r="B24" s="115" t="s">
        <v>82</v>
      </c>
      <c r="C24" s="115" t="s">
        <v>83</v>
      </c>
      <c r="D24" s="117">
        <v>44743</v>
      </c>
      <c r="E24" s="115">
        <v>1</v>
      </c>
      <c r="F24" s="117">
        <v>44743</v>
      </c>
      <c r="G24" s="100" t="s">
        <v>78</v>
      </c>
      <c r="H24"/>
    </row>
    <row r="25" spans="1:8" x14ac:dyDescent="0.25">
      <c r="F25"/>
      <c r="G25"/>
      <c r="H25"/>
    </row>
    <row r="26" spans="1:8" x14ac:dyDescent="0.25">
      <c r="A26"/>
      <c r="B26"/>
      <c r="C26"/>
      <c r="D26"/>
      <c r="E26"/>
      <c r="F26"/>
      <c r="G26"/>
      <c r="H26"/>
    </row>
    <row r="27" spans="1:8" x14ac:dyDescent="0.25">
      <c r="A27" t="s">
        <v>84</v>
      </c>
      <c r="B27" s="122">
        <v>46037</v>
      </c>
      <c r="C27"/>
      <c r="D27"/>
      <c r="E27"/>
      <c r="F27"/>
      <c r="G27"/>
      <c r="H27"/>
    </row>
    <row r="28" spans="1:8" x14ac:dyDescent="0.25">
      <c r="A28" t="s">
        <v>85</v>
      </c>
      <c r="B28" s="122">
        <v>45741</v>
      </c>
      <c r="C28"/>
      <c r="D28"/>
      <c r="E28"/>
      <c r="F28"/>
      <c r="G28"/>
      <c r="H28"/>
    </row>
    <row r="29" spans="1:8" x14ac:dyDescent="0.25">
      <c r="A29" t="s">
        <v>86</v>
      </c>
      <c r="B29" s="122">
        <v>46037</v>
      </c>
      <c r="C29"/>
      <c r="D29"/>
      <c r="E29"/>
      <c r="F29"/>
      <c r="G29"/>
      <c r="H29"/>
    </row>
    <row r="30" spans="1:8" x14ac:dyDescent="0.25">
      <c r="A30" t="s">
        <v>87</v>
      </c>
      <c r="B30" s="122">
        <v>45968</v>
      </c>
      <c r="C30"/>
      <c r="D30"/>
      <c r="E30"/>
      <c r="F30"/>
      <c r="G30"/>
      <c r="H30"/>
    </row>
    <row r="31" spans="1:8" x14ac:dyDescent="0.25">
      <c r="A31" t="s">
        <v>88</v>
      </c>
      <c r="B31" s="122">
        <v>46037</v>
      </c>
      <c r="C31"/>
      <c r="D31"/>
      <c r="E31"/>
      <c r="F31"/>
      <c r="G31"/>
      <c r="H31"/>
    </row>
    <row r="32" spans="1:8" x14ac:dyDescent="0.25">
      <c r="A32" t="s">
        <v>89</v>
      </c>
      <c r="B32" s="122">
        <v>45968</v>
      </c>
      <c r="C32"/>
      <c r="D32"/>
      <c r="E32"/>
      <c r="F32"/>
      <c r="G32"/>
      <c r="H32"/>
    </row>
    <row r="33" spans="1:8" x14ac:dyDescent="0.25">
      <c r="A33" t="s">
        <v>90</v>
      </c>
      <c r="B33" s="122" t="s">
        <v>91</v>
      </c>
      <c r="C33" s="132" t="s">
        <v>92</v>
      </c>
      <c r="D33"/>
      <c r="E33"/>
      <c r="F33"/>
      <c r="G33"/>
      <c r="H33"/>
    </row>
    <row r="34" spans="1:8" x14ac:dyDescent="0.25">
      <c r="A34" t="s">
        <v>93</v>
      </c>
      <c r="B34" s="122">
        <v>46037</v>
      </c>
      <c r="C34"/>
      <c r="D34"/>
      <c r="E34"/>
      <c r="F34"/>
      <c r="G34"/>
      <c r="H34"/>
    </row>
    <row r="35" spans="1:8" x14ac:dyDescent="0.25">
      <c r="A35" t="s">
        <v>94</v>
      </c>
      <c r="B35" s="122">
        <v>46037</v>
      </c>
      <c r="C35"/>
      <c r="D35"/>
      <c r="E35"/>
      <c r="F35"/>
      <c r="G35"/>
      <c r="H35"/>
    </row>
    <row r="36" spans="1:8" x14ac:dyDescent="0.25">
      <c r="A36"/>
      <c r="B36" s="68"/>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row>
    <row r="47" spans="1:8" x14ac:dyDescent="0.25">
      <c r="A47"/>
      <c r="B47"/>
      <c r="C47"/>
      <c r="D47"/>
      <c r="E47"/>
    </row>
    <row r="48" spans="1:8" x14ac:dyDescent="0.25">
      <c r="A48"/>
      <c r="B48"/>
      <c r="C48"/>
      <c r="D48"/>
      <c r="E48"/>
    </row>
    <row r="49" spans="1:8" x14ac:dyDescent="0.25">
      <c r="A49"/>
      <c r="B49"/>
      <c r="C49"/>
    </row>
    <row r="50" spans="1:8" x14ac:dyDescent="0.25">
      <c r="A50"/>
      <c r="B50"/>
      <c r="C50"/>
      <c r="F50"/>
    </row>
    <row r="51" spans="1:8" x14ac:dyDescent="0.25">
      <c r="A51"/>
      <c r="B51"/>
      <c r="C51"/>
      <c r="F51"/>
    </row>
    <row r="52" spans="1:8" x14ac:dyDescent="0.25">
      <c r="A52"/>
      <c r="B52"/>
      <c r="C52"/>
      <c r="F52"/>
    </row>
    <row r="53" spans="1:8" x14ac:dyDescent="0.25">
      <c r="A53"/>
      <c r="B53"/>
      <c r="C53"/>
      <c r="F53"/>
    </row>
    <row r="54" spans="1:8" x14ac:dyDescent="0.25">
      <c r="A54"/>
      <c r="B54"/>
      <c r="C54"/>
    </row>
    <row r="55" spans="1:8" x14ac:dyDescent="0.25">
      <c r="A55"/>
      <c r="B55"/>
      <c r="C55"/>
    </row>
    <row r="56" spans="1:8" x14ac:dyDescent="0.25">
      <c r="A56"/>
      <c r="B56"/>
      <c r="C56"/>
      <c r="F56"/>
      <c r="G56"/>
      <c r="H56"/>
    </row>
    <row r="57" spans="1:8" x14ac:dyDescent="0.25">
      <c r="A57"/>
      <c r="B57"/>
      <c r="C57"/>
      <c r="D57"/>
      <c r="E57"/>
      <c r="F57"/>
      <c r="G57"/>
      <c r="H57"/>
    </row>
    <row r="58" spans="1:8" x14ac:dyDescent="0.25">
      <c r="A58"/>
      <c r="B58"/>
      <c r="C58"/>
      <c r="D58"/>
      <c r="E58"/>
      <c r="F58"/>
      <c r="G58"/>
      <c r="H58"/>
    </row>
    <row r="59" spans="1:8" x14ac:dyDescent="0.25">
      <c r="A59"/>
      <c r="B59"/>
      <c r="C59"/>
      <c r="D59"/>
      <c r="E59"/>
      <c r="F59"/>
      <c r="G59"/>
      <c r="H59"/>
    </row>
    <row r="60" spans="1:8" x14ac:dyDescent="0.25">
      <c r="A60"/>
      <c r="B60"/>
      <c r="C60"/>
      <c r="D60"/>
      <c r="E60"/>
      <c r="F60"/>
      <c r="G60"/>
      <c r="H60"/>
    </row>
    <row r="61" spans="1:8" x14ac:dyDescent="0.25">
      <c r="A61"/>
      <c r="B61"/>
      <c r="C61"/>
      <c r="D61"/>
      <c r="E61"/>
      <c r="F61"/>
      <c r="G61"/>
      <c r="H61"/>
    </row>
    <row r="62" spans="1:8" x14ac:dyDescent="0.25">
      <c r="A62"/>
      <c r="B62"/>
      <c r="C62"/>
      <c r="D62"/>
      <c r="E62"/>
      <c r="F62"/>
      <c r="G62"/>
      <c r="H62"/>
    </row>
    <row r="63" spans="1:8" x14ac:dyDescent="0.25">
      <c r="A63"/>
      <c r="B63"/>
      <c r="C63"/>
      <c r="D63"/>
      <c r="E63"/>
      <c r="F63"/>
      <c r="G63"/>
      <c r="H63"/>
    </row>
    <row r="64" spans="1:8" x14ac:dyDescent="0.25">
      <c r="A64"/>
      <c r="B64"/>
      <c r="C64"/>
      <c r="D64"/>
      <c r="E64"/>
      <c r="F64"/>
      <c r="G64"/>
      <c r="H64"/>
    </row>
    <row r="65" customFormat="1" x14ac:dyDescent="0.25"/>
    <row r="66" customFormat="1" x14ac:dyDescent="0.25"/>
    <row r="67" customFormat="1" x14ac:dyDescent="0.25"/>
    <row r="68" customFormat="1" x14ac:dyDescent="0.25"/>
    <row r="69" customFormat="1" x14ac:dyDescent="0.25"/>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67"/>
  <sheetViews>
    <sheetView zoomScale="85" zoomScaleNormal="85" workbookViewId="0">
      <selection activeCell="B35" sqref="B35"/>
    </sheetView>
  </sheetViews>
  <sheetFormatPr defaultRowHeight="15.75" x14ac:dyDescent="0.25"/>
  <cols>
    <col min="1" max="1" width="15.375" style="8" bestFit="1" customWidth="1"/>
    <col min="2" max="2" width="5.875" bestFit="1" customWidth="1"/>
    <col min="3" max="3" width="5.25" bestFit="1" customWidth="1"/>
    <col min="4" max="4" width="15.25" bestFit="1" customWidth="1"/>
    <col min="5" max="5" width="5.5" bestFit="1" customWidth="1"/>
    <col min="6" max="6" width="15.625" bestFit="1" customWidth="1"/>
    <col min="7" max="7" width="5.25" bestFit="1" customWidth="1"/>
    <col min="8" max="8" width="15.625" bestFit="1" customWidth="1"/>
    <col min="9" max="9" width="5.25" bestFit="1" customWidth="1"/>
    <col min="10" max="10" width="15.625" bestFit="1" customWidth="1"/>
    <col min="11" max="11" width="5.25" bestFit="1" customWidth="1"/>
    <col min="12" max="12" width="15.375" customWidth="1"/>
    <col min="13" max="13" width="5.25" bestFit="1" customWidth="1"/>
    <col min="14" max="14" width="15.75" bestFit="1" customWidth="1"/>
    <col min="15" max="15" width="5.25" bestFit="1" customWidth="1"/>
    <col min="16" max="16" width="15.75" bestFit="1" customWidth="1"/>
    <col min="17" max="17" width="5.25" bestFit="1" customWidth="1"/>
    <col min="18" max="18" width="15.75" bestFit="1" customWidth="1"/>
    <col min="19" max="19" width="5.25" bestFit="1" customWidth="1"/>
    <col min="20" max="20" width="14.625" bestFit="1" customWidth="1"/>
    <col min="21" max="21" width="5.25" bestFit="1" customWidth="1"/>
    <col min="22" max="22" width="15" bestFit="1" customWidth="1"/>
    <col min="23" max="23" width="5.25" bestFit="1" customWidth="1"/>
    <col min="24" max="24" width="15" bestFit="1" customWidth="1"/>
    <col min="25" max="25" width="5.25" bestFit="1" customWidth="1"/>
    <col min="26" max="26" width="15" bestFit="1" customWidth="1"/>
  </cols>
  <sheetData>
    <row r="2" spans="1:17" ht="16.5" thickBot="1" x14ac:dyDescent="0.3">
      <c r="C2" s="20"/>
      <c r="K2" s="17"/>
      <c r="L2" s="17"/>
      <c r="M2" s="17"/>
      <c r="N2" s="17"/>
    </row>
    <row r="3" spans="1:17" x14ac:dyDescent="0.25">
      <c r="A3" s="57" t="s">
        <v>95</v>
      </c>
      <c r="B3" s="1">
        <v>1</v>
      </c>
      <c r="C3" s="74"/>
      <c r="D3" s="75" t="s">
        <v>96</v>
      </c>
      <c r="E3" s="76"/>
      <c r="F3" s="75" t="s">
        <v>97</v>
      </c>
      <c r="G3" s="76"/>
      <c r="H3" s="75" t="s">
        <v>98</v>
      </c>
      <c r="I3" s="76"/>
      <c r="J3" s="77" t="s">
        <v>99</v>
      </c>
      <c r="K3" s="17"/>
      <c r="M3" s="17"/>
      <c r="N3" s="17"/>
      <c r="O3" s="17"/>
      <c r="P3" s="17"/>
      <c r="Q3" s="17"/>
    </row>
    <row r="4" spans="1:17" x14ac:dyDescent="0.25">
      <c r="B4" s="15">
        <v>2</v>
      </c>
      <c r="C4" s="78" t="s">
        <v>100</v>
      </c>
      <c r="D4" s="18" t="s">
        <v>101</v>
      </c>
      <c r="E4" s="23" t="s">
        <v>102</v>
      </c>
      <c r="F4" s="18" t="s">
        <v>103</v>
      </c>
      <c r="G4" s="23" t="s">
        <v>104</v>
      </c>
      <c r="H4" s="18" t="s">
        <v>101</v>
      </c>
      <c r="I4" s="23" t="s">
        <v>105</v>
      </c>
      <c r="J4" s="79" t="s">
        <v>103</v>
      </c>
      <c r="K4" s="17"/>
      <c r="L4" s="17"/>
      <c r="M4" s="17"/>
      <c r="N4" s="17"/>
      <c r="O4" s="17"/>
      <c r="P4" s="17"/>
      <c r="Q4" s="17"/>
    </row>
    <row r="5" spans="1:17" x14ac:dyDescent="0.25">
      <c r="B5" s="15">
        <v>3</v>
      </c>
      <c r="C5" s="80" t="s">
        <v>100</v>
      </c>
      <c r="D5" s="19" t="s">
        <v>106</v>
      </c>
      <c r="E5" s="24" t="s">
        <v>102</v>
      </c>
      <c r="F5" s="19" t="s">
        <v>107</v>
      </c>
      <c r="G5" s="24" t="s">
        <v>104</v>
      </c>
      <c r="H5" s="19" t="s">
        <v>106</v>
      </c>
      <c r="I5" s="24" t="s">
        <v>105</v>
      </c>
      <c r="J5" s="81" t="s">
        <v>107</v>
      </c>
      <c r="K5" s="17"/>
      <c r="L5" s="17"/>
      <c r="M5" s="17"/>
      <c r="N5" s="17"/>
      <c r="O5" s="17"/>
      <c r="P5" s="17"/>
      <c r="Q5" s="17"/>
    </row>
    <row r="6" spans="1:17" x14ac:dyDescent="0.25">
      <c r="B6" s="15">
        <v>4</v>
      </c>
      <c r="C6" s="80" t="s">
        <v>102</v>
      </c>
      <c r="D6" s="19" t="s">
        <v>103</v>
      </c>
      <c r="E6" s="24" t="s">
        <v>104</v>
      </c>
      <c r="F6" s="19" t="s">
        <v>101</v>
      </c>
      <c r="G6" s="24" t="s">
        <v>105</v>
      </c>
      <c r="H6" s="19" t="s">
        <v>103</v>
      </c>
      <c r="I6" s="24" t="s">
        <v>100</v>
      </c>
      <c r="J6" s="81" t="s">
        <v>101</v>
      </c>
      <c r="K6" s="5"/>
      <c r="L6" s="17"/>
      <c r="M6" s="17"/>
      <c r="N6" s="17"/>
      <c r="O6" s="17"/>
      <c r="P6" s="17"/>
      <c r="Q6" s="17"/>
    </row>
    <row r="7" spans="1:17" x14ac:dyDescent="0.25">
      <c r="B7" s="15">
        <v>5</v>
      </c>
      <c r="C7" s="80" t="s">
        <v>102</v>
      </c>
      <c r="D7" s="19" t="s">
        <v>107</v>
      </c>
      <c r="E7" s="24" t="s">
        <v>104</v>
      </c>
      <c r="F7" s="19" t="s">
        <v>106</v>
      </c>
      <c r="G7" s="24" t="s">
        <v>105</v>
      </c>
      <c r="H7" s="19" t="s">
        <v>107</v>
      </c>
      <c r="I7" s="24" t="s">
        <v>100</v>
      </c>
      <c r="J7" s="81" t="s">
        <v>106</v>
      </c>
      <c r="K7" s="5"/>
      <c r="L7" s="4"/>
      <c r="M7" s="5"/>
      <c r="N7" s="4"/>
      <c r="O7" s="5"/>
      <c r="P7" s="5"/>
    </row>
    <row r="8" spans="1:17" x14ac:dyDescent="0.25">
      <c r="B8" s="15">
        <v>6</v>
      </c>
      <c r="C8" s="80" t="s">
        <v>104</v>
      </c>
      <c r="D8" s="19" t="s">
        <v>108</v>
      </c>
      <c r="E8" s="24" t="s">
        <v>105</v>
      </c>
      <c r="F8" s="19" t="s">
        <v>109</v>
      </c>
      <c r="G8" s="24" t="s">
        <v>100</v>
      </c>
      <c r="H8" s="19" t="s">
        <v>108</v>
      </c>
      <c r="I8" s="24" t="s">
        <v>102</v>
      </c>
      <c r="J8" s="81" t="s">
        <v>109</v>
      </c>
      <c r="K8" s="21"/>
      <c r="L8" s="4"/>
      <c r="M8" s="5"/>
      <c r="N8" s="4"/>
      <c r="O8" s="16"/>
      <c r="P8" s="5"/>
    </row>
    <row r="9" spans="1:17" x14ac:dyDescent="0.25">
      <c r="B9" s="15">
        <v>7</v>
      </c>
      <c r="C9" s="80" t="s">
        <v>104</v>
      </c>
      <c r="D9" s="19" t="s">
        <v>110</v>
      </c>
      <c r="E9" s="24" t="s">
        <v>105</v>
      </c>
      <c r="F9" s="19" t="s">
        <v>111</v>
      </c>
      <c r="G9" s="24" t="s">
        <v>100</v>
      </c>
      <c r="H9" s="19" t="s">
        <v>110</v>
      </c>
      <c r="I9" s="24" t="s">
        <v>102</v>
      </c>
      <c r="J9" s="81" t="s">
        <v>111</v>
      </c>
      <c r="O9" s="5"/>
      <c r="P9" s="5"/>
    </row>
    <row r="10" spans="1:17" x14ac:dyDescent="0.25">
      <c r="B10" s="15">
        <v>8</v>
      </c>
      <c r="C10" s="80" t="s">
        <v>105</v>
      </c>
      <c r="D10" s="19" t="s">
        <v>109</v>
      </c>
      <c r="E10" s="24" t="s">
        <v>100</v>
      </c>
      <c r="F10" s="19" t="s">
        <v>108</v>
      </c>
      <c r="G10" s="24" t="s">
        <v>102</v>
      </c>
      <c r="H10" s="19" t="s">
        <v>109</v>
      </c>
      <c r="I10" s="24" t="s">
        <v>104</v>
      </c>
      <c r="J10" s="81" t="s">
        <v>108</v>
      </c>
      <c r="K10" s="21"/>
      <c r="O10" s="5"/>
      <c r="P10" s="5"/>
    </row>
    <row r="11" spans="1:17" x14ac:dyDescent="0.25">
      <c r="B11" s="15">
        <v>9</v>
      </c>
      <c r="C11" s="80" t="s">
        <v>105</v>
      </c>
      <c r="D11" s="19" t="s">
        <v>111</v>
      </c>
      <c r="E11" s="25" t="s">
        <v>100</v>
      </c>
      <c r="F11" s="19" t="s">
        <v>110</v>
      </c>
      <c r="G11" s="24" t="s">
        <v>102</v>
      </c>
      <c r="H11" s="127" t="s">
        <v>112</v>
      </c>
      <c r="I11" s="25" t="s">
        <v>104</v>
      </c>
      <c r="J11" s="81" t="s">
        <v>110</v>
      </c>
      <c r="K11" s="22"/>
      <c r="O11" s="5"/>
      <c r="P11" s="5"/>
    </row>
    <row r="12" spans="1:17" x14ac:dyDescent="0.25">
      <c r="B12" s="15">
        <v>10</v>
      </c>
      <c r="C12" s="82" t="s">
        <v>113</v>
      </c>
      <c r="D12" s="18" t="s">
        <v>114</v>
      </c>
      <c r="E12" s="43" t="s">
        <v>115</v>
      </c>
      <c r="F12" s="18" t="s">
        <v>112</v>
      </c>
      <c r="G12" s="43" t="s">
        <v>116</v>
      </c>
      <c r="H12" s="18" t="s">
        <v>117</v>
      </c>
      <c r="I12" s="43" t="s">
        <v>118</v>
      </c>
      <c r="J12" s="131" t="s">
        <v>119</v>
      </c>
      <c r="L12" s="129" t="s">
        <v>120</v>
      </c>
      <c r="O12" s="5"/>
      <c r="P12" s="5"/>
    </row>
    <row r="13" spans="1:17" x14ac:dyDescent="0.25">
      <c r="B13" s="15">
        <v>11</v>
      </c>
      <c r="C13" s="83" t="s">
        <v>113</v>
      </c>
      <c r="D13" s="19" t="s">
        <v>121</v>
      </c>
      <c r="E13" s="44" t="s">
        <v>115</v>
      </c>
      <c r="F13" s="19" t="s">
        <v>121</v>
      </c>
      <c r="G13" s="44" t="s">
        <v>116</v>
      </c>
      <c r="H13" s="19" t="s">
        <v>122</v>
      </c>
      <c r="I13" s="44" t="s">
        <v>118</v>
      </c>
      <c r="J13" s="128" t="s">
        <v>121</v>
      </c>
      <c r="O13" s="5"/>
      <c r="P13" s="5"/>
    </row>
    <row r="14" spans="1:17" x14ac:dyDescent="0.25">
      <c r="B14" s="15">
        <v>12</v>
      </c>
      <c r="C14" s="83" t="s">
        <v>115</v>
      </c>
      <c r="D14" s="19" t="s">
        <v>112</v>
      </c>
      <c r="E14" s="44" t="s">
        <v>116</v>
      </c>
      <c r="F14" s="19" t="s">
        <v>117</v>
      </c>
      <c r="G14" s="44" t="s">
        <v>118</v>
      </c>
      <c r="H14" s="127" t="s">
        <v>123</v>
      </c>
      <c r="I14" s="44" t="s">
        <v>113</v>
      </c>
      <c r="J14" s="81" t="s">
        <v>114</v>
      </c>
      <c r="O14" s="5"/>
      <c r="P14" s="5"/>
    </row>
    <row r="15" spans="1:17" x14ac:dyDescent="0.25">
      <c r="B15" s="15">
        <v>13</v>
      </c>
      <c r="C15" s="83" t="s">
        <v>115</v>
      </c>
      <c r="D15" s="19" t="s">
        <v>121</v>
      </c>
      <c r="E15" s="44" t="s">
        <v>116</v>
      </c>
      <c r="F15" s="19" t="s">
        <v>122</v>
      </c>
      <c r="G15" s="44" t="s">
        <v>118</v>
      </c>
      <c r="H15" s="19" t="s">
        <v>119</v>
      </c>
      <c r="I15" s="44" t="s">
        <v>113</v>
      </c>
      <c r="J15" s="81" t="s">
        <v>121</v>
      </c>
      <c r="K15" s="5"/>
      <c r="O15" s="5"/>
      <c r="P15" s="5"/>
    </row>
    <row r="16" spans="1:17" x14ac:dyDescent="0.25">
      <c r="B16" s="15">
        <v>14</v>
      </c>
      <c r="C16" s="83" t="s">
        <v>116</v>
      </c>
      <c r="D16" s="19" t="s">
        <v>117</v>
      </c>
      <c r="E16" s="44" t="s">
        <v>118</v>
      </c>
      <c r="F16" s="19" t="s">
        <v>123</v>
      </c>
      <c r="G16" s="44" t="s">
        <v>113</v>
      </c>
      <c r="H16" s="19" t="s">
        <v>114</v>
      </c>
      <c r="I16" s="44" t="s">
        <v>115</v>
      </c>
      <c r="J16" s="128" t="s">
        <v>112</v>
      </c>
      <c r="K16" s="5"/>
      <c r="L16" s="4"/>
      <c r="M16" s="5"/>
      <c r="N16" s="7"/>
      <c r="O16" s="5"/>
      <c r="P16" s="5"/>
    </row>
    <row r="17" spans="1:18" x14ac:dyDescent="0.25">
      <c r="B17" s="15">
        <v>15</v>
      </c>
      <c r="C17" s="83" t="s">
        <v>116</v>
      </c>
      <c r="D17" s="19" t="s">
        <v>122</v>
      </c>
      <c r="E17" s="44" t="s">
        <v>118</v>
      </c>
      <c r="F17" s="19" t="s">
        <v>119</v>
      </c>
      <c r="G17" s="44" t="s">
        <v>113</v>
      </c>
      <c r="H17" s="127" t="s">
        <v>124</v>
      </c>
      <c r="I17" s="44" t="s">
        <v>115</v>
      </c>
      <c r="J17" s="81" t="s">
        <v>121</v>
      </c>
      <c r="K17" s="5"/>
      <c r="L17" s="4"/>
      <c r="M17" s="5"/>
      <c r="N17" s="7"/>
      <c r="O17" s="5"/>
      <c r="P17" s="5"/>
    </row>
    <row r="18" spans="1:18" x14ac:dyDescent="0.25">
      <c r="B18" s="15">
        <v>16</v>
      </c>
      <c r="C18" s="83" t="s">
        <v>118</v>
      </c>
      <c r="D18" s="19" t="s">
        <v>123</v>
      </c>
      <c r="E18" s="44" t="s">
        <v>113</v>
      </c>
      <c r="F18" s="19" t="s">
        <v>114</v>
      </c>
      <c r="G18" s="44" t="s">
        <v>115</v>
      </c>
      <c r="H18" s="127" t="s">
        <v>111</v>
      </c>
      <c r="I18" s="44" t="s">
        <v>116</v>
      </c>
      <c r="J18" s="81" t="s">
        <v>122</v>
      </c>
      <c r="K18" s="5"/>
      <c r="L18" s="4"/>
      <c r="M18" s="5"/>
      <c r="N18" s="7"/>
      <c r="O18" s="5"/>
      <c r="P18" s="5"/>
    </row>
    <row r="19" spans="1:18" x14ac:dyDescent="0.25">
      <c r="A19"/>
      <c r="B19" s="15">
        <v>17</v>
      </c>
      <c r="C19" s="84" t="s">
        <v>118</v>
      </c>
      <c r="D19" s="19" t="s">
        <v>119</v>
      </c>
      <c r="E19" s="45" t="s">
        <v>113</v>
      </c>
      <c r="F19" s="127" t="s">
        <v>124</v>
      </c>
      <c r="G19" s="45" t="s">
        <v>115</v>
      </c>
      <c r="H19" s="19" t="s">
        <v>121</v>
      </c>
      <c r="I19" s="45" t="s">
        <v>116</v>
      </c>
      <c r="J19" s="81" t="s">
        <v>117</v>
      </c>
      <c r="L19" s="4"/>
      <c r="M19" s="5"/>
      <c r="N19" s="6"/>
      <c r="O19" s="5"/>
      <c r="P19" s="16"/>
    </row>
    <row r="20" spans="1:18" x14ac:dyDescent="0.25">
      <c r="B20" s="15">
        <v>18</v>
      </c>
      <c r="C20" s="82" t="s">
        <v>125</v>
      </c>
      <c r="D20" s="18" t="s">
        <v>124</v>
      </c>
      <c r="E20" s="43" t="s">
        <v>126</v>
      </c>
      <c r="F20" s="18" t="s">
        <v>127</v>
      </c>
      <c r="G20" s="43" t="s">
        <v>128</v>
      </c>
      <c r="H20" s="18" t="s">
        <v>129</v>
      </c>
      <c r="I20" s="43" t="s">
        <v>130</v>
      </c>
      <c r="J20" s="79" t="s">
        <v>131</v>
      </c>
    </row>
    <row r="21" spans="1:18" x14ac:dyDescent="0.25">
      <c r="B21" s="15">
        <v>19</v>
      </c>
      <c r="C21" s="83" t="s">
        <v>125</v>
      </c>
      <c r="D21" s="19" t="s">
        <v>121</v>
      </c>
      <c r="E21" s="44" t="s">
        <v>126</v>
      </c>
      <c r="F21" s="19" t="s">
        <v>132</v>
      </c>
      <c r="G21" s="44" t="s">
        <v>128</v>
      </c>
      <c r="H21" s="127" t="s">
        <v>133</v>
      </c>
      <c r="I21" s="44" t="s">
        <v>130</v>
      </c>
      <c r="J21" s="128" t="s">
        <v>123</v>
      </c>
      <c r="L21" s="129" t="s">
        <v>120</v>
      </c>
    </row>
    <row r="22" spans="1:18" x14ac:dyDescent="0.25">
      <c r="B22" s="15">
        <v>20</v>
      </c>
      <c r="C22" s="83" t="s">
        <v>126</v>
      </c>
      <c r="D22" s="19" t="s">
        <v>132</v>
      </c>
      <c r="E22" s="44" t="s">
        <v>128</v>
      </c>
      <c r="F22" s="19" t="s">
        <v>129</v>
      </c>
      <c r="G22" s="44" t="s">
        <v>130</v>
      </c>
      <c r="H22" s="19" t="s">
        <v>131</v>
      </c>
      <c r="I22" s="44" t="s">
        <v>125</v>
      </c>
      <c r="J22" s="81" t="s">
        <v>124</v>
      </c>
    </row>
    <row r="23" spans="1:18" x14ac:dyDescent="0.25">
      <c r="B23" s="15">
        <v>21</v>
      </c>
      <c r="C23" s="83" t="s">
        <v>126</v>
      </c>
      <c r="D23" s="19" t="s">
        <v>127</v>
      </c>
      <c r="E23" s="44" t="s">
        <v>128</v>
      </c>
      <c r="F23" s="127" t="s">
        <v>133</v>
      </c>
      <c r="G23" s="44" t="s">
        <v>130</v>
      </c>
      <c r="H23" s="19" t="s">
        <v>121</v>
      </c>
      <c r="I23" s="44" t="s">
        <v>125</v>
      </c>
      <c r="J23" s="81" t="s">
        <v>121</v>
      </c>
    </row>
    <row r="24" spans="1:18" x14ac:dyDescent="0.25">
      <c r="B24" s="15">
        <v>22</v>
      </c>
      <c r="C24" s="83" t="s">
        <v>128</v>
      </c>
      <c r="D24" s="19" t="s">
        <v>133</v>
      </c>
      <c r="E24" s="44" t="s">
        <v>130</v>
      </c>
      <c r="F24" s="19" t="s">
        <v>131</v>
      </c>
      <c r="G24" s="44" t="s">
        <v>125</v>
      </c>
      <c r="H24" s="127" t="s">
        <v>121</v>
      </c>
      <c r="I24" s="44" t="s">
        <v>126</v>
      </c>
      <c r="J24" s="81" t="s">
        <v>132</v>
      </c>
    </row>
    <row r="25" spans="1:18" x14ac:dyDescent="0.25">
      <c r="B25" s="15">
        <v>23</v>
      </c>
      <c r="C25" s="83" t="s">
        <v>128</v>
      </c>
      <c r="D25" s="19" t="s">
        <v>129</v>
      </c>
      <c r="E25" s="44" t="s">
        <v>130</v>
      </c>
      <c r="F25" s="19" t="s">
        <v>121</v>
      </c>
      <c r="G25" s="44" t="s">
        <v>125</v>
      </c>
      <c r="H25" s="19" t="s">
        <v>121</v>
      </c>
      <c r="I25" s="44" t="s">
        <v>126</v>
      </c>
      <c r="J25" s="81" t="s">
        <v>127</v>
      </c>
    </row>
    <row r="26" spans="1:18" x14ac:dyDescent="0.25">
      <c r="B26" s="15">
        <v>24</v>
      </c>
      <c r="C26" s="83" t="s">
        <v>130</v>
      </c>
      <c r="D26" s="19" t="s">
        <v>131</v>
      </c>
      <c r="E26" s="44" t="s">
        <v>125</v>
      </c>
      <c r="F26" s="127" t="s">
        <v>121</v>
      </c>
      <c r="G26" s="44" t="s">
        <v>126</v>
      </c>
      <c r="H26" s="19" t="s">
        <v>127</v>
      </c>
      <c r="I26" s="44" t="s">
        <v>128</v>
      </c>
      <c r="J26" s="81" t="s">
        <v>133</v>
      </c>
    </row>
    <row r="27" spans="1:18" ht="16.5" thickBot="1" x14ac:dyDescent="0.3">
      <c r="B27" s="15">
        <v>25</v>
      </c>
      <c r="C27" s="85" t="s">
        <v>130</v>
      </c>
      <c r="D27" s="86" t="s">
        <v>121</v>
      </c>
      <c r="E27" s="87" t="s">
        <v>125</v>
      </c>
      <c r="F27" s="86" t="s">
        <v>121</v>
      </c>
      <c r="G27" s="87" t="s">
        <v>126</v>
      </c>
      <c r="H27" s="86" t="s">
        <v>132</v>
      </c>
      <c r="I27" s="87" t="s">
        <v>128</v>
      </c>
      <c r="J27" s="88" t="s">
        <v>129</v>
      </c>
    </row>
    <row r="29" spans="1:18" x14ac:dyDescent="0.25">
      <c r="A29"/>
    </row>
    <row r="30" spans="1:18" x14ac:dyDescent="0.25">
      <c r="A30"/>
    </row>
    <row r="31" spans="1:18" x14ac:dyDescent="0.25">
      <c r="A31" s="57" t="s">
        <v>134</v>
      </c>
      <c r="B31" s="1">
        <v>1</v>
      </c>
      <c r="C31" s="89"/>
      <c r="D31" s="90" t="s">
        <v>135</v>
      </c>
      <c r="E31" s="91"/>
      <c r="F31" s="90" t="s">
        <v>136</v>
      </c>
      <c r="G31" s="91"/>
      <c r="H31" s="90" t="s">
        <v>137</v>
      </c>
      <c r="I31" s="91"/>
      <c r="J31" s="92" t="s">
        <v>138</v>
      </c>
      <c r="K31" s="89"/>
      <c r="L31" s="90" t="s">
        <v>139</v>
      </c>
      <c r="M31" s="91"/>
      <c r="N31" s="96" t="s">
        <v>140</v>
      </c>
      <c r="O31" s="91"/>
      <c r="P31" s="90" t="s">
        <v>141</v>
      </c>
      <c r="Q31" s="91"/>
      <c r="R31" s="92" t="s">
        <v>142</v>
      </c>
    </row>
    <row r="32" spans="1:18" x14ac:dyDescent="0.25">
      <c r="B32" s="15">
        <v>2</v>
      </c>
      <c r="C32" s="82" t="s">
        <v>143</v>
      </c>
      <c r="D32" s="18" t="s">
        <v>144</v>
      </c>
      <c r="E32" s="43" t="s">
        <v>145</v>
      </c>
      <c r="F32" s="18" t="s">
        <v>146</v>
      </c>
      <c r="G32" s="43" t="s">
        <v>147</v>
      </c>
      <c r="H32" s="18" t="s">
        <v>144</v>
      </c>
      <c r="I32" s="43" t="s">
        <v>148</v>
      </c>
      <c r="J32" s="79" t="s">
        <v>149</v>
      </c>
      <c r="K32" s="82" t="s">
        <v>143</v>
      </c>
      <c r="L32" s="18" t="s">
        <v>144</v>
      </c>
      <c r="M32" s="43" t="s">
        <v>145</v>
      </c>
      <c r="N32" s="18" t="s">
        <v>146</v>
      </c>
      <c r="O32" s="43" t="s">
        <v>147</v>
      </c>
      <c r="P32" s="18" t="s">
        <v>144</v>
      </c>
      <c r="Q32" s="43" t="s">
        <v>148</v>
      </c>
      <c r="R32" s="79" t="s">
        <v>149</v>
      </c>
    </row>
    <row r="33" spans="1:18" x14ac:dyDescent="0.25">
      <c r="B33" s="15">
        <v>3</v>
      </c>
      <c r="C33" s="83" t="s">
        <v>143</v>
      </c>
      <c r="D33" s="19" t="s">
        <v>150</v>
      </c>
      <c r="E33" s="44" t="s">
        <v>145</v>
      </c>
      <c r="F33" s="19" t="s">
        <v>151</v>
      </c>
      <c r="G33" s="44" t="s">
        <v>147</v>
      </c>
      <c r="H33" s="19" t="s">
        <v>150</v>
      </c>
      <c r="I33" s="44" t="s">
        <v>148</v>
      </c>
      <c r="J33" s="81" t="s">
        <v>152</v>
      </c>
      <c r="K33" s="83" t="s">
        <v>143</v>
      </c>
      <c r="L33" s="19" t="s">
        <v>153</v>
      </c>
      <c r="M33" s="44" t="s">
        <v>145</v>
      </c>
      <c r="N33" s="19" t="s">
        <v>151</v>
      </c>
      <c r="O33" s="44" t="s">
        <v>147</v>
      </c>
      <c r="P33" s="19" t="s">
        <v>153</v>
      </c>
      <c r="Q33" s="44" t="s">
        <v>148</v>
      </c>
      <c r="R33" s="81" t="s">
        <v>152</v>
      </c>
    </row>
    <row r="34" spans="1:18" ht="15.75" customHeight="1" x14ac:dyDescent="0.25">
      <c r="B34" s="15">
        <v>4</v>
      </c>
      <c r="C34" s="83" t="s">
        <v>145</v>
      </c>
      <c r="D34" s="19" t="s">
        <v>146</v>
      </c>
      <c r="E34" s="44" t="s">
        <v>147</v>
      </c>
      <c r="F34" s="19" t="s">
        <v>144</v>
      </c>
      <c r="G34" s="44" t="s">
        <v>148</v>
      </c>
      <c r="H34" s="19" t="s">
        <v>149</v>
      </c>
      <c r="I34" s="44" t="s">
        <v>143</v>
      </c>
      <c r="J34" s="81" t="s">
        <v>144</v>
      </c>
      <c r="K34" s="83" t="s">
        <v>145</v>
      </c>
      <c r="L34" s="19" t="s">
        <v>146</v>
      </c>
      <c r="M34" s="44" t="s">
        <v>147</v>
      </c>
      <c r="N34" s="19" t="s">
        <v>144</v>
      </c>
      <c r="O34" s="44" t="s">
        <v>148</v>
      </c>
      <c r="P34" s="19" t="s">
        <v>149</v>
      </c>
      <c r="Q34" s="44" t="s">
        <v>143</v>
      </c>
      <c r="R34" s="81" t="s">
        <v>144</v>
      </c>
    </row>
    <row r="35" spans="1:18" x14ac:dyDescent="0.25">
      <c r="B35" s="15">
        <v>5</v>
      </c>
      <c r="C35" s="83" t="s">
        <v>145</v>
      </c>
      <c r="D35" s="19" t="s">
        <v>151</v>
      </c>
      <c r="E35" s="44" t="s">
        <v>147</v>
      </c>
      <c r="F35" s="19" t="s">
        <v>150</v>
      </c>
      <c r="G35" s="44" t="s">
        <v>148</v>
      </c>
      <c r="H35" s="19" t="s">
        <v>152</v>
      </c>
      <c r="I35" s="44" t="s">
        <v>143</v>
      </c>
      <c r="J35" s="81" t="s">
        <v>150</v>
      </c>
      <c r="K35" s="83" t="s">
        <v>145</v>
      </c>
      <c r="L35" s="19" t="s">
        <v>151</v>
      </c>
      <c r="M35" s="44" t="s">
        <v>147</v>
      </c>
      <c r="N35" s="19" t="s">
        <v>153</v>
      </c>
      <c r="O35" s="44" t="s">
        <v>148</v>
      </c>
      <c r="P35" s="19" t="s">
        <v>152</v>
      </c>
      <c r="Q35" s="44" t="s">
        <v>143</v>
      </c>
      <c r="R35" s="81" t="s">
        <v>153</v>
      </c>
    </row>
    <row r="36" spans="1:18" ht="15.75" customHeight="1" x14ac:dyDescent="0.25">
      <c r="B36" s="15">
        <v>6</v>
      </c>
      <c r="C36" s="83" t="s">
        <v>147</v>
      </c>
      <c r="D36" s="48" t="s">
        <v>154</v>
      </c>
      <c r="E36" s="44" t="s">
        <v>148</v>
      </c>
      <c r="F36" s="19" t="s">
        <v>149</v>
      </c>
      <c r="G36" s="44" t="s">
        <v>143</v>
      </c>
      <c r="H36" s="48" t="s">
        <v>154</v>
      </c>
      <c r="I36" s="44" t="s">
        <v>145</v>
      </c>
      <c r="J36" s="81" t="s">
        <v>146</v>
      </c>
      <c r="K36" s="83" t="s">
        <v>147</v>
      </c>
      <c r="L36" s="48" t="s">
        <v>155</v>
      </c>
      <c r="M36" s="44" t="s">
        <v>148</v>
      </c>
      <c r="N36" s="19" t="s">
        <v>149</v>
      </c>
      <c r="O36" s="44" t="s">
        <v>143</v>
      </c>
      <c r="P36" s="48" t="s">
        <v>155</v>
      </c>
      <c r="Q36" s="44" t="s">
        <v>145</v>
      </c>
      <c r="R36" s="81" t="s">
        <v>146</v>
      </c>
    </row>
    <row r="37" spans="1:18" ht="15.75" customHeight="1" x14ac:dyDescent="0.25">
      <c r="B37" s="15">
        <v>7</v>
      </c>
      <c r="C37" s="83" t="s">
        <v>147</v>
      </c>
      <c r="D37" s="48" t="s">
        <v>156</v>
      </c>
      <c r="E37" s="44" t="s">
        <v>148</v>
      </c>
      <c r="F37" s="19" t="s">
        <v>152</v>
      </c>
      <c r="G37" s="44" t="s">
        <v>143</v>
      </c>
      <c r="H37" s="48" t="s">
        <v>156</v>
      </c>
      <c r="I37" s="44" t="s">
        <v>145</v>
      </c>
      <c r="J37" s="81" t="s">
        <v>151</v>
      </c>
      <c r="K37" s="83" t="s">
        <v>147</v>
      </c>
      <c r="L37" s="48" t="s">
        <v>156</v>
      </c>
      <c r="M37" s="44" t="s">
        <v>148</v>
      </c>
      <c r="N37" s="19" t="s">
        <v>152</v>
      </c>
      <c r="O37" s="44" t="s">
        <v>143</v>
      </c>
      <c r="P37" s="48" t="s">
        <v>156</v>
      </c>
      <c r="Q37" s="44" t="s">
        <v>145</v>
      </c>
      <c r="R37" s="81" t="s">
        <v>151</v>
      </c>
    </row>
    <row r="38" spans="1:18" ht="16.5" customHeight="1" x14ac:dyDescent="0.25">
      <c r="B38" s="15">
        <v>8</v>
      </c>
      <c r="C38" s="83" t="s">
        <v>148</v>
      </c>
      <c r="D38" s="19" t="s">
        <v>149</v>
      </c>
      <c r="E38" s="44" t="s">
        <v>143</v>
      </c>
      <c r="F38" s="48" t="s">
        <v>154</v>
      </c>
      <c r="G38" s="44" t="s">
        <v>145</v>
      </c>
      <c r="H38" s="19" t="s">
        <v>146</v>
      </c>
      <c r="I38" s="44" t="s">
        <v>147</v>
      </c>
      <c r="J38" s="93" t="s">
        <v>154</v>
      </c>
      <c r="K38" s="83" t="s">
        <v>148</v>
      </c>
      <c r="L38" s="19" t="s">
        <v>149</v>
      </c>
      <c r="M38" s="44" t="s">
        <v>143</v>
      </c>
      <c r="N38" s="48" t="s">
        <v>155</v>
      </c>
      <c r="O38" s="44" t="s">
        <v>145</v>
      </c>
      <c r="P38" s="19" t="s">
        <v>146</v>
      </c>
      <c r="Q38" s="44" t="s">
        <v>147</v>
      </c>
      <c r="R38" s="93" t="s">
        <v>155</v>
      </c>
    </row>
    <row r="39" spans="1:18" x14ac:dyDescent="0.25">
      <c r="B39" s="15">
        <v>9</v>
      </c>
      <c r="C39" s="85" t="s">
        <v>148</v>
      </c>
      <c r="D39" s="86" t="s">
        <v>152</v>
      </c>
      <c r="E39" s="87" t="s">
        <v>143</v>
      </c>
      <c r="F39" s="94" t="s">
        <v>156</v>
      </c>
      <c r="G39" s="87" t="s">
        <v>145</v>
      </c>
      <c r="H39" s="86" t="s">
        <v>151</v>
      </c>
      <c r="I39" s="87" t="s">
        <v>147</v>
      </c>
      <c r="J39" s="95" t="s">
        <v>156</v>
      </c>
      <c r="K39" s="85" t="s">
        <v>148</v>
      </c>
      <c r="L39" s="86" t="s">
        <v>152</v>
      </c>
      <c r="M39" s="87" t="s">
        <v>143</v>
      </c>
      <c r="N39" s="94" t="s">
        <v>156</v>
      </c>
      <c r="O39" s="87" t="s">
        <v>145</v>
      </c>
      <c r="P39" s="86" t="s">
        <v>151</v>
      </c>
      <c r="Q39" s="87" t="s">
        <v>147</v>
      </c>
      <c r="R39" s="95" t="s">
        <v>156</v>
      </c>
    </row>
    <row r="40" spans="1:18" ht="16.5" customHeight="1" x14ac:dyDescent="0.25">
      <c r="A40"/>
      <c r="D40" s="37" t="s">
        <v>157</v>
      </c>
      <c r="F40" s="37" t="s">
        <v>157</v>
      </c>
      <c r="H40" s="37" t="s">
        <v>157</v>
      </c>
      <c r="J40" s="37" t="s">
        <v>157</v>
      </c>
      <c r="L40" s="37" t="s">
        <v>157</v>
      </c>
      <c r="N40" s="37" t="s">
        <v>157</v>
      </c>
      <c r="P40" s="37" t="s">
        <v>157</v>
      </c>
      <c r="R40" s="37" t="s">
        <v>157</v>
      </c>
    </row>
    <row r="41" spans="1:18" ht="16.5" customHeight="1" x14ac:dyDescent="0.25">
      <c r="A41"/>
    </row>
    <row r="42" spans="1:18" ht="16.5" customHeight="1" x14ac:dyDescent="0.25">
      <c r="A42"/>
    </row>
    <row r="43" spans="1:18" ht="16.5" customHeight="1" x14ac:dyDescent="0.25">
      <c r="A43" s="41" t="s">
        <v>158</v>
      </c>
      <c r="C43" s="33"/>
      <c r="D43" s="34" t="s">
        <v>77</v>
      </c>
      <c r="E43" s="33"/>
      <c r="F43" s="34" t="s">
        <v>80</v>
      </c>
      <c r="G43" s="33"/>
      <c r="H43" s="34" t="s">
        <v>82</v>
      </c>
    </row>
    <row r="44" spans="1:18" ht="16.5" customHeight="1" x14ac:dyDescent="0.25">
      <c r="B44" s="15">
        <v>2</v>
      </c>
      <c r="C44" s="23" t="s">
        <v>159</v>
      </c>
      <c r="D44" s="66" t="s">
        <v>160</v>
      </c>
      <c r="E44" s="23" t="s">
        <v>159</v>
      </c>
      <c r="F44" s="18" t="s">
        <v>161</v>
      </c>
      <c r="G44" s="23" t="s">
        <v>159</v>
      </c>
      <c r="H44" s="67" t="s">
        <v>160</v>
      </c>
    </row>
    <row r="45" spans="1:18" ht="16.5" customHeight="1" x14ac:dyDescent="0.25">
      <c r="A45"/>
      <c r="B45" s="15">
        <v>3</v>
      </c>
      <c r="C45" s="24" t="s">
        <v>162</v>
      </c>
      <c r="D45" s="35" t="s">
        <v>163</v>
      </c>
      <c r="E45" s="24" t="s">
        <v>162</v>
      </c>
      <c r="F45" s="19" t="s">
        <v>164</v>
      </c>
      <c r="G45" s="24" t="s">
        <v>162</v>
      </c>
      <c r="H45" s="19" t="s">
        <v>165</v>
      </c>
    </row>
    <row r="46" spans="1:18" ht="16.5" customHeight="1" x14ac:dyDescent="0.25">
      <c r="A46"/>
      <c r="B46" s="15">
        <v>4</v>
      </c>
      <c r="C46" s="24" t="s">
        <v>166</v>
      </c>
      <c r="D46" s="35" t="s">
        <v>167</v>
      </c>
      <c r="E46" s="24" t="s">
        <v>166</v>
      </c>
      <c r="F46" s="19" t="s">
        <v>168</v>
      </c>
      <c r="G46" s="24" t="s">
        <v>166</v>
      </c>
      <c r="H46" s="19" t="s">
        <v>169</v>
      </c>
    </row>
    <row r="47" spans="1:18" ht="16.5" customHeight="1" x14ac:dyDescent="0.25">
      <c r="A47"/>
      <c r="B47" s="15">
        <v>5</v>
      </c>
      <c r="C47" s="24" t="s">
        <v>170</v>
      </c>
      <c r="D47" s="35" t="s">
        <v>171</v>
      </c>
      <c r="E47" s="24" t="s">
        <v>170</v>
      </c>
      <c r="F47" s="19" t="s">
        <v>172</v>
      </c>
      <c r="G47" s="24" t="s">
        <v>170</v>
      </c>
      <c r="H47" s="19" t="s">
        <v>173</v>
      </c>
    </row>
    <row r="48" spans="1:18" ht="16.5" customHeight="1" x14ac:dyDescent="0.25">
      <c r="A48"/>
      <c r="B48" s="15">
        <v>6</v>
      </c>
      <c r="C48" s="24" t="s">
        <v>174</v>
      </c>
      <c r="D48" s="35" t="s">
        <v>172</v>
      </c>
      <c r="E48" s="24" t="s">
        <v>174</v>
      </c>
      <c r="F48" s="65" t="s">
        <v>175</v>
      </c>
      <c r="G48" s="24" t="s">
        <v>174</v>
      </c>
      <c r="H48" s="19" t="s">
        <v>172</v>
      </c>
    </row>
    <row r="49" spans="1:18" ht="16.5" customHeight="1" x14ac:dyDescent="0.25">
      <c r="A49"/>
      <c r="B49" s="15">
        <v>7</v>
      </c>
      <c r="C49" s="24" t="s">
        <v>176</v>
      </c>
      <c r="D49" s="1" t="s">
        <v>177</v>
      </c>
      <c r="E49" s="24" t="s">
        <v>176</v>
      </c>
      <c r="F49" s="19" t="s">
        <v>178</v>
      </c>
      <c r="G49" s="24" t="s">
        <v>176</v>
      </c>
      <c r="H49" s="19" t="s">
        <v>179</v>
      </c>
    </row>
    <row r="50" spans="1:18" x14ac:dyDescent="0.25">
      <c r="A50"/>
      <c r="B50" s="15">
        <v>8</v>
      </c>
      <c r="C50" s="24" t="s">
        <v>180</v>
      </c>
      <c r="D50" s="1" t="s">
        <v>181</v>
      </c>
      <c r="E50" s="24" t="s">
        <v>180</v>
      </c>
      <c r="F50" s="19" t="s">
        <v>182</v>
      </c>
      <c r="G50" s="24" t="s">
        <v>180</v>
      </c>
      <c r="H50" s="19" t="s">
        <v>183</v>
      </c>
    </row>
    <row r="51" spans="1:18" x14ac:dyDescent="0.25">
      <c r="B51" s="15">
        <v>9</v>
      </c>
      <c r="C51" s="24" t="s">
        <v>184</v>
      </c>
      <c r="D51" s="35" t="s">
        <v>185</v>
      </c>
      <c r="E51" s="24" t="s">
        <v>184</v>
      </c>
      <c r="F51" s="19" t="s">
        <v>172</v>
      </c>
      <c r="G51" s="24" t="s">
        <v>184</v>
      </c>
      <c r="H51" s="19" t="s">
        <v>185</v>
      </c>
    </row>
    <row r="52" spans="1:18" x14ac:dyDescent="0.25">
      <c r="A52"/>
      <c r="B52" s="15">
        <v>10</v>
      </c>
      <c r="C52" s="24"/>
      <c r="D52" s="1"/>
      <c r="E52" s="24" t="s">
        <v>186</v>
      </c>
      <c r="F52" s="19" t="s">
        <v>187</v>
      </c>
      <c r="G52" s="24"/>
      <c r="H52" s="19"/>
    </row>
    <row r="53" spans="1:18" x14ac:dyDescent="0.25">
      <c r="A53"/>
      <c r="B53" s="15">
        <v>11</v>
      </c>
      <c r="C53" s="24"/>
      <c r="D53" s="1"/>
      <c r="E53" s="24" t="s">
        <v>188</v>
      </c>
      <c r="F53" s="19" t="s">
        <v>189</v>
      </c>
      <c r="G53" s="24"/>
      <c r="H53" s="19"/>
    </row>
    <row r="54" spans="1:18" x14ac:dyDescent="0.25">
      <c r="A54"/>
      <c r="B54" s="15">
        <v>12</v>
      </c>
      <c r="C54" s="24"/>
      <c r="D54" s="1"/>
      <c r="E54" s="24" t="s">
        <v>190</v>
      </c>
      <c r="F54" s="19" t="s">
        <v>191</v>
      </c>
      <c r="G54" s="24"/>
      <c r="H54" s="19"/>
    </row>
    <row r="55" spans="1:18" x14ac:dyDescent="0.25">
      <c r="A55"/>
      <c r="B55" s="15">
        <v>13</v>
      </c>
      <c r="C55" s="24"/>
      <c r="D55" s="1"/>
      <c r="E55" s="24" t="s">
        <v>192</v>
      </c>
      <c r="F55" s="19" t="s">
        <v>185</v>
      </c>
      <c r="G55" s="24"/>
      <c r="H55" s="19"/>
    </row>
    <row r="56" spans="1:18" x14ac:dyDescent="0.25">
      <c r="A56"/>
      <c r="B56" s="15">
        <v>14</v>
      </c>
      <c r="C56" s="24"/>
      <c r="D56" s="1"/>
      <c r="E56" s="24" t="s">
        <v>193</v>
      </c>
      <c r="F56" s="46" t="s">
        <v>194</v>
      </c>
      <c r="G56" s="24"/>
      <c r="H56" s="19"/>
      <c r="J56" s="47"/>
      <c r="N56" s="47"/>
      <c r="P56" s="47"/>
      <c r="R56" s="47"/>
    </row>
    <row r="57" spans="1:18" x14ac:dyDescent="0.25">
      <c r="A57"/>
      <c r="B57" s="15">
        <v>15</v>
      </c>
      <c r="C57" s="25"/>
      <c r="D57" s="36"/>
      <c r="E57" s="25" t="s">
        <v>195</v>
      </c>
      <c r="F57" s="31"/>
      <c r="G57" s="25"/>
      <c r="H57" s="32"/>
    </row>
    <row r="58" spans="1:18" x14ac:dyDescent="0.25">
      <c r="A58"/>
      <c r="D58" s="1"/>
      <c r="F58" s="1"/>
      <c r="H58" s="47"/>
    </row>
    <row r="59" spans="1:18" x14ac:dyDescent="0.25">
      <c r="A59"/>
    </row>
    <row r="60" spans="1:18" x14ac:dyDescent="0.25">
      <c r="A60"/>
    </row>
    <row r="61" spans="1:18" x14ac:dyDescent="0.25">
      <c r="A61"/>
      <c r="B61" s="15"/>
    </row>
    <row r="62" spans="1:18" x14ac:dyDescent="0.25">
      <c r="A62"/>
    </row>
    <row r="63" spans="1:18" x14ac:dyDescent="0.25">
      <c r="A63"/>
    </row>
    <row r="64" spans="1:18" x14ac:dyDescent="0.25">
      <c r="A64"/>
    </row>
    <row r="65" spans="1:1" x14ac:dyDescent="0.25">
      <c r="A65"/>
    </row>
    <row r="66" spans="1:1" ht="24.75" customHeight="1" x14ac:dyDescent="0.25">
      <c r="A66"/>
    </row>
    <row r="67" spans="1:1" ht="22.5" customHeight="1" x14ac:dyDescent="0.25"/>
  </sheetData>
  <sortState xmlns:xlrd2="http://schemas.microsoft.com/office/spreadsheetml/2017/richdata2" ref="V28:V33">
    <sortCondition ref="V28"/>
  </sortState>
  <conditionalFormatting sqref="D4:J27 L12">
    <cfRule type="cellIs" dxfId="22" priority="15" operator="equal">
      <formula>"Spec"</formula>
    </cfRule>
  </conditionalFormatting>
  <conditionalFormatting sqref="L21">
    <cfRule type="cellIs" dxfId="21" priority="1" operator="equal">
      <formula>"Spec"</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3"/>
  <sheetViews>
    <sheetView zoomScale="80" zoomScaleNormal="80" workbookViewId="0">
      <pane ySplit="2" topLeftCell="A3" activePane="bottomLeft" state="frozen"/>
      <selection activeCell="B35" sqref="B35"/>
      <selection pane="bottomLeft" activeCell="B35" sqref="B35"/>
    </sheetView>
  </sheetViews>
  <sheetFormatPr defaultRowHeight="15.75" x14ac:dyDescent="0.25"/>
  <cols>
    <col min="1" max="1" width="16.25" bestFit="1" customWidth="1"/>
    <col min="2" max="2" width="6.25" style="2" bestFit="1" customWidth="1"/>
    <col min="3" max="3" width="10.375" bestFit="1" customWidth="1"/>
    <col min="4" max="4" width="72.25" customWidth="1"/>
    <col min="5" max="5" width="9.375" style="2" bestFit="1" customWidth="1"/>
    <col min="6" max="6" width="26.25" bestFit="1" customWidth="1"/>
    <col min="7" max="10" width="6.25" bestFit="1" customWidth="1"/>
    <col min="11" max="11" width="54.375" bestFit="1" customWidth="1"/>
    <col min="12" max="12" width="7.125" customWidth="1"/>
    <col min="13" max="13" width="7.125" style="2" bestFit="1" customWidth="1"/>
    <col min="14" max="15" width="6.25" style="2" bestFit="1" customWidth="1"/>
    <col min="16" max="16" width="7.125" style="2" bestFit="1" customWidth="1"/>
    <col min="17" max="18" width="7.125" bestFit="1" customWidth="1"/>
    <col min="19" max="20" width="5.375" bestFit="1" customWidth="1"/>
    <col min="21" max="21" width="6.5" bestFit="1" customWidth="1"/>
    <col min="22" max="22" width="6" bestFit="1" customWidth="1"/>
    <col min="23" max="23" width="6.5" bestFit="1" customWidth="1"/>
  </cols>
  <sheetData>
    <row r="1" spans="1:19" x14ac:dyDescent="0.25">
      <c r="A1" s="59">
        <f>COLUMN()</f>
        <v>1</v>
      </c>
      <c r="B1" s="59">
        <f>COLUMN()</f>
        <v>2</v>
      </c>
      <c r="C1" s="59">
        <f>COLUMN()</f>
        <v>3</v>
      </c>
      <c r="D1" s="59">
        <f>COLUMN()</f>
        <v>4</v>
      </c>
      <c r="E1" s="59">
        <f>COLUMN()</f>
        <v>5</v>
      </c>
      <c r="F1" s="59">
        <f>COLUMN()</f>
        <v>6</v>
      </c>
      <c r="G1" s="59">
        <f>COLUMN()</f>
        <v>7</v>
      </c>
      <c r="H1" s="59">
        <f>COLUMN()</f>
        <v>8</v>
      </c>
      <c r="I1" s="59">
        <f>COLUMN()</f>
        <v>9</v>
      </c>
      <c r="J1" s="59">
        <f>COLUMN()</f>
        <v>10</v>
      </c>
      <c r="K1" s="59">
        <f>COLUMN()</f>
        <v>11</v>
      </c>
      <c r="L1" s="59">
        <f>COLUMN()</f>
        <v>12</v>
      </c>
      <c r="M1" s="59">
        <f>COLUMN()</f>
        <v>13</v>
      </c>
      <c r="N1" s="59">
        <f>COLUMN()</f>
        <v>14</v>
      </c>
      <c r="O1" s="59">
        <f>COLUMN()</f>
        <v>15</v>
      </c>
      <c r="P1" s="59">
        <f>COLUMN()</f>
        <v>16</v>
      </c>
      <c r="Q1" s="59">
        <f>COLUMN()</f>
        <v>17</v>
      </c>
      <c r="R1" s="59">
        <f>COLUMN()</f>
        <v>18</v>
      </c>
    </row>
    <row r="2" spans="1:19" ht="78" x14ac:dyDescent="0.25">
      <c r="A2" s="62" t="s">
        <v>0</v>
      </c>
      <c r="B2" s="62" t="s">
        <v>1</v>
      </c>
      <c r="C2" s="62" t="s">
        <v>2</v>
      </c>
      <c r="D2" s="62" t="s">
        <v>196</v>
      </c>
      <c r="E2" s="62" t="s">
        <v>6</v>
      </c>
      <c r="F2" s="62" t="s">
        <v>197</v>
      </c>
      <c r="G2" s="55" t="s">
        <v>30</v>
      </c>
      <c r="H2" s="55" t="s">
        <v>31</v>
      </c>
      <c r="I2" s="55" t="s">
        <v>32</v>
      </c>
      <c r="J2" s="55" t="s">
        <v>33</v>
      </c>
      <c r="K2" s="62" t="s">
        <v>50</v>
      </c>
      <c r="L2" s="55" t="s">
        <v>51</v>
      </c>
      <c r="M2" s="55" t="s">
        <v>57</v>
      </c>
      <c r="N2" s="55" t="s">
        <v>74</v>
      </c>
      <c r="O2" s="55" t="s">
        <v>70</v>
      </c>
      <c r="P2" s="55" t="s">
        <v>77</v>
      </c>
      <c r="Q2" s="55" t="s">
        <v>80</v>
      </c>
      <c r="R2" s="55" t="s">
        <v>82</v>
      </c>
      <c r="S2" s="3"/>
    </row>
    <row r="3" spans="1:19" x14ac:dyDescent="0.25">
      <c r="A3" t="s">
        <v>156</v>
      </c>
      <c r="C3" s="2"/>
      <c r="D3" s="63" t="s">
        <v>198</v>
      </c>
      <c r="F3" s="123"/>
      <c r="G3" s="60" t="str">
        <f>IFERROR(IF(VLOOKUP(TableHandbook[[#This Row],[UDC]],TableAvailabilities[],2,FALSE)&gt;0,"Y",""),"")</f>
        <v/>
      </c>
      <c r="H3" s="60" t="str">
        <f>IFERROR(IF(VLOOKUP(TableHandbook[[#This Row],[UDC]],TableAvailabilities[],3,FALSE)&gt;0,"Y",""),"")</f>
        <v/>
      </c>
      <c r="I3" s="60" t="str">
        <f>IFERROR(IF(VLOOKUP(TableHandbook[[#This Row],[UDC]],TableAvailabilities[],4,FALSE)&gt;0,"Y",""),"")</f>
        <v/>
      </c>
      <c r="J3" s="60" t="str">
        <f>IFERROR(IF(VLOOKUP(TableHandbook[[#This Row],[UDC]],TableAvailabilities[],5,FALSE)&gt;0,"Y",""),"")</f>
        <v/>
      </c>
      <c r="K3" s="63"/>
      <c r="L3" s="61" t="str">
        <f>IFERROR(VLOOKUP(TableHandbook[[#This Row],[UDC]],TableOBCONMN[],7,FALSE),"")</f>
        <v/>
      </c>
      <c r="M3" s="61" t="str">
        <f>IFERROR(VLOOKUP(TableHandbook[[#This Row],[UDC]],TableOUCONMN[],7,FALSE),"")</f>
        <v/>
      </c>
      <c r="N3" s="61" t="str">
        <f>IFERROR(VLOOKUP(TableHandbook[[#This Row],[UDC]],TableOUSHCONMN[],7,FALSE),"")</f>
        <v/>
      </c>
      <c r="O3" s="61" t="str">
        <f>IFERROR(VLOOKUP(TableHandbook[[#This Row],[UDC]],TableOUSUCONMN[],7,FALSE),"")</f>
        <v/>
      </c>
      <c r="P3" s="61" t="str">
        <f>IFERROR(VLOOKUP(TableHandbook[[#This Row],[UDC]],TableOSCUANGAD[],7,FALSE),"")</f>
        <v/>
      </c>
      <c r="Q3" s="61" t="str">
        <f>IFERROR(VLOOKUP(TableHandbook[[#This Row],[UDC]],TableOSCUINARS[],7,FALSE),"")</f>
        <v/>
      </c>
      <c r="R3" s="61" t="str">
        <f>IFERROR(VLOOKUP(TableHandbook[[#This Row],[UDC]],TableOSCUPLGEO[],7,FALSE),"")</f>
        <v/>
      </c>
      <c r="S3" s="3"/>
    </row>
    <row r="4" spans="1:19" x14ac:dyDescent="0.25">
      <c r="A4" t="s">
        <v>199</v>
      </c>
      <c r="C4" s="2"/>
      <c r="D4" s="63" t="s">
        <v>200</v>
      </c>
      <c r="F4" s="123"/>
      <c r="G4" s="60" t="str">
        <f>IFERROR(IF(VLOOKUP(TableHandbook[[#This Row],[UDC]],TableAvailabilities[],2,FALSE)&gt;0,"Y",""),"")</f>
        <v/>
      </c>
      <c r="H4" s="60" t="str">
        <f>IFERROR(IF(VLOOKUP(TableHandbook[[#This Row],[UDC]],TableAvailabilities[],3,FALSE)&gt;0,"Y",""),"")</f>
        <v/>
      </c>
      <c r="I4" s="60" t="str">
        <f>IFERROR(IF(VLOOKUP(TableHandbook[[#This Row],[UDC]],TableAvailabilities[],4,FALSE)&gt;0,"Y",""),"")</f>
        <v/>
      </c>
      <c r="J4" s="60" t="str">
        <f>IFERROR(IF(VLOOKUP(TableHandbook[[#This Row],[UDC]],TableAvailabilities[],5,FALSE)&gt;0,"Y",""),"")</f>
        <v/>
      </c>
      <c r="K4" s="63"/>
      <c r="L4" s="61" t="str">
        <f>IFERROR(VLOOKUP(TableHandbook[[#This Row],[UDC]],TableOBCONMN[],7,FALSE),"")</f>
        <v/>
      </c>
      <c r="M4" s="61" t="str">
        <f>IFERROR(VLOOKUP(TableHandbook[[#This Row],[UDC]],TableOUCONMN[],7,FALSE),"")</f>
        <v/>
      </c>
      <c r="N4" s="61" t="str">
        <f>IFERROR(VLOOKUP(TableHandbook[[#This Row],[UDC]],TableOUSHCONMN[],7,FALSE),"")</f>
        <v/>
      </c>
      <c r="O4" s="61" t="str">
        <f>IFERROR(VLOOKUP(TableHandbook[[#This Row],[UDC]],TableOUSUCONMN[],7,FALSE),"")</f>
        <v/>
      </c>
      <c r="P4" s="61" t="str">
        <f>IFERROR(VLOOKUP(TableHandbook[[#This Row],[UDC]],TableOSCUANGAD[],7,FALSE),"")</f>
        <v/>
      </c>
      <c r="Q4" s="61" t="str">
        <f>IFERROR(VLOOKUP(TableHandbook[[#This Row],[UDC]],TableOSCUINARS[],7,FALSE),"")</f>
        <v/>
      </c>
      <c r="R4" s="61" t="str">
        <f>IFERROR(VLOOKUP(TableHandbook[[#This Row],[UDC]],TableOSCUPLGEO[],7,FALSE),"")</f>
        <v/>
      </c>
    </row>
    <row r="5" spans="1:19" x14ac:dyDescent="0.25">
      <c r="A5" s="64" t="s">
        <v>175</v>
      </c>
      <c r="C5" s="2"/>
      <c r="D5" s="63" t="s">
        <v>201</v>
      </c>
      <c r="E5" s="2">
        <v>50</v>
      </c>
      <c r="F5" s="123"/>
      <c r="G5" s="60" t="str">
        <f>IFERROR(IF(VLOOKUP(TableHandbook[[#This Row],[UDC]],TableAvailabilities[],2,FALSE)&gt;0,"Y",""),"")</f>
        <v/>
      </c>
      <c r="H5" s="60" t="str">
        <f>IFERROR(IF(VLOOKUP(TableHandbook[[#This Row],[UDC]],TableAvailabilities[],3,FALSE)&gt;0,"Y",""),"")</f>
        <v/>
      </c>
      <c r="I5" s="60" t="str">
        <f>IFERROR(IF(VLOOKUP(TableHandbook[[#This Row],[UDC]],TableAvailabilities[],4,FALSE)&gt;0,"Y",""),"")</f>
        <v/>
      </c>
      <c r="J5" s="60" t="str">
        <f>IFERROR(IF(VLOOKUP(TableHandbook[[#This Row],[UDC]],TableAvailabilities[],5,FALSE)&gt;0,"Y",""),"")</f>
        <v/>
      </c>
      <c r="K5" s="63" t="s">
        <v>202</v>
      </c>
      <c r="L5" s="61" t="str">
        <f>IFERROR(VLOOKUP(TableHandbook[[#This Row],[UDC]],TableOBCONMN[],7,FALSE),"")</f>
        <v/>
      </c>
      <c r="M5" s="61" t="str">
        <f>IFERROR(VLOOKUP(TableHandbook[[#This Row],[UDC]],TableOUCONMN[],7,FALSE),"")</f>
        <v/>
      </c>
      <c r="N5" s="61" t="str">
        <f>IFERROR(VLOOKUP(TableHandbook[[#This Row],[UDC]],TableOUSHCONMN[],7,FALSE),"")</f>
        <v/>
      </c>
      <c r="O5" s="61" t="str">
        <f>IFERROR(VLOOKUP(TableHandbook[[#This Row],[UDC]],TableOUSUCONMN[],7,FALSE),"")</f>
        <v/>
      </c>
      <c r="P5" s="61" t="str">
        <f>IFERROR(VLOOKUP(TableHandbook[[#This Row],[UDC]],TableOSCUANGAD[],7,FALSE),"")</f>
        <v/>
      </c>
      <c r="Q5" s="61" t="str">
        <f>IFERROR(VLOOKUP(TableHandbook[[#This Row],[UDC]],TableOSCUINARS[],7,FALSE),"")</f>
        <v/>
      </c>
      <c r="R5" s="61" t="str">
        <f>IFERROR(VLOOKUP(TableHandbook[[#This Row],[UDC]],TableOSCUPLGEO[],7,FALSE),"")</f>
        <v/>
      </c>
    </row>
    <row r="6" spans="1:19" x14ac:dyDescent="0.25">
      <c r="A6" s="64" t="s">
        <v>160</v>
      </c>
      <c r="C6" s="2"/>
      <c r="D6" s="63" t="s">
        <v>203</v>
      </c>
      <c r="E6" s="2">
        <v>75</v>
      </c>
      <c r="F6" s="123"/>
      <c r="G6" s="60" t="str">
        <f>IFERROR(IF(VLOOKUP(TableHandbook[[#This Row],[UDC]],TableAvailabilities[],2,FALSE)&gt;0,"Y",""),"")</f>
        <v/>
      </c>
      <c r="H6" s="60" t="str">
        <f>IFERROR(IF(VLOOKUP(TableHandbook[[#This Row],[UDC]],TableAvailabilities[],3,FALSE)&gt;0,"Y",""),"")</f>
        <v/>
      </c>
      <c r="I6" s="60" t="str">
        <f>IFERROR(IF(VLOOKUP(TableHandbook[[#This Row],[UDC]],TableAvailabilities[],4,FALSE)&gt;0,"Y",""),"")</f>
        <v/>
      </c>
      <c r="J6" s="60" t="str">
        <f>IFERROR(IF(VLOOKUP(TableHandbook[[#This Row],[UDC]],TableAvailabilities[],5,FALSE)&gt;0,"Y",""),"")</f>
        <v/>
      </c>
      <c r="K6" s="63" t="s">
        <v>202</v>
      </c>
      <c r="L6" s="61" t="str">
        <f>IFERROR(VLOOKUP(TableHandbook[[#This Row],[UDC]],TableOBCONMN[],7,FALSE),"")</f>
        <v/>
      </c>
      <c r="M6" s="61" t="str">
        <f>IFERROR(VLOOKUP(TableHandbook[[#This Row],[UDC]],TableOUCONMN[],7,FALSE),"")</f>
        <v/>
      </c>
      <c r="N6" s="61" t="str">
        <f>IFERROR(VLOOKUP(TableHandbook[[#This Row],[UDC]],TableOUSHCONMN[],7,FALSE),"")</f>
        <v/>
      </c>
      <c r="O6" s="61" t="str">
        <f>IFERROR(VLOOKUP(TableHandbook[[#This Row],[UDC]],TableOUSUCONMN[],7,FALSE),"")</f>
        <v/>
      </c>
      <c r="P6" s="61" t="str">
        <f>IFERROR(VLOOKUP(TableHandbook[[#This Row],[UDC]],TableOSCUANGAD[],7,FALSE),"")</f>
        <v/>
      </c>
      <c r="Q6" s="61" t="str">
        <f>IFERROR(VLOOKUP(TableHandbook[[#This Row],[UDC]],TableOSCUINARS[],7,FALSE),"")</f>
        <v/>
      </c>
      <c r="R6" s="61" t="str">
        <f>IFERROR(VLOOKUP(TableHandbook[[#This Row],[UDC]],TableOSCUPLGEO[],7,FALSE),"")</f>
        <v/>
      </c>
    </row>
    <row r="7" spans="1:19" ht="31.5" x14ac:dyDescent="0.25">
      <c r="A7" t="s">
        <v>204</v>
      </c>
      <c r="C7" s="2"/>
      <c r="D7" s="63" t="s">
        <v>205</v>
      </c>
      <c r="E7" s="2">
        <v>200</v>
      </c>
      <c r="F7" s="123"/>
      <c r="G7" s="60" t="str">
        <f>IFERROR(IF(VLOOKUP(TableHandbook[[#This Row],[UDC]],TableAvailabilities[],2,FALSE)&gt;0,"Y",""),"")</f>
        <v/>
      </c>
      <c r="H7" s="60" t="str">
        <f>IFERROR(IF(VLOOKUP(TableHandbook[[#This Row],[UDC]],TableAvailabilities[],3,FALSE)&gt;0,"Y",""),"")</f>
        <v/>
      </c>
      <c r="I7" s="60" t="str">
        <f>IFERROR(IF(VLOOKUP(TableHandbook[[#This Row],[UDC]],TableAvailabilities[],4,FALSE)&gt;0,"Y",""),"")</f>
        <v/>
      </c>
      <c r="J7" s="60" t="str">
        <f>IFERROR(IF(VLOOKUP(TableHandbook[[#This Row],[UDC]],TableAvailabilities[],5,FALSE)&gt;0,"Y",""),"")</f>
        <v/>
      </c>
      <c r="K7" s="63"/>
      <c r="L7" s="61" t="str">
        <f>IFERROR(VLOOKUP(TableHandbook[[#This Row],[UDC]],TableOBCONMN[],7,FALSE),"")</f>
        <v>AltCore</v>
      </c>
      <c r="M7" s="61" t="str">
        <f>IFERROR(VLOOKUP(TableHandbook[[#This Row],[UDC]],TableOUCONMN[],7,FALSE),"")</f>
        <v>AltCore</v>
      </c>
      <c r="N7" s="61" t="str">
        <f>IFERROR(VLOOKUP(TableHandbook[[#This Row],[UDC]],TableOUSHCONMN[],7,FALSE),"")</f>
        <v/>
      </c>
      <c r="O7" s="61" t="str">
        <f>IFERROR(VLOOKUP(TableHandbook[[#This Row],[UDC]],TableOUSUCONMN[],7,FALSE),"")</f>
        <v/>
      </c>
      <c r="P7" s="61" t="str">
        <f>IFERROR(VLOOKUP(TableHandbook[[#This Row],[UDC]],TableOSCUANGAD[],7,FALSE),"")</f>
        <v/>
      </c>
      <c r="Q7" s="61" t="str">
        <f>IFERROR(VLOOKUP(TableHandbook[[#This Row],[UDC]],TableOSCUINARS[],7,FALSE),"")</f>
        <v/>
      </c>
      <c r="R7" s="61" t="str">
        <f>IFERROR(VLOOKUP(TableHandbook[[#This Row],[UDC]],TableOSCUPLGEO[],7,FALSE),"")</f>
        <v/>
      </c>
    </row>
    <row r="8" spans="1:19" x14ac:dyDescent="0.25">
      <c r="A8" t="s">
        <v>177</v>
      </c>
      <c r="C8" s="2"/>
      <c r="D8" s="63" t="s">
        <v>206</v>
      </c>
      <c r="E8" s="2">
        <v>25</v>
      </c>
      <c r="F8" s="123"/>
      <c r="G8" s="60" t="str">
        <f>IFERROR(IF(VLOOKUP(TableHandbook[[#This Row],[UDC]],TableAvailabilities[],2,FALSE)&gt;0,"Y",""),"")</f>
        <v/>
      </c>
      <c r="H8" s="60" t="str">
        <f>IFERROR(IF(VLOOKUP(TableHandbook[[#This Row],[UDC]],TableAvailabilities[],3,FALSE)&gt;0,"Y",""),"")</f>
        <v/>
      </c>
      <c r="I8" s="60" t="str">
        <f>IFERROR(IF(VLOOKUP(TableHandbook[[#This Row],[UDC]],TableAvailabilities[],4,FALSE)&gt;0,"Y",""),"")</f>
        <v/>
      </c>
      <c r="J8" s="60" t="str">
        <f>IFERROR(IF(VLOOKUP(TableHandbook[[#This Row],[UDC]],TableAvailabilities[],5,FALSE)&gt;0,"Y",""),"")</f>
        <v/>
      </c>
      <c r="K8" s="63"/>
      <c r="L8" s="61" t="str">
        <f>IFERROR(VLOOKUP(TableHandbook[[#This Row],[UDC]],TableOBCONMN[],7,FALSE),"")</f>
        <v/>
      </c>
      <c r="M8" s="61" t="str">
        <f>IFERROR(VLOOKUP(TableHandbook[[#This Row],[UDC]],TableOUCONMN[],7,FALSE),"")</f>
        <v/>
      </c>
      <c r="N8" s="61" t="str">
        <f>IFERROR(VLOOKUP(TableHandbook[[#This Row],[UDC]],TableOUSHCONMN[],7,FALSE),"")</f>
        <v/>
      </c>
      <c r="O8" s="61" t="str">
        <f>IFERROR(VLOOKUP(TableHandbook[[#This Row],[UDC]],TableOUSUCONMN[],7,FALSE),"")</f>
        <v/>
      </c>
      <c r="P8" s="61" t="str">
        <f>IFERROR(VLOOKUP(TableHandbook[[#This Row],[UDC]],TableOSCUANGAD[],7,FALSE),"")</f>
        <v>AltCore</v>
      </c>
      <c r="Q8" s="61" t="str">
        <f>IFERROR(VLOOKUP(TableHandbook[[#This Row],[UDC]],TableOSCUINARS[],7,FALSE),"")</f>
        <v/>
      </c>
      <c r="R8" s="61" t="str">
        <f>IFERROR(VLOOKUP(TableHandbook[[#This Row],[UDC]],TableOSCUPLGEO[],7,FALSE),"")</f>
        <v/>
      </c>
    </row>
    <row r="9" spans="1:19" x14ac:dyDescent="0.25">
      <c r="A9" t="s">
        <v>161</v>
      </c>
      <c r="C9" s="2"/>
      <c r="D9" s="63" t="s">
        <v>207</v>
      </c>
      <c r="E9" s="2">
        <v>25</v>
      </c>
      <c r="F9" s="123"/>
      <c r="G9" s="60" t="str">
        <f>IFERROR(IF(VLOOKUP(TableHandbook[[#This Row],[UDC]],TableAvailabilities[],2,FALSE)&gt;0,"Y",""),"")</f>
        <v/>
      </c>
      <c r="H9" s="60" t="str">
        <f>IFERROR(IF(VLOOKUP(TableHandbook[[#This Row],[UDC]],TableAvailabilities[],3,FALSE)&gt;0,"Y",""),"")</f>
        <v/>
      </c>
      <c r="I9" s="60" t="str">
        <f>IFERROR(IF(VLOOKUP(TableHandbook[[#This Row],[UDC]],TableAvailabilities[],4,FALSE)&gt;0,"Y",""),"")</f>
        <v/>
      </c>
      <c r="J9" s="60" t="str">
        <f>IFERROR(IF(VLOOKUP(TableHandbook[[#This Row],[UDC]],TableAvailabilities[],5,FALSE)&gt;0,"Y",""),"")</f>
        <v/>
      </c>
      <c r="K9" s="63"/>
      <c r="L9" s="61" t="str">
        <f>IFERROR(VLOOKUP(TableHandbook[[#This Row],[UDC]],TableOBCONMN[],7,FALSE),"")</f>
        <v/>
      </c>
      <c r="M9" s="61" t="str">
        <f>IFERROR(VLOOKUP(TableHandbook[[#This Row],[UDC]],TableOUCONMN[],7,FALSE),"")</f>
        <v/>
      </c>
      <c r="N9" s="61" t="str">
        <f>IFERROR(VLOOKUP(TableHandbook[[#This Row],[UDC]],TableOUSHCONMN[],7,FALSE),"")</f>
        <v/>
      </c>
      <c r="O9" s="61" t="str">
        <f>IFERROR(VLOOKUP(TableHandbook[[#This Row],[UDC]],TableOUSUCONMN[],7,FALSE),"")</f>
        <v/>
      </c>
      <c r="P9" s="61" t="str">
        <f>IFERROR(VLOOKUP(TableHandbook[[#This Row],[UDC]],TableOSCUANGAD[],7,FALSE),"")</f>
        <v/>
      </c>
      <c r="Q9" s="61" t="str">
        <f>IFERROR(VLOOKUP(TableHandbook[[#This Row],[UDC]],TableOSCUINARS[],7,FALSE),"")</f>
        <v>AltCore</v>
      </c>
      <c r="R9" s="61" t="str">
        <f>IFERROR(VLOOKUP(TableHandbook[[#This Row],[UDC]],TableOSCUPLGEO[],7,FALSE),"")</f>
        <v/>
      </c>
    </row>
    <row r="10" spans="1:19" x14ac:dyDescent="0.25">
      <c r="A10" t="s">
        <v>179</v>
      </c>
      <c r="C10" s="2"/>
      <c r="D10" s="63" t="s">
        <v>208</v>
      </c>
      <c r="E10" s="2">
        <v>25</v>
      </c>
      <c r="F10" s="123"/>
      <c r="G10" s="60" t="str">
        <f>IFERROR(IF(VLOOKUP(TableHandbook[[#This Row],[UDC]],TableAvailabilities[],2,FALSE)&gt;0,"Y",""),"")</f>
        <v/>
      </c>
      <c r="H10" s="60" t="str">
        <f>IFERROR(IF(VLOOKUP(TableHandbook[[#This Row],[UDC]],TableAvailabilities[],3,FALSE)&gt;0,"Y",""),"")</f>
        <v/>
      </c>
      <c r="I10" s="60" t="str">
        <f>IFERROR(IF(VLOOKUP(TableHandbook[[#This Row],[UDC]],TableAvailabilities[],4,FALSE)&gt;0,"Y",""),"")</f>
        <v/>
      </c>
      <c r="J10" s="60" t="str">
        <f>IFERROR(IF(VLOOKUP(TableHandbook[[#This Row],[UDC]],TableAvailabilities[],5,FALSE)&gt;0,"Y",""),"")</f>
        <v/>
      </c>
      <c r="K10" s="63"/>
      <c r="L10" s="61" t="str">
        <f>IFERROR(VLOOKUP(TableHandbook[[#This Row],[UDC]],TableOBCONMN[],7,FALSE),"")</f>
        <v/>
      </c>
      <c r="M10" s="61" t="str">
        <f>IFERROR(VLOOKUP(TableHandbook[[#This Row],[UDC]],TableOUCONMN[],7,FALSE),"")</f>
        <v/>
      </c>
      <c r="N10" s="61" t="str">
        <f>IFERROR(VLOOKUP(TableHandbook[[#This Row],[UDC]],TableOUSHCONMN[],7,FALSE),"")</f>
        <v/>
      </c>
      <c r="O10" s="61" t="str">
        <f>IFERROR(VLOOKUP(TableHandbook[[#This Row],[UDC]],TableOUSUCONMN[],7,FALSE),"")</f>
        <v/>
      </c>
      <c r="P10" s="61" t="str">
        <f>IFERROR(VLOOKUP(TableHandbook[[#This Row],[UDC]],TableOSCUANGAD[],7,FALSE),"")</f>
        <v/>
      </c>
      <c r="Q10" s="61" t="str">
        <f>IFERROR(VLOOKUP(TableHandbook[[#This Row],[UDC]],TableOSCUINARS[],7,FALSE),"")</f>
        <v/>
      </c>
      <c r="R10" s="61" t="str">
        <f>IFERROR(VLOOKUP(TableHandbook[[#This Row],[UDC]],TableOSCUPLGEO[],7,FALSE),"")</f>
        <v>AltCore</v>
      </c>
    </row>
    <row r="11" spans="1:19" x14ac:dyDescent="0.25">
      <c r="A11" t="s">
        <v>109</v>
      </c>
      <c r="B11" s="2">
        <v>3</v>
      </c>
      <c r="C11" s="2" t="s">
        <v>209</v>
      </c>
      <c r="D11" s="63" t="s">
        <v>210</v>
      </c>
      <c r="E11" s="2">
        <v>25</v>
      </c>
      <c r="F11" s="72" t="s">
        <v>211</v>
      </c>
      <c r="G11" s="60" t="str">
        <f>IFERROR(IF(VLOOKUP(TableHandbook[[#This Row],[UDC]],TableAvailabilities[],2,FALSE)&gt;0,"Y",""),"")</f>
        <v/>
      </c>
      <c r="H11" s="60" t="str">
        <f>IFERROR(IF(VLOOKUP(TableHandbook[[#This Row],[UDC]],TableAvailabilities[],3,FALSE)&gt;0,"Y",""),"")</f>
        <v>Y</v>
      </c>
      <c r="I11" s="60" t="str">
        <f>IFERROR(IF(VLOOKUP(TableHandbook[[#This Row],[UDC]],TableAvailabilities[],4,FALSE)&gt;0,"Y",""),"")</f>
        <v/>
      </c>
      <c r="J11" s="60" t="str">
        <f>IFERROR(IF(VLOOKUP(TableHandbook[[#This Row],[UDC]],TableAvailabilities[],5,FALSE)&gt;0,"Y",""),"")</f>
        <v>Y</v>
      </c>
      <c r="K11" s="63"/>
      <c r="L11" s="61" t="str">
        <f>IFERROR(VLOOKUP(TableHandbook[[#This Row],[UDC]],TableOBCONMN[],7,FALSE),"")</f>
        <v>Core</v>
      </c>
      <c r="M11" s="61" t="str">
        <f>IFERROR(VLOOKUP(TableHandbook[[#This Row],[UDC]],TableOUCONMN[],7,FALSE),"")</f>
        <v>Core</v>
      </c>
      <c r="N11" s="61" t="str">
        <f>IFERROR(VLOOKUP(TableHandbook[[#This Row],[UDC]],TableOUSHCONMN[],7,FALSE),"")</f>
        <v/>
      </c>
      <c r="O11" s="61" t="str">
        <f>IFERROR(VLOOKUP(TableHandbook[[#This Row],[UDC]],TableOUSUCONMN[],7,FALSE),"")</f>
        <v/>
      </c>
      <c r="P11" s="61" t="str">
        <f>IFERROR(VLOOKUP(TableHandbook[[#This Row],[UDC]],TableOSCUANGAD[],7,FALSE),"")</f>
        <v/>
      </c>
      <c r="Q11" s="61" t="str">
        <f>IFERROR(VLOOKUP(TableHandbook[[#This Row],[UDC]],TableOSCUINARS[],7,FALSE),"")</f>
        <v/>
      </c>
      <c r="R11" s="61" t="str">
        <f>IFERROR(VLOOKUP(TableHandbook[[#This Row],[UDC]],TableOSCUPLGEO[],7,FALSE),"")</f>
        <v/>
      </c>
    </row>
    <row r="12" spans="1:19" x14ac:dyDescent="0.25">
      <c r="A12" t="s">
        <v>106</v>
      </c>
      <c r="B12" s="2">
        <v>2</v>
      </c>
      <c r="C12" s="2" t="s">
        <v>212</v>
      </c>
      <c r="D12" s="63" t="s">
        <v>213</v>
      </c>
      <c r="E12" s="2">
        <v>25</v>
      </c>
      <c r="F12" s="72" t="s">
        <v>211</v>
      </c>
      <c r="G12" s="60" t="str">
        <f>IFERROR(IF(VLOOKUP(TableHandbook[[#This Row],[UDC]],TableAvailabilities[],2,FALSE)&gt;0,"Y",""),"")</f>
        <v>Y</v>
      </c>
      <c r="H12" s="60" t="str">
        <f>IFERROR(IF(VLOOKUP(TableHandbook[[#This Row],[UDC]],TableAvailabilities[],3,FALSE)&gt;0,"Y",""),"")</f>
        <v/>
      </c>
      <c r="I12" s="60" t="str">
        <f>IFERROR(IF(VLOOKUP(TableHandbook[[#This Row],[UDC]],TableAvailabilities[],4,FALSE)&gt;0,"Y",""),"")</f>
        <v>Y</v>
      </c>
      <c r="J12" s="60" t="str">
        <f>IFERROR(IF(VLOOKUP(TableHandbook[[#This Row],[UDC]],TableAvailabilities[],5,FALSE)&gt;0,"Y",""),"")</f>
        <v/>
      </c>
      <c r="K12" s="63"/>
      <c r="L12" s="61" t="str">
        <f>IFERROR(VLOOKUP(TableHandbook[[#This Row],[UDC]],TableOBCONMN[],7,FALSE),"")</f>
        <v>Core</v>
      </c>
      <c r="M12" s="61" t="str">
        <f>IFERROR(VLOOKUP(TableHandbook[[#This Row],[UDC]],TableOUCONMN[],7,FALSE),"")</f>
        <v>Core</v>
      </c>
      <c r="N12" s="61" t="str">
        <f>IFERROR(VLOOKUP(TableHandbook[[#This Row],[UDC]],TableOUSHCONMN[],7,FALSE),"")</f>
        <v/>
      </c>
      <c r="O12" s="61" t="str">
        <f>IFERROR(VLOOKUP(TableHandbook[[#This Row],[UDC]],TableOUSUCONMN[],7,FALSE),"")</f>
        <v/>
      </c>
      <c r="P12" s="61" t="str">
        <f>IFERROR(VLOOKUP(TableHandbook[[#This Row],[UDC]],TableOSCUANGAD[],7,FALSE),"")</f>
        <v/>
      </c>
      <c r="Q12" s="61" t="str">
        <f>IFERROR(VLOOKUP(TableHandbook[[#This Row],[UDC]],TableOSCUINARS[],7,FALSE),"")</f>
        <v/>
      </c>
      <c r="R12" s="61" t="str">
        <f>IFERROR(VLOOKUP(TableHandbook[[#This Row],[UDC]],TableOSCUPLGEO[],7,FALSE),"")</f>
        <v/>
      </c>
    </row>
    <row r="13" spans="1:19" x14ac:dyDescent="0.25">
      <c r="A13" t="s">
        <v>110</v>
      </c>
      <c r="B13" s="2">
        <v>3</v>
      </c>
      <c r="C13" s="2" t="s">
        <v>214</v>
      </c>
      <c r="D13" s="63" t="s">
        <v>215</v>
      </c>
      <c r="E13" s="2">
        <v>25</v>
      </c>
      <c r="F13" s="72" t="s">
        <v>212</v>
      </c>
      <c r="G13" s="60" t="str">
        <f>IFERROR(IF(VLOOKUP(TableHandbook[[#This Row],[UDC]],TableAvailabilities[],2,FALSE)&gt;0,"Y",""),"")</f>
        <v>Y</v>
      </c>
      <c r="H13" s="60" t="str">
        <f>IFERROR(IF(VLOOKUP(TableHandbook[[#This Row],[UDC]],TableAvailabilities[],3,FALSE)&gt;0,"Y",""),"")</f>
        <v/>
      </c>
      <c r="I13" s="60" t="str">
        <f>IFERROR(IF(VLOOKUP(TableHandbook[[#This Row],[UDC]],TableAvailabilities[],4,FALSE)&gt;0,"Y",""),"")</f>
        <v>Y</v>
      </c>
      <c r="J13" s="60" t="str">
        <f>IFERROR(IF(VLOOKUP(TableHandbook[[#This Row],[UDC]],TableAvailabilities[],5,FALSE)&gt;0,"Y",""),"")</f>
        <v/>
      </c>
      <c r="K13" s="63"/>
      <c r="L13" s="61" t="str">
        <f>IFERROR(VLOOKUP(TableHandbook[[#This Row],[UDC]],TableOBCONMN[],7,FALSE),"")</f>
        <v>Core</v>
      </c>
      <c r="M13" s="61" t="str">
        <f>IFERROR(VLOOKUP(TableHandbook[[#This Row],[UDC]],TableOUCONMN[],7,FALSE),"")</f>
        <v>Core</v>
      </c>
      <c r="N13" s="61" t="str">
        <f>IFERROR(VLOOKUP(TableHandbook[[#This Row],[UDC]],TableOUSHCONMN[],7,FALSE),"")</f>
        <v/>
      </c>
      <c r="O13" s="61" t="str">
        <f>IFERROR(VLOOKUP(TableHandbook[[#This Row],[UDC]],TableOUSUCONMN[],7,FALSE),"")</f>
        <v/>
      </c>
      <c r="P13" s="61" t="str">
        <f>IFERROR(VLOOKUP(TableHandbook[[#This Row],[UDC]],TableOSCUANGAD[],7,FALSE),"")</f>
        <v/>
      </c>
      <c r="Q13" s="61" t="str">
        <f>IFERROR(VLOOKUP(TableHandbook[[#This Row],[UDC]],TableOSCUINARS[],7,FALSE),"")</f>
        <v/>
      </c>
      <c r="R13" s="61" t="str">
        <f>IFERROR(VLOOKUP(TableHandbook[[#This Row],[UDC]],TableOSCUPLGEO[],7,FALSE),"")</f>
        <v/>
      </c>
    </row>
    <row r="14" spans="1:19" x14ac:dyDescent="0.25">
      <c r="A14" t="s">
        <v>103</v>
      </c>
      <c r="B14" s="2">
        <v>1</v>
      </c>
      <c r="C14" s="2" t="s">
        <v>216</v>
      </c>
      <c r="D14" s="63" t="s">
        <v>217</v>
      </c>
      <c r="E14" s="2">
        <v>25</v>
      </c>
      <c r="F14" s="72" t="s">
        <v>211</v>
      </c>
      <c r="G14" s="60" t="str">
        <f>IFERROR(IF(VLOOKUP(TableHandbook[[#This Row],[UDC]],TableAvailabilities[],2,FALSE)&gt;0,"Y",""),"")</f>
        <v/>
      </c>
      <c r="H14" s="60" t="str">
        <f>IFERROR(IF(VLOOKUP(TableHandbook[[#This Row],[UDC]],TableAvailabilities[],3,FALSE)&gt;0,"Y",""),"")</f>
        <v>Y</v>
      </c>
      <c r="I14" s="60" t="str">
        <f>IFERROR(IF(VLOOKUP(TableHandbook[[#This Row],[UDC]],TableAvailabilities[],4,FALSE)&gt;0,"Y",""),"")</f>
        <v/>
      </c>
      <c r="J14" s="60" t="str">
        <f>IFERROR(IF(VLOOKUP(TableHandbook[[#This Row],[UDC]],TableAvailabilities[],5,FALSE)&gt;0,"Y",""),"")</f>
        <v>Y</v>
      </c>
      <c r="K14" s="63"/>
      <c r="L14" s="61" t="str">
        <f>IFERROR(VLOOKUP(TableHandbook[[#This Row],[UDC]],TableOBCONMN[],7,FALSE),"")</f>
        <v>Core</v>
      </c>
      <c r="M14" s="61" t="str">
        <f>IFERROR(VLOOKUP(TableHandbook[[#This Row],[UDC]],TableOUCONMN[],7,FALSE),"")</f>
        <v>Core</v>
      </c>
      <c r="N14" s="61" t="str">
        <f>IFERROR(VLOOKUP(TableHandbook[[#This Row],[UDC]],TableOUSHCONMN[],7,FALSE),"")</f>
        <v/>
      </c>
      <c r="O14" s="61" t="str">
        <f>IFERROR(VLOOKUP(TableHandbook[[#This Row],[UDC]],TableOUSUCONMN[],7,FALSE),"")</f>
        <v/>
      </c>
      <c r="P14" s="61" t="str">
        <f>IFERROR(VLOOKUP(TableHandbook[[#This Row],[UDC]],TableOSCUANGAD[],7,FALSE),"")</f>
        <v/>
      </c>
      <c r="Q14" s="61" t="str">
        <f>IFERROR(VLOOKUP(TableHandbook[[#This Row],[UDC]],TableOSCUINARS[],7,FALSE),"")</f>
        <v/>
      </c>
      <c r="R14" s="61" t="str">
        <f>IFERROR(VLOOKUP(TableHandbook[[#This Row],[UDC]],TableOSCUPLGEO[],7,FALSE),"")</f>
        <v/>
      </c>
    </row>
    <row r="15" spans="1:19" x14ac:dyDescent="0.25">
      <c r="A15" t="s">
        <v>107</v>
      </c>
      <c r="B15" s="2">
        <v>3</v>
      </c>
      <c r="C15" s="2" t="s">
        <v>218</v>
      </c>
      <c r="D15" s="63" t="s">
        <v>219</v>
      </c>
      <c r="E15" s="2">
        <v>25</v>
      </c>
      <c r="F15" s="72" t="s">
        <v>211</v>
      </c>
      <c r="G15" s="60" t="str">
        <f>IFERROR(IF(VLOOKUP(TableHandbook[[#This Row],[UDC]],TableAvailabilities[],2,FALSE)&gt;0,"Y",""),"")</f>
        <v/>
      </c>
      <c r="H15" s="60" t="str">
        <f>IFERROR(IF(VLOOKUP(TableHandbook[[#This Row],[UDC]],TableAvailabilities[],3,FALSE)&gt;0,"Y",""),"")</f>
        <v>Y</v>
      </c>
      <c r="I15" s="60" t="str">
        <f>IFERROR(IF(VLOOKUP(TableHandbook[[#This Row],[UDC]],TableAvailabilities[],4,FALSE)&gt;0,"Y",""),"")</f>
        <v/>
      </c>
      <c r="J15" s="60" t="str">
        <f>IFERROR(IF(VLOOKUP(TableHandbook[[#This Row],[UDC]],TableAvailabilities[],5,FALSE)&gt;0,"Y",""),"")</f>
        <v>Y</v>
      </c>
      <c r="K15" s="63"/>
      <c r="L15" s="61" t="str">
        <f>IFERROR(VLOOKUP(TableHandbook[[#This Row],[UDC]],TableOBCONMN[],7,FALSE),"")</f>
        <v>Core</v>
      </c>
      <c r="M15" s="61" t="str">
        <f>IFERROR(VLOOKUP(TableHandbook[[#This Row],[UDC]],TableOUCONMN[],7,FALSE),"")</f>
        <v>Core</v>
      </c>
      <c r="N15" s="61" t="str">
        <f>IFERROR(VLOOKUP(TableHandbook[[#This Row],[UDC]],TableOUSHCONMN[],7,FALSE),"")</f>
        <v/>
      </c>
      <c r="O15" s="61" t="str">
        <f>IFERROR(VLOOKUP(TableHandbook[[#This Row],[UDC]],TableOUSUCONMN[],7,FALSE),"")</f>
        <v/>
      </c>
      <c r="P15" s="61" t="str">
        <f>IFERROR(VLOOKUP(TableHandbook[[#This Row],[UDC]],TableOSCUANGAD[],7,FALSE),"")</f>
        <v/>
      </c>
      <c r="Q15" s="61" t="str">
        <f>IFERROR(VLOOKUP(TableHandbook[[#This Row],[UDC]],TableOSCUINARS[],7,FALSE),"")</f>
        <v/>
      </c>
      <c r="R15" s="61" t="str">
        <f>IFERROR(VLOOKUP(TableHandbook[[#This Row],[UDC]],TableOSCUPLGEO[],7,FALSE),"")</f>
        <v/>
      </c>
    </row>
    <row r="16" spans="1:19" x14ac:dyDescent="0.25">
      <c r="A16" t="s">
        <v>108</v>
      </c>
      <c r="B16" s="2">
        <v>1</v>
      </c>
      <c r="C16" s="2" t="s">
        <v>220</v>
      </c>
      <c r="D16" s="63" t="s">
        <v>221</v>
      </c>
      <c r="E16" s="2">
        <v>25</v>
      </c>
      <c r="F16" s="72" t="s">
        <v>212</v>
      </c>
      <c r="G16" s="60" t="str">
        <f>IFERROR(IF(VLOOKUP(TableHandbook[[#This Row],[UDC]],TableAvailabilities[],2,FALSE)&gt;0,"Y",""),"")</f>
        <v>Y</v>
      </c>
      <c r="H16" s="60" t="str">
        <f>IFERROR(IF(VLOOKUP(TableHandbook[[#This Row],[UDC]],TableAvailabilities[],3,FALSE)&gt;0,"Y",""),"")</f>
        <v/>
      </c>
      <c r="I16" s="60" t="str">
        <f>IFERROR(IF(VLOOKUP(TableHandbook[[#This Row],[UDC]],TableAvailabilities[],4,FALSE)&gt;0,"Y",""),"")</f>
        <v>Y</v>
      </c>
      <c r="J16" s="60" t="str">
        <f>IFERROR(IF(VLOOKUP(TableHandbook[[#This Row],[UDC]],TableAvailabilities[],5,FALSE)&gt;0,"Y",""),"")</f>
        <v/>
      </c>
      <c r="K16" s="63"/>
      <c r="L16" s="61" t="str">
        <f>IFERROR(VLOOKUP(TableHandbook[[#This Row],[UDC]],TableOBCONMN[],7,FALSE),"")</f>
        <v>Core</v>
      </c>
      <c r="M16" s="61" t="str">
        <f>IFERROR(VLOOKUP(TableHandbook[[#This Row],[UDC]],TableOUCONMN[],7,FALSE),"")</f>
        <v>Core</v>
      </c>
      <c r="N16" s="61" t="str">
        <f>IFERROR(VLOOKUP(TableHandbook[[#This Row],[UDC]],TableOUSHCONMN[],7,FALSE),"")</f>
        <v/>
      </c>
      <c r="O16" s="61" t="str">
        <f>IFERROR(VLOOKUP(TableHandbook[[#This Row],[UDC]],TableOUSUCONMN[],7,FALSE),"")</f>
        <v/>
      </c>
      <c r="P16" s="61" t="str">
        <f>IFERROR(VLOOKUP(TableHandbook[[#This Row],[UDC]],TableOSCUANGAD[],7,FALSE),"")</f>
        <v/>
      </c>
      <c r="Q16" s="61" t="str">
        <f>IFERROR(VLOOKUP(TableHandbook[[#This Row],[UDC]],TableOSCUINARS[],7,FALSE),"")</f>
        <v/>
      </c>
      <c r="R16" s="61" t="str">
        <f>IFERROR(VLOOKUP(TableHandbook[[#This Row],[UDC]],TableOSCUPLGEO[],7,FALSE),"")</f>
        <v/>
      </c>
    </row>
    <row r="17" spans="1:18" x14ac:dyDescent="0.25">
      <c r="A17" t="s">
        <v>111</v>
      </c>
      <c r="B17" s="2">
        <v>1</v>
      </c>
      <c r="C17" s="2" t="s">
        <v>222</v>
      </c>
      <c r="D17" s="63" t="s">
        <v>223</v>
      </c>
      <c r="E17" s="2">
        <v>25</v>
      </c>
      <c r="F17" s="72" t="s">
        <v>212</v>
      </c>
      <c r="G17" s="60" t="str">
        <f>IFERROR(IF(VLOOKUP(TableHandbook[[#This Row],[UDC]],TableAvailabilities[],2,FALSE)&gt;0,"Y",""),"")</f>
        <v/>
      </c>
      <c r="H17" s="60" t="str">
        <f>IFERROR(IF(VLOOKUP(TableHandbook[[#This Row],[UDC]],TableAvailabilities[],3,FALSE)&gt;0,"Y",""),"")</f>
        <v>Y</v>
      </c>
      <c r="I17" s="60" t="str">
        <f>IFERROR(IF(VLOOKUP(TableHandbook[[#This Row],[UDC]],TableAvailabilities[],4,FALSE)&gt;0,"Y",""),"")</f>
        <v/>
      </c>
      <c r="J17" s="60" t="str">
        <f>IFERROR(IF(VLOOKUP(TableHandbook[[#This Row],[UDC]],TableAvailabilities[],5,FALSE)&gt;0,"Y",""),"")</f>
        <v>Y</v>
      </c>
      <c r="K17" s="63"/>
      <c r="L17" s="61" t="str">
        <f>IFERROR(VLOOKUP(TableHandbook[[#This Row],[UDC]],TableOBCONMN[],7,FALSE),"")</f>
        <v>Core</v>
      </c>
      <c r="M17" s="61" t="str">
        <f>IFERROR(VLOOKUP(TableHandbook[[#This Row],[UDC]],TableOUCONMN[],7,FALSE),"")</f>
        <v>Core</v>
      </c>
      <c r="N17" s="61" t="str">
        <f>IFERROR(VLOOKUP(TableHandbook[[#This Row],[UDC]],TableOUSHCONMN[],7,FALSE),"")</f>
        <v/>
      </c>
      <c r="O17" s="61" t="str">
        <f>IFERROR(VLOOKUP(TableHandbook[[#This Row],[UDC]],TableOUSUCONMN[],7,FALSE),"")</f>
        <v/>
      </c>
      <c r="P17" s="61" t="str">
        <f>IFERROR(VLOOKUP(TableHandbook[[#This Row],[UDC]],TableOSCUANGAD[],7,FALSE),"")</f>
        <v/>
      </c>
      <c r="Q17" s="61" t="str">
        <f>IFERROR(VLOOKUP(TableHandbook[[#This Row],[UDC]],TableOSCUINARS[],7,FALSE),"")</f>
        <v/>
      </c>
      <c r="R17" s="61" t="str">
        <f>IFERROR(VLOOKUP(TableHandbook[[#This Row],[UDC]],TableOSCUPLGEO[],7,FALSE),"")</f>
        <v/>
      </c>
    </row>
    <row r="18" spans="1:18" x14ac:dyDescent="0.25">
      <c r="A18" t="s">
        <v>123</v>
      </c>
      <c r="B18" s="2">
        <v>1</v>
      </c>
      <c r="C18" s="2" t="s">
        <v>224</v>
      </c>
      <c r="D18" s="63" t="s">
        <v>225</v>
      </c>
      <c r="E18" s="2">
        <v>25</v>
      </c>
      <c r="F18" s="130" t="s">
        <v>226</v>
      </c>
      <c r="G18" s="60" t="str">
        <f>IFERROR(IF(VLOOKUP(TableHandbook[[#This Row],[UDC]],TableAvailabilities[],2,FALSE)&gt;0,"Y",""),"")</f>
        <v/>
      </c>
      <c r="H18" s="60" t="str">
        <f>IFERROR(IF(VLOOKUP(TableHandbook[[#This Row],[UDC]],TableAvailabilities[],3,FALSE)&gt;0,"Y",""),"")</f>
        <v/>
      </c>
      <c r="I18" s="60" t="str">
        <f>IFERROR(IF(VLOOKUP(TableHandbook[[#This Row],[UDC]],TableAvailabilities[],4,FALSE)&gt;0,"Y",""),"")</f>
        <v/>
      </c>
      <c r="J18" s="60" t="str">
        <f>IFERROR(IF(VLOOKUP(TableHandbook[[#This Row],[UDC]],TableAvailabilities[],5,FALSE)&gt;0,"Y",""),"")</f>
        <v>Y</v>
      </c>
      <c r="K18" s="73" t="s">
        <v>227</v>
      </c>
      <c r="L18" s="61" t="str">
        <f>IFERROR(VLOOKUP(TableHandbook[[#This Row],[UDC]],TableOBCONMN[],7,FALSE),"")</f>
        <v>Core</v>
      </c>
      <c r="M18" s="61" t="str">
        <f>IFERROR(VLOOKUP(TableHandbook[[#This Row],[UDC]],TableOUCONMN[],7,FALSE),"")</f>
        <v>Core</v>
      </c>
      <c r="N18" s="61" t="str">
        <f>IFERROR(VLOOKUP(TableHandbook[[#This Row],[UDC]],TableOUSHCONMN[],7,FALSE),"")</f>
        <v/>
      </c>
      <c r="O18" s="61" t="str">
        <f>IFERROR(VLOOKUP(TableHandbook[[#This Row],[UDC]],TableOUSUCONMN[],7,FALSE),"")</f>
        <v/>
      </c>
      <c r="P18" s="61" t="str">
        <f>IFERROR(VLOOKUP(TableHandbook[[#This Row],[UDC]],TableOSCUANGAD[],7,FALSE),"")</f>
        <v/>
      </c>
      <c r="Q18" s="61" t="str">
        <f>IFERROR(VLOOKUP(TableHandbook[[#This Row],[UDC]],TableOSCUINARS[],7,FALSE),"")</f>
        <v/>
      </c>
      <c r="R18" s="61" t="str">
        <f>IFERROR(VLOOKUP(TableHandbook[[#This Row],[UDC]],TableOSCUPLGEO[],7,FALSE),"")</f>
        <v/>
      </c>
    </row>
    <row r="19" spans="1:18" x14ac:dyDescent="0.25">
      <c r="A19" t="s">
        <v>112</v>
      </c>
      <c r="B19" s="2">
        <v>1</v>
      </c>
      <c r="C19" s="2" t="s">
        <v>226</v>
      </c>
      <c r="D19" s="63" t="s">
        <v>228</v>
      </c>
      <c r="E19" s="2">
        <v>25</v>
      </c>
      <c r="F19" s="72" t="s">
        <v>214</v>
      </c>
      <c r="G19" s="60" t="str">
        <f>IFERROR(IF(VLOOKUP(TableHandbook[[#This Row],[UDC]],TableAvailabilities[],2,FALSE)&gt;0,"Y",""),"")</f>
        <v/>
      </c>
      <c r="H19" s="60" t="str">
        <f>IFERROR(IF(VLOOKUP(TableHandbook[[#This Row],[UDC]],TableAvailabilities[],3,FALSE)&gt;0,"Y",""),"")</f>
        <v>Y</v>
      </c>
      <c r="I19" s="60" t="str">
        <f>IFERROR(IF(VLOOKUP(TableHandbook[[#This Row],[UDC]],TableAvailabilities[],4,FALSE)&gt;0,"Y",""),"")</f>
        <v/>
      </c>
      <c r="J19" s="60" t="str">
        <f>IFERROR(IF(VLOOKUP(TableHandbook[[#This Row],[UDC]],TableAvailabilities[],5,FALSE)&gt;0,"Y",""),"")</f>
        <v/>
      </c>
      <c r="K19" s="73" t="s">
        <v>229</v>
      </c>
      <c r="L19" s="61" t="str">
        <f>IFERROR(VLOOKUP(TableHandbook[[#This Row],[UDC]],TableOBCONMN[],7,FALSE),"")</f>
        <v>Core</v>
      </c>
      <c r="M19" s="61" t="str">
        <f>IFERROR(VLOOKUP(TableHandbook[[#This Row],[UDC]],TableOUCONMN[],7,FALSE),"")</f>
        <v>Core</v>
      </c>
      <c r="N19" s="61" t="str">
        <f>IFERROR(VLOOKUP(TableHandbook[[#This Row],[UDC]],TableOUSHCONMN[],7,FALSE),"")</f>
        <v/>
      </c>
      <c r="O19" s="61" t="str">
        <f>IFERROR(VLOOKUP(TableHandbook[[#This Row],[UDC]],TableOUSUCONMN[],7,FALSE),"")</f>
        <v/>
      </c>
      <c r="P19" s="61" t="str">
        <f>IFERROR(VLOOKUP(TableHandbook[[#This Row],[UDC]],TableOSCUANGAD[],7,FALSE),"")</f>
        <v/>
      </c>
      <c r="Q19" s="61" t="str">
        <f>IFERROR(VLOOKUP(TableHandbook[[#This Row],[UDC]],TableOSCUINARS[],7,FALSE),"")</f>
        <v/>
      </c>
      <c r="R19" s="61" t="str">
        <f>IFERROR(VLOOKUP(TableHandbook[[#This Row],[UDC]],TableOSCUPLGEO[],7,FALSE),"")</f>
        <v/>
      </c>
    </row>
    <row r="20" spans="1:18" x14ac:dyDescent="0.25">
      <c r="A20" t="s">
        <v>114</v>
      </c>
      <c r="B20" s="2">
        <v>1</v>
      </c>
      <c r="C20" s="2" t="s">
        <v>230</v>
      </c>
      <c r="D20" s="63" t="s">
        <v>231</v>
      </c>
      <c r="E20" s="2">
        <v>25</v>
      </c>
      <c r="F20" s="72" t="s">
        <v>232</v>
      </c>
      <c r="G20" s="60" t="str">
        <f>IFERROR(IF(VLOOKUP(TableHandbook[[#This Row],[UDC]],TableAvailabilities[],2,FALSE)&gt;0,"Y",""),"")</f>
        <v>Y</v>
      </c>
      <c r="H20" s="60" t="str">
        <f>IFERROR(IF(VLOOKUP(TableHandbook[[#This Row],[UDC]],TableAvailabilities[],3,FALSE)&gt;0,"Y",""),"")</f>
        <v/>
      </c>
      <c r="I20" s="60" t="str">
        <f>IFERROR(IF(VLOOKUP(TableHandbook[[#This Row],[UDC]],TableAvailabilities[],4,FALSE)&gt;0,"Y",""),"")</f>
        <v/>
      </c>
      <c r="J20" s="60" t="str">
        <f>IFERROR(IF(VLOOKUP(TableHandbook[[#This Row],[UDC]],TableAvailabilities[],5,FALSE)&gt;0,"Y",""),"")</f>
        <v/>
      </c>
      <c r="K20" s="63"/>
      <c r="L20" s="61" t="str">
        <f>IFERROR(VLOOKUP(TableHandbook[[#This Row],[UDC]],TableOBCONMN[],7,FALSE),"")</f>
        <v>Core</v>
      </c>
      <c r="M20" s="61" t="str">
        <f>IFERROR(VLOOKUP(TableHandbook[[#This Row],[UDC]],TableOUCONMN[],7,FALSE),"")</f>
        <v>Core</v>
      </c>
      <c r="N20" s="61" t="str">
        <f>IFERROR(VLOOKUP(TableHandbook[[#This Row],[UDC]],TableOUSHCONMN[],7,FALSE),"")</f>
        <v/>
      </c>
      <c r="O20" s="61" t="str">
        <f>IFERROR(VLOOKUP(TableHandbook[[#This Row],[UDC]],TableOUSUCONMN[],7,FALSE),"")</f>
        <v/>
      </c>
      <c r="P20" s="61" t="str">
        <f>IFERROR(VLOOKUP(TableHandbook[[#This Row],[UDC]],TableOSCUANGAD[],7,FALSE),"")</f>
        <v/>
      </c>
      <c r="Q20" s="61" t="str">
        <f>IFERROR(VLOOKUP(TableHandbook[[#This Row],[UDC]],TableOSCUINARS[],7,FALSE),"")</f>
        <v/>
      </c>
      <c r="R20" s="61" t="str">
        <f>IFERROR(VLOOKUP(TableHandbook[[#This Row],[UDC]],TableOSCUPLGEO[],7,FALSE),"")</f>
        <v/>
      </c>
    </row>
    <row r="21" spans="1:18" x14ac:dyDescent="0.25">
      <c r="A21" t="s">
        <v>122</v>
      </c>
      <c r="B21" s="2">
        <v>3</v>
      </c>
      <c r="C21" s="2" t="s">
        <v>233</v>
      </c>
      <c r="D21" s="63" t="s">
        <v>234</v>
      </c>
      <c r="E21" s="2">
        <v>25</v>
      </c>
      <c r="F21" s="72" t="s">
        <v>232</v>
      </c>
      <c r="G21" s="60" t="str">
        <f>IFERROR(IF(VLOOKUP(TableHandbook[[#This Row],[UDC]],TableAvailabilities[],2,FALSE)&gt;0,"Y",""),"")</f>
        <v/>
      </c>
      <c r="H21" s="60" t="str">
        <f>IFERROR(IF(VLOOKUP(TableHandbook[[#This Row],[UDC]],TableAvailabilities[],3,FALSE)&gt;0,"Y",""),"")</f>
        <v/>
      </c>
      <c r="I21" s="60" t="str">
        <f>IFERROR(IF(VLOOKUP(TableHandbook[[#This Row],[UDC]],TableAvailabilities[],4,FALSE)&gt;0,"Y",""),"")</f>
        <v>Y</v>
      </c>
      <c r="J21" s="60" t="str">
        <f>IFERROR(IF(VLOOKUP(TableHandbook[[#This Row],[UDC]],TableAvailabilities[],5,FALSE)&gt;0,"Y",""),"")</f>
        <v/>
      </c>
      <c r="K21" s="63"/>
      <c r="L21" s="61" t="str">
        <f>IFERROR(VLOOKUP(TableHandbook[[#This Row],[UDC]],TableOBCONMN[],7,FALSE),"")</f>
        <v>Core</v>
      </c>
      <c r="M21" s="61" t="str">
        <f>IFERROR(VLOOKUP(TableHandbook[[#This Row],[UDC]],TableOUCONMN[],7,FALSE),"")</f>
        <v>Core</v>
      </c>
      <c r="N21" s="61" t="str">
        <f>IFERROR(VLOOKUP(TableHandbook[[#This Row],[UDC]],TableOUSHCONMN[],7,FALSE),"")</f>
        <v/>
      </c>
      <c r="O21" s="61" t="str">
        <f>IFERROR(VLOOKUP(TableHandbook[[#This Row],[UDC]],TableOUSUCONMN[],7,FALSE),"")</f>
        <v/>
      </c>
      <c r="P21" s="61" t="str">
        <f>IFERROR(VLOOKUP(TableHandbook[[#This Row],[UDC]],TableOSCUANGAD[],7,FALSE),"")</f>
        <v/>
      </c>
      <c r="Q21" s="61" t="str">
        <f>IFERROR(VLOOKUP(TableHandbook[[#This Row],[UDC]],TableOSCUINARS[],7,FALSE),"")</f>
        <v/>
      </c>
      <c r="R21" s="61" t="str">
        <f>IFERROR(VLOOKUP(TableHandbook[[#This Row],[UDC]],TableOSCUPLGEO[],7,FALSE),"")</f>
        <v/>
      </c>
    </row>
    <row r="22" spans="1:18" x14ac:dyDescent="0.25">
      <c r="A22" t="s">
        <v>117</v>
      </c>
      <c r="B22" s="2">
        <v>3</v>
      </c>
      <c r="C22" s="2" t="s">
        <v>235</v>
      </c>
      <c r="D22" s="63" t="s">
        <v>236</v>
      </c>
      <c r="E22" s="2">
        <v>25</v>
      </c>
      <c r="F22" s="72" t="s">
        <v>214</v>
      </c>
      <c r="G22" s="60" t="str">
        <f>IFERROR(IF(VLOOKUP(TableHandbook[[#This Row],[UDC]],TableAvailabilities[],2,FALSE)&gt;0,"Y",""),"")</f>
        <v/>
      </c>
      <c r="H22" s="60" t="str">
        <f>IFERROR(IF(VLOOKUP(TableHandbook[[#This Row],[UDC]],TableAvailabilities[],3,FALSE)&gt;0,"Y",""),"")</f>
        <v/>
      </c>
      <c r="I22" s="60" t="str">
        <f>IFERROR(IF(VLOOKUP(TableHandbook[[#This Row],[UDC]],TableAvailabilities[],4,FALSE)&gt;0,"Y",""),"")</f>
        <v>Y</v>
      </c>
      <c r="J22" s="60" t="str">
        <f>IFERROR(IF(VLOOKUP(TableHandbook[[#This Row],[UDC]],TableAvailabilities[],5,FALSE)&gt;0,"Y",""),"")</f>
        <v/>
      </c>
      <c r="K22" s="63"/>
      <c r="L22" s="61" t="str">
        <f>IFERROR(VLOOKUP(TableHandbook[[#This Row],[UDC]],TableOBCONMN[],7,FALSE),"")</f>
        <v>Core</v>
      </c>
      <c r="M22" s="61" t="str">
        <f>IFERROR(VLOOKUP(TableHandbook[[#This Row],[UDC]],TableOUCONMN[],7,FALSE),"")</f>
        <v>Core</v>
      </c>
      <c r="N22" s="61" t="str">
        <f>IFERROR(VLOOKUP(TableHandbook[[#This Row],[UDC]],TableOUSHCONMN[],7,FALSE),"")</f>
        <v/>
      </c>
      <c r="O22" s="61" t="str">
        <f>IFERROR(VLOOKUP(TableHandbook[[#This Row],[UDC]],TableOUSUCONMN[],7,FALSE),"")</f>
        <v/>
      </c>
      <c r="P22" s="61" t="str">
        <f>IFERROR(VLOOKUP(TableHandbook[[#This Row],[UDC]],TableOSCUANGAD[],7,FALSE),"")</f>
        <v/>
      </c>
      <c r="Q22" s="61" t="str">
        <f>IFERROR(VLOOKUP(TableHandbook[[#This Row],[UDC]],TableOSCUINARS[],7,FALSE),"")</f>
        <v/>
      </c>
      <c r="R22" s="61" t="str">
        <f>IFERROR(VLOOKUP(TableHandbook[[#This Row],[UDC]],TableOSCUPLGEO[],7,FALSE),"")</f>
        <v/>
      </c>
    </row>
    <row r="23" spans="1:18" x14ac:dyDescent="0.25">
      <c r="A23" t="s">
        <v>119</v>
      </c>
      <c r="B23" s="2">
        <v>1</v>
      </c>
      <c r="C23" s="2" t="s">
        <v>237</v>
      </c>
      <c r="D23" s="63" t="s">
        <v>238</v>
      </c>
      <c r="E23" s="2">
        <v>25</v>
      </c>
      <c r="F23" s="72" t="s">
        <v>239</v>
      </c>
      <c r="G23" s="60" t="str">
        <f>IFERROR(IF(VLOOKUP(TableHandbook[[#This Row],[UDC]],TableAvailabilities[],2,FALSE)&gt;0,"Y",""),"")</f>
        <v/>
      </c>
      <c r="H23" s="60" t="str">
        <f>IFERROR(IF(VLOOKUP(TableHandbook[[#This Row],[UDC]],TableAvailabilities[],3,FALSE)&gt;0,"Y",""),"")</f>
        <v/>
      </c>
      <c r="I23" s="60" t="str">
        <f>IFERROR(IF(VLOOKUP(TableHandbook[[#This Row],[UDC]],TableAvailabilities[],4,FALSE)&gt;0,"Y",""),"")</f>
        <v/>
      </c>
      <c r="J23" s="60" t="str">
        <f>IFERROR(IF(VLOOKUP(TableHandbook[[#This Row],[UDC]],TableAvailabilities[],5,FALSE)&gt;0,"Y",""),"")</f>
        <v>Y</v>
      </c>
      <c r="K23" s="63"/>
      <c r="L23" s="61" t="str">
        <f>IFERROR(VLOOKUP(TableHandbook[[#This Row],[UDC]],TableOBCONMN[],7,FALSE),"")</f>
        <v>Core</v>
      </c>
      <c r="M23" s="61" t="str">
        <f>IFERROR(VLOOKUP(TableHandbook[[#This Row],[UDC]],TableOUCONMN[],7,FALSE),"")</f>
        <v>Core</v>
      </c>
      <c r="N23" s="61" t="str">
        <f>IFERROR(VLOOKUP(TableHandbook[[#This Row],[UDC]],TableOUSHCONMN[],7,FALSE),"")</f>
        <v/>
      </c>
      <c r="O23" s="61" t="str">
        <f>IFERROR(VLOOKUP(TableHandbook[[#This Row],[UDC]],TableOUSUCONMN[],7,FALSE),"")</f>
        <v/>
      </c>
      <c r="P23" s="61" t="str">
        <f>IFERROR(VLOOKUP(TableHandbook[[#This Row],[UDC]],TableOSCUANGAD[],7,FALSE),"")</f>
        <v/>
      </c>
      <c r="Q23" s="61" t="str">
        <f>IFERROR(VLOOKUP(TableHandbook[[#This Row],[UDC]],TableOSCUINARS[],7,FALSE),"")</f>
        <v/>
      </c>
      <c r="R23" s="61" t="str">
        <f>IFERROR(VLOOKUP(TableHandbook[[#This Row],[UDC]],TableOSCUPLGEO[],7,FALSE),"")</f>
        <v/>
      </c>
    </row>
    <row r="24" spans="1:18" x14ac:dyDescent="0.25">
      <c r="A24" t="s">
        <v>132</v>
      </c>
      <c r="B24" s="2">
        <v>4</v>
      </c>
      <c r="C24" s="2" t="s">
        <v>240</v>
      </c>
      <c r="D24" s="63" t="s">
        <v>241</v>
      </c>
      <c r="E24" s="2">
        <v>25</v>
      </c>
      <c r="F24" s="72" t="s">
        <v>242</v>
      </c>
      <c r="G24" s="60" t="str">
        <f>IFERROR(IF(VLOOKUP(TableHandbook[[#This Row],[UDC]],TableAvailabilities[],2,FALSE)&gt;0,"Y",""),"")</f>
        <v/>
      </c>
      <c r="H24" s="60" t="str">
        <f>IFERROR(IF(VLOOKUP(TableHandbook[[#This Row],[UDC]],TableAvailabilities[],3,FALSE)&gt;0,"Y",""),"")</f>
        <v>Y</v>
      </c>
      <c r="I24" s="60" t="str">
        <f>IFERROR(IF(VLOOKUP(TableHandbook[[#This Row],[UDC]],TableAvailabilities[],4,FALSE)&gt;0,"Y",""),"")</f>
        <v/>
      </c>
      <c r="J24" s="60" t="str">
        <f>IFERROR(IF(VLOOKUP(TableHandbook[[#This Row],[UDC]],TableAvailabilities[],5,FALSE)&gt;0,"Y",""),"")</f>
        <v/>
      </c>
      <c r="K24" s="63"/>
      <c r="L24" s="61" t="str">
        <f>IFERROR(VLOOKUP(TableHandbook[[#This Row],[UDC]],TableOBCONMN[],7,FALSE),"")</f>
        <v>Core</v>
      </c>
      <c r="M24" s="61" t="str">
        <f>IFERROR(VLOOKUP(TableHandbook[[#This Row],[UDC]],TableOUCONMN[],7,FALSE),"")</f>
        <v>Core</v>
      </c>
      <c r="N24" s="61" t="str">
        <f>IFERROR(VLOOKUP(TableHandbook[[#This Row],[UDC]],TableOUSHCONMN[],7,FALSE),"")</f>
        <v/>
      </c>
      <c r="O24" s="61" t="str">
        <f>IFERROR(VLOOKUP(TableHandbook[[#This Row],[UDC]],TableOUSUCONMN[],7,FALSE),"")</f>
        <v/>
      </c>
      <c r="P24" s="61" t="str">
        <f>IFERROR(VLOOKUP(TableHandbook[[#This Row],[UDC]],TableOSCUANGAD[],7,FALSE),"")</f>
        <v/>
      </c>
      <c r="Q24" s="61" t="str">
        <f>IFERROR(VLOOKUP(TableHandbook[[#This Row],[UDC]],TableOSCUINARS[],7,FALSE),"")</f>
        <v/>
      </c>
      <c r="R24" s="61" t="str">
        <f>IFERROR(VLOOKUP(TableHandbook[[#This Row],[UDC]],TableOSCUPLGEO[],7,FALSE),"")</f>
        <v/>
      </c>
    </row>
    <row r="25" spans="1:18" x14ac:dyDescent="0.25">
      <c r="A25" t="s">
        <v>124</v>
      </c>
      <c r="B25" s="2">
        <v>2</v>
      </c>
      <c r="C25" s="2" t="s">
        <v>243</v>
      </c>
      <c r="D25" s="63" t="s">
        <v>244</v>
      </c>
      <c r="E25" s="2">
        <v>25</v>
      </c>
      <c r="F25" s="72" t="s">
        <v>245</v>
      </c>
      <c r="G25" s="60" t="str">
        <f>IFERROR(IF(VLOOKUP(TableHandbook[[#This Row],[UDC]],TableAvailabilities[],2,FALSE)&gt;0,"Y",""),"")</f>
        <v>Y</v>
      </c>
      <c r="H25" s="60" t="str">
        <f>IFERROR(IF(VLOOKUP(TableHandbook[[#This Row],[UDC]],TableAvailabilities[],3,FALSE)&gt;0,"Y",""),"")</f>
        <v/>
      </c>
      <c r="I25" s="60" t="str">
        <f>IFERROR(IF(VLOOKUP(TableHandbook[[#This Row],[UDC]],TableAvailabilities[],4,FALSE)&gt;0,"Y",""),"")</f>
        <v/>
      </c>
      <c r="J25" s="60" t="str">
        <f>IFERROR(IF(VLOOKUP(TableHandbook[[#This Row],[UDC]],TableAvailabilities[],5,FALSE)&gt;0,"Y",""),"")</f>
        <v/>
      </c>
      <c r="K25" s="73" t="s">
        <v>246</v>
      </c>
      <c r="L25" s="61" t="str">
        <f>IFERROR(VLOOKUP(TableHandbook[[#This Row],[UDC]],TableOBCONMN[],7,FALSE),"")</f>
        <v>Core</v>
      </c>
      <c r="M25" s="61" t="str">
        <f>IFERROR(VLOOKUP(TableHandbook[[#This Row],[UDC]],TableOUCONMN[],7,FALSE),"")</f>
        <v>Core</v>
      </c>
      <c r="N25" s="61" t="str">
        <f>IFERROR(VLOOKUP(TableHandbook[[#This Row],[UDC]],TableOUSHCONMN[],7,FALSE),"")</f>
        <v/>
      </c>
      <c r="O25" s="61" t="str">
        <f>IFERROR(VLOOKUP(TableHandbook[[#This Row],[UDC]],TableOUSUCONMN[],7,FALSE),"")</f>
        <v/>
      </c>
      <c r="P25" s="61" t="str">
        <f>IFERROR(VLOOKUP(TableHandbook[[#This Row],[UDC]],TableOSCUANGAD[],7,FALSE),"")</f>
        <v/>
      </c>
      <c r="Q25" s="61" t="str">
        <f>IFERROR(VLOOKUP(TableHandbook[[#This Row],[UDC]],TableOSCUINARS[],7,FALSE),"")</f>
        <v/>
      </c>
      <c r="R25" s="61" t="str">
        <f>IFERROR(VLOOKUP(TableHandbook[[#This Row],[UDC]],TableOSCUPLGEO[],7,FALSE),"")</f>
        <v/>
      </c>
    </row>
    <row r="26" spans="1:18" x14ac:dyDescent="0.25">
      <c r="A26" t="s">
        <v>127</v>
      </c>
      <c r="B26" s="2">
        <v>1</v>
      </c>
      <c r="C26" s="2" t="s">
        <v>247</v>
      </c>
      <c r="D26" s="63" t="s">
        <v>248</v>
      </c>
      <c r="E26" s="2">
        <v>25</v>
      </c>
      <c r="F26" s="72" t="s">
        <v>249</v>
      </c>
      <c r="G26" s="60" t="str">
        <f>IFERROR(IF(VLOOKUP(TableHandbook[[#This Row],[UDC]],TableAvailabilities[],2,FALSE)&gt;0,"Y",""),"")</f>
        <v/>
      </c>
      <c r="H26" s="60" t="str">
        <f>IFERROR(IF(VLOOKUP(TableHandbook[[#This Row],[UDC]],TableAvailabilities[],3,FALSE)&gt;0,"Y",""),"")</f>
        <v>Y</v>
      </c>
      <c r="I26" s="60" t="str">
        <f>IFERROR(IF(VLOOKUP(TableHandbook[[#This Row],[UDC]],TableAvailabilities[],4,FALSE)&gt;0,"Y",""),"")</f>
        <v/>
      </c>
      <c r="J26" s="60" t="str">
        <f>IFERROR(IF(VLOOKUP(TableHandbook[[#This Row],[UDC]],TableAvailabilities[],5,FALSE)&gt;0,"Y",""),"")</f>
        <v/>
      </c>
      <c r="K26" s="63"/>
      <c r="L26" s="61" t="str">
        <f>IFERROR(VLOOKUP(TableHandbook[[#This Row],[UDC]],TableOBCONMN[],7,FALSE),"")</f>
        <v>Core</v>
      </c>
      <c r="M26" s="61" t="str">
        <f>IFERROR(VLOOKUP(TableHandbook[[#This Row],[UDC]],TableOUCONMN[],7,FALSE),"")</f>
        <v>Core</v>
      </c>
      <c r="N26" s="61" t="str">
        <f>IFERROR(VLOOKUP(TableHandbook[[#This Row],[UDC]],TableOUSHCONMN[],7,FALSE),"")</f>
        <v/>
      </c>
      <c r="O26" s="61" t="str">
        <f>IFERROR(VLOOKUP(TableHandbook[[#This Row],[UDC]],TableOUSUCONMN[],7,FALSE),"")</f>
        <v/>
      </c>
      <c r="P26" s="61" t="str">
        <f>IFERROR(VLOOKUP(TableHandbook[[#This Row],[UDC]],TableOSCUANGAD[],7,FALSE),"")</f>
        <v/>
      </c>
      <c r="Q26" s="61" t="str">
        <f>IFERROR(VLOOKUP(TableHandbook[[#This Row],[UDC]],TableOSCUINARS[],7,FALSE),"")</f>
        <v/>
      </c>
      <c r="R26" s="61" t="str">
        <f>IFERROR(VLOOKUP(TableHandbook[[#This Row],[UDC]],TableOSCUPLGEO[],7,FALSE),"")</f>
        <v/>
      </c>
    </row>
    <row r="27" spans="1:18" x14ac:dyDescent="0.25">
      <c r="A27" t="s">
        <v>133</v>
      </c>
      <c r="B27" s="2">
        <v>1</v>
      </c>
      <c r="C27" s="2" t="s">
        <v>250</v>
      </c>
      <c r="D27" s="63" t="s">
        <v>251</v>
      </c>
      <c r="E27" s="2">
        <v>25</v>
      </c>
      <c r="F27" s="130" t="s">
        <v>252</v>
      </c>
      <c r="G27" s="60" t="str">
        <f>IFERROR(IF(VLOOKUP(TableHandbook[[#This Row],[UDC]],TableAvailabilities[],2,FALSE)&gt;0,"Y",""),"")</f>
        <v/>
      </c>
      <c r="H27" s="60" t="str">
        <f>IFERROR(IF(VLOOKUP(TableHandbook[[#This Row],[UDC]],TableAvailabilities[],3,FALSE)&gt;0,"Y",""),"")</f>
        <v/>
      </c>
      <c r="I27" s="60" t="str">
        <f>IFERROR(IF(VLOOKUP(TableHandbook[[#This Row],[UDC]],TableAvailabilities[],4,FALSE)&gt;0,"Y",""),"")</f>
        <v>Y</v>
      </c>
      <c r="J27" s="60" t="str">
        <f>IFERROR(IF(VLOOKUP(TableHandbook[[#This Row],[UDC]],TableAvailabilities[],5,FALSE)&gt;0,"Y",""),"")</f>
        <v/>
      </c>
      <c r="K27" s="73" t="s">
        <v>253</v>
      </c>
      <c r="L27" s="61" t="str">
        <f>IFERROR(VLOOKUP(TableHandbook[[#This Row],[UDC]],TableOBCONMN[],7,FALSE),"")</f>
        <v>Core</v>
      </c>
      <c r="M27" s="61" t="str">
        <f>IFERROR(VLOOKUP(TableHandbook[[#This Row],[UDC]],TableOUCONMN[],7,FALSE),"")</f>
        <v>Core</v>
      </c>
      <c r="N27" s="61" t="str">
        <f>IFERROR(VLOOKUP(TableHandbook[[#This Row],[UDC]],TableOUSHCONMN[],7,FALSE),"")</f>
        <v/>
      </c>
      <c r="O27" s="61" t="str">
        <f>IFERROR(VLOOKUP(TableHandbook[[#This Row],[UDC]],TableOUSUCONMN[],7,FALSE),"")</f>
        <v/>
      </c>
      <c r="P27" s="61" t="str">
        <f>IFERROR(VLOOKUP(TableHandbook[[#This Row],[UDC]],TableOSCUANGAD[],7,FALSE),"")</f>
        <v/>
      </c>
      <c r="Q27" s="61" t="str">
        <f>IFERROR(VLOOKUP(TableHandbook[[#This Row],[UDC]],TableOSCUINARS[],7,FALSE),"")</f>
        <v/>
      </c>
      <c r="R27" s="61" t="str">
        <f>IFERROR(VLOOKUP(TableHandbook[[#This Row],[UDC]],TableOSCUPLGEO[],7,FALSE),"")</f>
        <v/>
      </c>
    </row>
    <row r="28" spans="1:18" x14ac:dyDescent="0.25">
      <c r="A28" t="s">
        <v>129</v>
      </c>
      <c r="B28" s="2">
        <v>1</v>
      </c>
      <c r="C28" s="2" t="s">
        <v>254</v>
      </c>
      <c r="D28" s="63" t="s">
        <v>255</v>
      </c>
      <c r="E28" s="2">
        <v>25</v>
      </c>
      <c r="F28" s="72" t="s">
        <v>226</v>
      </c>
      <c r="G28" s="60" t="str">
        <f>IFERROR(IF(VLOOKUP(TableHandbook[[#This Row],[UDC]],TableAvailabilities[],2,FALSE)&gt;0,"Y",""),"")</f>
        <v/>
      </c>
      <c r="H28" s="60" t="str">
        <f>IFERROR(IF(VLOOKUP(TableHandbook[[#This Row],[UDC]],TableAvailabilities[],3,FALSE)&gt;0,"Y",""),"")</f>
        <v/>
      </c>
      <c r="I28" s="60" t="str">
        <f>IFERROR(IF(VLOOKUP(TableHandbook[[#This Row],[UDC]],TableAvailabilities[],4,FALSE)&gt;0,"Y",""),"")</f>
        <v>Y</v>
      </c>
      <c r="J28" s="60" t="str">
        <f>IFERROR(IF(VLOOKUP(TableHandbook[[#This Row],[UDC]],TableAvailabilities[],5,FALSE)&gt;0,"Y",""),"")</f>
        <v/>
      </c>
      <c r="K28" s="63"/>
      <c r="L28" s="61" t="str">
        <f>IFERROR(VLOOKUP(TableHandbook[[#This Row],[UDC]],TableOBCONMN[],7,FALSE),"")</f>
        <v>Core</v>
      </c>
      <c r="M28" s="61" t="str">
        <f>IFERROR(VLOOKUP(TableHandbook[[#This Row],[UDC]],TableOUCONMN[],7,FALSE),"")</f>
        <v>Core</v>
      </c>
      <c r="N28" s="61" t="str">
        <f>IFERROR(VLOOKUP(TableHandbook[[#This Row],[UDC]],TableOUSHCONMN[],7,FALSE),"")</f>
        <v/>
      </c>
      <c r="O28" s="61" t="str">
        <f>IFERROR(VLOOKUP(TableHandbook[[#This Row],[UDC]],TableOUSUCONMN[],7,FALSE),"")</f>
        <v/>
      </c>
      <c r="P28" s="61" t="str">
        <f>IFERROR(VLOOKUP(TableHandbook[[#This Row],[UDC]],TableOSCUANGAD[],7,FALSE),"")</f>
        <v/>
      </c>
      <c r="Q28" s="61" t="str">
        <f>IFERROR(VLOOKUP(TableHandbook[[#This Row],[UDC]],TableOSCUINARS[],7,FALSE),"")</f>
        <v/>
      </c>
      <c r="R28" s="61" t="str">
        <f>IFERROR(VLOOKUP(TableHandbook[[#This Row],[UDC]],TableOSCUPLGEO[],7,FALSE),"")</f>
        <v/>
      </c>
    </row>
    <row r="29" spans="1:18" x14ac:dyDescent="0.25">
      <c r="A29" t="s">
        <v>153</v>
      </c>
      <c r="B29" s="2">
        <v>2</v>
      </c>
      <c r="C29" s="2" t="s">
        <v>256</v>
      </c>
      <c r="D29" s="63" t="s">
        <v>257</v>
      </c>
      <c r="E29" s="2">
        <v>25</v>
      </c>
      <c r="F29" s="72" t="s">
        <v>258</v>
      </c>
      <c r="G29" s="60" t="str">
        <f>IFERROR(IF(VLOOKUP(TableHandbook[[#This Row],[UDC]],TableAvailabilities[],2,FALSE)&gt;0,"Y",""),"")</f>
        <v>Y</v>
      </c>
      <c r="H29" s="60" t="str">
        <f>IFERROR(IF(VLOOKUP(TableHandbook[[#This Row],[UDC]],TableAvailabilities[],3,FALSE)&gt;0,"Y",""),"")</f>
        <v/>
      </c>
      <c r="I29" s="60" t="str">
        <f>IFERROR(IF(VLOOKUP(TableHandbook[[#This Row],[UDC]],TableAvailabilities[],4,FALSE)&gt;0,"Y",""),"")</f>
        <v>Y</v>
      </c>
      <c r="J29" s="60" t="str">
        <f>IFERROR(IF(VLOOKUP(TableHandbook[[#This Row],[UDC]],TableAvailabilities[],5,FALSE)&gt;0,"Y",""),"")</f>
        <v/>
      </c>
      <c r="K29" s="63"/>
      <c r="L29" s="61" t="str">
        <f>IFERROR(VLOOKUP(TableHandbook[[#This Row],[UDC]],TableOBCONMN[],7,FALSE),"")</f>
        <v/>
      </c>
      <c r="M29" s="61" t="str">
        <f>IFERROR(VLOOKUP(TableHandbook[[#This Row],[UDC]],TableOUCONMN[],7,FALSE),"")</f>
        <v/>
      </c>
      <c r="N29" s="61" t="str">
        <f>IFERROR(VLOOKUP(TableHandbook[[#This Row],[UDC]],TableOUSHCONMN[],7,FALSE),"")</f>
        <v>Core</v>
      </c>
      <c r="O29" s="61" t="str">
        <f>IFERROR(VLOOKUP(TableHandbook[[#This Row],[UDC]],TableOUSUCONMN[],7,FALSE),"")</f>
        <v/>
      </c>
      <c r="P29" s="61" t="str">
        <f>IFERROR(VLOOKUP(TableHandbook[[#This Row],[UDC]],TableOSCUANGAD[],7,FALSE),"")</f>
        <v/>
      </c>
      <c r="Q29" s="61" t="str">
        <f>IFERROR(VLOOKUP(TableHandbook[[#This Row],[UDC]],TableOSCUINARS[],7,FALSE),"")</f>
        <v/>
      </c>
      <c r="R29" s="61" t="str">
        <f>IFERROR(VLOOKUP(TableHandbook[[#This Row],[UDC]],TableOSCUPLGEO[],7,FALSE),"")</f>
        <v/>
      </c>
    </row>
    <row r="30" spans="1:18" x14ac:dyDescent="0.25">
      <c r="A30" t="s">
        <v>155</v>
      </c>
      <c r="B30" s="2">
        <v>2</v>
      </c>
      <c r="C30" s="2" t="s">
        <v>259</v>
      </c>
      <c r="D30" s="63" t="s">
        <v>260</v>
      </c>
      <c r="E30" s="2">
        <v>50</v>
      </c>
      <c r="F30" s="72" t="s">
        <v>256</v>
      </c>
      <c r="G30" s="60" t="str">
        <f>IFERROR(IF(VLOOKUP(TableHandbook[[#This Row],[UDC]],TableAvailabilities[],2,FALSE)&gt;0,"Y",""),"")</f>
        <v>Y</v>
      </c>
      <c r="H30" s="60" t="str">
        <f>IFERROR(IF(VLOOKUP(TableHandbook[[#This Row],[UDC]],TableAvailabilities[],3,FALSE)&gt;0,"Y",""),"")</f>
        <v/>
      </c>
      <c r="I30" s="60" t="str">
        <f>IFERROR(IF(VLOOKUP(TableHandbook[[#This Row],[UDC]],TableAvailabilities[],4,FALSE)&gt;0,"Y",""),"")</f>
        <v>Y</v>
      </c>
      <c r="J30" s="60" t="str">
        <f>IFERROR(IF(VLOOKUP(TableHandbook[[#This Row],[UDC]],TableAvailabilities[],5,FALSE)&gt;0,"Y",""),"")</f>
        <v/>
      </c>
      <c r="K30" s="63"/>
      <c r="L30" s="61" t="str">
        <f>IFERROR(VLOOKUP(TableHandbook[[#This Row],[UDC]],TableOBCONMN[],7,FALSE),"")</f>
        <v/>
      </c>
      <c r="M30" s="61" t="str">
        <f>IFERROR(VLOOKUP(TableHandbook[[#This Row],[UDC]],TableOUCONMN[],7,FALSE),"")</f>
        <v/>
      </c>
      <c r="N30" s="61" t="str">
        <f>IFERROR(VLOOKUP(TableHandbook[[#This Row],[UDC]],TableOUSHCONMN[],7,FALSE),"")</f>
        <v>Core</v>
      </c>
      <c r="O30" s="61" t="str">
        <f>IFERROR(VLOOKUP(TableHandbook[[#This Row],[UDC]],TableOUSUCONMN[],7,FALSE),"")</f>
        <v/>
      </c>
      <c r="P30" s="61" t="str">
        <f>IFERROR(VLOOKUP(TableHandbook[[#This Row],[UDC]],TableOSCUANGAD[],7,FALSE),"")</f>
        <v/>
      </c>
      <c r="Q30" s="61" t="str">
        <f>IFERROR(VLOOKUP(TableHandbook[[#This Row],[UDC]],TableOSCUINARS[],7,FALSE),"")</f>
        <v/>
      </c>
      <c r="R30" s="61" t="str">
        <f>IFERROR(VLOOKUP(TableHandbook[[#This Row],[UDC]],TableOSCUPLGEO[],7,FALSE),"")</f>
        <v/>
      </c>
    </row>
    <row r="31" spans="1:18" x14ac:dyDescent="0.25">
      <c r="A31" t="s">
        <v>152</v>
      </c>
      <c r="B31" s="2">
        <v>2</v>
      </c>
      <c r="C31" s="2" t="s">
        <v>261</v>
      </c>
      <c r="D31" s="63" t="s">
        <v>262</v>
      </c>
      <c r="E31" s="2">
        <v>25</v>
      </c>
      <c r="F31" s="72" t="s">
        <v>263</v>
      </c>
      <c r="G31" s="60" t="str">
        <f>IFERROR(IF(VLOOKUP(TableHandbook[[#This Row],[UDC]],TableAvailabilities[],2,FALSE)&gt;0,"Y",""),"")</f>
        <v/>
      </c>
      <c r="H31" s="60" t="str">
        <f>IFERROR(IF(VLOOKUP(TableHandbook[[#This Row],[UDC]],TableAvailabilities[],3,FALSE)&gt;0,"Y",""),"")</f>
        <v/>
      </c>
      <c r="I31" s="60" t="str">
        <f>IFERROR(IF(VLOOKUP(TableHandbook[[#This Row],[UDC]],TableAvailabilities[],4,FALSE)&gt;0,"Y",""),"")</f>
        <v/>
      </c>
      <c r="J31" s="60" t="str">
        <f>IFERROR(IF(VLOOKUP(TableHandbook[[#This Row],[UDC]],TableAvailabilities[],5,FALSE)&gt;0,"Y",""),"")</f>
        <v>Y</v>
      </c>
      <c r="K31" s="63"/>
      <c r="L31" s="61" t="str">
        <f>IFERROR(VLOOKUP(TableHandbook[[#This Row],[UDC]],TableOBCONMN[],7,FALSE),"")</f>
        <v/>
      </c>
      <c r="M31" s="61" t="str">
        <f>IFERROR(VLOOKUP(TableHandbook[[#This Row],[UDC]],TableOUCONMN[],7,FALSE),"")</f>
        <v/>
      </c>
      <c r="N31" s="61" t="str">
        <f>IFERROR(VLOOKUP(TableHandbook[[#This Row],[UDC]],TableOUSHCONMN[],7,FALSE),"")</f>
        <v>Core</v>
      </c>
      <c r="O31" s="61" t="str">
        <f>IFERROR(VLOOKUP(TableHandbook[[#This Row],[UDC]],TableOUSUCONMN[],7,FALSE),"")</f>
        <v>Core</v>
      </c>
      <c r="P31" s="61" t="str">
        <f>IFERROR(VLOOKUP(TableHandbook[[#This Row],[UDC]],TableOSCUANGAD[],7,FALSE),"")</f>
        <v/>
      </c>
      <c r="Q31" s="61" t="str">
        <f>IFERROR(VLOOKUP(TableHandbook[[#This Row],[UDC]],TableOSCUINARS[],7,FALSE),"")</f>
        <v/>
      </c>
      <c r="R31" s="61" t="str">
        <f>IFERROR(VLOOKUP(TableHandbook[[#This Row],[UDC]],TableOSCUPLGEO[],7,FALSE),"")</f>
        <v/>
      </c>
    </row>
    <row r="32" spans="1:18" x14ac:dyDescent="0.25">
      <c r="A32" t="s">
        <v>150</v>
      </c>
      <c r="B32" s="2">
        <v>3</v>
      </c>
      <c r="C32" s="2" t="s">
        <v>264</v>
      </c>
      <c r="D32" s="63" t="s">
        <v>265</v>
      </c>
      <c r="E32" s="2">
        <v>25</v>
      </c>
      <c r="F32" s="72" t="s">
        <v>266</v>
      </c>
      <c r="G32" s="60" t="str">
        <f>IFERROR(IF(VLOOKUP(TableHandbook[[#This Row],[UDC]],TableAvailabilities[],2,FALSE)&gt;0,"Y",""),"")</f>
        <v>Y</v>
      </c>
      <c r="H32" s="60" t="str">
        <f>IFERROR(IF(VLOOKUP(TableHandbook[[#This Row],[UDC]],TableAvailabilities[],3,FALSE)&gt;0,"Y",""),"")</f>
        <v/>
      </c>
      <c r="I32" s="60" t="str">
        <f>IFERROR(IF(VLOOKUP(TableHandbook[[#This Row],[UDC]],TableAvailabilities[],4,FALSE)&gt;0,"Y",""),"")</f>
        <v>Y</v>
      </c>
      <c r="J32" s="60" t="str">
        <f>IFERROR(IF(VLOOKUP(TableHandbook[[#This Row],[UDC]],TableAvailabilities[],5,FALSE)&gt;0,"Y",""),"")</f>
        <v/>
      </c>
      <c r="K32" s="63"/>
      <c r="L32" s="61" t="str">
        <f>IFERROR(VLOOKUP(TableHandbook[[#This Row],[UDC]],TableOBCONMN[],7,FALSE),"")</f>
        <v/>
      </c>
      <c r="M32" s="61" t="str">
        <f>IFERROR(VLOOKUP(TableHandbook[[#This Row],[UDC]],TableOUCONMN[],7,FALSE),"")</f>
        <v/>
      </c>
      <c r="N32" s="61" t="str">
        <f>IFERROR(VLOOKUP(TableHandbook[[#This Row],[UDC]],TableOUSHCONMN[],7,FALSE),"")</f>
        <v/>
      </c>
      <c r="O32" s="61" t="str">
        <f>IFERROR(VLOOKUP(TableHandbook[[#This Row],[UDC]],TableOUSUCONMN[],7,FALSE),"")</f>
        <v>Core</v>
      </c>
      <c r="P32" s="61" t="str">
        <f>IFERROR(VLOOKUP(TableHandbook[[#This Row],[UDC]],TableOSCUANGAD[],7,FALSE),"")</f>
        <v/>
      </c>
      <c r="Q32" s="61" t="str">
        <f>IFERROR(VLOOKUP(TableHandbook[[#This Row],[UDC]],TableOSCUINARS[],7,FALSE),"")</f>
        <v/>
      </c>
      <c r="R32" s="61" t="str">
        <f>IFERROR(VLOOKUP(TableHandbook[[#This Row],[UDC]],TableOSCUPLGEO[],7,FALSE),"")</f>
        <v/>
      </c>
    </row>
    <row r="33" spans="1:18" x14ac:dyDescent="0.25">
      <c r="A33" t="s">
        <v>144</v>
      </c>
      <c r="B33" s="2">
        <v>3</v>
      </c>
      <c r="C33" s="2" t="s">
        <v>267</v>
      </c>
      <c r="D33" s="63" t="s">
        <v>268</v>
      </c>
      <c r="E33" s="2">
        <v>25</v>
      </c>
      <c r="F33" s="72" t="s">
        <v>269</v>
      </c>
      <c r="G33" s="60" t="str">
        <f>IFERROR(IF(VLOOKUP(TableHandbook[[#This Row],[UDC]],TableAvailabilities[],2,FALSE)&gt;0,"Y",""),"")</f>
        <v>Y</v>
      </c>
      <c r="H33" s="60" t="str">
        <f>IFERROR(IF(VLOOKUP(TableHandbook[[#This Row],[UDC]],TableAvailabilities[],3,FALSE)&gt;0,"Y",""),"")</f>
        <v/>
      </c>
      <c r="I33" s="60" t="str">
        <f>IFERROR(IF(VLOOKUP(TableHandbook[[#This Row],[UDC]],TableAvailabilities[],4,FALSE)&gt;0,"Y",""),"")</f>
        <v>Y</v>
      </c>
      <c r="J33" s="60" t="str">
        <f>IFERROR(IF(VLOOKUP(TableHandbook[[#This Row],[UDC]],TableAvailabilities[],5,FALSE)&gt;0,"Y",""),"")</f>
        <v/>
      </c>
      <c r="K33" s="63"/>
      <c r="L33" s="61" t="str">
        <f>IFERROR(VLOOKUP(TableHandbook[[#This Row],[UDC]],TableOBCONMN[],7,FALSE),"")</f>
        <v/>
      </c>
      <c r="M33" s="61" t="str">
        <f>IFERROR(VLOOKUP(TableHandbook[[#This Row],[UDC]],TableOUCONMN[],7,FALSE),"")</f>
        <v/>
      </c>
      <c r="N33" s="61" t="str">
        <f>IFERROR(VLOOKUP(TableHandbook[[#This Row],[UDC]],TableOUSHCONMN[],7,FALSE),"")</f>
        <v>Core</v>
      </c>
      <c r="O33" s="61" t="str">
        <f>IFERROR(VLOOKUP(TableHandbook[[#This Row],[UDC]],TableOUSUCONMN[],7,FALSE),"")</f>
        <v>Core</v>
      </c>
      <c r="P33" s="61" t="str">
        <f>IFERROR(VLOOKUP(TableHandbook[[#This Row],[UDC]],TableOSCUANGAD[],7,FALSE),"")</f>
        <v/>
      </c>
      <c r="Q33" s="61" t="str">
        <f>IFERROR(VLOOKUP(TableHandbook[[#This Row],[UDC]],TableOSCUINARS[],7,FALSE),"")</f>
        <v/>
      </c>
      <c r="R33" s="61" t="str">
        <f>IFERROR(VLOOKUP(TableHandbook[[#This Row],[UDC]],TableOSCUPLGEO[],7,FALSE),"")</f>
        <v/>
      </c>
    </row>
    <row r="34" spans="1:18" x14ac:dyDescent="0.25">
      <c r="A34" t="s">
        <v>149</v>
      </c>
      <c r="B34" s="2">
        <v>2</v>
      </c>
      <c r="C34" s="2" t="s">
        <v>270</v>
      </c>
      <c r="D34" s="63" t="s">
        <v>271</v>
      </c>
      <c r="E34" s="2">
        <v>25</v>
      </c>
      <c r="F34" s="72" t="s">
        <v>272</v>
      </c>
      <c r="G34" s="60" t="str">
        <f>IFERROR(IF(VLOOKUP(TableHandbook[[#This Row],[UDC]],TableAvailabilities[],2,FALSE)&gt;0,"Y",""),"")</f>
        <v/>
      </c>
      <c r="H34" s="60" t="str">
        <f>IFERROR(IF(VLOOKUP(TableHandbook[[#This Row],[UDC]],TableAvailabilities[],3,FALSE)&gt;0,"Y",""),"")</f>
        <v/>
      </c>
      <c r="I34" s="60" t="str">
        <f>IFERROR(IF(VLOOKUP(TableHandbook[[#This Row],[UDC]],TableAvailabilities[],4,FALSE)&gt;0,"Y",""),"")</f>
        <v/>
      </c>
      <c r="J34" s="60" t="str">
        <f>IFERROR(IF(VLOOKUP(TableHandbook[[#This Row],[UDC]],TableAvailabilities[],5,FALSE)&gt;0,"Y",""),"")</f>
        <v>Y</v>
      </c>
      <c r="K34" s="63"/>
      <c r="L34" s="61" t="str">
        <f>IFERROR(VLOOKUP(TableHandbook[[#This Row],[UDC]],TableOBCONMN[],7,FALSE),"")</f>
        <v/>
      </c>
      <c r="M34" s="61" t="str">
        <f>IFERROR(VLOOKUP(TableHandbook[[#This Row],[UDC]],TableOUCONMN[],7,FALSE),"")</f>
        <v/>
      </c>
      <c r="N34" s="61" t="str">
        <f>IFERROR(VLOOKUP(TableHandbook[[#This Row],[UDC]],TableOUSHCONMN[],7,FALSE),"")</f>
        <v>Core</v>
      </c>
      <c r="O34" s="61" t="str">
        <f>IFERROR(VLOOKUP(TableHandbook[[#This Row],[UDC]],TableOUSUCONMN[],7,FALSE),"")</f>
        <v>Core</v>
      </c>
      <c r="P34" s="61" t="str">
        <f>IFERROR(VLOOKUP(TableHandbook[[#This Row],[UDC]],TableOSCUANGAD[],7,FALSE),"")</f>
        <v/>
      </c>
      <c r="Q34" s="61" t="str">
        <f>IFERROR(VLOOKUP(TableHandbook[[#This Row],[UDC]],TableOSCUINARS[],7,FALSE),"")</f>
        <v/>
      </c>
      <c r="R34" s="61" t="str">
        <f>IFERROR(VLOOKUP(TableHandbook[[#This Row],[UDC]],TableOSCUPLGEO[],7,FALSE),"")</f>
        <v/>
      </c>
    </row>
    <row r="35" spans="1:18" x14ac:dyDescent="0.25">
      <c r="A35" t="s">
        <v>151</v>
      </c>
      <c r="B35" s="2">
        <v>1</v>
      </c>
      <c r="C35" s="2" t="s">
        <v>273</v>
      </c>
      <c r="D35" s="63" t="s">
        <v>274</v>
      </c>
      <c r="E35" s="2">
        <v>25</v>
      </c>
      <c r="F35" s="72" t="s">
        <v>275</v>
      </c>
      <c r="G35" s="60" t="str">
        <f>IFERROR(IF(VLOOKUP(TableHandbook[[#This Row],[UDC]],TableAvailabilities[],2,FALSE)&gt;0,"Y",""),"")</f>
        <v/>
      </c>
      <c r="H35" s="60" t="str">
        <f>IFERROR(IF(VLOOKUP(TableHandbook[[#This Row],[UDC]],TableAvailabilities[],3,FALSE)&gt;0,"Y",""),"")</f>
        <v>Y</v>
      </c>
      <c r="I35" s="60" t="str">
        <f>IFERROR(IF(VLOOKUP(TableHandbook[[#This Row],[UDC]],TableAvailabilities[],4,FALSE)&gt;0,"Y",""),"")</f>
        <v/>
      </c>
      <c r="J35" s="60" t="str">
        <f>IFERROR(IF(VLOOKUP(TableHandbook[[#This Row],[UDC]],TableAvailabilities[],5,FALSE)&gt;0,"Y",""),"")</f>
        <v/>
      </c>
      <c r="K35" s="63"/>
      <c r="L35" s="61" t="str">
        <f>IFERROR(VLOOKUP(TableHandbook[[#This Row],[UDC]],TableOBCONMN[],7,FALSE),"")</f>
        <v/>
      </c>
      <c r="M35" s="61" t="str">
        <f>IFERROR(VLOOKUP(TableHandbook[[#This Row],[UDC]],TableOUCONMN[],7,FALSE),"")</f>
        <v/>
      </c>
      <c r="N35" s="61" t="str">
        <f>IFERROR(VLOOKUP(TableHandbook[[#This Row],[UDC]],TableOUSHCONMN[],7,FALSE),"")</f>
        <v>Core</v>
      </c>
      <c r="O35" s="61" t="str">
        <f>IFERROR(VLOOKUP(TableHandbook[[#This Row],[UDC]],TableOUSUCONMN[],7,FALSE),"")</f>
        <v>Core</v>
      </c>
      <c r="P35" s="61" t="str">
        <f>IFERROR(VLOOKUP(TableHandbook[[#This Row],[UDC]],TableOSCUANGAD[],7,FALSE),"")</f>
        <v/>
      </c>
      <c r="Q35" s="61" t="str">
        <f>IFERROR(VLOOKUP(TableHandbook[[#This Row],[UDC]],TableOSCUINARS[],7,FALSE),"")</f>
        <v/>
      </c>
      <c r="R35" s="61" t="str">
        <f>IFERROR(VLOOKUP(TableHandbook[[#This Row],[UDC]],TableOSCUPLGEO[],7,FALSE),"")</f>
        <v/>
      </c>
    </row>
    <row r="36" spans="1:18" x14ac:dyDescent="0.25">
      <c r="A36" t="s">
        <v>154</v>
      </c>
      <c r="B36" s="2">
        <v>1</v>
      </c>
      <c r="C36" s="2" t="s">
        <v>276</v>
      </c>
      <c r="D36" s="63" t="s">
        <v>277</v>
      </c>
      <c r="E36" s="2">
        <v>50</v>
      </c>
      <c r="F36" s="72" t="s">
        <v>267</v>
      </c>
      <c r="G36" s="60" t="str">
        <f>IFERROR(IF(VLOOKUP(TableHandbook[[#This Row],[UDC]],TableAvailabilities[],2,FALSE)&gt;0,"Y",""),"")</f>
        <v>Y</v>
      </c>
      <c r="H36" s="60" t="str">
        <f>IFERROR(IF(VLOOKUP(TableHandbook[[#This Row],[UDC]],TableAvailabilities[],3,FALSE)&gt;0,"Y",""),"")</f>
        <v/>
      </c>
      <c r="I36" s="60" t="str">
        <f>IFERROR(IF(VLOOKUP(TableHandbook[[#This Row],[UDC]],TableAvailabilities[],4,FALSE)&gt;0,"Y",""),"")</f>
        <v>Y</v>
      </c>
      <c r="J36" s="60" t="str">
        <f>IFERROR(IF(VLOOKUP(TableHandbook[[#This Row],[UDC]],TableAvailabilities[],5,FALSE)&gt;0,"Y",""),"")</f>
        <v/>
      </c>
      <c r="K36" s="63"/>
      <c r="L36" s="61" t="str">
        <f>IFERROR(VLOOKUP(TableHandbook[[#This Row],[UDC]],TableOBCONMN[],7,FALSE),"")</f>
        <v/>
      </c>
      <c r="M36" s="61" t="str">
        <f>IFERROR(VLOOKUP(TableHandbook[[#This Row],[UDC]],TableOUCONMN[],7,FALSE),"")</f>
        <v/>
      </c>
      <c r="N36" s="61" t="str">
        <f>IFERROR(VLOOKUP(TableHandbook[[#This Row],[UDC]],TableOUSHCONMN[],7,FALSE),"")</f>
        <v/>
      </c>
      <c r="O36" s="61" t="str">
        <f>IFERROR(VLOOKUP(TableHandbook[[#This Row],[UDC]],TableOUSUCONMN[],7,FALSE),"")</f>
        <v>Core</v>
      </c>
      <c r="P36" s="61" t="str">
        <f>IFERROR(VLOOKUP(TableHandbook[[#This Row],[UDC]],TableOSCUANGAD[],7,FALSE),"")</f>
        <v/>
      </c>
      <c r="Q36" s="61" t="str">
        <f>IFERROR(VLOOKUP(TableHandbook[[#This Row],[UDC]],TableOSCUINARS[],7,FALSE),"")</f>
        <v/>
      </c>
      <c r="R36" s="61" t="str">
        <f>IFERROR(VLOOKUP(TableHandbook[[#This Row],[UDC]],TableOSCUPLGEO[],7,FALSE),"")</f>
        <v/>
      </c>
    </row>
    <row r="37" spans="1:18" x14ac:dyDescent="0.25">
      <c r="A37" t="s">
        <v>146</v>
      </c>
      <c r="B37" s="2">
        <v>1</v>
      </c>
      <c r="C37" s="2" t="s">
        <v>278</v>
      </c>
      <c r="D37" s="63" t="s">
        <v>279</v>
      </c>
      <c r="E37" s="2">
        <v>25</v>
      </c>
      <c r="F37" s="72" t="s">
        <v>280</v>
      </c>
      <c r="G37" s="60" t="str">
        <f>IFERROR(IF(VLOOKUP(TableHandbook[[#This Row],[UDC]],TableAvailabilities[],2,FALSE)&gt;0,"Y",""),"")</f>
        <v/>
      </c>
      <c r="H37" s="60" t="str">
        <f>IFERROR(IF(VLOOKUP(TableHandbook[[#This Row],[UDC]],TableAvailabilities[],3,FALSE)&gt;0,"Y",""),"")</f>
        <v>Y</v>
      </c>
      <c r="I37" s="60" t="str">
        <f>IFERROR(IF(VLOOKUP(TableHandbook[[#This Row],[UDC]],TableAvailabilities[],4,FALSE)&gt;0,"Y",""),"")</f>
        <v/>
      </c>
      <c r="J37" s="60" t="str">
        <f>IFERROR(IF(VLOOKUP(TableHandbook[[#This Row],[UDC]],TableAvailabilities[],5,FALSE)&gt;0,"Y",""),"")</f>
        <v/>
      </c>
      <c r="K37" s="63"/>
      <c r="L37" s="61" t="str">
        <f>IFERROR(VLOOKUP(TableHandbook[[#This Row],[UDC]],TableOBCONMN[],7,FALSE),"")</f>
        <v/>
      </c>
      <c r="M37" s="61" t="str">
        <f>IFERROR(VLOOKUP(TableHandbook[[#This Row],[UDC]],TableOUCONMN[],7,FALSE),"")</f>
        <v/>
      </c>
      <c r="N37" s="61" t="str">
        <f>IFERROR(VLOOKUP(TableHandbook[[#This Row],[UDC]],TableOUSHCONMN[],7,FALSE),"")</f>
        <v>Core</v>
      </c>
      <c r="O37" s="61" t="str">
        <f>IFERROR(VLOOKUP(TableHandbook[[#This Row],[UDC]],TableOUSUCONMN[],7,FALSE),"")</f>
        <v>Core</v>
      </c>
      <c r="P37" s="61" t="str">
        <f>IFERROR(VLOOKUP(TableHandbook[[#This Row],[UDC]],TableOSCUANGAD[],7,FALSE),"")</f>
        <v/>
      </c>
      <c r="Q37" s="61" t="str">
        <f>IFERROR(VLOOKUP(TableHandbook[[#This Row],[UDC]],TableOSCUINARS[],7,FALSE),"")</f>
        <v/>
      </c>
      <c r="R37" s="61" t="str">
        <f>IFERROR(VLOOKUP(TableHandbook[[#This Row],[UDC]],TableOSCUPLGEO[],7,FALSE),"")</f>
        <v/>
      </c>
    </row>
    <row r="38" spans="1:18" x14ac:dyDescent="0.25">
      <c r="A38" t="s">
        <v>281</v>
      </c>
      <c r="B38" s="2">
        <v>1</v>
      </c>
      <c r="C38" s="2" t="s">
        <v>282</v>
      </c>
      <c r="D38" s="63" t="s">
        <v>283</v>
      </c>
      <c r="E38" s="2">
        <v>25</v>
      </c>
      <c r="F38" s="123" t="s">
        <v>211</v>
      </c>
      <c r="G38" s="60" t="str">
        <f>IFERROR(IF(VLOOKUP(TableHandbook[[#This Row],[UDC]],TableAvailabilities[],2,FALSE)&gt;0,"Y",""),"")</f>
        <v/>
      </c>
      <c r="H38" s="60" t="str">
        <f>IFERROR(IF(VLOOKUP(TableHandbook[[#This Row],[UDC]],TableAvailabilities[],3,FALSE)&gt;0,"Y",""),"")</f>
        <v/>
      </c>
      <c r="I38" s="60" t="str">
        <f>IFERROR(IF(VLOOKUP(TableHandbook[[#This Row],[UDC]],TableAvailabilities[],4,FALSE)&gt;0,"Y",""),"")</f>
        <v/>
      </c>
      <c r="J38" s="60" t="str">
        <f>IFERROR(IF(VLOOKUP(TableHandbook[[#This Row],[UDC]],TableAvailabilities[],5,FALSE)&gt;0,"Y",""),"")</f>
        <v/>
      </c>
      <c r="K38" s="63" t="s">
        <v>284</v>
      </c>
      <c r="L38" s="61" t="str">
        <f>IFERROR(VLOOKUP(TableHandbook[[#This Row],[UDC]],TableOBCONMN[],7,FALSE),"")</f>
        <v/>
      </c>
      <c r="M38" s="61" t="str">
        <f>IFERROR(VLOOKUP(TableHandbook[[#This Row],[UDC]],TableOUCONMN[],7,FALSE),"")</f>
        <v/>
      </c>
      <c r="N38" s="61" t="str">
        <f>IFERROR(VLOOKUP(TableHandbook[[#This Row],[UDC]],TableOUSHCONMN[],7,FALSE),"")</f>
        <v/>
      </c>
      <c r="O38" s="61" t="str">
        <f>IFERROR(VLOOKUP(TableHandbook[[#This Row],[UDC]],TableOUSUCONMN[],7,FALSE),"")</f>
        <v/>
      </c>
      <c r="P38" s="61" t="str">
        <f>IFERROR(VLOOKUP(TableHandbook[[#This Row],[UDC]],TableOSCUANGAD[],7,FALSE),"")</f>
        <v/>
      </c>
      <c r="Q38" s="61" t="str">
        <f>IFERROR(VLOOKUP(TableHandbook[[#This Row],[UDC]],TableOSCUINARS[],7,FALSE),"")</f>
        <v/>
      </c>
      <c r="R38" s="61" t="str">
        <f>IFERROR(VLOOKUP(TableHandbook[[#This Row],[UDC]],TableOSCUPLGEO[],7,FALSE),"")</f>
        <v/>
      </c>
    </row>
    <row r="39" spans="1:18" x14ac:dyDescent="0.25">
      <c r="A39" s="111" t="s">
        <v>101</v>
      </c>
      <c r="B39" s="2">
        <v>1</v>
      </c>
      <c r="C39" s="2" t="s">
        <v>101</v>
      </c>
      <c r="D39" s="63" t="s">
        <v>285</v>
      </c>
      <c r="E39" s="2">
        <v>25</v>
      </c>
      <c r="F39" s="72" t="s">
        <v>211</v>
      </c>
      <c r="G39" s="60" t="str">
        <f>IFERROR(IF(VLOOKUP(TableHandbook[[#This Row],[UDC]],TableAvailabilities[],2,FALSE)&gt;0,"Y",""),"")</f>
        <v>Y</v>
      </c>
      <c r="H39" s="60" t="str">
        <f>IFERROR(IF(VLOOKUP(TableHandbook[[#This Row],[UDC]],TableAvailabilities[],3,FALSE)&gt;0,"Y",""),"")</f>
        <v>Y</v>
      </c>
      <c r="I39" s="60" t="str">
        <f>IFERROR(IF(VLOOKUP(TableHandbook[[#This Row],[UDC]],TableAvailabilities[],4,FALSE)&gt;0,"Y",""),"")</f>
        <v>Y</v>
      </c>
      <c r="J39" s="60" t="str">
        <f>IFERROR(IF(VLOOKUP(TableHandbook[[#This Row],[UDC]],TableAvailabilities[],5,FALSE)&gt;0,"Y",""),"")</f>
        <v>Y</v>
      </c>
      <c r="K39" s="63"/>
      <c r="L39" s="61" t="str">
        <f>IFERROR(VLOOKUP(TableHandbook[[#This Row],[UDC]],TableOBCONMN[],7,FALSE),"")</f>
        <v>Core</v>
      </c>
      <c r="M39" s="61" t="str">
        <f>IFERROR(VLOOKUP(TableHandbook[[#This Row],[UDC]],TableOUCONMN[],7,FALSE),"")</f>
        <v>Core</v>
      </c>
      <c r="N39" s="61" t="str">
        <f>IFERROR(VLOOKUP(TableHandbook[[#This Row],[UDC]],TableOUSHCONMN[],7,FALSE),"")</f>
        <v/>
      </c>
      <c r="O39" s="61" t="str">
        <f>IFERROR(VLOOKUP(TableHandbook[[#This Row],[UDC]],TableOUSUCONMN[],7,FALSE),"")</f>
        <v/>
      </c>
      <c r="P39" s="61" t="str">
        <f>IFERROR(VLOOKUP(TableHandbook[[#This Row],[UDC]],TableOSCUANGAD[],7,FALSE),"")</f>
        <v/>
      </c>
      <c r="Q39" s="61" t="str">
        <f>IFERROR(VLOOKUP(TableHandbook[[#This Row],[UDC]],TableOSCUINARS[],7,FALSE),"")</f>
        <v/>
      </c>
      <c r="R39" s="61" t="str">
        <f>IFERROR(VLOOKUP(TableHandbook[[#This Row],[UDC]],TableOSCUPLGEO[],7,FALSE),"")</f>
        <v/>
      </c>
    </row>
    <row r="40" spans="1:18" x14ac:dyDescent="0.25">
      <c r="A40" t="s">
        <v>183</v>
      </c>
      <c r="B40" s="2">
        <v>2</v>
      </c>
      <c r="C40" s="2" t="s">
        <v>286</v>
      </c>
      <c r="D40" s="63" t="s">
        <v>287</v>
      </c>
      <c r="E40" s="2">
        <v>25</v>
      </c>
      <c r="F40" s="72" t="s">
        <v>211</v>
      </c>
      <c r="G40" s="60" t="str">
        <f>IFERROR(IF(VLOOKUP(TableHandbook[[#This Row],[UDC]],TableAvailabilities[],2,FALSE)&gt;0,"Y",""),"")</f>
        <v>Y</v>
      </c>
      <c r="H40" s="60" t="str">
        <f>IFERROR(IF(VLOOKUP(TableHandbook[[#This Row],[UDC]],TableAvailabilities[],3,FALSE)&gt;0,"Y",""),"")</f>
        <v/>
      </c>
      <c r="I40" s="60" t="str">
        <f>IFERROR(IF(VLOOKUP(TableHandbook[[#This Row],[UDC]],TableAvailabilities[],4,FALSE)&gt;0,"Y",""),"")</f>
        <v/>
      </c>
      <c r="J40" s="60" t="str">
        <f>IFERROR(IF(VLOOKUP(TableHandbook[[#This Row],[UDC]],TableAvailabilities[],5,FALSE)&gt;0,"Y",""),"")</f>
        <v/>
      </c>
      <c r="K40" s="63"/>
      <c r="L40" s="61" t="str">
        <f>IFERROR(VLOOKUP(TableHandbook[[#This Row],[UDC]],TableOBCONMN[],7,FALSE),"")</f>
        <v/>
      </c>
      <c r="M40" s="61" t="str">
        <f>IFERROR(VLOOKUP(TableHandbook[[#This Row],[UDC]],TableOUCONMN[],7,FALSE),"")</f>
        <v/>
      </c>
      <c r="N40" s="61" t="str">
        <f>IFERROR(VLOOKUP(TableHandbook[[#This Row],[UDC]],TableOUSHCONMN[],7,FALSE),"")</f>
        <v/>
      </c>
      <c r="O40" s="61" t="str">
        <f>IFERROR(VLOOKUP(TableHandbook[[#This Row],[UDC]],TableOUSUCONMN[],7,FALSE),"")</f>
        <v/>
      </c>
      <c r="P40" s="61" t="str">
        <f>IFERROR(VLOOKUP(TableHandbook[[#This Row],[UDC]],TableOSCUANGAD[],7,FALSE),"")</f>
        <v/>
      </c>
      <c r="Q40" s="61" t="str">
        <f>IFERROR(VLOOKUP(TableHandbook[[#This Row],[UDC]],TableOSCUINARS[],7,FALSE),"")</f>
        <v/>
      </c>
      <c r="R40" s="61" t="str">
        <f>IFERROR(VLOOKUP(TableHandbook[[#This Row],[UDC]],TableOSCUPLGEO[],7,FALSE),"")</f>
        <v>AltCore</v>
      </c>
    </row>
    <row r="41" spans="1:18" x14ac:dyDescent="0.25">
      <c r="A41" t="s">
        <v>288</v>
      </c>
      <c r="B41" s="2">
        <v>1</v>
      </c>
      <c r="C41" s="2" t="s">
        <v>289</v>
      </c>
      <c r="D41" s="63" t="s">
        <v>290</v>
      </c>
      <c r="E41" s="2">
        <v>25</v>
      </c>
      <c r="F41" s="123" t="s">
        <v>211</v>
      </c>
      <c r="G41" s="60" t="str">
        <f>IFERROR(IF(VLOOKUP(TableHandbook[[#This Row],[UDC]],TableAvailabilities[],2,FALSE)&gt;0,"Y",""),"")</f>
        <v/>
      </c>
      <c r="H41" s="60" t="str">
        <f>IFERROR(IF(VLOOKUP(TableHandbook[[#This Row],[UDC]],TableAvailabilities[],3,FALSE)&gt;0,"Y",""),"")</f>
        <v/>
      </c>
      <c r="I41" s="60" t="str">
        <f>IFERROR(IF(VLOOKUP(TableHandbook[[#This Row],[UDC]],TableAvailabilities[],4,FALSE)&gt;0,"Y",""),"")</f>
        <v/>
      </c>
      <c r="J41" s="60" t="str">
        <f>IFERROR(IF(VLOOKUP(TableHandbook[[#This Row],[UDC]],TableAvailabilities[],5,FALSE)&gt;0,"Y",""),"")</f>
        <v/>
      </c>
      <c r="K41" s="63" t="s">
        <v>291</v>
      </c>
      <c r="L41" s="61" t="str">
        <f>IFERROR(VLOOKUP(TableHandbook[[#This Row],[UDC]],TableOBCONMN[],7,FALSE),"")</f>
        <v/>
      </c>
      <c r="M41" s="61" t="str">
        <f>IFERROR(VLOOKUP(TableHandbook[[#This Row],[UDC]],TableOUCONMN[],7,FALSE),"")</f>
        <v/>
      </c>
      <c r="N41" s="61" t="str">
        <f>IFERROR(VLOOKUP(TableHandbook[[#This Row],[UDC]],TableOUSHCONMN[],7,FALSE),"")</f>
        <v/>
      </c>
      <c r="O41" s="61" t="str">
        <f>IFERROR(VLOOKUP(TableHandbook[[#This Row],[UDC]],TableOUSUCONMN[],7,FALSE),"")</f>
        <v/>
      </c>
      <c r="P41" s="61" t="str">
        <f>IFERROR(VLOOKUP(TableHandbook[[#This Row],[UDC]],TableOSCUANGAD[],7,FALSE),"")</f>
        <v/>
      </c>
      <c r="Q41" s="61" t="str">
        <f>IFERROR(VLOOKUP(TableHandbook[[#This Row],[UDC]],TableOSCUINARS[],7,FALSE),"")</f>
        <v/>
      </c>
      <c r="R41" s="61" t="str">
        <f>IFERROR(VLOOKUP(TableHandbook[[#This Row],[UDC]],TableOSCUPLGEO[],7,FALSE),"")</f>
        <v/>
      </c>
    </row>
    <row r="42" spans="1:18" x14ac:dyDescent="0.25">
      <c r="A42" s="111" t="s">
        <v>163</v>
      </c>
      <c r="B42" s="2">
        <v>1</v>
      </c>
      <c r="C42" s="2" t="s">
        <v>163</v>
      </c>
      <c r="D42" s="63" t="s">
        <v>292</v>
      </c>
      <c r="E42" s="2">
        <v>25</v>
      </c>
      <c r="F42" s="72" t="s">
        <v>211</v>
      </c>
      <c r="G42" s="60" t="str">
        <f>IFERROR(IF(VLOOKUP(TableHandbook[[#This Row],[UDC]],TableAvailabilities[],2,FALSE)&gt;0,"Y",""),"")</f>
        <v/>
      </c>
      <c r="H42" s="60" t="str">
        <f>IFERROR(IF(VLOOKUP(TableHandbook[[#This Row],[UDC]],TableAvailabilities[],3,FALSE)&gt;0,"Y",""),"")</f>
        <v>Y</v>
      </c>
      <c r="I42" s="60" t="str">
        <f>IFERROR(IF(VLOOKUP(TableHandbook[[#This Row],[UDC]],TableAvailabilities[],4,FALSE)&gt;0,"Y",""),"")</f>
        <v/>
      </c>
      <c r="J42" s="60" t="str">
        <f>IFERROR(IF(VLOOKUP(TableHandbook[[#This Row],[UDC]],TableAvailabilities[],5,FALSE)&gt;0,"Y",""),"")</f>
        <v>Y</v>
      </c>
      <c r="K42" s="63"/>
      <c r="L42" s="61" t="str">
        <f>IFERROR(VLOOKUP(TableHandbook[[#This Row],[UDC]],TableOBCONMN[],7,FALSE),"")</f>
        <v/>
      </c>
      <c r="M42" s="61" t="str">
        <f>IFERROR(VLOOKUP(TableHandbook[[#This Row],[UDC]],TableOUCONMN[],7,FALSE),"")</f>
        <v/>
      </c>
      <c r="N42" s="61" t="str">
        <f>IFERROR(VLOOKUP(TableHandbook[[#This Row],[UDC]],TableOUSHCONMN[],7,FALSE),"")</f>
        <v/>
      </c>
      <c r="O42" s="61" t="str">
        <f>IFERROR(VLOOKUP(TableHandbook[[#This Row],[UDC]],TableOUSUCONMN[],7,FALSE),"")</f>
        <v/>
      </c>
      <c r="P42" s="61" t="str">
        <f>IFERROR(VLOOKUP(TableHandbook[[#This Row],[UDC]],TableOSCUANGAD[],7,FALSE),"")</f>
        <v>Core</v>
      </c>
      <c r="Q42" s="61" t="str">
        <f>IFERROR(VLOOKUP(TableHandbook[[#This Row],[UDC]],TableOSCUINARS[],7,FALSE),"")</f>
        <v/>
      </c>
      <c r="R42" s="61" t="str">
        <f>IFERROR(VLOOKUP(TableHandbook[[#This Row],[UDC]],TableOSCUPLGEO[],7,FALSE),"")</f>
        <v/>
      </c>
    </row>
    <row r="43" spans="1:18" x14ac:dyDescent="0.25">
      <c r="A43" s="111" t="s">
        <v>167</v>
      </c>
      <c r="B43" s="2">
        <v>1</v>
      </c>
      <c r="C43" s="2" t="s">
        <v>167</v>
      </c>
      <c r="D43" s="63" t="s">
        <v>293</v>
      </c>
      <c r="E43" s="2">
        <v>25</v>
      </c>
      <c r="F43" s="72" t="s">
        <v>211</v>
      </c>
      <c r="G43" s="60" t="str">
        <f>IFERROR(IF(VLOOKUP(TableHandbook[[#This Row],[UDC]],TableAvailabilities[],2,FALSE)&gt;0,"Y",""),"")</f>
        <v>Y</v>
      </c>
      <c r="H43" s="60" t="str">
        <f>IFERROR(IF(VLOOKUP(TableHandbook[[#This Row],[UDC]],TableAvailabilities[],3,FALSE)&gt;0,"Y",""),"")</f>
        <v/>
      </c>
      <c r="I43" s="60" t="str">
        <f>IFERROR(IF(VLOOKUP(TableHandbook[[#This Row],[UDC]],TableAvailabilities[],4,FALSE)&gt;0,"Y",""),"")</f>
        <v>Y</v>
      </c>
      <c r="J43" s="60" t="str">
        <f>IFERROR(IF(VLOOKUP(TableHandbook[[#This Row],[UDC]],TableAvailabilities[],5,FALSE)&gt;0,"Y",""),"")</f>
        <v/>
      </c>
      <c r="K43" s="63"/>
      <c r="L43" s="61" t="str">
        <f>IFERROR(VLOOKUP(TableHandbook[[#This Row],[UDC]],TableOBCONMN[],7,FALSE),"")</f>
        <v/>
      </c>
      <c r="M43" s="61" t="str">
        <f>IFERROR(VLOOKUP(TableHandbook[[#This Row],[UDC]],TableOUCONMN[],7,FALSE),"")</f>
        <v/>
      </c>
      <c r="N43" s="61" t="str">
        <f>IFERROR(VLOOKUP(TableHandbook[[#This Row],[UDC]],TableOUSHCONMN[],7,FALSE),"")</f>
        <v/>
      </c>
      <c r="O43" s="61" t="str">
        <f>IFERROR(VLOOKUP(TableHandbook[[#This Row],[UDC]],TableOUSUCONMN[],7,FALSE),"")</f>
        <v/>
      </c>
      <c r="P43" s="61" t="str">
        <f>IFERROR(VLOOKUP(TableHandbook[[#This Row],[UDC]],TableOSCUANGAD[],7,FALSE),"")</f>
        <v>Core</v>
      </c>
      <c r="Q43" s="61" t="str">
        <f>IFERROR(VLOOKUP(TableHandbook[[#This Row],[UDC]],TableOSCUINARS[],7,FALSE),"")</f>
        <v/>
      </c>
      <c r="R43" s="61" t="str">
        <f>IFERROR(VLOOKUP(TableHandbook[[#This Row],[UDC]],TableOSCUPLGEO[],7,FALSE),"")</f>
        <v/>
      </c>
    </row>
    <row r="44" spans="1:18" x14ac:dyDescent="0.25">
      <c r="A44" t="s">
        <v>294</v>
      </c>
      <c r="B44" s="2">
        <v>1</v>
      </c>
      <c r="C44" s="2" t="s">
        <v>295</v>
      </c>
      <c r="D44" s="63" t="s">
        <v>296</v>
      </c>
      <c r="E44" s="2">
        <v>25</v>
      </c>
      <c r="F44" s="123" t="s">
        <v>297</v>
      </c>
      <c r="G44" s="60" t="str">
        <f>IFERROR(IF(VLOOKUP(TableHandbook[[#This Row],[UDC]],TableAvailabilities[],2,FALSE)&gt;0,"Y",""),"")</f>
        <v/>
      </c>
      <c r="H44" s="60" t="str">
        <f>IFERROR(IF(VLOOKUP(TableHandbook[[#This Row],[UDC]],TableAvailabilities[],3,FALSE)&gt;0,"Y",""),"")</f>
        <v/>
      </c>
      <c r="I44" s="60" t="str">
        <f>IFERROR(IF(VLOOKUP(TableHandbook[[#This Row],[UDC]],TableAvailabilities[],4,FALSE)&gt;0,"Y",""),"")</f>
        <v/>
      </c>
      <c r="J44" s="60" t="str">
        <f>IFERROR(IF(VLOOKUP(TableHandbook[[#This Row],[UDC]],TableAvailabilities[],5,FALSE)&gt;0,"Y",""),"")</f>
        <v/>
      </c>
      <c r="K44" s="63" t="s">
        <v>291</v>
      </c>
      <c r="L44" s="61" t="str">
        <f>IFERROR(VLOOKUP(TableHandbook[[#This Row],[UDC]],TableOBCONMN[],7,FALSE),"")</f>
        <v/>
      </c>
      <c r="M44" s="61" t="str">
        <f>IFERROR(VLOOKUP(TableHandbook[[#This Row],[UDC]],TableOUCONMN[],7,FALSE),"")</f>
        <v/>
      </c>
      <c r="N44" s="61" t="str">
        <f>IFERROR(VLOOKUP(TableHandbook[[#This Row],[UDC]],TableOUSHCONMN[],7,FALSE),"")</f>
        <v/>
      </c>
      <c r="O44" s="61" t="str">
        <f>IFERROR(VLOOKUP(TableHandbook[[#This Row],[UDC]],TableOUSUCONMN[],7,FALSE),"")</f>
        <v/>
      </c>
      <c r="P44" s="61" t="str">
        <f>IFERROR(VLOOKUP(TableHandbook[[#This Row],[UDC]],TableOSCUANGAD[],7,FALSE),"")</f>
        <v/>
      </c>
      <c r="Q44" s="61" t="str">
        <f>IFERROR(VLOOKUP(TableHandbook[[#This Row],[UDC]],TableOSCUINARS[],7,FALSE),"")</f>
        <v/>
      </c>
      <c r="R44" s="61" t="str">
        <f>IFERROR(VLOOKUP(TableHandbook[[#This Row],[UDC]],TableOSCUPLGEO[],7,FALSE),"")</f>
        <v/>
      </c>
    </row>
    <row r="45" spans="1:18" x14ac:dyDescent="0.25">
      <c r="A45" t="s">
        <v>298</v>
      </c>
      <c r="B45" s="2">
        <v>1</v>
      </c>
      <c r="C45" s="2" t="s">
        <v>299</v>
      </c>
      <c r="D45" s="63" t="s">
        <v>300</v>
      </c>
      <c r="E45" s="2">
        <v>25</v>
      </c>
      <c r="F45" s="123" t="s">
        <v>211</v>
      </c>
      <c r="G45" s="60" t="str">
        <f>IFERROR(IF(VLOOKUP(TableHandbook[[#This Row],[UDC]],TableAvailabilities[],2,FALSE)&gt;0,"Y",""),"")</f>
        <v/>
      </c>
      <c r="H45" s="60" t="str">
        <f>IFERROR(IF(VLOOKUP(TableHandbook[[#This Row],[UDC]],TableAvailabilities[],3,FALSE)&gt;0,"Y",""),"")</f>
        <v/>
      </c>
      <c r="I45" s="60" t="str">
        <f>IFERROR(IF(VLOOKUP(TableHandbook[[#This Row],[UDC]],TableAvailabilities[],4,FALSE)&gt;0,"Y",""),"")</f>
        <v/>
      </c>
      <c r="J45" s="60" t="str">
        <f>IFERROR(IF(VLOOKUP(TableHandbook[[#This Row],[UDC]],TableAvailabilities[],5,FALSE)&gt;0,"Y",""),"")</f>
        <v/>
      </c>
      <c r="K45" s="63" t="s">
        <v>291</v>
      </c>
      <c r="L45" s="61" t="str">
        <f>IFERROR(VLOOKUP(TableHandbook[[#This Row],[UDC]],TableOBCONMN[],7,FALSE),"")</f>
        <v/>
      </c>
      <c r="M45" s="61" t="str">
        <f>IFERROR(VLOOKUP(TableHandbook[[#This Row],[UDC]],TableOUCONMN[],7,FALSE),"")</f>
        <v/>
      </c>
      <c r="N45" s="61" t="str">
        <f>IFERROR(VLOOKUP(TableHandbook[[#This Row],[UDC]],TableOUSHCONMN[],7,FALSE),"")</f>
        <v/>
      </c>
      <c r="O45" s="61" t="str">
        <f>IFERROR(VLOOKUP(TableHandbook[[#This Row],[UDC]],TableOUSUCONMN[],7,FALSE),"")</f>
        <v/>
      </c>
      <c r="P45" s="61" t="str">
        <f>IFERROR(VLOOKUP(TableHandbook[[#This Row],[UDC]],TableOSCUANGAD[],7,FALSE),"")</f>
        <v/>
      </c>
      <c r="Q45" s="61" t="str">
        <f>IFERROR(VLOOKUP(TableHandbook[[#This Row],[UDC]],TableOSCUINARS[],7,FALSE),"")</f>
        <v/>
      </c>
      <c r="R45" s="61" t="str">
        <f>IFERROR(VLOOKUP(TableHandbook[[#This Row],[UDC]],TableOSCUPLGEO[],7,FALSE),"")</f>
        <v/>
      </c>
    </row>
    <row r="46" spans="1:18" x14ac:dyDescent="0.25">
      <c r="A46" s="111" t="s">
        <v>171</v>
      </c>
      <c r="B46" s="2">
        <v>1</v>
      </c>
      <c r="C46" s="2" t="s">
        <v>171</v>
      </c>
      <c r="D46" s="63" t="s">
        <v>301</v>
      </c>
      <c r="E46" s="2">
        <v>25</v>
      </c>
      <c r="F46" s="72" t="s">
        <v>302</v>
      </c>
      <c r="G46" s="60" t="str">
        <f>IFERROR(IF(VLOOKUP(TableHandbook[[#This Row],[UDC]],TableAvailabilities[],2,FALSE)&gt;0,"Y",""),"")</f>
        <v/>
      </c>
      <c r="H46" s="60" t="str">
        <f>IFERROR(IF(VLOOKUP(TableHandbook[[#This Row],[UDC]],TableAvailabilities[],3,FALSE)&gt;0,"Y",""),"")</f>
        <v>Y</v>
      </c>
      <c r="I46" s="60" t="str">
        <f>IFERROR(IF(VLOOKUP(TableHandbook[[#This Row],[UDC]],TableAvailabilities[],4,FALSE)&gt;0,"Y",""),"")</f>
        <v/>
      </c>
      <c r="J46" s="60" t="str">
        <f>IFERROR(IF(VLOOKUP(TableHandbook[[#This Row],[UDC]],TableAvailabilities[],5,FALSE)&gt;0,"Y",""),"")</f>
        <v>Y</v>
      </c>
      <c r="K46" s="63"/>
      <c r="L46" s="61" t="str">
        <f>IFERROR(VLOOKUP(TableHandbook[[#This Row],[UDC]],TableOBCONMN[],7,FALSE),"")</f>
        <v/>
      </c>
      <c r="M46" s="61" t="str">
        <f>IFERROR(VLOOKUP(TableHandbook[[#This Row],[UDC]],TableOUCONMN[],7,FALSE),"")</f>
        <v/>
      </c>
      <c r="N46" s="61" t="str">
        <f>IFERROR(VLOOKUP(TableHandbook[[#This Row],[UDC]],TableOUSHCONMN[],7,FALSE),"")</f>
        <v/>
      </c>
      <c r="O46" s="61" t="str">
        <f>IFERROR(VLOOKUP(TableHandbook[[#This Row],[UDC]],TableOUSUCONMN[],7,FALSE),"")</f>
        <v/>
      </c>
      <c r="P46" s="61" t="str">
        <f>IFERROR(VLOOKUP(TableHandbook[[#This Row],[UDC]],TableOSCUANGAD[],7,FALSE),"")</f>
        <v>Core</v>
      </c>
      <c r="Q46" s="61" t="str">
        <f>IFERROR(VLOOKUP(TableHandbook[[#This Row],[UDC]],TableOSCUINARS[],7,FALSE),"")</f>
        <v/>
      </c>
      <c r="R46" s="61" t="str">
        <f>IFERROR(VLOOKUP(TableHandbook[[#This Row],[UDC]],TableOSCUPLGEO[],7,FALSE),"")</f>
        <v/>
      </c>
    </row>
    <row r="47" spans="1:18" x14ac:dyDescent="0.25">
      <c r="A47" t="s">
        <v>303</v>
      </c>
      <c r="B47" s="2">
        <v>2</v>
      </c>
      <c r="C47" s="2" t="s">
        <v>304</v>
      </c>
      <c r="D47" s="63" t="s">
        <v>305</v>
      </c>
      <c r="E47" s="2">
        <v>25</v>
      </c>
      <c r="F47" s="123" t="s">
        <v>306</v>
      </c>
      <c r="G47" s="60" t="str">
        <f>IFERROR(IF(VLOOKUP(TableHandbook[[#This Row],[UDC]],TableAvailabilities[],2,FALSE)&gt;0,"Y",""),"")</f>
        <v/>
      </c>
      <c r="H47" s="60" t="str">
        <f>IFERROR(IF(VLOOKUP(TableHandbook[[#This Row],[UDC]],TableAvailabilities[],3,FALSE)&gt;0,"Y",""),"")</f>
        <v/>
      </c>
      <c r="I47" s="60" t="str">
        <f>IFERROR(IF(VLOOKUP(TableHandbook[[#This Row],[UDC]],TableAvailabilities[],4,FALSE)&gt;0,"Y",""),"")</f>
        <v/>
      </c>
      <c r="J47" s="60" t="str">
        <f>IFERROR(IF(VLOOKUP(TableHandbook[[#This Row],[UDC]],TableAvailabilities[],5,FALSE)&gt;0,"Y",""),"")</f>
        <v/>
      </c>
      <c r="K47" s="124" t="s">
        <v>434</v>
      </c>
      <c r="L47" s="61" t="str">
        <f>IFERROR(VLOOKUP(TableHandbook[[#This Row],[UDC]],TableOBCONMN[],7,FALSE),"")</f>
        <v/>
      </c>
      <c r="M47" s="61" t="str">
        <f>IFERROR(VLOOKUP(TableHandbook[[#This Row],[UDC]],TableOUCONMN[],7,FALSE),"")</f>
        <v/>
      </c>
      <c r="N47" s="61" t="str">
        <f>IFERROR(VLOOKUP(TableHandbook[[#This Row],[UDC]],TableOUSHCONMN[],7,FALSE),"")</f>
        <v/>
      </c>
      <c r="O47" s="61" t="str">
        <f>IFERROR(VLOOKUP(TableHandbook[[#This Row],[UDC]],TableOUSUCONMN[],7,FALSE),"")</f>
        <v/>
      </c>
      <c r="P47" s="61" t="str">
        <f>IFERROR(VLOOKUP(TableHandbook[[#This Row],[UDC]],TableOSCUANGAD[],7,FALSE),"")</f>
        <v/>
      </c>
      <c r="Q47" s="61" t="str">
        <f>IFERROR(VLOOKUP(TableHandbook[[#This Row],[UDC]],TableOSCUINARS[],7,FALSE),"")</f>
        <v/>
      </c>
      <c r="R47" s="61" t="str">
        <f>IFERROR(VLOOKUP(TableHandbook[[#This Row],[UDC]],TableOSCUPLGEO[],7,FALSE),"")</f>
        <v/>
      </c>
    </row>
    <row r="48" spans="1:18" x14ac:dyDescent="0.25">
      <c r="A48" s="111" t="s">
        <v>181</v>
      </c>
      <c r="B48" s="2">
        <v>3</v>
      </c>
      <c r="C48" s="2" t="s">
        <v>304</v>
      </c>
      <c r="D48" s="63" t="s">
        <v>307</v>
      </c>
      <c r="E48" s="2">
        <v>25</v>
      </c>
      <c r="F48" s="72" t="s">
        <v>308</v>
      </c>
      <c r="G48" s="60" t="str">
        <f>IFERROR(IF(VLOOKUP(TableHandbook[[#This Row],[UDC]],TableAvailabilities[],2,FALSE)&gt;0,"Y",""),"")</f>
        <v>Y</v>
      </c>
      <c r="H48" s="60" t="str">
        <f>IFERROR(IF(VLOOKUP(TableHandbook[[#This Row],[UDC]],TableAvailabilities[],3,FALSE)&gt;0,"Y",""),"")</f>
        <v/>
      </c>
      <c r="I48" s="60" t="str">
        <f>IFERROR(IF(VLOOKUP(TableHandbook[[#This Row],[UDC]],TableAvailabilities[],4,FALSE)&gt;0,"Y",""),"")</f>
        <v>Y</v>
      </c>
      <c r="J48" s="60" t="str">
        <f>IFERROR(IF(VLOOKUP(TableHandbook[[#This Row],[UDC]],TableAvailabilities[],5,FALSE)&gt;0,"Y",""),"")</f>
        <v/>
      </c>
      <c r="K48" s="63" t="s">
        <v>309</v>
      </c>
      <c r="L48" s="61" t="str">
        <f>IFERROR(VLOOKUP(TableHandbook[[#This Row],[UDC]],TableOBCONMN[],7,FALSE),"")</f>
        <v/>
      </c>
      <c r="M48" s="61" t="str">
        <f>IFERROR(VLOOKUP(TableHandbook[[#This Row],[UDC]],TableOUCONMN[],7,FALSE),"")</f>
        <v/>
      </c>
      <c r="N48" s="61" t="str">
        <f>IFERROR(VLOOKUP(TableHandbook[[#This Row],[UDC]],TableOUSHCONMN[],7,FALSE),"")</f>
        <v/>
      </c>
      <c r="O48" s="61" t="str">
        <f>IFERROR(VLOOKUP(TableHandbook[[#This Row],[UDC]],TableOUSUCONMN[],7,FALSE),"")</f>
        <v/>
      </c>
      <c r="P48" s="61" t="str">
        <f>IFERROR(VLOOKUP(TableHandbook[[#This Row],[UDC]],TableOSCUANGAD[],7,FALSE),"")</f>
        <v>AltCore</v>
      </c>
      <c r="Q48" s="61" t="str">
        <f>IFERROR(VLOOKUP(TableHandbook[[#This Row],[UDC]],TableOSCUINARS[],7,FALSE),"")</f>
        <v/>
      </c>
      <c r="R48" s="61" t="str">
        <f>IFERROR(VLOOKUP(TableHandbook[[#This Row],[UDC]],TableOSCUPLGEO[],7,FALSE),"")</f>
        <v/>
      </c>
    </row>
    <row r="49" spans="1:18" x14ac:dyDescent="0.25">
      <c r="A49" t="s">
        <v>164</v>
      </c>
      <c r="B49" s="2">
        <v>4</v>
      </c>
      <c r="C49" s="2" t="s">
        <v>310</v>
      </c>
      <c r="D49" s="63" t="s">
        <v>311</v>
      </c>
      <c r="E49" s="2">
        <v>25</v>
      </c>
      <c r="F49" s="72" t="s">
        <v>211</v>
      </c>
      <c r="G49" s="60" t="str">
        <f>IFERROR(IF(VLOOKUP(TableHandbook[[#This Row],[UDC]],TableAvailabilities[],2,FALSE)&gt;0,"Y",""),"")</f>
        <v>Y</v>
      </c>
      <c r="H49" s="60" t="str">
        <f>IFERROR(IF(VLOOKUP(TableHandbook[[#This Row],[UDC]],TableAvailabilities[],3,FALSE)&gt;0,"Y",""),"")</f>
        <v/>
      </c>
      <c r="I49" s="60" t="str">
        <f>IFERROR(IF(VLOOKUP(TableHandbook[[#This Row],[UDC]],TableAvailabilities[],4,FALSE)&gt;0,"Y",""),"")</f>
        <v/>
      </c>
      <c r="J49" s="60" t="str">
        <f>IFERROR(IF(VLOOKUP(TableHandbook[[#This Row],[UDC]],TableAvailabilities[],5,FALSE)&gt;0,"Y",""),"")</f>
        <v/>
      </c>
      <c r="K49" s="63"/>
      <c r="L49" s="61" t="str">
        <f>IFERROR(VLOOKUP(TableHandbook[[#This Row],[UDC]],TableOBCONMN[],7,FALSE),"")</f>
        <v/>
      </c>
      <c r="M49" s="61" t="str">
        <f>IFERROR(VLOOKUP(TableHandbook[[#This Row],[UDC]],TableOUCONMN[],7,FALSE),"")</f>
        <v/>
      </c>
      <c r="N49" s="61" t="str">
        <f>IFERROR(VLOOKUP(TableHandbook[[#This Row],[UDC]],TableOUSHCONMN[],7,FALSE),"")</f>
        <v/>
      </c>
      <c r="O49" s="61" t="str">
        <f>IFERROR(VLOOKUP(TableHandbook[[#This Row],[UDC]],TableOUSUCONMN[],7,FALSE),"")</f>
        <v/>
      </c>
      <c r="P49" s="61" t="str">
        <f>IFERROR(VLOOKUP(TableHandbook[[#This Row],[UDC]],TableOSCUANGAD[],7,FALSE),"")</f>
        <v/>
      </c>
      <c r="Q49" s="61" t="str">
        <f>IFERROR(VLOOKUP(TableHandbook[[#This Row],[UDC]],TableOSCUINARS[],7,FALSE),"")</f>
        <v>AltCore</v>
      </c>
      <c r="R49" s="61" t="str">
        <f>IFERROR(VLOOKUP(TableHandbook[[#This Row],[UDC]],TableOSCUPLGEO[],7,FALSE),"")</f>
        <v/>
      </c>
    </row>
    <row r="50" spans="1:18" x14ac:dyDescent="0.25">
      <c r="A50" t="s">
        <v>168</v>
      </c>
      <c r="B50" s="2">
        <v>1</v>
      </c>
      <c r="C50" s="2" t="s">
        <v>312</v>
      </c>
      <c r="D50" s="63" t="s">
        <v>313</v>
      </c>
      <c r="E50" s="2">
        <v>25</v>
      </c>
      <c r="F50" s="72" t="s">
        <v>211</v>
      </c>
      <c r="G50" s="60" t="str">
        <f>IFERROR(IF(VLOOKUP(TableHandbook[[#This Row],[UDC]],TableAvailabilities[],2,FALSE)&gt;0,"Y",""),"")</f>
        <v/>
      </c>
      <c r="H50" s="60" t="str">
        <f>IFERROR(IF(VLOOKUP(TableHandbook[[#This Row],[UDC]],TableAvailabilities[],3,FALSE)&gt;0,"Y",""),"")</f>
        <v/>
      </c>
      <c r="I50" s="60" t="str">
        <f>IFERROR(IF(VLOOKUP(TableHandbook[[#This Row],[UDC]],TableAvailabilities[],4,FALSE)&gt;0,"Y",""),"")</f>
        <v>Y</v>
      </c>
      <c r="J50" s="60" t="str">
        <f>IFERROR(IF(VLOOKUP(TableHandbook[[#This Row],[UDC]],TableAvailabilities[],5,FALSE)&gt;0,"Y",""),"")</f>
        <v/>
      </c>
      <c r="K50" s="63"/>
      <c r="L50" s="61" t="str">
        <f>IFERROR(VLOOKUP(TableHandbook[[#This Row],[UDC]],TableOBCONMN[],7,FALSE),"")</f>
        <v/>
      </c>
      <c r="M50" s="61" t="str">
        <f>IFERROR(VLOOKUP(TableHandbook[[#This Row],[UDC]],TableOUCONMN[],7,FALSE),"")</f>
        <v/>
      </c>
      <c r="N50" s="61" t="str">
        <f>IFERROR(VLOOKUP(TableHandbook[[#This Row],[UDC]],TableOUSHCONMN[],7,FALSE),"")</f>
        <v/>
      </c>
      <c r="O50" s="61" t="str">
        <f>IFERROR(VLOOKUP(TableHandbook[[#This Row],[UDC]],TableOUSUCONMN[],7,FALSE),"")</f>
        <v/>
      </c>
      <c r="P50" s="61" t="str">
        <f>IFERROR(VLOOKUP(TableHandbook[[#This Row],[UDC]],TableOSCUANGAD[],7,FALSE),"")</f>
        <v/>
      </c>
      <c r="Q50" s="61" t="str">
        <f>IFERROR(VLOOKUP(TableHandbook[[#This Row],[UDC]],TableOSCUINARS[],7,FALSE),"")</f>
        <v>AltCore</v>
      </c>
      <c r="R50" s="61" t="str">
        <f>IFERROR(VLOOKUP(TableHandbook[[#This Row],[UDC]],TableOSCUPLGEO[],7,FALSE),"")</f>
        <v/>
      </c>
    </row>
    <row r="51" spans="1:18" x14ac:dyDescent="0.25">
      <c r="A51" t="s">
        <v>189</v>
      </c>
      <c r="B51" s="2">
        <v>4</v>
      </c>
      <c r="C51" s="2" t="s">
        <v>314</v>
      </c>
      <c r="D51" s="63" t="s">
        <v>315</v>
      </c>
      <c r="E51" s="2">
        <v>25</v>
      </c>
      <c r="F51" s="72" t="s">
        <v>316</v>
      </c>
      <c r="G51" s="60" t="str">
        <f>IFERROR(IF(VLOOKUP(TableHandbook[[#This Row],[UDC]],TableAvailabilities[],2,FALSE)&gt;0,"Y",""),"")</f>
        <v/>
      </c>
      <c r="H51" s="60" t="str">
        <f>IFERROR(IF(VLOOKUP(TableHandbook[[#This Row],[UDC]],TableAvailabilities[],3,FALSE)&gt;0,"Y",""),"")</f>
        <v/>
      </c>
      <c r="I51" s="60" t="str">
        <f>IFERROR(IF(VLOOKUP(TableHandbook[[#This Row],[UDC]],TableAvailabilities[],4,FALSE)&gt;0,"Y",""),"")</f>
        <v>Y</v>
      </c>
      <c r="J51" s="60" t="str">
        <f>IFERROR(IF(VLOOKUP(TableHandbook[[#This Row],[UDC]],TableAvailabilities[],5,FALSE)&gt;0,"Y",""),"")</f>
        <v/>
      </c>
      <c r="K51" s="63"/>
      <c r="L51" s="61" t="str">
        <f>IFERROR(VLOOKUP(TableHandbook[[#This Row],[UDC]],TableOBCONMN[],7,FALSE),"")</f>
        <v/>
      </c>
      <c r="M51" s="61" t="str">
        <f>IFERROR(VLOOKUP(TableHandbook[[#This Row],[UDC]],TableOUCONMN[],7,FALSE),"")</f>
        <v/>
      </c>
      <c r="N51" s="61" t="str">
        <f>IFERROR(VLOOKUP(TableHandbook[[#This Row],[UDC]],TableOUSHCONMN[],7,FALSE),"")</f>
        <v/>
      </c>
      <c r="O51" s="61" t="str">
        <f>IFERROR(VLOOKUP(TableHandbook[[#This Row],[UDC]],TableOUSUCONMN[],7,FALSE),"")</f>
        <v/>
      </c>
      <c r="P51" s="61" t="str">
        <f>IFERROR(VLOOKUP(TableHandbook[[#This Row],[UDC]],TableOSCUANGAD[],7,FALSE),"")</f>
        <v/>
      </c>
      <c r="Q51" s="61" t="str">
        <f>IFERROR(VLOOKUP(TableHandbook[[#This Row],[UDC]],TableOSCUINARS[],7,FALSE),"")</f>
        <v>Option</v>
      </c>
      <c r="R51" s="61" t="str">
        <f>IFERROR(VLOOKUP(TableHandbook[[#This Row],[UDC]],TableOSCUPLGEO[],7,FALSE),"")</f>
        <v/>
      </c>
    </row>
    <row r="52" spans="1:18" x14ac:dyDescent="0.25">
      <c r="A52" t="s">
        <v>178</v>
      </c>
      <c r="B52" s="2">
        <v>1</v>
      </c>
      <c r="C52" s="2" t="s">
        <v>317</v>
      </c>
      <c r="D52" s="63" t="s">
        <v>318</v>
      </c>
      <c r="E52" s="2">
        <v>25</v>
      </c>
      <c r="F52" s="72" t="s">
        <v>232</v>
      </c>
      <c r="G52" s="60" t="str">
        <f>IFERROR(IF(VLOOKUP(TableHandbook[[#This Row],[UDC]],TableAvailabilities[],2,FALSE)&gt;0,"Y",""),"")</f>
        <v/>
      </c>
      <c r="H52" s="60" t="str">
        <f>IFERROR(IF(VLOOKUP(TableHandbook[[#This Row],[UDC]],TableAvailabilities[],3,FALSE)&gt;0,"Y",""),"")</f>
        <v>Y</v>
      </c>
      <c r="I52" s="60" t="str">
        <f>IFERROR(IF(VLOOKUP(TableHandbook[[#This Row],[UDC]],TableAvailabilities[],4,FALSE)&gt;0,"Y",""),"")</f>
        <v/>
      </c>
      <c r="J52" s="60" t="str">
        <f>IFERROR(IF(VLOOKUP(TableHandbook[[#This Row],[UDC]],TableAvailabilities[],5,FALSE)&gt;0,"Y",""),"")</f>
        <v/>
      </c>
      <c r="K52" s="63"/>
      <c r="L52" s="61" t="str">
        <f>IFERROR(VLOOKUP(TableHandbook[[#This Row],[UDC]],TableOBCONMN[],7,FALSE),"")</f>
        <v/>
      </c>
      <c r="M52" s="61" t="str">
        <f>IFERROR(VLOOKUP(TableHandbook[[#This Row],[UDC]],TableOUCONMN[],7,FALSE),"")</f>
        <v/>
      </c>
      <c r="N52" s="61" t="str">
        <f>IFERROR(VLOOKUP(TableHandbook[[#This Row],[UDC]],TableOUSHCONMN[],7,FALSE),"")</f>
        <v/>
      </c>
      <c r="O52" s="61" t="str">
        <f>IFERROR(VLOOKUP(TableHandbook[[#This Row],[UDC]],TableOUSUCONMN[],7,FALSE),"")</f>
        <v/>
      </c>
      <c r="P52" s="61" t="str">
        <f>IFERROR(VLOOKUP(TableHandbook[[#This Row],[UDC]],TableOSCUANGAD[],7,FALSE),"")</f>
        <v/>
      </c>
      <c r="Q52" s="61" t="str">
        <f>IFERROR(VLOOKUP(TableHandbook[[#This Row],[UDC]],TableOSCUINARS[],7,FALSE),"")</f>
        <v>Core</v>
      </c>
      <c r="R52" s="61" t="str">
        <f>IFERROR(VLOOKUP(TableHandbook[[#This Row],[UDC]],TableOSCUPLGEO[],7,FALSE),"")</f>
        <v/>
      </c>
    </row>
    <row r="53" spans="1:18" x14ac:dyDescent="0.25">
      <c r="A53" t="s">
        <v>191</v>
      </c>
      <c r="B53" s="2">
        <v>1</v>
      </c>
      <c r="C53" s="2" t="s">
        <v>319</v>
      </c>
      <c r="D53" s="63" t="s">
        <v>320</v>
      </c>
      <c r="E53" s="2">
        <v>25</v>
      </c>
      <c r="F53" s="72" t="s">
        <v>232</v>
      </c>
      <c r="G53" s="60" t="str">
        <f>IFERROR(IF(VLOOKUP(TableHandbook[[#This Row],[UDC]],TableAvailabilities[],2,FALSE)&gt;0,"Y",""),"")</f>
        <v/>
      </c>
      <c r="H53" s="60" t="str">
        <f>IFERROR(IF(VLOOKUP(TableHandbook[[#This Row],[UDC]],TableAvailabilities[],3,FALSE)&gt;0,"Y",""),"")</f>
        <v/>
      </c>
      <c r="I53" s="60" t="str">
        <f>IFERROR(IF(VLOOKUP(TableHandbook[[#This Row],[UDC]],TableAvailabilities[],4,FALSE)&gt;0,"Y",""),"")</f>
        <v>Y</v>
      </c>
      <c r="J53" s="60" t="str">
        <f>IFERROR(IF(VLOOKUP(TableHandbook[[#This Row],[UDC]],TableAvailabilities[],5,FALSE)&gt;0,"Y",""),"")</f>
        <v/>
      </c>
      <c r="K53" s="63"/>
      <c r="L53" s="61" t="str">
        <f>IFERROR(VLOOKUP(TableHandbook[[#This Row],[UDC]],TableOBCONMN[],7,FALSE),"")</f>
        <v/>
      </c>
      <c r="M53" s="61" t="str">
        <f>IFERROR(VLOOKUP(TableHandbook[[#This Row],[UDC]],TableOUCONMN[],7,FALSE),"")</f>
        <v/>
      </c>
      <c r="N53" s="61" t="str">
        <f>IFERROR(VLOOKUP(TableHandbook[[#This Row],[UDC]],TableOUSHCONMN[],7,FALSE),"")</f>
        <v/>
      </c>
      <c r="O53" s="61" t="str">
        <f>IFERROR(VLOOKUP(TableHandbook[[#This Row],[UDC]],TableOUSUCONMN[],7,FALSE),"")</f>
        <v/>
      </c>
      <c r="P53" s="61" t="str">
        <f>IFERROR(VLOOKUP(TableHandbook[[#This Row],[UDC]],TableOSCUANGAD[],7,FALSE),"")</f>
        <v/>
      </c>
      <c r="Q53" s="61" t="str">
        <f>IFERROR(VLOOKUP(TableHandbook[[#This Row],[UDC]],TableOSCUINARS[],7,FALSE),"")</f>
        <v>Option</v>
      </c>
      <c r="R53" s="61" t="str">
        <f>IFERROR(VLOOKUP(TableHandbook[[#This Row],[UDC]],TableOSCUPLGEO[],7,FALSE),"")</f>
        <v/>
      </c>
    </row>
    <row r="54" spans="1:18" x14ac:dyDescent="0.25">
      <c r="A54" t="s">
        <v>182</v>
      </c>
      <c r="B54" s="2">
        <v>1</v>
      </c>
      <c r="C54" s="2" t="s">
        <v>321</v>
      </c>
      <c r="D54" s="63" t="s">
        <v>322</v>
      </c>
      <c r="E54" s="2">
        <v>25</v>
      </c>
      <c r="F54" s="72" t="s">
        <v>249</v>
      </c>
      <c r="G54" s="60" t="str">
        <f>IFERROR(IF(VLOOKUP(TableHandbook[[#This Row],[UDC]],TableAvailabilities[],2,FALSE)&gt;0,"Y",""),"")</f>
        <v>Y</v>
      </c>
      <c r="H54" s="60" t="str">
        <f>IFERROR(IF(VLOOKUP(TableHandbook[[#This Row],[UDC]],TableAvailabilities[],3,FALSE)&gt;0,"Y",""),"")</f>
        <v/>
      </c>
      <c r="I54" s="60" t="str">
        <f>IFERROR(IF(VLOOKUP(TableHandbook[[#This Row],[UDC]],TableAvailabilities[],4,FALSE)&gt;0,"Y",""),"")</f>
        <v/>
      </c>
      <c r="J54" s="60" t="str">
        <f>IFERROR(IF(VLOOKUP(TableHandbook[[#This Row],[UDC]],TableAvailabilities[],5,FALSE)&gt;0,"Y",""),"")</f>
        <v/>
      </c>
      <c r="K54" s="71"/>
      <c r="L54" s="61" t="str">
        <f>IFERROR(VLOOKUP(TableHandbook[[#This Row],[UDC]],TableOBCONMN[],7,FALSE),"")</f>
        <v/>
      </c>
      <c r="M54" s="61" t="str">
        <f>IFERROR(VLOOKUP(TableHandbook[[#This Row],[UDC]],TableOUCONMN[],7,FALSE),"")</f>
        <v/>
      </c>
      <c r="N54" s="61" t="str">
        <f>IFERROR(VLOOKUP(TableHandbook[[#This Row],[UDC]],TableOUSHCONMN[],7,FALSE),"")</f>
        <v/>
      </c>
      <c r="O54" s="61" t="str">
        <f>IFERROR(VLOOKUP(TableHandbook[[#This Row],[UDC]],TableOUSUCONMN[],7,FALSE),"")</f>
        <v/>
      </c>
      <c r="P54" s="61" t="str">
        <f>IFERROR(VLOOKUP(TableHandbook[[#This Row],[UDC]],TableOSCUANGAD[],7,FALSE),"")</f>
        <v/>
      </c>
      <c r="Q54" s="61" t="str">
        <f>IFERROR(VLOOKUP(TableHandbook[[#This Row],[UDC]],TableOSCUINARS[],7,FALSE),"")</f>
        <v>Core</v>
      </c>
      <c r="R54" s="61" t="str">
        <f>IFERROR(VLOOKUP(TableHandbook[[#This Row],[UDC]],TableOSCUPLGEO[],7,FALSE),"")</f>
        <v/>
      </c>
    </row>
    <row r="55" spans="1:18" x14ac:dyDescent="0.25">
      <c r="A55" t="s">
        <v>187</v>
      </c>
      <c r="B55" s="2">
        <v>0</v>
      </c>
      <c r="C55" s="2"/>
      <c r="D55" s="63" t="s">
        <v>323</v>
      </c>
      <c r="E55" s="2" t="s">
        <v>324</v>
      </c>
      <c r="F55" s="123"/>
      <c r="G55" s="60" t="str">
        <f>IFERROR(IF(VLOOKUP(TableHandbook[[#This Row],[UDC]],TableAvailabilities[],2,FALSE)&gt;0,"Y",""),"")</f>
        <v/>
      </c>
      <c r="H55" s="60" t="str">
        <f>IFERROR(IF(VLOOKUP(TableHandbook[[#This Row],[UDC]],TableAvailabilities[],3,FALSE)&gt;0,"Y",""),"")</f>
        <v/>
      </c>
      <c r="I55" s="60" t="str">
        <f>IFERROR(IF(VLOOKUP(TableHandbook[[#This Row],[UDC]],TableAvailabilities[],4,FALSE)&gt;0,"Y",""),"")</f>
        <v/>
      </c>
      <c r="J55" s="60" t="str">
        <f>IFERROR(IF(VLOOKUP(TableHandbook[[#This Row],[UDC]],TableAvailabilities[],5,FALSE)&gt;0,"Y",""),"")</f>
        <v/>
      </c>
      <c r="K55" s="63"/>
      <c r="L55" s="61" t="str">
        <f>IFERROR(VLOOKUP(TableHandbook[[#This Row],[UDC]],TableOBCONMN[],7,FALSE),"")</f>
        <v/>
      </c>
      <c r="M55" s="61" t="str">
        <f>IFERROR(VLOOKUP(TableHandbook[[#This Row],[UDC]],TableOUCONMN[],7,FALSE),"")</f>
        <v/>
      </c>
      <c r="N55" s="61" t="str">
        <f>IFERROR(VLOOKUP(TableHandbook[[#This Row],[UDC]],TableOUSHCONMN[],7,FALSE),"")</f>
        <v/>
      </c>
      <c r="O55" s="61" t="str">
        <f>IFERROR(VLOOKUP(TableHandbook[[#This Row],[UDC]],TableOUSUCONMN[],7,FALSE),"")</f>
        <v/>
      </c>
      <c r="P55" s="61" t="str">
        <f>IFERROR(VLOOKUP(TableHandbook[[#This Row],[UDC]],TableOSCUANGAD[],7,FALSE),"")</f>
        <v/>
      </c>
      <c r="Q55" s="61" t="str">
        <f>IFERROR(VLOOKUP(TableHandbook[[#This Row],[UDC]],TableOSCUINARS[],7,FALSE),"")</f>
        <v>Option</v>
      </c>
      <c r="R55" s="61" t="str">
        <f>IFERROR(VLOOKUP(TableHandbook[[#This Row],[UDC]],TableOSCUPLGEO[],7,FALSE),"")</f>
        <v/>
      </c>
    </row>
    <row r="56" spans="1:18" x14ac:dyDescent="0.25">
      <c r="A56" t="s">
        <v>325</v>
      </c>
      <c r="B56" s="2">
        <v>1</v>
      </c>
      <c r="C56" s="2"/>
      <c r="D56" s="63" t="s">
        <v>76</v>
      </c>
      <c r="E56" s="2">
        <v>100</v>
      </c>
      <c r="F56" s="123"/>
      <c r="G56" s="60" t="str">
        <f>IFERROR(IF(VLOOKUP(TableHandbook[[#This Row],[UDC]],TableAvailabilities[],2,FALSE)&gt;0,"Y",""),"")</f>
        <v/>
      </c>
      <c r="H56" s="60" t="str">
        <f>IFERROR(IF(VLOOKUP(TableHandbook[[#This Row],[UDC]],TableAvailabilities[],3,FALSE)&gt;0,"Y",""),"")</f>
        <v/>
      </c>
      <c r="I56" s="60" t="str">
        <f>IFERROR(IF(VLOOKUP(TableHandbook[[#This Row],[UDC]],TableAvailabilities[],4,FALSE)&gt;0,"Y",""),"")</f>
        <v/>
      </c>
      <c r="J56" s="60" t="str">
        <f>IFERROR(IF(VLOOKUP(TableHandbook[[#This Row],[UDC]],TableAvailabilities[],5,FALSE)&gt;0,"Y",""),"")</f>
        <v/>
      </c>
      <c r="K56" s="63" t="s">
        <v>326</v>
      </c>
      <c r="L56" s="61" t="str">
        <f>IFERROR(VLOOKUP(TableHandbook[[#This Row],[UDC]],TableOBCONMN[],7,FALSE),"")</f>
        <v/>
      </c>
      <c r="M56" s="61" t="str">
        <f>IFERROR(VLOOKUP(TableHandbook[[#This Row],[UDC]],TableOUCONMN[],7,FALSE),"")</f>
        <v/>
      </c>
      <c r="N56" s="61" t="str">
        <f>IFERROR(VLOOKUP(TableHandbook[[#This Row],[UDC]],TableOUSHCONMN[],7,FALSE),"")</f>
        <v/>
      </c>
      <c r="O56" s="61" t="str">
        <f>IFERROR(VLOOKUP(TableHandbook[[#This Row],[UDC]],TableOUSUCONMN[],7,FALSE),"")</f>
        <v/>
      </c>
      <c r="P56" s="61" t="str">
        <f>IFERROR(VLOOKUP(TableHandbook[[#This Row],[UDC]],TableOSCUANGAD[],7,FALSE),"")</f>
        <v/>
      </c>
      <c r="Q56" s="61" t="str">
        <f>IFERROR(VLOOKUP(TableHandbook[[#This Row],[UDC]],TableOSCUINARS[],7,FALSE),"")</f>
        <v/>
      </c>
      <c r="R56" s="61" t="str">
        <f>IFERROR(VLOOKUP(TableHandbook[[#This Row],[UDC]],TableOSCUPLGEO[],7,FALSE),"")</f>
        <v/>
      </c>
    </row>
    <row r="57" spans="1:18" x14ac:dyDescent="0.25">
      <c r="A57" s="111" t="s">
        <v>77</v>
      </c>
      <c r="B57" s="2">
        <v>2</v>
      </c>
      <c r="C57" s="2"/>
      <c r="D57" s="63" t="s">
        <v>76</v>
      </c>
      <c r="E57" s="2">
        <v>100</v>
      </c>
      <c r="F57" s="123"/>
      <c r="G57" s="60" t="str">
        <f>IFERROR(IF(VLOOKUP(TableHandbook[[#This Row],[UDC]],TableAvailabilities[],2,FALSE)&gt;0,"Y",""),"")</f>
        <v/>
      </c>
      <c r="H57" s="60" t="str">
        <f>IFERROR(IF(VLOOKUP(TableHandbook[[#This Row],[UDC]],TableAvailabilities[],3,FALSE)&gt;0,"Y",""),"")</f>
        <v/>
      </c>
      <c r="I57" s="60" t="str">
        <f>IFERROR(IF(VLOOKUP(TableHandbook[[#This Row],[UDC]],TableAvailabilities[],4,FALSE)&gt;0,"Y",""),"")</f>
        <v/>
      </c>
      <c r="J57" s="60" t="str">
        <f>IFERROR(IF(VLOOKUP(TableHandbook[[#This Row],[UDC]],TableAvailabilities[],5,FALSE)&gt;0,"Y",""),"")</f>
        <v/>
      </c>
      <c r="K57" s="63" t="s">
        <v>309</v>
      </c>
      <c r="L57" s="61" t="str">
        <f>IFERROR(VLOOKUP(TableHandbook[[#This Row],[UDC]],TableOBCONMN[],7,FALSE),"")</f>
        <v>Option</v>
      </c>
      <c r="M57" s="61" t="str">
        <f>IFERROR(VLOOKUP(TableHandbook[[#This Row],[UDC]],TableOUCONMN[],7,FALSE),"")</f>
        <v>Option</v>
      </c>
      <c r="N57" s="61" t="str">
        <f>IFERROR(VLOOKUP(TableHandbook[[#This Row],[UDC]],TableOUSHCONMN[],7,FALSE),"")</f>
        <v/>
      </c>
      <c r="O57" s="61" t="str">
        <f>IFERROR(VLOOKUP(TableHandbook[[#This Row],[UDC]],TableOUSUCONMN[],7,FALSE),"")</f>
        <v/>
      </c>
      <c r="P57" s="61" t="str">
        <f>IFERROR(VLOOKUP(TableHandbook[[#This Row],[UDC]],TableOSCUANGAD[],7,FALSE),"")</f>
        <v/>
      </c>
      <c r="Q57" s="61" t="str">
        <f>IFERROR(VLOOKUP(TableHandbook[[#This Row],[UDC]],TableOSCUINARS[],7,FALSE),"")</f>
        <v/>
      </c>
      <c r="R57" s="61" t="str">
        <f>IFERROR(VLOOKUP(TableHandbook[[#This Row],[UDC]],TableOSCUPLGEO[],7,FALSE),"")</f>
        <v/>
      </c>
    </row>
    <row r="58" spans="1:18" x14ac:dyDescent="0.25">
      <c r="A58" t="s">
        <v>80</v>
      </c>
      <c r="B58" s="2">
        <v>3</v>
      </c>
      <c r="C58" s="2"/>
      <c r="D58" s="63" t="s">
        <v>79</v>
      </c>
      <c r="E58" s="2">
        <v>100</v>
      </c>
      <c r="F58" s="123"/>
      <c r="G58" s="60" t="str">
        <f>IFERROR(IF(VLOOKUP(TableHandbook[[#This Row],[UDC]],TableAvailabilities[],2,FALSE)&gt;0,"Y",""),"")</f>
        <v/>
      </c>
      <c r="H58" s="60" t="str">
        <f>IFERROR(IF(VLOOKUP(TableHandbook[[#This Row],[UDC]],TableAvailabilities[],3,FALSE)&gt;0,"Y",""),"")</f>
        <v/>
      </c>
      <c r="I58" s="60" t="str">
        <f>IFERROR(IF(VLOOKUP(TableHandbook[[#This Row],[UDC]],TableAvailabilities[],4,FALSE)&gt;0,"Y",""),"")</f>
        <v/>
      </c>
      <c r="J58" s="60" t="str">
        <f>IFERROR(IF(VLOOKUP(TableHandbook[[#This Row],[UDC]],TableAvailabilities[],5,FALSE)&gt;0,"Y",""),"")</f>
        <v/>
      </c>
      <c r="K58" s="63"/>
      <c r="L58" s="61" t="str">
        <f>IFERROR(VLOOKUP(TableHandbook[[#This Row],[UDC]],TableOBCONMN[],7,FALSE),"")</f>
        <v>Option</v>
      </c>
      <c r="M58" s="61" t="str">
        <f>IFERROR(VLOOKUP(TableHandbook[[#This Row],[UDC]],TableOUCONMN[],7,FALSE),"")</f>
        <v>Option</v>
      </c>
      <c r="N58" s="61" t="str">
        <f>IFERROR(VLOOKUP(TableHandbook[[#This Row],[UDC]],TableOUSHCONMN[],7,FALSE),"")</f>
        <v/>
      </c>
      <c r="O58" s="61" t="str">
        <f>IFERROR(VLOOKUP(TableHandbook[[#This Row],[UDC]],TableOUSUCONMN[],7,FALSE),"")</f>
        <v/>
      </c>
      <c r="P58" s="61" t="str">
        <f>IFERROR(VLOOKUP(TableHandbook[[#This Row],[UDC]],TableOSCUANGAD[],7,FALSE),"")</f>
        <v/>
      </c>
      <c r="Q58" s="61" t="str">
        <f>IFERROR(VLOOKUP(TableHandbook[[#This Row],[UDC]],TableOSCUINARS[],7,FALSE),"")</f>
        <v/>
      </c>
      <c r="R58" s="61" t="str">
        <f>IFERROR(VLOOKUP(TableHandbook[[#This Row],[UDC]],TableOSCUPLGEO[],7,FALSE),"")</f>
        <v/>
      </c>
    </row>
    <row r="59" spans="1:18" x14ac:dyDescent="0.25">
      <c r="A59" t="s">
        <v>82</v>
      </c>
      <c r="B59" s="2">
        <v>1</v>
      </c>
      <c r="C59" s="2"/>
      <c r="D59" s="63" t="s">
        <v>81</v>
      </c>
      <c r="E59" s="2">
        <v>100</v>
      </c>
      <c r="F59" s="123"/>
      <c r="G59" s="60" t="str">
        <f>IFERROR(IF(VLOOKUP(TableHandbook[[#This Row],[UDC]],TableAvailabilities[],2,FALSE)&gt;0,"Y",""),"")</f>
        <v/>
      </c>
      <c r="H59" s="60" t="str">
        <f>IFERROR(IF(VLOOKUP(TableHandbook[[#This Row],[UDC]],TableAvailabilities[],3,FALSE)&gt;0,"Y",""),"")</f>
        <v/>
      </c>
      <c r="I59" s="60" t="str">
        <f>IFERROR(IF(VLOOKUP(TableHandbook[[#This Row],[UDC]],TableAvailabilities[],4,FALSE)&gt;0,"Y",""),"")</f>
        <v/>
      </c>
      <c r="J59" s="60" t="str">
        <f>IFERROR(IF(VLOOKUP(TableHandbook[[#This Row],[UDC]],TableAvailabilities[],5,FALSE)&gt;0,"Y",""),"")</f>
        <v/>
      </c>
      <c r="K59" s="63"/>
      <c r="L59" s="61" t="str">
        <f>IFERROR(VLOOKUP(TableHandbook[[#This Row],[UDC]],TableOBCONMN[],7,FALSE),"")</f>
        <v>Option</v>
      </c>
      <c r="M59" s="61" t="str">
        <f>IFERROR(VLOOKUP(TableHandbook[[#This Row],[UDC]],TableOUCONMN[],7,FALSE),"")</f>
        <v>Option</v>
      </c>
      <c r="N59" s="61" t="str">
        <f>IFERROR(VLOOKUP(TableHandbook[[#This Row],[UDC]],TableOUSHCONMN[],7,FALSE),"")</f>
        <v/>
      </c>
      <c r="O59" s="61" t="str">
        <f>IFERROR(VLOOKUP(TableHandbook[[#This Row],[UDC]],TableOUSUCONMN[],7,FALSE),"")</f>
        <v/>
      </c>
      <c r="P59" s="61" t="str">
        <f>IFERROR(VLOOKUP(TableHandbook[[#This Row],[UDC]],TableOSCUANGAD[],7,FALSE),"")</f>
        <v/>
      </c>
      <c r="Q59" s="61" t="str">
        <f>IFERROR(VLOOKUP(TableHandbook[[#This Row],[UDC]],TableOSCUINARS[],7,FALSE),"")</f>
        <v/>
      </c>
      <c r="R59" s="61" t="str">
        <f>IFERROR(VLOOKUP(TableHandbook[[#This Row],[UDC]],TableOSCUPLGEO[],7,FALSE),"")</f>
        <v/>
      </c>
    </row>
    <row r="60" spans="1:18" x14ac:dyDescent="0.25">
      <c r="A60" t="s">
        <v>74</v>
      </c>
      <c r="B60" s="2">
        <v>2</v>
      </c>
      <c r="C60" s="2"/>
      <c r="D60" s="63" t="s">
        <v>73</v>
      </c>
      <c r="E60" s="2">
        <v>200</v>
      </c>
      <c r="F60" s="123"/>
      <c r="G60" s="60" t="str">
        <f>IFERROR(IF(VLOOKUP(TableHandbook[[#This Row],[UDC]],TableAvailabilities[],2,FALSE)&gt;0,"Y",""),"")</f>
        <v/>
      </c>
      <c r="H60" s="60" t="str">
        <f>IFERROR(IF(VLOOKUP(TableHandbook[[#This Row],[UDC]],TableAvailabilities[],3,FALSE)&gt;0,"Y",""),"")</f>
        <v/>
      </c>
      <c r="I60" s="60" t="str">
        <f>IFERROR(IF(VLOOKUP(TableHandbook[[#This Row],[UDC]],TableAvailabilities[],4,FALSE)&gt;0,"Y",""),"")</f>
        <v/>
      </c>
      <c r="J60" s="60" t="str">
        <f>IFERROR(IF(VLOOKUP(TableHandbook[[#This Row],[UDC]],TableAvailabilities[],5,FALSE)&gt;0,"Y",""),"")</f>
        <v/>
      </c>
      <c r="K60" s="63"/>
      <c r="L60" s="61" t="str">
        <f>IFERROR(VLOOKUP(TableHandbook[[#This Row],[UDC]],TableOBCONMN[],7,FALSE),"")</f>
        <v>AltCore</v>
      </c>
      <c r="M60" s="61" t="str">
        <f>IFERROR(VLOOKUP(TableHandbook[[#This Row],[UDC]],TableOUCONMN[],7,FALSE),"")</f>
        <v>AltCore</v>
      </c>
      <c r="N60" s="61" t="str">
        <f>IFERROR(VLOOKUP(TableHandbook[[#This Row],[UDC]],TableOUSHCONMN[],7,FALSE),"")</f>
        <v/>
      </c>
      <c r="O60" s="61" t="str">
        <f>IFERROR(VLOOKUP(TableHandbook[[#This Row],[UDC]],TableOUSUCONMN[],7,FALSE),"")</f>
        <v/>
      </c>
      <c r="P60" s="61" t="str">
        <f>IFERROR(VLOOKUP(TableHandbook[[#This Row],[UDC]],TableOSCUANGAD[],7,FALSE),"")</f>
        <v/>
      </c>
      <c r="Q60" s="61" t="str">
        <f>IFERROR(VLOOKUP(TableHandbook[[#This Row],[UDC]],TableOSCUINARS[],7,FALSE),"")</f>
        <v/>
      </c>
      <c r="R60" s="61" t="str">
        <f>IFERROR(VLOOKUP(TableHandbook[[#This Row],[UDC]],TableOSCUPLGEO[],7,FALSE),"")</f>
        <v/>
      </c>
    </row>
    <row r="61" spans="1:18" x14ac:dyDescent="0.25">
      <c r="A61" t="s">
        <v>70</v>
      </c>
      <c r="B61" s="2">
        <v>2</v>
      </c>
      <c r="C61" s="2"/>
      <c r="D61" s="63" t="s">
        <v>69</v>
      </c>
      <c r="E61" s="2">
        <v>200</v>
      </c>
      <c r="F61" s="123"/>
      <c r="G61" s="60" t="str">
        <f>IFERROR(IF(VLOOKUP(TableHandbook[[#This Row],[UDC]],TableAvailabilities[],2,FALSE)&gt;0,"Y",""),"")</f>
        <v/>
      </c>
      <c r="H61" s="60" t="str">
        <f>IFERROR(IF(VLOOKUP(TableHandbook[[#This Row],[UDC]],TableAvailabilities[],3,FALSE)&gt;0,"Y",""),"")</f>
        <v/>
      </c>
      <c r="I61" s="60" t="str">
        <f>IFERROR(IF(VLOOKUP(TableHandbook[[#This Row],[UDC]],TableAvailabilities[],4,FALSE)&gt;0,"Y",""),"")</f>
        <v/>
      </c>
      <c r="J61" s="60" t="str">
        <f>IFERROR(IF(VLOOKUP(TableHandbook[[#This Row],[UDC]],TableAvailabilities[],5,FALSE)&gt;0,"Y",""),"")</f>
        <v/>
      </c>
      <c r="K61" s="63"/>
      <c r="L61" s="61" t="str">
        <f>IFERROR(VLOOKUP(TableHandbook[[#This Row],[UDC]],TableOBCONMN[],7,FALSE),"")</f>
        <v>AltCore</v>
      </c>
      <c r="M61" s="61" t="str">
        <f>IFERROR(VLOOKUP(TableHandbook[[#This Row],[UDC]],TableOUCONMN[],7,FALSE),"")</f>
        <v>AltCore</v>
      </c>
      <c r="N61" s="61" t="str">
        <f>IFERROR(VLOOKUP(TableHandbook[[#This Row],[UDC]],TableOUSHCONMN[],7,FALSE),"")</f>
        <v/>
      </c>
      <c r="O61" s="61" t="str">
        <f>IFERROR(VLOOKUP(TableHandbook[[#This Row],[UDC]],TableOUSUCONMN[],7,FALSE),"")</f>
        <v/>
      </c>
      <c r="P61" s="61" t="str">
        <f>IFERROR(VLOOKUP(TableHandbook[[#This Row],[UDC]],TableOSCUANGAD[],7,FALSE),"")</f>
        <v/>
      </c>
      <c r="Q61" s="61" t="str">
        <f>IFERROR(VLOOKUP(TableHandbook[[#This Row],[UDC]],TableOSCUINARS[],7,FALSE),"")</f>
        <v/>
      </c>
      <c r="R61" s="61" t="str">
        <f>IFERROR(VLOOKUP(TableHandbook[[#This Row],[UDC]],TableOSCUPLGEO[],7,FALSE),"")</f>
        <v/>
      </c>
    </row>
    <row r="62" spans="1:18" x14ac:dyDescent="0.25">
      <c r="A62" t="s">
        <v>173</v>
      </c>
      <c r="B62" s="2">
        <v>3</v>
      </c>
      <c r="C62" s="2" t="s">
        <v>327</v>
      </c>
      <c r="D62" s="63" t="s">
        <v>328</v>
      </c>
      <c r="E62" s="2">
        <v>25</v>
      </c>
      <c r="F62" s="72" t="s">
        <v>211</v>
      </c>
      <c r="G62" s="60" t="str">
        <f>IFERROR(IF(VLOOKUP(TableHandbook[[#This Row],[UDC]],TableAvailabilities[],2,FALSE)&gt;0,"Y",""),"")</f>
        <v/>
      </c>
      <c r="H62" s="60" t="str">
        <f>IFERROR(IF(VLOOKUP(TableHandbook[[#This Row],[UDC]],TableAvailabilities[],3,FALSE)&gt;0,"Y",""),"")</f>
        <v/>
      </c>
      <c r="I62" s="60" t="str">
        <f>IFERROR(IF(VLOOKUP(TableHandbook[[#This Row],[UDC]],TableAvailabilities[],4,FALSE)&gt;0,"Y",""),"")</f>
        <v>Y</v>
      </c>
      <c r="J62" s="60" t="str">
        <f>IFERROR(IF(VLOOKUP(TableHandbook[[#This Row],[UDC]],TableAvailabilities[],5,FALSE)&gt;0,"Y",""),"")</f>
        <v/>
      </c>
      <c r="K62" s="63"/>
      <c r="L62" s="61" t="str">
        <f>IFERROR(VLOOKUP(TableHandbook[[#This Row],[UDC]],TableOBCONMN[],7,FALSE),"")</f>
        <v/>
      </c>
      <c r="M62" s="61" t="str">
        <f>IFERROR(VLOOKUP(TableHandbook[[#This Row],[UDC]],TableOUCONMN[],7,FALSE),"")</f>
        <v/>
      </c>
      <c r="N62" s="61" t="str">
        <f>IFERROR(VLOOKUP(TableHandbook[[#This Row],[UDC]],TableOUSHCONMN[],7,FALSE),"")</f>
        <v/>
      </c>
      <c r="O62" s="61" t="str">
        <f>IFERROR(VLOOKUP(TableHandbook[[#This Row],[UDC]],TableOUSUCONMN[],7,FALSE),"")</f>
        <v/>
      </c>
      <c r="P62" s="61" t="str">
        <f>IFERROR(VLOOKUP(TableHandbook[[#This Row],[UDC]],TableOSCUANGAD[],7,FALSE),"")</f>
        <v/>
      </c>
      <c r="Q62" s="61" t="str">
        <f>IFERROR(VLOOKUP(TableHandbook[[#This Row],[UDC]],TableOSCUINARS[],7,FALSE),"")</f>
        <v/>
      </c>
      <c r="R62" s="61" t="str">
        <f>IFERROR(VLOOKUP(TableHandbook[[#This Row],[UDC]],TableOSCUPLGEO[],7,FALSE),"")</f>
        <v>Core</v>
      </c>
    </row>
    <row r="63" spans="1:18" x14ac:dyDescent="0.25">
      <c r="A63" t="s">
        <v>121</v>
      </c>
      <c r="C63" s="2"/>
      <c r="D63" s="63" t="s">
        <v>329</v>
      </c>
      <c r="E63" s="2">
        <v>25</v>
      </c>
      <c r="F63" s="123" t="s">
        <v>330</v>
      </c>
      <c r="G63" s="60" t="str">
        <f>IFERROR(IF(VLOOKUP(TableHandbook[[#This Row],[UDC]],TableAvailabilities[],2,FALSE)&gt;0,"Y",""),"")</f>
        <v/>
      </c>
      <c r="H63" s="60" t="str">
        <f>IFERROR(IF(VLOOKUP(TableHandbook[[#This Row],[UDC]],TableAvailabilities[],3,FALSE)&gt;0,"Y",""),"")</f>
        <v/>
      </c>
      <c r="I63" s="60" t="str">
        <f>IFERROR(IF(VLOOKUP(TableHandbook[[#This Row],[UDC]],TableAvailabilities[],4,FALSE)&gt;0,"Y",""),"")</f>
        <v/>
      </c>
      <c r="J63" s="60" t="str">
        <f>IFERROR(IF(VLOOKUP(TableHandbook[[#This Row],[UDC]],TableAvailabilities[],5,FALSE)&gt;0,"Y",""),"")</f>
        <v/>
      </c>
      <c r="K63" s="63"/>
      <c r="L63" s="61" t="str">
        <f>IFERROR(VLOOKUP(TableHandbook[[#This Row],[UDC]],TableOBCONMN[],7,FALSE),"")</f>
        <v/>
      </c>
      <c r="M63" s="61" t="str">
        <f>IFERROR(VLOOKUP(TableHandbook[[#This Row],[UDC]],TableOUCONMN[],7,FALSE),"")</f>
        <v/>
      </c>
      <c r="N63" s="61" t="str">
        <f>IFERROR(VLOOKUP(TableHandbook[[#This Row],[UDC]],TableOUSHCONMN[],7,FALSE),"")</f>
        <v/>
      </c>
      <c r="O63" s="61" t="str">
        <f>IFERROR(VLOOKUP(TableHandbook[[#This Row],[UDC]],TableOUSUCONMN[],7,FALSE),"")</f>
        <v/>
      </c>
      <c r="P63" s="61" t="str">
        <f>IFERROR(VLOOKUP(TableHandbook[[#This Row],[UDC]],TableOSCUANGAD[],7,FALSE),"")</f>
        <v/>
      </c>
      <c r="Q63" s="61" t="str">
        <f>IFERROR(VLOOKUP(TableHandbook[[#This Row],[UDC]],TableOSCUINARS[],7,FALSE),"")</f>
        <v/>
      </c>
      <c r="R63" s="61" t="str">
        <f>IFERROR(VLOOKUP(TableHandbook[[#This Row],[UDC]],TableOSCUPLGEO[],7,FALSE),"")</f>
        <v/>
      </c>
    </row>
    <row r="64" spans="1:18" ht="31.5" x14ac:dyDescent="0.25">
      <c r="A64" t="s">
        <v>331</v>
      </c>
      <c r="B64" s="2">
        <v>0</v>
      </c>
      <c r="C64" s="2"/>
      <c r="D64" s="63" t="s">
        <v>332</v>
      </c>
      <c r="E64" s="2">
        <v>100</v>
      </c>
      <c r="F64" s="123"/>
      <c r="G64" s="60" t="str">
        <f>IFERROR(IF(VLOOKUP(TableHandbook[[#This Row],[UDC]],TableAvailabilities[],2,FALSE)&gt;0,"Y",""),"")</f>
        <v/>
      </c>
      <c r="H64" s="60" t="str">
        <f>IFERROR(IF(VLOOKUP(TableHandbook[[#This Row],[UDC]],TableAvailabilities[],3,FALSE)&gt;0,"Y",""),"")</f>
        <v/>
      </c>
      <c r="I64" s="60" t="str">
        <f>IFERROR(IF(VLOOKUP(TableHandbook[[#This Row],[UDC]],TableAvailabilities[],4,FALSE)&gt;0,"Y",""),"")</f>
        <v/>
      </c>
      <c r="J64" s="60" t="str">
        <f>IFERROR(IF(VLOOKUP(TableHandbook[[#This Row],[UDC]],TableAvailabilities[],5,FALSE)&gt;0,"Y",""),"")</f>
        <v/>
      </c>
      <c r="K64" s="63"/>
      <c r="L64" s="61" t="str">
        <f>IFERROR(VLOOKUP(TableHandbook[[#This Row],[UDC]],TableOBCONMN[],7,FALSE),"")</f>
        <v>Option</v>
      </c>
      <c r="M64" s="61" t="str">
        <f>IFERROR(VLOOKUP(TableHandbook[[#This Row],[UDC]],TableOUCONMN[],7,FALSE),"")</f>
        <v>Option</v>
      </c>
      <c r="N64" s="61" t="str">
        <f>IFERROR(VLOOKUP(TableHandbook[[#This Row],[UDC]],TableOUSHCONMN[],7,FALSE),"")</f>
        <v/>
      </c>
      <c r="O64" s="61" t="str">
        <f>IFERROR(VLOOKUP(TableHandbook[[#This Row],[UDC]],TableOUSUCONMN[],7,FALSE),"")</f>
        <v/>
      </c>
      <c r="P64" s="61" t="str">
        <f>IFERROR(VLOOKUP(TableHandbook[[#This Row],[UDC]],TableOSCUANGAD[],7,FALSE),"")</f>
        <v/>
      </c>
      <c r="Q64" s="61" t="str">
        <f>IFERROR(VLOOKUP(TableHandbook[[#This Row],[UDC]],TableOSCUINARS[],7,FALSE),"")</f>
        <v/>
      </c>
      <c r="R64" s="61" t="str">
        <f>IFERROR(VLOOKUP(TableHandbook[[#This Row],[UDC]],TableOSCUPLGEO[],7,FALSE),"")</f>
        <v/>
      </c>
    </row>
    <row r="65" spans="1:18" x14ac:dyDescent="0.25">
      <c r="A65" t="s">
        <v>165</v>
      </c>
      <c r="B65" s="2">
        <v>1</v>
      </c>
      <c r="C65" s="2" t="s">
        <v>333</v>
      </c>
      <c r="D65" s="63" t="s">
        <v>334</v>
      </c>
      <c r="E65" s="2">
        <v>25</v>
      </c>
      <c r="F65" s="72" t="s">
        <v>211</v>
      </c>
      <c r="G65" s="60" t="str">
        <f>IFERROR(IF(VLOOKUP(TableHandbook[[#This Row],[UDC]],TableAvailabilities[],2,FALSE)&gt;0,"Y",""),"")</f>
        <v>Y</v>
      </c>
      <c r="H65" s="60" t="str">
        <f>IFERROR(IF(VLOOKUP(TableHandbook[[#This Row],[UDC]],TableAvailabilities[],3,FALSE)&gt;0,"Y",""),"")</f>
        <v/>
      </c>
      <c r="I65" s="60" t="str">
        <f>IFERROR(IF(VLOOKUP(TableHandbook[[#This Row],[UDC]],TableAvailabilities[],4,FALSE)&gt;0,"Y",""),"")</f>
        <v>Y</v>
      </c>
      <c r="J65" s="60" t="str">
        <f>IFERROR(IF(VLOOKUP(TableHandbook[[#This Row],[UDC]],TableAvailabilities[],5,FALSE)&gt;0,"Y",""),"")</f>
        <v/>
      </c>
      <c r="K65" s="63"/>
      <c r="L65" s="61" t="str">
        <f>IFERROR(VLOOKUP(TableHandbook[[#This Row],[UDC]],TableOBCONMN[],7,FALSE),"")</f>
        <v/>
      </c>
      <c r="M65" s="61" t="str">
        <f>IFERROR(VLOOKUP(TableHandbook[[#This Row],[UDC]],TableOUCONMN[],7,FALSE),"")</f>
        <v/>
      </c>
      <c r="N65" s="61" t="str">
        <f>IFERROR(VLOOKUP(TableHandbook[[#This Row],[UDC]],TableOUSHCONMN[],7,FALSE),"")</f>
        <v/>
      </c>
      <c r="O65" s="61" t="str">
        <f>IFERROR(VLOOKUP(TableHandbook[[#This Row],[UDC]],TableOUSUCONMN[],7,FALSE),"")</f>
        <v/>
      </c>
      <c r="P65" s="61" t="str">
        <f>IFERROR(VLOOKUP(TableHandbook[[#This Row],[UDC]],TableOSCUANGAD[],7,FALSE),"")</f>
        <v/>
      </c>
      <c r="Q65" s="61" t="str">
        <f>IFERROR(VLOOKUP(TableHandbook[[#This Row],[UDC]],TableOSCUINARS[],7,FALSE),"")</f>
        <v/>
      </c>
      <c r="R65" s="61" t="str">
        <f>IFERROR(VLOOKUP(TableHandbook[[#This Row],[UDC]],TableOSCUPLGEO[],7,FALSE),"")</f>
        <v>Core</v>
      </c>
    </row>
    <row r="66" spans="1:18" x14ac:dyDescent="0.25">
      <c r="A66" t="s">
        <v>169</v>
      </c>
      <c r="B66" s="2">
        <v>1</v>
      </c>
      <c r="C66" s="2" t="s">
        <v>335</v>
      </c>
      <c r="D66" s="63" t="s">
        <v>336</v>
      </c>
      <c r="E66" s="2">
        <v>25</v>
      </c>
      <c r="F66" s="72" t="s">
        <v>211</v>
      </c>
      <c r="G66" s="60" t="str">
        <f>IFERROR(IF(VLOOKUP(TableHandbook[[#This Row],[UDC]],TableAvailabilities[],2,FALSE)&gt;0,"Y",""),"")</f>
        <v/>
      </c>
      <c r="H66" s="60" t="str">
        <f>IFERROR(IF(VLOOKUP(TableHandbook[[#This Row],[UDC]],TableAvailabilities[],3,FALSE)&gt;0,"Y",""),"")</f>
        <v>Y</v>
      </c>
      <c r="I66" s="60" t="str">
        <f>IFERROR(IF(VLOOKUP(TableHandbook[[#This Row],[UDC]],TableAvailabilities[],4,FALSE)&gt;0,"Y",""),"")</f>
        <v/>
      </c>
      <c r="J66" s="60" t="str">
        <f>IFERROR(IF(VLOOKUP(TableHandbook[[#This Row],[UDC]],TableAvailabilities[],5,FALSE)&gt;0,"Y",""),"")</f>
        <v>Y</v>
      </c>
      <c r="K66" s="63"/>
      <c r="L66" s="61" t="str">
        <f>IFERROR(VLOOKUP(TableHandbook[[#This Row],[UDC]],TableOBCONMN[],7,FALSE),"")</f>
        <v/>
      </c>
      <c r="M66" s="61" t="str">
        <f>IFERROR(VLOOKUP(TableHandbook[[#This Row],[UDC]],TableOUCONMN[],7,FALSE),"")</f>
        <v/>
      </c>
      <c r="N66" s="61" t="str">
        <f>IFERROR(VLOOKUP(TableHandbook[[#This Row],[UDC]],TableOUSHCONMN[],7,FALSE),"")</f>
        <v/>
      </c>
      <c r="O66" s="61" t="str">
        <f>IFERROR(VLOOKUP(TableHandbook[[#This Row],[UDC]],TableOUSUCONMN[],7,FALSE),"")</f>
        <v/>
      </c>
      <c r="P66" s="61" t="str">
        <f>IFERROR(VLOOKUP(TableHandbook[[#This Row],[UDC]],TableOSCUANGAD[],7,FALSE),"")</f>
        <v/>
      </c>
      <c r="Q66" s="61" t="str">
        <f>IFERROR(VLOOKUP(TableHandbook[[#This Row],[UDC]],TableOSCUINARS[],7,FALSE),"")</f>
        <v/>
      </c>
      <c r="R66" s="61" t="str">
        <f>IFERROR(VLOOKUP(TableHandbook[[#This Row],[UDC]],TableOSCUPLGEO[],7,FALSE),"")</f>
        <v>Core</v>
      </c>
    </row>
    <row r="67" spans="1:18" x14ac:dyDescent="0.25">
      <c r="A67" t="s">
        <v>131</v>
      </c>
      <c r="B67" s="2">
        <v>1</v>
      </c>
      <c r="C67" s="2" t="s">
        <v>258</v>
      </c>
      <c r="D67" s="63" t="s">
        <v>337</v>
      </c>
      <c r="E67" s="2">
        <v>25</v>
      </c>
      <c r="F67" s="72" t="s">
        <v>249</v>
      </c>
      <c r="G67" s="60" t="str">
        <f>IFERROR(IF(VLOOKUP(TableHandbook[[#This Row],[UDC]],TableAvailabilities[],2,FALSE)&gt;0,"Y",""),"")</f>
        <v/>
      </c>
      <c r="H67" s="60" t="str">
        <f>IFERROR(IF(VLOOKUP(TableHandbook[[#This Row],[UDC]],TableAvailabilities[],3,FALSE)&gt;0,"Y",""),"")</f>
        <v>Y</v>
      </c>
      <c r="I67" s="60" t="str">
        <f>IFERROR(IF(VLOOKUP(TableHandbook[[#This Row],[UDC]],TableAvailabilities[],4,FALSE)&gt;0,"Y",""),"")</f>
        <v/>
      </c>
      <c r="J67" s="60" t="str">
        <f>IFERROR(IF(VLOOKUP(TableHandbook[[#This Row],[UDC]],TableAvailabilities[],5,FALSE)&gt;0,"Y",""),"")</f>
        <v>Y</v>
      </c>
      <c r="K67" s="71"/>
      <c r="L67" s="61" t="str">
        <f>IFERROR(VLOOKUP(TableHandbook[[#This Row],[UDC]],TableOBCONMN[],7,FALSE),"")</f>
        <v>Core</v>
      </c>
      <c r="M67" s="61" t="str">
        <f>IFERROR(VLOOKUP(TableHandbook[[#This Row],[UDC]],TableOUCONMN[],7,FALSE),"")</f>
        <v>Core</v>
      </c>
      <c r="N67" s="61" t="str">
        <f>IFERROR(VLOOKUP(TableHandbook[[#This Row],[UDC]],TableOUSHCONMN[],7,FALSE),"")</f>
        <v/>
      </c>
      <c r="O67" s="61" t="str">
        <f>IFERROR(VLOOKUP(TableHandbook[[#This Row],[UDC]],TableOUSUCONMN[],7,FALSE),"")</f>
        <v/>
      </c>
      <c r="P67" s="61" t="str">
        <f>IFERROR(VLOOKUP(TableHandbook[[#This Row],[UDC]],TableOSCUANGAD[],7,FALSE),"")</f>
        <v/>
      </c>
      <c r="Q67" s="61" t="str">
        <f>IFERROR(VLOOKUP(TableHandbook[[#This Row],[UDC]],TableOSCUINARS[],7,FALSE),"")</f>
        <v/>
      </c>
      <c r="R67" s="61" t="str">
        <f>IFERROR(VLOOKUP(TableHandbook[[#This Row],[UDC]],TableOSCUPLGEO[],7,FALSE),"")</f>
        <v/>
      </c>
    </row>
    <row r="68" spans="1:18" x14ac:dyDescent="0.25">
      <c r="A68" s="38" t="s">
        <v>338</v>
      </c>
      <c r="B68" s="2">
        <v>3</v>
      </c>
      <c r="C68" s="2" t="s">
        <v>339</v>
      </c>
      <c r="D68" s="63" t="s">
        <v>340</v>
      </c>
      <c r="E68" s="2">
        <v>25</v>
      </c>
      <c r="F68" s="123" t="s">
        <v>211</v>
      </c>
      <c r="G68" s="60" t="str">
        <f>IFERROR(IF(VLOOKUP(TableHandbook[[#This Row],[UDC]],TableAvailabilities[],2,FALSE)&gt;0,"Y",""),"")</f>
        <v/>
      </c>
      <c r="H68" s="60" t="str">
        <f>IFERROR(IF(VLOOKUP(TableHandbook[[#This Row],[UDC]],TableAvailabilities[],3,FALSE)&gt;0,"Y",""),"")</f>
        <v/>
      </c>
      <c r="I68" s="60" t="str">
        <f>IFERROR(IF(VLOOKUP(TableHandbook[[#This Row],[UDC]],TableAvailabilities[],4,FALSE)&gt;0,"Y",""),"")</f>
        <v/>
      </c>
      <c r="J68" s="60" t="str">
        <f>IFERROR(IF(VLOOKUP(TableHandbook[[#This Row],[UDC]],TableAvailabilities[],5,FALSE)&gt;0,"Y",""),"")</f>
        <v/>
      </c>
      <c r="K68" s="63" t="s">
        <v>291</v>
      </c>
      <c r="L68" s="61" t="str">
        <f>IFERROR(VLOOKUP(TableHandbook[[#This Row],[UDC]],TableOBCONMN[],7,FALSE),"")</f>
        <v/>
      </c>
      <c r="M68" s="61" t="str">
        <f>IFERROR(VLOOKUP(TableHandbook[[#This Row],[UDC]],TableOUCONMN[],7,FALSE),"")</f>
        <v/>
      </c>
      <c r="N68" s="61" t="str">
        <f>IFERROR(VLOOKUP(TableHandbook[[#This Row],[UDC]],TableOUSHCONMN[],7,FALSE),"")</f>
        <v/>
      </c>
      <c r="O68" s="61" t="str">
        <f>IFERROR(VLOOKUP(TableHandbook[[#This Row],[UDC]],TableOUSUCONMN[],7,FALSE),"")</f>
        <v/>
      </c>
      <c r="P68" s="61" t="str">
        <f>IFERROR(VLOOKUP(TableHandbook[[#This Row],[UDC]],TableOSCUANGAD[],7,FALSE),"")</f>
        <v/>
      </c>
      <c r="Q68" s="61" t="str">
        <f>IFERROR(VLOOKUP(TableHandbook[[#This Row],[UDC]],TableOSCUINARS[],7,FALSE),"")</f>
        <v/>
      </c>
      <c r="R68" s="61" t="str">
        <f>IFERROR(VLOOKUP(TableHandbook[[#This Row],[UDC]],TableOSCUPLGEO[],7,FALSE),"")</f>
        <v/>
      </c>
    </row>
    <row r="69" spans="1:18" x14ac:dyDescent="0.25">
      <c r="A69" t="s">
        <v>341</v>
      </c>
      <c r="B69" s="2">
        <v>3</v>
      </c>
      <c r="C69" s="2" t="s">
        <v>342</v>
      </c>
      <c r="D69" s="63" t="s">
        <v>343</v>
      </c>
      <c r="E69" s="2">
        <v>25</v>
      </c>
      <c r="F69" s="123" t="s">
        <v>344</v>
      </c>
      <c r="G69" s="60" t="str">
        <f>IFERROR(IF(VLOOKUP(TableHandbook[[#This Row],[UDC]],TableAvailabilities[],2,FALSE)&gt;0,"Y",""),"")</f>
        <v/>
      </c>
      <c r="H69" s="60" t="str">
        <f>IFERROR(IF(VLOOKUP(TableHandbook[[#This Row],[UDC]],TableAvailabilities[],3,FALSE)&gt;0,"Y",""),"")</f>
        <v/>
      </c>
      <c r="I69" s="60" t="str">
        <f>IFERROR(IF(VLOOKUP(TableHandbook[[#This Row],[UDC]],TableAvailabilities[],4,FALSE)&gt;0,"Y",""),"")</f>
        <v/>
      </c>
      <c r="J69" s="60" t="str">
        <f>IFERROR(IF(VLOOKUP(TableHandbook[[#This Row],[UDC]],TableAvailabilities[],5,FALSE)&gt;0,"Y",""),"")</f>
        <v/>
      </c>
      <c r="K69" s="63" t="s">
        <v>291</v>
      </c>
      <c r="L69" s="61" t="str">
        <f>IFERROR(VLOOKUP(TableHandbook[[#This Row],[UDC]],TableOBCONMN[],7,FALSE),"")</f>
        <v/>
      </c>
      <c r="M69" s="61" t="str">
        <f>IFERROR(VLOOKUP(TableHandbook[[#This Row],[UDC]],TableOUCONMN[],7,FALSE),"")</f>
        <v/>
      </c>
      <c r="N69" s="61" t="str">
        <f>IFERROR(VLOOKUP(TableHandbook[[#This Row],[UDC]],TableOUSHCONMN[],7,FALSE),"")</f>
        <v/>
      </c>
      <c r="O69" s="61" t="str">
        <f>IFERROR(VLOOKUP(TableHandbook[[#This Row],[UDC]],TableOUSUCONMN[],7,FALSE),"")</f>
        <v/>
      </c>
      <c r="P69" s="61" t="str">
        <f>IFERROR(VLOOKUP(TableHandbook[[#This Row],[UDC]],TableOSCUANGAD[],7,FALSE),"")</f>
        <v/>
      </c>
      <c r="Q69" s="61" t="str">
        <f>IFERROR(VLOOKUP(TableHandbook[[#This Row],[UDC]],TableOSCUINARS[],7,FALSE),"")</f>
        <v/>
      </c>
      <c r="R69" s="61" t="str">
        <f>IFERROR(VLOOKUP(TableHandbook[[#This Row],[UDC]],TableOSCUPLGEO[],7,FALSE),"")</f>
        <v/>
      </c>
    </row>
    <row r="70" spans="1:18" x14ac:dyDescent="0.25">
      <c r="A70" t="s">
        <v>345</v>
      </c>
      <c r="B70" s="2">
        <v>1</v>
      </c>
      <c r="C70" s="2" t="s">
        <v>346</v>
      </c>
      <c r="D70" s="63" t="s">
        <v>347</v>
      </c>
      <c r="E70" s="2">
        <v>25</v>
      </c>
      <c r="F70" s="123" t="s">
        <v>344</v>
      </c>
      <c r="G70" s="60" t="str">
        <f>IFERROR(IF(VLOOKUP(TableHandbook[[#This Row],[UDC]],TableAvailabilities[],2,FALSE)&gt;0,"Y",""),"")</f>
        <v/>
      </c>
      <c r="H70" s="60" t="str">
        <f>IFERROR(IF(VLOOKUP(TableHandbook[[#This Row],[UDC]],TableAvailabilities[],3,FALSE)&gt;0,"Y",""),"")</f>
        <v/>
      </c>
      <c r="I70" s="60" t="str">
        <f>IFERROR(IF(VLOOKUP(TableHandbook[[#This Row],[UDC]],TableAvailabilities[],4,FALSE)&gt;0,"Y",""),"")</f>
        <v/>
      </c>
      <c r="J70" s="60" t="str">
        <f>IFERROR(IF(VLOOKUP(TableHandbook[[#This Row],[UDC]],TableAvailabilities[],5,FALSE)&gt;0,"Y",""),"")</f>
        <v/>
      </c>
      <c r="K70" s="63" t="s">
        <v>291</v>
      </c>
      <c r="L70" s="61" t="str">
        <f>IFERROR(VLOOKUP(TableHandbook[[#This Row],[UDC]],TableOBCONMN[],7,FALSE),"")</f>
        <v/>
      </c>
      <c r="M70" s="61" t="str">
        <f>IFERROR(VLOOKUP(TableHandbook[[#This Row],[UDC]],TableOUCONMN[],7,FALSE),"")</f>
        <v/>
      </c>
      <c r="N70" s="61" t="str">
        <f>IFERROR(VLOOKUP(TableHandbook[[#This Row],[UDC]],TableOUSHCONMN[],7,FALSE),"")</f>
        <v/>
      </c>
      <c r="O70" s="61" t="str">
        <f>IFERROR(VLOOKUP(TableHandbook[[#This Row],[UDC]],TableOUSUCONMN[],7,FALSE),"")</f>
        <v/>
      </c>
      <c r="P70" s="61" t="str">
        <f>IFERROR(VLOOKUP(TableHandbook[[#This Row],[UDC]],TableOSCUANGAD[],7,FALSE),"")</f>
        <v/>
      </c>
      <c r="Q70" s="61" t="str">
        <f>IFERROR(VLOOKUP(TableHandbook[[#This Row],[UDC]],TableOSCUINARS[],7,FALSE),"")</f>
        <v/>
      </c>
      <c r="R70" s="61" t="str">
        <f>IFERROR(VLOOKUP(TableHandbook[[#This Row],[UDC]],TableOSCUPLGEO[],7,FALSE),"")</f>
        <v/>
      </c>
    </row>
    <row r="71" spans="1:18" x14ac:dyDescent="0.25">
      <c r="A71" t="s">
        <v>185</v>
      </c>
      <c r="B71" s="2">
        <v>1</v>
      </c>
      <c r="C71" s="2" t="s">
        <v>348</v>
      </c>
      <c r="D71" s="63" t="s">
        <v>349</v>
      </c>
      <c r="E71" s="2">
        <v>25</v>
      </c>
      <c r="F71" s="72" t="s">
        <v>344</v>
      </c>
      <c r="G71" s="60" t="str">
        <f>IFERROR(IF(VLOOKUP(TableHandbook[[#This Row],[UDC]],TableAvailabilities[],2,FALSE)&gt;0,"Y",""),"")</f>
        <v/>
      </c>
      <c r="H71" s="60" t="str">
        <f>IFERROR(IF(VLOOKUP(TableHandbook[[#This Row],[UDC]],TableAvailabilities[],3,FALSE)&gt;0,"Y",""),"")</f>
        <v/>
      </c>
      <c r="I71" s="60" t="str">
        <f>IFERROR(IF(VLOOKUP(TableHandbook[[#This Row],[UDC]],TableAvailabilities[],4,FALSE)&gt;0,"Y",""),"")</f>
        <v/>
      </c>
      <c r="J71" s="60" t="str">
        <f>IFERROR(IF(VLOOKUP(TableHandbook[[#This Row],[UDC]],TableAvailabilities[],5,FALSE)&gt;0,"Y",""),"")</f>
        <v/>
      </c>
      <c r="K71" s="63"/>
      <c r="L71" s="61" t="str">
        <f>IFERROR(VLOOKUP(TableHandbook[[#This Row],[UDC]],TableOBCONMN[],7,FALSE),"")</f>
        <v/>
      </c>
      <c r="M71" s="61" t="str">
        <f>IFERROR(VLOOKUP(TableHandbook[[#This Row],[UDC]],TableOUCONMN[],7,FALSE),"")</f>
        <v/>
      </c>
      <c r="N71" s="61" t="str">
        <f>IFERROR(VLOOKUP(TableHandbook[[#This Row],[UDC]],TableOUSHCONMN[],7,FALSE),"")</f>
        <v/>
      </c>
      <c r="O71" s="61" t="str">
        <f>IFERROR(VLOOKUP(TableHandbook[[#This Row],[UDC]],TableOUSUCONMN[],7,FALSE),"")</f>
        <v/>
      </c>
      <c r="P71" s="61" t="str">
        <f>IFERROR(VLOOKUP(TableHandbook[[#This Row],[UDC]],TableOSCUANGAD[],7,FALSE),"")</f>
        <v>AltCore</v>
      </c>
      <c r="Q71" s="61" t="str">
        <f>IFERROR(VLOOKUP(TableHandbook[[#This Row],[UDC]],TableOSCUINARS[],7,FALSE),"")</f>
        <v>Option</v>
      </c>
      <c r="R71" s="61" t="str">
        <f>IFERROR(VLOOKUP(TableHandbook[[#This Row],[UDC]],TableOSCUPLGEO[],7,FALSE),"")</f>
        <v>AltCore</v>
      </c>
    </row>
    <row r="72" spans="1:18" x14ac:dyDescent="0.25">
      <c r="A72" s="38" t="s">
        <v>194</v>
      </c>
      <c r="B72" s="2">
        <v>1</v>
      </c>
      <c r="C72" s="2" t="s">
        <v>194</v>
      </c>
      <c r="D72" s="63" t="s">
        <v>350</v>
      </c>
      <c r="E72" s="2">
        <v>25</v>
      </c>
      <c r="F72" s="72" t="s">
        <v>344</v>
      </c>
      <c r="G72" s="60" t="str">
        <f>IFERROR(IF(VLOOKUP(TableHandbook[[#This Row],[UDC]],TableAvailabilities[],2,FALSE)&gt;0,"Y",""),"")</f>
        <v/>
      </c>
      <c r="H72" s="60" t="str">
        <f>IFERROR(IF(VLOOKUP(TableHandbook[[#This Row],[UDC]],TableAvailabilities[],3,FALSE)&gt;0,"Y",""),"")</f>
        <v/>
      </c>
      <c r="I72" s="60" t="str">
        <f>IFERROR(IF(VLOOKUP(TableHandbook[[#This Row],[UDC]],TableAvailabilities[],4,FALSE)&gt;0,"Y",""),"")</f>
        <v/>
      </c>
      <c r="J72" s="60" t="str">
        <f>IFERROR(IF(VLOOKUP(TableHandbook[[#This Row],[UDC]],TableAvailabilities[],5,FALSE)&gt;0,"Y",""),"")</f>
        <v/>
      </c>
      <c r="K72" s="124" t="s">
        <v>351</v>
      </c>
      <c r="L72" s="61" t="str">
        <f>IFERROR(VLOOKUP(TableHandbook[[#This Row],[UDC]],TableOBCONMN[],7,FALSE),"")</f>
        <v/>
      </c>
      <c r="M72" s="61" t="str">
        <f>IFERROR(VLOOKUP(TableHandbook[[#This Row],[UDC]],TableOUCONMN[],7,FALSE),"")</f>
        <v/>
      </c>
      <c r="N72" s="61" t="str">
        <f>IFERROR(VLOOKUP(TableHandbook[[#This Row],[UDC]],TableOUSHCONMN[],7,FALSE),"")</f>
        <v/>
      </c>
      <c r="O72" s="61" t="str">
        <f>IFERROR(VLOOKUP(TableHandbook[[#This Row],[UDC]],TableOUSUCONMN[],7,FALSE),"")</f>
        <v/>
      </c>
      <c r="P72" s="61" t="str">
        <f>IFERROR(VLOOKUP(TableHandbook[[#This Row],[UDC]],TableOSCUANGAD[],7,FALSE),"")</f>
        <v/>
      </c>
      <c r="Q72" s="61" t="str">
        <f>IFERROR(VLOOKUP(TableHandbook[[#This Row],[UDC]],TableOSCUINARS[],7,FALSE),"")</f>
        <v>Option</v>
      </c>
      <c r="R72" s="61" t="str">
        <f>IFERROR(VLOOKUP(TableHandbook[[#This Row],[UDC]],TableOSCUPLGEO[],7,FALSE),"")</f>
        <v/>
      </c>
    </row>
    <row r="73" spans="1:18" x14ac:dyDescent="0.25">
      <c r="A73" t="s">
        <v>352</v>
      </c>
      <c r="B73" s="2">
        <v>1</v>
      </c>
      <c r="C73" s="2" t="s">
        <v>353</v>
      </c>
      <c r="D73" s="63" t="s">
        <v>350</v>
      </c>
      <c r="E73" s="2">
        <v>25</v>
      </c>
      <c r="F73" s="123" t="s">
        <v>344</v>
      </c>
      <c r="G73" s="60" t="str">
        <f>IFERROR(IF(VLOOKUP(TableHandbook[[#This Row],[UDC]],TableAvailabilities[],2,FALSE)&gt;0,"Y",""),"")</f>
        <v/>
      </c>
      <c r="H73" s="60" t="str">
        <f>IFERROR(IF(VLOOKUP(TableHandbook[[#This Row],[UDC]],TableAvailabilities[],3,FALSE)&gt;0,"Y",""),"")</f>
        <v/>
      </c>
      <c r="I73" s="60" t="str">
        <f>IFERROR(IF(VLOOKUP(TableHandbook[[#This Row],[UDC]],TableAvailabilities[],4,FALSE)&gt;0,"Y",""),"")</f>
        <v/>
      </c>
      <c r="J73" s="60" t="str">
        <f>IFERROR(IF(VLOOKUP(TableHandbook[[#This Row],[UDC]],TableAvailabilities[],5,FALSE)&gt;0,"Y",""),"")</f>
        <v/>
      </c>
      <c r="K73" s="63" t="s">
        <v>291</v>
      </c>
      <c r="L73" s="61" t="str">
        <f>IFERROR(VLOOKUP(TableHandbook[[#This Row],[UDC]],TableOBCONMN[],7,FALSE),"")</f>
        <v/>
      </c>
      <c r="M73" s="61" t="str">
        <f>IFERROR(VLOOKUP(TableHandbook[[#This Row],[UDC]],TableOUCONMN[],7,FALSE),"")</f>
        <v/>
      </c>
      <c r="N73" s="61" t="str">
        <f>IFERROR(VLOOKUP(TableHandbook[[#This Row],[UDC]],TableOUSHCONMN[],7,FALSE),"")</f>
        <v/>
      </c>
      <c r="O73" s="61" t="str">
        <f>IFERROR(VLOOKUP(TableHandbook[[#This Row],[UDC]],TableOUSUCONMN[],7,FALSE),"")</f>
        <v/>
      </c>
      <c r="P73" s="61" t="str">
        <f>IFERROR(VLOOKUP(TableHandbook[[#This Row],[UDC]],TableOSCUANGAD[],7,FALSE),"")</f>
        <v/>
      </c>
      <c r="Q73" s="61" t="str">
        <f>IFERROR(VLOOKUP(TableHandbook[[#This Row],[UDC]],TableOSCUINARS[],7,FALSE),"")</f>
        <v/>
      </c>
      <c r="R73" s="61" t="str">
        <f>IFERROR(VLOOKUP(TableHandbook[[#This Row],[UDC]],TableOSCUPLGEO[],7,FALSE),"")</f>
        <v/>
      </c>
    </row>
  </sheetData>
  <sortState xmlns:xlrd2="http://schemas.microsoft.com/office/spreadsheetml/2017/richdata2" ref="A23:D34">
    <sortCondition ref="A23"/>
  </sortState>
  <conditionalFormatting sqref="A3:A73">
    <cfRule type="duplicateValues" dxfId="20" priority="49"/>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7"/>
  <sheetViews>
    <sheetView zoomScale="70" zoomScaleNormal="70" workbookViewId="0">
      <selection activeCell="B35" sqref="B35"/>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6" max="16" width="10.125" bestFit="1" customWidth="1"/>
    <col min="17" max="17" width="14.75" customWidth="1"/>
    <col min="18" max="18" width="11.5" bestFit="1" customWidth="1"/>
    <col min="19" max="19" width="10.125" bestFit="1" customWidth="1"/>
    <col min="21" max="21" width="22.875" customWidth="1"/>
  </cols>
  <sheetData>
    <row r="1" spans="1:18" x14ac:dyDescent="0.25">
      <c r="B1"/>
      <c r="E1"/>
      <c r="F1" s="26"/>
      <c r="G1" s="104" t="s">
        <v>354</v>
      </c>
      <c r="H1" s="109">
        <v>46037</v>
      </c>
      <c r="I1" s="102"/>
      <c r="J1" s="102" t="s">
        <v>51</v>
      </c>
      <c r="K1" s="113">
        <v>3</v>
      </c>
      <c r="L1" s="102" t="s">
        <v>14</v>
      </c>
      <c r="M1" s="102"/>
      <c r="N1" s="112">
        <v>46023</v>
      </c>
      <c r="O1" s="105"/>
      <c r="P1" s="69">
        <v>45658</v>
      </c>
    </row>
    <row r="2" spans="1:18" x14ac:dyDescent="0.25">
      <c r="A2" t="s">
        <v>0</v>
      </c>
      <c r="B2" s="2" t="s">
        <v>355</v>
      </c>
      <c r="C2" t="s">
        <v>26</v>
      </c>
      <c r="D2" t="s">
        <v>3</v>
      </c>
      <c r="E2" s="28" t="s">
        <v>356</v>
      </c>
      <c r="F2" t="s">
        <v>357</v>
      </c>
      <c r="G2" t="s">
        <v>358</v>
      </c>
      <c r="H2" s="2" t="s">
        <v>359</v>
      </c>
      <c r="I2" t="s">
        <v>4</v>
      </c>
      <c r="J2" t="s">
        <v>360</v>
      </c>
      <c r="K2" t="s">
        <v>1</v>
      </c>
      <c r="L2" t="s">
        <v>361</v>
      </c>
      <c r="M2" t="s">
        <v>48</v>
      </c>
      <c r="N2" t="s">
        <v>362</v>
      </c>
      <c r="O2" t="s">
        <v>363</v>
      </c>
      <c r="Q2" t="s">
        <v>364</v>
      </c>
      <c r="R2" t="s">
        <v>365</v>
      </c>
    </row>
    <row r="3" spans="1:18" x14ac:dyDescent="0.25">
      <c r="A3" t="str">
        <f>TableOBCONMN[[#This Row],[Study Package Code]]</f>
        <v>ENST1002</v>
      </c>
      <c r="B3" s="2">
        <f>TableOBCONMN[[#This Row],[Ver]]</f>
        <v>1</v>
      </c>
      <c r="C3" t="str">
        <f>IF(TableOBCONMN[[#This Row],[Ver]]&gt;0,_xlfn.TEXTBEFORE(TableOBCONMN[[#This Row],[Structure Line]]," "),"")</f>
        <v>ENST1002</v>
      </c>
      <c r="D3" t="str">
        <f>IF(TableOBCONMN[[#This Row],[OUA Code]]&lt;&gt;"",_xlfn.TEXTAFTER(TableOBCONMN[[#This Row],[Structure Line]]," "),TableOBCONMN[[#This Row],[Structure Line]])</f>
        <v>Sustainability Communication and Action</v>
      </c>
      <c r="E3" s="28">
        <f>TableOBCONMN[[#This Row],[Credit Points]]</f>
        <v>25</v>
      </c>
      <c r="F3">
        <v>1</v>
      </c>
      <c r="G3" t="s">
        <v>366</v>
      </c>
      <c r="H3" s="2">
        <v>1</v>
      </c>
      <c r="I3" t="s">
        <v>367</v>
      </c>
      <c r="J3" t="s">
        <v>101</v>
      </c>
      <c r="K3" s="38">
        <v>1</v>
      </c>
      <c r="L3" s="38" t="s">
        <v>368</v>
      </c>
      <c r="M3" s="38">
        <v>25</v>
      </c>
      <c r="N3" s="58">
        <v>46023</v>
      </c>
      <c r="O3" s="58"/>
      <c r="Q3" t="s">
        <v>369</v>
      </c>
      <c r="R3">
        <v>1</v>
      </c>
    </row>
    <row r="4" spans="1:18" x14ac:dyDescent="0.25">
      <c r="A4" t="str">
        <f>TableOBCONMN[[#This Row],[Study Package Code]]</f>
        <v>ARCH1021</v>
      </c>
      <c r="B4" s="2">
        <f>TableOBCONMN[[#This Row],[Ver]]</f>
        <v>3</v>
      </c>
      <c r="C4" t="str">
        <f>IF(TableOBCONMN[[#This Row],[Ver]]&gt;0,_xlfn.TEXTBEFORE(TableOBCONMN[[#This Row],[Structure Line]]," "),"")</f>
        <v>BAS145</v>
      </c>
      <c r="D4" t="str">
        <f>IF(TableOBCONMN[[#This Row],[OUA Code]]&lt;&gt;"",_xlfn.TEXTAFTER(TableOBCONMN[[#This Row],[Structure Line]]," "),TableOBCONMN[[#This Row],[Structure Line]])</f>
        <v>Architecture and Interior Architecture Methods 1B - Digital Literacy</v>
      </c>
      <c r="E4" s="28">
        <f>TableOBCONMN[[#This Row],[Credit Points]]</f>
        <v>25</v>
      </c>
      <c r="F4">
        <v>2</v>
      </c>
      <c r="G4" t="s">
        <v>366</v>
      </c>
      <c r="H4" s="2">
        <v>1</v>
      </c>
      <c r="I4" t="s">
        <v>367</v>
      </c>
      <c r="J4" t="s">
        <v>109</v>
      </c>
      <c r="K4" s="38">
        <v>3</v>
      </c>
      <c r="L4" s="38" t="s">
        <v>370</v>
      </c>
      <c r="M4" s="38">
        <v>25</v>
      </c>
      <c r="N4" s="58">
        <v>44562</v>
      </c>
      <c r="O4" s="58"/>
      <c r="Q4" t="s">
        <v>109</v>
      </c>
      <c r="R4">
        <v>3</v>
      </c>
    </row>
    <row r="5" spans="1:18" x14ac:dyDescent="0.25">
      <c r="A5" t="str">
        <f>TableOBCONMN[[#This Row],[Study Package Code]]</f>
        <v>BLDG1005</v>
      </c>
      <c r="B5" s="2">
        <f>TableOBCONMN[[#This Row],[Ver]]</f>
        <v>2</v>
      </c>
      <c r="C5" t="str">
        <f>IF(TableOBCONMN[[#This Row],[Ver]]&gt;0,_xlfn.TEXTBEFORE(TableOBCONMN[[#This Row],[Structure Line]]," "),"")</f>
        <v>CME101</v>
      </c>
      <c r="D5" t="str">
        <f>IF(TableOBCONMN[[#This Row],[OUA Code]]&lt;&gt;"",_xlfn.TEXTAFTER(TableOBCONMN[[#This Row],[Structure Line]]," "),TableOBCONMN[[#This Row],[Structure Line]])</f>
        <v>Low Rise Construction</v>
      </c>
      <c r="E5" s="28">
        <f>TableOBCONMN[[#This Row],[Credit Points]]</f>
        <v>25</v>
      </c>
      <c r="F5">
        <v>3</v>
      </c>
      <c r="G5" t="s">
        <v>366</v>
      </c>
      <c r="H5" s="2">
        <v>1</v>
      </c>
      <c r="I5" t="s">
        <v>367</v>
      </c>
      <c r="J5" t="s">
        <v>106</v>
      </c>
      <c r="K5" s="38">
        <v>2</v>
      </c>
      <c r="L5" s="38" t="s">
        <v>371</v>
      </c>
      <c r="M5" s="38">
        <v>25</v>
      </c>
      <c r="N5" s="58">
        <v>43466</v>
      </c>
      <c r="O5" s="58"/>
      <c r="Q5" t="s">
        <v>106</v>
      </c>
      <c r="R5">
        <v>2</v>
      </c>
    </row>
    <row r="6" spans="1:18" x14ac:dyDescent="0.25">
      <c r="A6" t="str">
        <f>TableOBCONMN[[#This Row],[Study Package Code]]</f>
        <v>BLDG1009</v>
      </c>
      <c r="B6" s="2">
        <f>TableOBCONMN[[#This Row],[Ver]]</f>
        <v>3</v>
      </c>
      <c r="C6" t="str">
        <f>IF(TableOBCONMN[[#This Row],[Ver]]&gt;0,_xlfn.TEXTBEFORE(TableOBCONMN[[#This Row],[Structure Line]]," "),"")</f>
        <v>CME103</v>
      </c>
      <c r="D6" t="str">
        <f>IF(TableOBCONMN[[#This Row],[OUA Code]]&lt;&gt;"",_xlfn.TEXTAFTER(TableOBCONMN[[#This Row],[Structure Line]]," "),TableOBCONMN[[#This Row],[Structure Line]])</f>
        <v>Introduction to Management in Construction</v>
      </c>
      <c r="E6" s="28">
        <f>TableOBCONMN[[#This Row],[Credit Points]]</f>
        <v>25</v>
      </c>
      <c r="F6" s="38">
        <v>4</v>
      </c>
      <c r="G6" s="38" t="s">
        <v>366</v>
      </c>
      <c r="H6" s="110">
        <v>1</v>
      </c>
      <c r="I6" s="38" t="s">
        <v>367</v>
      </c>
      <c r="J6" s="38" t="s">
        <v>107</v>
      </c>
      <c r="K6" s="38">
        <v>3</v>
      </c>
      <c r="L6" s="38" t="s">
        <v>372</v>
      </c>
      <c r="M6" s="38">
        <v>25</v>
      </c>
      <c r="N6" s="58">
        <v>44927</v>
      </c>
      <c r="O6" s="58"/>
      <c r="Q6" t="s">
        <v>107</v>
      </c>
      <c r="R6">
        <v>3</v>
      </c>
    </row>
    <row r="7" spans="1:18" x14ac:dyDescent="0.25">
      <c r="A7" t="str">
        <f>TableOBCONMN[[#This Row],[Study Package Code]]</f>
        <v>BLDG1008</v>
      </c>
      <c r="B7" s="2">
        <f>TableOBCONMN[[#This Row],[Ver]]</f>
        <v>1</v>
      </c>
      <c r="C7" t="str">
        <f>IF(TableOBCONMN[[#This Row],[Ver]]&gt;0,_xlfn.TEXTBEFORE(TableOBCONMN[[#This Row],[Structure Line]]," "),"")</f>
        <v>CME104</v>
      </c>
      <c r="D7" t="str">
        <f>IF(TableOBCONMN[[#This Row],[OUA Code]]&lt;&gt;"",_xlfn.TEXTAFTER(TableOBCONMN[[#This Row],[Structure Line]]," "),TableOBCONMN[[#This Row],[Structure Line]])</f>
        <v>Structures</v>
      </c>
      <c r="E7" s="28">
        <f>TableOBCONMN[[#This Row],[Credit Points]]</f>
        <v>25</v>
      </c>
      <c r="F7">
        <v>5</v>
      </c>
      <c r="G7" t="s">
        <v>366</v>
      </c>
      <c r="H7" s="2">
        <v>1</v>
      </c>
      <c r="I7" t="s">
        <v>367</v>
      </c>
      <c r="J7" t="s">
        <v>103</v>
      </c>
      <c r="K7" s="38">
        <v>1</v>
      </c>
      <c r="L7" s="38" t="s">
        <v>373</v>
      </c>
      <c r="M7" s="38">
        <v>25</v>
      </c>
      <c r="N7" s="58">
        <v>42005</v>
      </c>
      <c r="O7" s="58"/>
      <c r="Q7" t="s">
        <v>103</v>
      </c>
      <c r="R7">
        <v>1</v>
      </c>
    </row>
    <row r="8" spans="1:18" x14ac:dyDescent="0.25">
      <c r="A8" t="str">
        <f>TableOBCONMN[[#This Row],[Study Package Code]]</f>
        <v>BLDG1006</v>
      </c>
      <c r="B8" s="2">
        <f>TableOBCONMN[[#This Row],[Ver]]</f>
        <v>3</v>
      </c>
      <c r="C8" t="str">
        <f>IF(TableOBCONMN[[#This Row],[Ver]]&gt;0,_xlfn.TEXTBEFORE(TableOBCONMN[[#This Row],[Structure Line]]," "),"")</f>
        <v>CME106</v>
      </c>
      <c r="D8" t="str">
        <f>IF(TableOBCONMN[[#This Row],[OUA Code]]&lt;&gt;"",_xlfn.TEXTAFTER(TableOBCONMN[[#This Row],[Structure Line]]," "),TableOBCONMN[[#This Row],[Structure Line]])</f>
        <v>High-rise Construction</v>
      </c>
      <c r="E8" s="28">
        <f>TableOBCONMN[[#This Row],[Credit Points]]</f>
        <v>25</v>
      </c>
      <c r="F8" s="38">
        <v>6</v>
      </c>
      <c r="G8" s="38" t="s">
        <v>366</v>
      </c>
      <c r="H8" s="110">
        <v>1</v>
      </c>
      <c r="I8" s="38" t="s">
        <v>367</v>
      </c>
      <c r="J8" s="38" t="s">
        <v>110</v>
      </c>
      <c r="K8" s="38">
        <v>3</v>
      </c>
      <c r="L8" s="38" t="s">
        <v>374</v>
      </c>
      <c r="M8" s="38">
        <v>25</v>
      </c>
      <c r="N8" s="58">
        <v>44927</v>
      </c>
      <c r="O8" s="58"/>
      <c r="Q8" t="s">
        <v>110</v>
      </c>
      <c r="R8">
        <v>3</v>
      </c>
    </row>
    <row r="9" spans="1:18" x14ac:dyDescent="0.25">
      <c r="A9" t="str">
        <f>TableOBCONMN[[#This Row],[Study Package Code]]</f>
        <v>BLDG1017</v>
      </c>
      <c r="B9" s="2">
        <f>TableOBCONMN[[#This Row],[Ver]]</f>
        <v>1</v>
      </c>
      <c r="C9" t="str">
        <f>IF(TableOBCONMN[[#This Row],[Ver]]&gt;0,_xlfn.TEXTBEFORE(TableOBCONMN[[#This Row],[Structure Line]]," "),"")</f>
        <v>CME180</v>
      </c>
      <c r="D9" t="str">
        <f>IF(TableOBCONMN[[#This Row],[OUA Code]]&lt;&gt;"",_xlfn.TEXTAFTER(TableOBCONMN[[#This Row],[Structure Line]]," "),TableOBCONMN[[#This Row],[Structure Line]])</f>
        <v>Building Construction Measurement</v>
      </c>
      <c r="E9" s="28">
        <f>TableOBCONMN[[#This Row],[Credit Points]]</f>
        <v>25</v>
      </c>
      <c r="F9">
        <v>7</v>
      </c>
      <c r="G9" t="s">
        <v>366</v>
      </c>
      <c r="H9" s="2">
        <v>1</v>
      </c>
      <c r="I9" t="s">
        <v>367</v>
      </c>
      <c r="J9" t="s">
        <v>108</v>
      </c>
      <c r="K9" s="38">
        <v>1</v>
      </c>
      <c r="L9" s="38" t="s">
        <v>375</v>
      </c>
      <c r="M9" s="38">
        <v>25</v>
      </c>
      <c r="N9" s="58">
        <v>44927</v>
      </c>
      <c r="O9" s="58"/>
      <c r="Q9" t="s">
        <v>108</v>
      </c>
      <c r="R9">
        <v>1</v>
      </c>
    </row>
    <row r="10" spans="1:18" x14ac:dyDescent="0.25">
      <c r="A10" t="str">
        <f>TableOBCONMN[[#This Row],[Study Package Code]]</f>
        <v>BLDG1019</v>
      </c>
      <c r="B10" s="2">
        <f>TableOBCONMN[[#This Row],[Ver]]</f>
        <v>1</v>
      </c>
      <c r="C10" t="str">
        <f>IF(TableOBCONMN[[#This Row],[Ver]]&gt;0,_xlfn.TEXTBEFORE(TableOBCONMN[[#This Row],[Structure Line]]," "),"")</f>
        <v>CME190</v>
      </c>
      <c r="D10" t="str">
        <f>IF(TableOBCONMN[[#This Row],[OUA Code]]&lt;&gt;"",_xlfn.TEXTAFTER(TableOBCONMN[[#This Row],[Structure Line]]," "),TableOBCONMN[[#This Row],[Structure Line]])</f>
        <v>Health, Safety and Quality in the Built Environment</v>
      </c>
      <c r="E10" s="28">
        <f>TableOBCONMN[[#This Row],[Credit Points]]</f>
        <v>25</v>
      </c>
      <c r="F10">
        <v>8</v>
      </c>
      <c r="G10" t="s">
        <v>366</v>
      </c>
      <c r="H10" s="2">
        <v>1</v>
      </c>
      <c r="I10" t="s">
        <v>367</v>
      </c>
      <c r="J10" t="s">
        <v>111</v>
      </c>
      <c r="K10" s="38">
        <v>1</v>
      </c>
      <c r="L10" s="38" t="s">
        <v>376</v>
      </c>
      <c r="M10" s="38">
        <v>25</v>
      </c>
      <c r="N10" s="58">
        <v>44927</v>
      </c>
      <c r="O10" s="58"/>
      <c r="Q10" t="s">
        <v>111</v>
      </c>
      <c r="R10">
        <v>1</v>
      </c>
    </row>
    <row r="11" spans="1:18" x14ac:dyDescent="0.25">
      <c r="A11" t="str">
        <f>TableOBCONMN[[#This Row],[Study Package Code]]</f>
        <v>BLDG2026</v>
      </c>
      <c r="B11" s="2">
        <f>TableOBCONMN[[#This Row],[Ver]]</f>
        <v>1</v>
      </c>
      <c r="C11" t="str">
        <f>IF(TableOBCONMN[[#This Row],[Ver]]&gt;0,_xlfn.TEXTBEFORE(TableOBCONMN[[#This Row],[Structure Line]]," "),"")</f>
        <v>CME202</v>
      </c>
      <c r="D11" t="str">
        <f>IF(TableOBCONMN[[#This Row],[OUA Code]]&lt;&gt;"",_xlfn.TEXTAFTER(TableOBCONMN[[#This Row],[Structure Line]]," "),TableOBCONMN[[#This Row],[Structure Line]])</f>
        <v>Construction Plant and Equipment</v>
      </c>
      <c r="E11" s="28">
        <f>TableOBCONMN[[#This Row],[Credit Points]]</f>
        <v>25</v>
      </c>
      <c r="F11">
        <v>9</v>
      </c>
      <c r="G11" t="s">
        <v>366</v>
      </c>
      <c r="H11" s="2">
        <v>2</v>
      </c>
      <c r="I11" t="s">
        <v>367</v>
      </c>
      <c r="J11" t="s">
        <v>114</v>
      </c>
      <c r="K11" s="38">
        <v>1</v>
      </c>
      <c r="L11" s="38" t="s">
        <v>377</v>
      </c>
      <c r="M11" s="38">
        <v>25</v>
      </c>
      <c r="N11" s="58">
        <v>42005</v>
      </c>
      <c r="O11" s="58"/>
      <c r="Q11" t="s">
        <v>114</v>
      </c>
      <c r="R11">
        <v>1</v>
      </c>
    </row>
    <row r="12" spans="1:18" x14ac:dyDescent="0.25">
      <c r="A12" t="str">
        <f>TableOBCONMN[[#This Row],[Study Package Code]]</f>
        <v>BLDG2021</v>
      </c>
      <c r="B12" s="2">
        <f>TableOBCONMN[[#This Row],[Ver]]</f>
        <v>1</v>
      </c>
      <c r="C12" t="str">
        <f>IF(TableOBCONMN[[#This Row],[Ver]]&gt;0,_xlfn.TEXTBEFORE(TableOBCONMN[[#This Row],[Structure Line]]," "),"")</f>
        <v>CME203</v>
      </c>
      <c r="D12" t="str">
        <f>IF(TableOBCONMN[[#This Row],[OUA Code]]&lt;&gt;"",_xlfn.TEXTAFTER(TableOBCONMN[[#This Row],[Structure Line]]," "),TableOBCONMN[[#This Row],[Structure Line]])</f>
        <v>Specialised Construction</v>
      </c>
      <c r="E12" s="28">
        <f>TableOBCONMN[[#This Row],[Credit Points]]</f>
        <v>25</v>
      </c>
      <c r="F12">
        <v>10</v>
      </c>
      <c r="G12" t="s">
        <v>366</v>
      </c>
      <c r="H12" s="2">
        <v>2</v>
      </c>
      <c r="I12" t="s">
        <v>367</v>
      </c>
      <c r="J12" t="s">
        <v>112</v>
      </c>
      <c r="K12" s="38">
        <v>1</v>
      </c>
      <c r="L12" s="38" t="s">
        <v>378</v>
      </c>
      <c r="M12" s="38">
        <v>25</v>
      </c>
      <c r="N12" s="58">
        <v>42005</v>
      </c>
      <c r="O12" s="58"/>
      <c r="Q12" t="s">
        <v>112</v>
      </c>
      <c r="R12">
        <v>1</v>
      </c>
    </row>
    <row r="13" spans="1:18" x14ac:dyDescent="0.25">
      <c r="A13" t="str">
        <f>TableOBCONMN[[#This Row],[Study Package Code]]</f>
        <v>BLDG2016</v>
      </c>
      <c r="B13" s="2">
        <f>TableOBCONMN[[#This Row],[Ver]]</f>
        <v>1</v>
      </c>
      <c r="C13" t="str">
        <f>IF(TableOBCONMN[[#This Row],[Ver]]&gt;0,_xlfn.TEXTBEFORE(TableOBCONMN[[#This Row],[Structure Line]]," "),"")</f>
        <v>CME204</v>
      </c>
      <c r="D13" t="str">
        <f>IF(TableOBCONMN[[#This Row],[OUA Code]]&lt;&gt;"",_xlfn.TEXTAFTER(TableOBCONMN[[#This Row],[Structure Line]]," "),TableOBCONMN[[#This Row],[Structure Line]])</f>
        <v>Building Services</v>
      </c>
      <c r="E13" s="28">
        <f>TableOBCONMN[[#This Row],[Credit Points]]</f>
        <v>25</v>
      </c>
      <c r="F13">
        <v>11</v>
      </c>
      <c r="G13" t="s">
        <v>366</v>
      </c>
      <c r="H13" s="2">
        <v>2</v>
      </c>
      <c r="I13" t="s">
        <v>367</v>
      </c>
      <c r="J13" t="s">
        <v>123</v>
      </c>
      <c r="K13" s="38">
        <v>1</v>
      </c>
      <c r="L13" s="38" t="s">
        <v>379</v>
      </c>
      <c r="M13" s="38">
        <v>25</v>
      </c>
      <c r="N13" s="58">
        <v>42005</v>
      </c>
      <c r="O13" s="58"/>
      <c r="Q13" t="s">
        <v>123</v>
      </c>
      <c r="R13">
        <v>1</v>
      </c>
    </row>
    <row r="14" spans="1:18" x14ac:dyDescent="0.25">
      <c r="A14" t="str">
        <f>TableOBCONMN[[#This Row],[Study Package Code]]</f>
        <v>BLDG2028</v>
      </c>
      <c r="B14" s="2">
        <f>TableOBCONMN[[#This Row],[Ver]]</f>
        <v>3</v>
      </c>
      <c r="C14" t="str">
        <f>IF(TableOBCONMN[[#This Row],[Ver]]&gt;0,_xlfn.TEXTBEFORE(TableOBCONMN[[#This Row],[Structure Line]]," "),"")</f>
        <v>CME205</v>
      </c>
      <c r="D14" t="str">
        <f>IF(TableOBCONMN[[#This Row],[OUA Code]]&lt;&gt;"",_xlfn.TEXTAFTER(TableOBCONMN[[#This Row],[Structure Line]]," "),TableOBCONMN[[#This Row],[Structure Line]])</f>
        <v>Building Information Management and Modelling</v>
      </c>
      <c r="E14" s="28">
        <f>TableOBCONMN[[#This Row],[Credit Points]]</f>
        <v>25</v>
      </c>
      <c r="F14" s="38">
        <v>12</v>
      </c>
      <c r="G14" s="38" t="s">
        <v>366</v>
      </c>
      <c r="H14" s="110">
        <v>2</v>
      </c>
      <c r="I14" s="38" t="s">
        <v>367</v>
      </c>
      <c r="J14" s="38" t="s">
        <v>117</v>
      </c>
      <c r="K14" s="38">
        <v>3</v>
      </c>
      <c r="L14" s="38" t="s">
        <v>380</v>
      </c>
      <c r="M14" s="38">
        <v>25</v>
      </c>
      <c r="N14" s="58">
        <v>44927</v>
      </c>
      <c r="O14" s="58"/>
      <c r="Q14" t="s">
        <v>117</v>
      </c>
      <c r="R14">
        <v>3</v>
      </c>
    </row>
    <row r="15" spans="1:18" x14ac:dyDescent="0.25">
      <c r="A15" t="str">
        <f>TableOBCONMN[[#This Row],[Study Package Code]]</f>
        <v>BLDG2027</v>
      </c>
      <c r="B15" s="2">
        <f>TableOBCONMN[[#This Row],[Ver]]</f>
        <v>3</v>
      </c>
      <c r="C15" t="str">
        <f>IF(TableOBCONMN[[#This Row],[Ver]]&gt;0,_xlfn.TEXTBEFORE(TableOBCONMN[[#This Row],[Structure Line]]," "),"")</f>
        <v>CME206</v>
      </c>
      <c r="D15" t="str">
        <f>IF(TableOBCONMN[[#This Row],[OUA Code]]&lt;&gt;"",_xlfn.TEXTAFTER(TableOBCONMN[[#This Row],[Structure Line]]," "),TableOBCONMN[[#This Row],[Structure Line]])</f>
        <v>Building Surveying</v>
      </c>
      <c r="E15" s="28">
        <f>TableOBCONMN[[#This Row],[Credit Points]]</f>
        <v>25</v>
      </c>
      <c r="F15">
        <v>13</v>
      </c>
      <c r="G15" t="s">
        <v>366</v>
      </c>
      <c r="H15" s="2">
        <v>2</v>
      </c>
      <c r="I15" t="s">
        <v>367</v>
      </c>
      <c r="J15" t="s">
        <v>122</v>
      </c>
      <c r="K15" s="38">
        <v>3</v>
      </c>
      <c r="L15" s="38" t="s">
        <v>381</v>
      </c>
      <c r="M15" s="38">
        <v>25</v>
      </c>
      <c r="N15" s="58">
        <v>43466</v>
      </c>
      <c r="O15" s="58"/>
      <c r="Q15" t="s">
        <v>122</v>
      </c>
      <c r="R15">
        <v>3</v>
      </c>
    </row>
    <row r="16" spans="1:18" x14ac:dyDescent="0.25">
      <c r="A16" t="str">
        <f>TableOBCONMN[[#This Row],[Study Package Code]]</f>
        <v>BLDG2034</v>
      </c>
      <c r="B16" s="2">
        <f>TableOBCONMN[[#This Row],[Ver]]</f>
        <v>1</v>
      </c>
      <c r="C16" t="str">
        <f>IF(TableOBCONMN[[#This Row],[Ver]]&gt;0,_xlfn.TEXTBEFORE(TableOBCONMN[[#This Row],[Structure Line]]," "),"")</f>
        <v>CME215</v>
      </c>
      <c r="D16" t="str">
        <f>IF(TableOBCONMN[[#This Row],[OUA Code]]&lt;&gt;"",_xlfn.TEXTAFTER(TableOBCONMN[[#This Row],[Structure Line]]," "),TableOBCONMN[[#This Row],[Structure Line]])</f>
        <v>Construction Estimating and Cost Planning</v>
      </c>
      <c r="E16" s="28">
        <f>TableOBCONMN[[#This Row],[Credit Points]]</f>
        <v>25</v>
      </c>
      <c r="F16">
        <v>14</v>
      </c>
      <c r="G16" t="s">
        <v>366</v>
      </c>
      <c r="H16" s="2">
        <v>2</v>
      </c>
      <c r="I16" t="s">
        <v>367</v>
      </c>
      <c r="J16" t="s">
        <v>119</v>
      </c>
      <c r="K16" s="38">
        <v>1</v>
      </c>
      <c r="L16" s="38" t="s">
        <v>382</v>
      </c>
      <c r="M16" s="38">
        <v>25</v>
      </c>
      <c r="N16" s="58">
        <v>44927</v>
      </c>
      <c r="O16" s="58"/>
      <c r="Q16" t="s">
        <v>119</v>
      </c>
      <c r="R16">
        <v>1</v>
      </c>
    </row>
    <row r="17" spans="1:18" x14ac:dyDescent="0.25">
      <c r="A17" t="str">
        <f>TableOBCONMN[[#This Row],[Study Package Code]]</f>
        <v>Specialisation</v>
      </c>
      <c r="B17" s="2">
        <f>TableOBCONMN[[#This Row],[Ver]]</f>
        <v>0</v>
      </c>
      <c r="C17" t="str">
        <f>IF(TableOBCONMN[[#This Row],[Ver]]&gt;0,_xlfn.TEXTBEFORE(TableOBCONMN[[#This Row],[Structure Line]]," "),"")</f>
        <v/>
      </c>
      <c r="D17" t="str">
        <f>IF(TableOBCONMN[[#This Row],[OUA Code]]&lt;&gt;"",_xlfn.TEXTAFTER(TableOBCONMN[[#This Row],[Structure Line]]," "),TableOBCONMN[[#This Row],[Structure Line]])</f>
        <v>Choose a Specialisation. You should enrol two units in Year 2 and two units in Year 3 of the selected specialisation</v>
      </c>
      <c r="E17" s="28">
        <f>TableOBCONMN[[#This Row],[Credit Points]]</f>
        <v>100</v>
      </c>
      <c r="F17">
        <v>15</v>
      </c>
      <c r="G17" t="s">
        <v>383</v>
      </c>
      <c r="H17" s="2">
        <v>2</v>
      </c>
      <c r="I17" t="s">
        <v>367</v>
      </c>
      <c r="J17" t="s">
        <v>331</v>
      </c>
      <c r="K17" s="38">
        <v>0</v>
      </c>
      <c r="L17" s="38" t="s">
        <v>332</v>
      </c>
      <c r="M17" s="38">
        <v>100</v>
      </c>
      <c r="N17" s="58"/>
      <c r="O17" s="58"/>
      <c r="Q17" t="s">
        <v>331</v>
      </c>
      <c r="R17">
        <v>0</v>
      </c>
    </row>
    <row r="18" spans="1:18" x14ac:dyDescent="0.25">
      <c r="A18" t="str">
        <f>TableOBCONMN[[#This Row],[Study Package Code]]</f>
        <v>BLDG3029</v>
      </c>
      <c r="B18" s="2">
        <f>TableOBCONMN[[#This Row],[Ver]]</f>
        <v>2</v>
      </c>
      <c r="C18" t="str">
        <f>IF(TableOBCONMN[[#This Row],[Ver]]&gt;0,_xlfn.TEXTBEFORE(TableOBCONMN[[#This Row],[Structure Line]]," "),"")</f>
        <v>CME306</v>
      </c>
      <c r="D18" t="str">
        <f>IF(TableOBCONMN[[#This Row],[OUA Code]]&lt;&gt;"",_xlfn.TEXTAFTER(TableOBCONMN[[#This Row],[Structure Line]]," "),TableOBCONMN[[#This Row],[Structure Line]])</f>
        <v>Construction Planning and Scheduling</v>
      </c>
      <c r="E18" s="28">
        <f>TableOBCONMN[[#This Row],[Credit Points]]</f>
        <v>25</v>
      </c>
      <c r="F18" s="38">
        <v>16</v>
      </c>
      <c r="G18" s="38" t="s">
        <v>366</v>
      </c>
      <c r="H18" s="110">
        <v>3</v>
      </c>
      <c r="I18" s="38" t="s">
        <v>367</v>
      </c>
      <c r="J18" s="38" t="s">
        <v>124</v>
      </c>
      <c r="K18" s="38">
        <v>2</v>
      </c>
      <c r="L18" s="38" t="s">
        <v>384</v>
      </c>
      <c r="M18" s="38">
        <v>25</v>
      </c>
      <c r="N18" s="58">
        <v>44927</v>
      </c>
      <c r="O18" s="58"/>
      <c r="Q18" t="s">
        <v>124</v>
      </c>
      <c r="R18">
        <v>2</v>
      </c>
    </row>
    <row r="19" spans="1:18" x14ac:dyDescent="0.25">
      <c r="A19" t="str">
        <f>TableOBCONMN[[#This Row],[Study Package Code]]</f>
        <v>BLDG3026</v>
      </c>
      <c r="B19" s="2">
        <f>TableOBCONMN[[#This Row],[Ver]]</f>
        <v>4</v>
      </c>
      <c r="C19" t="str">
        <f>IF(TableOBCONMN[[#This Row],[Ver]]&gt;0,_xlfn.TEXTBEFORE(TableOBCONMN[[#This Row],[Structure Line]]," "),"")</f>
        <v>CME307</v>
      </c>
      <c r="D19" t="str">
        <f>IF(TableOBCONMN[[#This Row],[OUA Code]]&lt;&gt;"",_xlfn.TEXTAFTER(TableOBCONMN[[#This Row],[Structure Line]]," "),TableOBCONMN[[#This Row],[Structure Line]])</f>
        <v>Cost Management</v>
      </c>
      <c r="E19" s="28">
        <f>TableOBCONMN[[#This Row],[Credit Points]]</f>
        <v>25</v>
      </c>
      <c r="F19" s="38">
        <v>17</v>
      </c>
      <c r="G19" s="38" t="s">
        <v>366</v>
      </c>
      <c r="H19" s="110">
        <v>3</v>
      </c>
      <c r="I19" s="38" t="s">
        <v>367</v>
      </c>
      <c r="J19" s="38" t="s">
        <v>132</v>
      </c>
      <c r="K19" s="38">
        <v>4</v>
      </c>
      <c r="L19" s="38" t="s">
        <v>385</v>
      </c>
      <c r="M19" s="38">
        <v>25</v>
      </c>
      <c r="N19" s="58">
        <v>44927</v>
      </c>
      <c r="O19" s="58"/>
      <c r="Q19" t="s">
        <v>132</v>
      </c>
      <c r="R19">
        <v>4</v>
      </c>
    </row>
    <row r="20" spans="1:18" x14ac:dyDescent="0.25">
      <c r="A20" t="str">
        <f>TableOBCONMN[[#This Row],[Study Package Code]]</f>
        <v>BLDG3033</v>
      </c>
      <c r="B20" s="2">
        <f>TableOBCONMN[[#This Row],[Ver]]</f>
        <v>1</v>
      </c>
      <c r="C20" t="str">
        <f>IF(TableOBCONMN[[#This Row],[Ver]]&gt;0,_xlfn.TEXTBEFORE(TableOBCONMN[[#This Row],[Structure Line]]," "),"")</f>
        <v>CME315</v>
      </c>
      <c r="D20" t="str">
        <f>IF(TableOBCONMN[[#This Row],[OUA Code]]&lt;&gt;"",_xlfn.TEXTAFTER(TableOBCONMN[[#This Row],[Structure Line]]," "),TableOBCONMN[[#This Row],[Structure Line]])</f>
        <v>Virtual Design and Construction</v>
      </c>
      <c r="E20" s="28">
        <f>TableOBCONMN[[#This Row],[Credit Points]]</f>
        <v>25</v>
      </c>
      <c r="F20">
        <v>18</v>
      </c>
      <c r="G20" t="s">
        <v>366</v>
      </c>
      <c r="H20" s="2">
        <v>3</v>
      </c>
      <c r="I20" t="s">
        <v>367</v>
      </c>
      <c r="J20" t="s">
        <v>133</v>
      </c>
      <c r="K20" s="38">
        <v>1</v>
      </c>
      <c r="L20" s="38" t="s">
        <v>386</v>
      </c>
      <c r="M20" s="38">
        <v>25</v>
      </c>
      <c r="N20" s="58">
        <v>44927</v>
      </c>
      <c r="O20" s="58"/>
      <c r="Q20" t="s">
        <v>133</v>
      </c>
      <c r="R20">
        <v>1</v>
      </c>
    </row>
    <row r="21" spans="1:18" x14ac:dyDescent="0.25">
      <c r="A21" t="str">
        <f>TableOBCONMN[[#This Row],[Study Package Code]]</f>
        <v>BLDG3035</v>
      </c>
      <c r="B21" s="2">
        <f>TableOBCONMN[[#This Row],[Ver]]</f>
        <v>1</v>
      </c>
      <c r="C21" t="str">
        <f>IF(TableOBCONMN[[#This Row],[Ver]]&gt;0,_xlfn.TEXTBEFORE(TableOBCONMN[[#This Row],[Structure Line]]," "),"")</f>
        <v>CME325</v>
      </c>
      <c r="D21" t="str">
        <f>IF(TableOBCONMN[[#This Row],[OUA Code]]&lt;&gt;"",_xlfn.TEXTAFTER(TableOBCONMN[[#This Row],[Structure Line]]," "),TableOBCONMN[[#This Row],[Structure Line]])</f>
        <v>Sustainable Construction Practices in Building and Infrastructure</v>
      </c>
      <c r="E21" s="28">
        <f>TableOBCONMN[[#This Row],[Credit Points]]</f>
        <v>25</v>
      </c>
      <c r="F21">
        <v>19</v>
      </c>
      <c r="G21" t="s">
        <v>366</v>
      </c>
      <c r="H21" s="2">
        <v>3</v>
      </c>
      <c r="I21" t="s">
        <v>367</v>
      </c>
      <c r="J21" t="s">
        <v>129</v>
      </c>
      <c r="K21" s="38">
        <v>1</v>
      </c>
      <c r="L21" s="38" t="s">
        <v>387</v>
      </c>
      <c r="M21" s="38">
        <v>25</v>
      </c>
      <c r="N21" s="58">
        <v>44927</v>
      </c>
      <c r="O21" s="58"/>
      <c r="Q21" t="s">
        <v>129</v>
      </c>
      <c r="R21">
        <v>1</v>
      </c>
    </row>
    <row r="22" spans="1:18" x14ac:dyDescent="0.25">
      <c r="A22" t="str">
        <f>TableOBCONMN[[#This Row],[Study Package Code]]</f>
        <v>BLDG3031</v>
      </c>
      <c r="B22" s="2">
        <f>TableOBCONMN[[#This Row],[Ver]]</f>
        <v>1</v>
      </c>
      <c r="C22" t="str">
        <f>IF(TableOBCONMN[[#This Row],[Ver]]&gt;0,_xlfn.TEXTBEFORE(TableOBCONMN[[#This Row],[Structure Line]]," "),"")</f>
        <v>CME390</v>
      </c>
      <c r="D22" t="str">
        <f>IF(TableOBCONMN[[#This Row],[OUA Code]]&lt;&gt;"",_xlfn.TEXTAFTER(TableOBCONMN[[#This Row],[Structure Line]]," "),TableOBCONMN[[#This Row],[Structure Line]])</f>
        <v>Construction Contracts and Procurement</v>
      </c>
      <c r="E22" s="28">
        <f>TableOBCONMN[[#This Row],[Credit Points]]</f>
        <v>25</v>
      </c>
      <c r="F22">
        <v>20</v>
      </c>
      <c r="G22" t="s">
        <v>366</v>
      </c>
      <c r="H22" s="2">
        <v>3</v>
      </c>
      <c r="I22" t="s">
        <v>367</v>
      </c>
      <c r="J22" t="s">
        <v>127</v>
      </c>
      <c r="K22" s="38">
        <v>1</v>
      </c>
      <c r="L22" s="38" t="s">
        <v>388</v>
      </c>
      <c r="M22" s="38">
        <v>25</v>
      </c>
      <c r="N22" s="58">
        <v>44927</v>
      </c>
      <c r="O22" s="58"/>
      <c r="Q22" t="s">
        <v>127</v>
      </c>
      <c r="R22">
        <v>1</v>
      </c>
    </row>
    <row r="23" spans="1:18" x14ac:dyDescent="0.25">
      <c r="A23" t="str">
        <f>TableOBCONMN[[#This Row],[Study Package Code]]</f>
        <v>URDE3011</v>
      </c>
      <c r="B23" s="2">
        <f>TableOBCONMN[[#This Row],[Ver]]</f>
        <v>1</v>
      </c>
      <c r="C23" t="str">
        <f>IF(TableOBCONMN[[#This Row],[Ver]]&gt;0,_xlfn.TEXTBEFORE(TableOBCONMN[[#This Row],[Structure Line]]," "),"")</f>
        <v>DBE300</v>
      </c>
      <c r="D23" t="str">
        <f>IF(TableOBCONMN[[#This Row],[OUA Code]]&lt;&gt;"",_xlfn.TEXTAFTER(TableOBCONMN[[#This Row],[Structure Line]]," "),TableOBCONMN[[#This Row],[Structure Line]])</f>
        <v>Design and Built Environment Research Methods</v>
      </c>
      <c r="E23" s="28">
        <f>TableOBCONMN[[#This Row],[Credit Points]]</f>
        <v>25</v>
      </c>
      <c r="F23">
        <v>21</v>
      </c>
      <c r="G23" t="s">
        <v>366</v>
      </c>
      <c r="H23" s="2">
        <v>3</v>
      </c>
      <c r="I23" t="s">
        <v>367</v>
      </c>
      <c r="J23" t="s">
        <v>131</v>
      </c>
      <c r="K23" s="38">
        <v>1</v>
      </c>
      <c r="L23" s="38" t="s">
        <v>389</v>
      </c>
      <c r="M23" s="38">
        <v>25</v>
      </c>
      <c r="N23" s="58">
        <v>44562</v>
      </c>
      <c r="O23" s="58"/>
      <c r="Q23" t="s">
        <v>131</v>
      </c>
      <c r="R23">
        <v>1</v>
      </c>
    </row>
    <row r="24" spans="1:18" x14ac:dyDescent="0.25">
      <c r="A24" t="str">
        <f>TableOBCONMN[[#This Row],[Study Package Code]]</f>
        <v>4th Year Stream</v>
      </c>
      <c r="B24" s="2">
        <f>TableOBCONMN[[#This Row],[Ver]]</f>
        <v>0</v>
      </c>
      <c r="C24" t="str">
        <f>IF(TableOBCONMN[[#This Row],[Ver]]&gt;0,_xlfn.TEXTBEFORE(TableOBCONMN[[#This Row],[Structure Line]]," "),"")</f>
        <v/>
      </c>
      <c r="D24" t="str">
        <f>IF(TableOBCONMN[[#This Row],[OUA Code]]&lt;&gt;"",_xlfn.TEXTAFTER(TableOBCONMN[[#This Row],[Structure Line]]," "),TableOBCONMN[[#This Row],[Structure Line]])</f>
        <v>Alternate Cores for OUSU-CONMN Construction Management Fourth Year Stream (OpenUnis)</v>
      </c>
      <c r="E24" s="28">
        <f>TableOBCONMN[[#This Row],[Credit Points]]</f>
        <v>200</v>
      </c>
      <c r="F24">
        <v>22</v>
      </c>
      <c r="G24" t="s">
        <v>390</v>
      </c>
      <c r="H24" s="2">
        <v>4</v>
      </c>
      <c r="I24" t="s">
        <v>367</v>
      </c>
      <c r="J24" t="s">
        <v>204</v>
      </c>
      <c r="K24" s="38">
        <v>0</v>
      </c>
      <c r="L24" s="38" t="s">
        <v>205</v>
      </c>
      <c r="M24" s="38">
        <v>200</v>
      </c>
      <c r="N24" s="58"/>
      <c r="O24" s="58"/>
      <c r="Q24" t="s">
        <v>204</v>
      </c>
      <c r="R24">
        <v>0</v>
      </c>
    </row>
    <row r="25" spans="1:18" x14ac:dyDescent="0.25">
      <c r="A25" t="str">
        <f>TableOBCONMN[[#This Row],[Study Package Code]]</f>
        <v>OSCU-ANGAD</v>
      </c>
      <c r="B25" s="2">
        <f>TableOBCONMN[[#This Row],[Ver]]</f>
        <v>2</v>
      </c>
      <c r="D25" t="str">
        <f>IF(TableOBCONMN[[#This Row],[OUA Code]]&lt;&gt;"",_xlfn.TEXTAFTER(TableOBCONMN[[#This Row],[Structure Line]]," "),TableOBCONMN[[#This Row],[Structure Line]])</f>
        <v>Animation and Game Architecture Design Specialisation (OpenUnis)</v>
      </c>
      <c r="E25" s="28">
        <f>TableOBCONMN[[#This Row],[Credit Points]]</f>
        <v>100</v>
      </c>
      <c r="F25">
        <v>15</v>
      </c>
      <c r="G25" t="s">
        <v>383</v>
      </c>
      <c r="H25" s="2">
        <v>2</v>
      </c>
      <c r="I25" t="s">
        <v>367</v>
      </c>
      <c r="J25" t="s">
        <v>77</v>
      </c>
      <c r="K25" s="38">
        <v>2</v>
      </c>
      <c r="L25" s="38" t="s">
        <v>76</v>
      </c>
      <c r="M25" s="38">
        <v>100</v>
      </c>
      <c r="N25" s="58">
        <v>46023</v>
      </c>
      <c r="O25" s="58"/>
      <c r="Q25" t="s">
        <v>77</v>
      </c>
      <c r="R25">
        <v>1</v>
      </c>
    </row>
    <row r="26" spans="1:18" x14ac:dyDescent="0.25">
      <c r="A26" t="str">
        <f>TableOBCONMN[[#This Row],[Study Package Code]]</f>
        <v>OSCU-INARS</v>
      </c>
      <c r="B26" s="2">
        <f>TableOBCONMN[[#This Row],[Ver]]</f>
        <v>3</v>
      </c>
      <c r="D26" t="str">
        <f>IF(TableOBCONMN[[#This Row],[OUA Code]]&lt;&gt;"",_xlfn.TEXTAFTER(TableOBCONMN[[#This Row],[Structure Line]]," "),TableOBCONMN[[#This Row],[Structure Line]])</f>
        <v>Interior Architecture Specialisation (OpenUnis)</v>
      </c>
      <c r="E26" s="28">
        <f>TableOBCONMN[[#This Row],[Credit Points]]</f>
        <v>100</v>
      </c>
      <c r="F26">
        <v>15</v>
      </c>
      <c r="G26" t="s">
        <v>383</v>
      </c>
      <c r="H26" s="2">
        <v>2</v>
      </c>
      <c r="I26" t="s">
        <v>367</v>
      </c>
      <c r="J26" t="s">
        <v>80</v>
      </c>
      <c r="K26" s="38">
        <v>3</v>
      </c>
      <c r="L26" s="38" t="s">
        <v>79</v>
      </c>
      <c r="M26" s="38">
        <v>100</v>
      </c>
      <c r="N26" s="58">
        <v>45292</v>
      </c>
      <c r="O26" s="58"/>
      <c r="Q26" t="s">
        <v>80</v>
      </c>
      <c r="R26">
        <v>3</v>
      </c>
    </row>
    <row r="27" spans="1:18" x14ac:dyDescent="0.25">
      <c r="A27" t="str">
        <f>TableOBCONMN[[#This Row],[Study Package Code]]</f>
        <v>OSCU-PLGEO</v>
      </c>
      <c r="B27" s="2">
        <f>TableOBCONMN[[#This Row],[Ver]]</f>
        <v>1</v>
      </c>
      <c r="D27" t="str">
        <f>IF(TableOBCONMN[[#This Row],[OUA Code]]&lt;&gt;"",_xlfn.TEXTAFTER(TableOBCONMN[[#This Row],[Structure Line]]," "),TableOBCONMN[[#This Row],[Structure Line]])</f>
        <v>Planning and Geography Specialisation (OpenUnis)</v>
      </c>
      <c r="E27" s="28">
        <f>TableOBCONMN[[#This Row],[Credit Points]]</f>
        <v>100</v>
      </c>
      <c r="F27">
        <v>15</v>
      </c>
      <c r="G27" t="s">
        <v>383</v>
      </c>
      <c r="H27" s="2">
        <v>2</v>
      </c>
      <c r="I27" t="s">
        <v>367</v>
      </c>
      <c r="J27" t="s">
        <v>82</v>
      </c>
      <c r="K27" s="38">
        <v>1</v>
      </c>
      <c r="L27" s="38" t="s">
        <v>81</v>
      </c>
      <c r="M27" s="38">
        <v>100</v>
      </c>
      <c r="N27" s="58">
        <v>44743</v>
      </c>
      <c r="O27" s="58"/>
      <c r="Q27" t="s">
        <v>82</v>
      </c>
      <c r="R27">
        <v>1</v>
      </c>
    </row>
    <row r="28" spans="1:18" x14ac:dyDescent="0.25">
      <c r="A28" t="str">
        <f>TableOBCONMN[[#This Row],[Study Package Code]]</f>
        <v>OUSH-CONMN</v>
      </c>
      <c r="B28" s="2">
        <f>TableOBCONMN[[#This Row],[Ver]]</f>
        <v>2</v>
      </c>
      <c r="D28" t="str">
        <f>IF(TableOBCONMN[[#This Row],[OUA Code]]&lt;&gt;"",_xlfn.TEXTAFTER(TableOBCONMN[[#This Row],[Structure Line]]," "),TableOBCONMN[[#This Row],[Structure Line]])</f>
        <v>Honours Construction Management Stream (OUA)</v>
      </c>
      <c r="E28" s="28">
        <f>TableOBCONMN[[#This Row],[Credit Points]]</f>
        <v>200</v>
      </c>
      <c r="F28">
        <v>22</v>
      </c>
      <c r="G28" t="s">
        <v>390</v>
      </c>
      <c r="H28" s="2">
        <v>4</v>
      </c>
      <c r="I28" t="s">
        <v>367</v>
      </c>
      <c r="J28" t="s">
        <v>74</v>
      </c>
      <c r="K28" s="38">
        <v>2</v>
      </c>
      <c r="L28" s="38" t="s">
        <v>73</v>
      </c>
      <c r="M28" s="38">
        <v>200</v>
      </c>
      <c r="N28" s="58">
        <v>45292</v>
      </c>
      <c r="O28" s="58"/>
      <c r="Q28" t="s">
        <v>74</v>
      </c>
      <c r="R28">
        <v>2</v>
      </c>
    </row>
    <row r="29" spans="1:18" x14ac:dyDescent="0.25">
      <c r="A29" t="str">
        <f>TableOBCONMN[[#This Row],[Study Package Code]]</f>
        <v>OUSU-CONMN</v>
      </c>
      <c r="B29" s="2">
        <f>TableOBCONMN[[#This Row],[Ver]]</f>
        <v>2</v>
      </c>
      <c r="D29" t="str">
        <f>IF(TableOBCONMN[[#This Row],[OUA Code]]&lt;&gt;"",_xlfn.TEXTAFTER(TableOBCONMN[[#This Row],[Structure Line]]," "),TableOBCONMN[[#This Row],[Structure Line]])</f>
        <v>Construction Management Fourth Year Stream (OUA)</v>
      </c>
      <c r="E29" s="28">
        <f>TableOBCONMN[[#This Row],[Credit Points]]</f>
        <v>200</v>
      </c>
      <c r="F29">
        <v>22</v>
      </c>
      <c r="G29" t="s">
        <v>390</v>
      </c>
      <c r="H29" s="2">
        <v>4</v>
      </c>
      <c r="I29" t="s">
        <v>367</v>
      </c>
      <c r="J29" t="s">
        <v>70</v>
      </c>
      <c r="K29" s="38">
        <v>2</v>
      </c>
      <c r="L29" s="38" t="s">
        <v>69</v>
      </c>
      <c r="M29" s="38">
        <v>200</v>
      </c>
      <c r="N29" s="58">
        <v>45292</v>
      </c>
      <c r="O29" s="58"/>
      <c r="Q29" t="s">
        <v>70</v>
      </c>
      <c r="R29">
        <v>2</v>
      </c>
    </row>
    <row r="30" spans="1:18" x14ac:dyDescent="0.25">
      <c r="B30"/>
      <c r="E30"/>
      <c r="F30" s="26"/>
      <c r="G30" s="104" t="s">
        <v>354</v>
      </c>
      <c r="H30" s="109">
        <v>46037</v>
      </c>
      <c r="I30" s="102"/>
      <c r="J30" s="102" t="s">
        <v>57</v>
      </c>
      <c r="K30" s="113">
        <v>3</v>
      </c>
      <c r="L30" s="102" t="s">
        <v>56</v>
      </c>
      <c r="M30" s="102"/>
      <c r="N30" s="112">
        <v>46023</v>
      </c>
      <c r="O30" s="105"/>
    </row>
    <row r="31" spans="1:18" x14ac:dyDescent="0.25">
      <c r="A31" t="s">
        <v>0</v>
      </c>
      <c r="B31" s="2" t="s">
        <v>355</v>
      </c>
      <c r="C31" t="s">
        <v>26</v>
      </c>
      <c r="D31" t="s">
        <v>3</v>
      </c>
      <c r="E31" s="28" t="s">
        <v>356</v>
      </c>
      <c r="F31" t="s">
        <v>357</v>
      </c>
      <c r="G31" t="s">
        <v>358</v>
      </c>
      <c r="H31" s="2" t="s">
        <v>359</v>
      </c>
      <c r="I31" t="s">
        <v>4</v>
      </c>
      <c r="J31" t="s">
        <v>360</v>
      </c>
      <c r="K31" t="s">
        <v>1</v>
      </c>
      <c r="L31" t="s">
        <v>361</v>
      </c>
      <c r="M31" t="s">
        <v>48</v>
      </c>
      <c r="N31" t="s">
        <v>362</v>
      </c>
      <c r="O31" t="s">
        <v>363</v>
      </c>
      <c r="Q31" t="s">
        <v>364</v>
      </c>
      <c r="R31" t="s">
        <v>365</v>
      </c>
    </row>
    <row r="32" spans="1:18" x14ac:dyDescent="0.25">
      <c r="A32" t="str">
        <f>TableOUCONMN[[#This Row],[Study Package Code]]</f>
        <v>ENST1002</v>
      </c>
      <c r="B32" s="2">
        <f>TableOUCONMN[[#This Row],[Ver]]</f>
        <v>1</v>
      </c>
      <c r="C32" t="str">
        <f>IF(TableOUCONMN[[#This Row],[Ver]]&gt;0,_xlfn.TEXTBEFORE(TableOUCONMN[[#This Row],[Structure Line]]," "),"")</f>
        <v>ENST1002</v>
      </c>
      <c r="D32" t="str">
        <f>IF(TableOUCONMN[[#This Row],[OUA Code]]&lt;&gt;"",_xlfn.TEXTAFTER(TableOUCONMN[[#This Row],[Structure Line]]," "),TableOUCONMN[[#This Row],[Structure Line]])</f>
        <v>Sustainability Communication and Action</v>
      </c>
      <c r="E32" s="28">
        <f>TableOUCONMN[[#This Row],[Credit Points]]</f>
        <v>25</v>
      </c>
      <c r="F32">
        <v>1</v>
      </c>
      <c r="G32" t="s">
        <v>366</v>
      </c>
      <c r="H32" s="2">
        <v>1</v>
      </c>
      <c r="I32" t="s">
        <v>367</v>
      </c>
      <c r="J32" t="s">
        <v>101</v>
      </c>
      <c r="K32" s="38">
        <v>1</v>
      </c>
      <c r="L32" s="38" t="s">
        <v>368</v>
      </c>
      <c r="M32" s="38">
        <v>25</v>
      </c>
      <c r="N32" s="58">
        <v>46023</v>
      </c>
      <c r="O32" s="58"/>
    </row>
    <row r="33" spans="1:15" x14ac:dyDescent="0.25">
      <c r="A33" t="str">
        <f>TableOUCONMN[[#This Row],[Study Package Code]]</f>
        <v>ARCH1021</v>
      </c>
      <c r="B33" s="2">
        <f>TableOUCONMN[[#This Row],[Ver]]</f>
        <v>3</v>
      </c>
      <c r="C33" t="str">
        <f>IF(TableOUCONMN[[#This Row],[Ver]]&gt;0,_xlfn.TEXTBEFORE(TableOUCONMN[[#This Row],[Structure Line]]," "),"")</f>
        <v>BAS145</v>
      </c>
      <c r="D33" t="str">
        <f>IF(TableOUCONMN[[#This Row],[OUA Code]]&lt;&gt;"",_xlfn.TEXTAFTER(TableOUCONMN[[#This Row],[Structure Line]]," "),TableOUCONMN[[#This Row],[Structure Line]])</f>
        <v>Architecture and Interior Architecture Methods 1B - Digital Literacy</v>
      </c>
      <c r="E33" s="28">
        <f>TableOUCONMN[[#This Row],[Credit Points]]</f>
        <v>25</v>
      </c>
      <c r="F33">
        <v>2</v>
      </c>
      <c r="G33" t="s">
        <v>366</v>
      </c>
      <c r="H33" s="2">
        <v>1</v>
      </c>
      <c r="I33" t="s">
        <v>367</v>
      </c>
      <c r="J33" t="s">
        <v>109</v>
      </c>
      <c r="K33" s="38">
        <v>3</v>
      </c>
      <c r="L33" s="38" t="s">
        <v>370</v>
      </c>
      <c r="M33" s="38">
        <v>25</v>
      </c>
      <c r="N33" s="58">
        <v>44562</v>
      </c>
      <c r="O33" s="58"/>
    </row>
    <row r="34" spans="1:15" x14ac:dyDescent="0.25">
      <c r="A34" t="str">
        <f>TableOUCONMN[[#This Row],[Study Package Code]]</f>
        <v>BLDG1005</v>
      </c>
      <c r="B34" s="2">
        <f>TableOUCONMN[[#This Row],[Ver]]</f>
        <v>2</v>
      </c>
      <c r="C34" t="str">
        <f>IF(TableOUCONMN[[#This Row],[Ver]]&gt;0,_xlfn.TEXTBEFORE(TableOUCONMN[[#This Row],[Structure Line]]," "),"")</f>
        <v>CME101</v>
      </c>
      <c r="D34" t="str">
        <f>IF(TableOUCONMN[[#This Row],[OUA Code]]&lt;&gt;"",_xlfn.TEXTAFTER(TableOUCONMN[[#This Row],[Structure Line]]," "),TableOUCONMN[[#This Row],[Structure Line]])</f>
        <v>Low Rise Construction</v>
      </c>
      <c r="E34" s="28">
        <f>TableOUCONMN[[#This Row],[Credit Points]]</f>
        <v>25</v>
      </c>
      <c r="F34">
        <v>3</v>
      </c>
      <c r="G34" t="s">
        <v>366</v>
      </c>
      <c r="H34" s="2">
        <v>1</v>
      </c>
      <c r="I34" t="s">
        <v>367</v>
      </c>
      <c r="J34" t="s">
        <v>106</v>
      </c>
      <c r="K34" s="38">
        <v>2</v>
      </c>
      <c r="L34" s="38" t="s">
        <v>371</v>
      </c>
      <c r="M34" s="38">
        <v>25</v>
      </c>
      <c r="N34" s="58">
        <v>43466</v>
      </c>
      <c r="O34" s="58"/>
    </row>
    <row r="35" spans="1:15" x14ac:dyDescent="0.25">
      <c r="A35" t="str">
        <f>TableOUCONMN[[#This Row],[Study Package Code]]</f>
        <v>BLDG1009</v>
      </c>
      <c r="B35" s="2">
        <f>TableOUCONMN[[#This Row],[Ver]]</f>
        <v>3</v>
      </c>
      <c r="C35" t="str">
        <f>IF(TableOUCONMN[[#This Row],[Ver]]&gt;0,_xlfn.TEXTBEFORE(TableOUCONMN[[#This Row],[Structure Line]]," "),"")</f>
        <v>CME103</v>
      </c>
      <c r="D35" t="str">
        <f>IF(TableOUCONMN[[#This Row],[OUA Code]]&lt;&gt;"",_xlfn.TEXTAFTER(TableOUCONMN[[#This Row],[Structure Line]]," "),TableOUCONMN[[#This Row],[Structure Line]])</f>
        <v>Introduction to Management in Construction</v>
      </c>
      <c r="E35" s="28">
        <f>TableOUCONMN[[#This Row],[Credit Points]]</f>
        <v>25</v>
      </c>
      <c r="F35" s="38">
        <v>4</v>
      </c>
      <c r="G35" s="38" t="s">
        <v>366</v>
      </c>
      <c r="H35" s="110">
        <v>1</v>
      </c>
      <c r="I35" s="38" t="s">
        <v>367</v>
      </c>
      <c r="J35" s="38" t="s">
        <v>107</v>
      </c>
      <c r="K35" s="38">
        <v>3</v>
      </c>
      <c r="L35" s="38" t="s">
        <v>372</v>
      </c>
      <c r="M35" s="38">
        <v>25</v>
      </c>
      <c r="N35" s="58">
        <v>44927</v>
      </c>
      <c r="O35" s="58"/>
    </row>
    <row r="36" spans="1:15" x14ac:dyDescent="0.25">
      <c r="A36" t="str">
        <f>TableOUCONMN[[#This Row],[Study Package Code]]</f>
        <v>BLDG1008</v>
      </c>
      <c r="B36" s="2">
        <f>TableOUCONMN[[#This Row],[Ver]]</f>
        <v>1</v>
      </c>
      <c r="C36" t="str">
        <f>IF(TableOUCONMN[[#This Row],[Ver]]&gt;0,_xlfn.TEXTBEFORE(TableOUCONMN[[#This Row],[Structure Line]]," "),"")</f>
        <v>CME104</v>
      </c>
      <c r="D36" t="str">
        <f>IF(TableOUCONMN[[#This Row],[OUA Code]]&lt;&gt;"",_xlfn.TEXTAFTER(TableOUCONMN[[#This Row],[Structure Line]]," "),TableOUCONMN[[#This Row],[Structure Line]])</f>
        <v>Structures</v>
      </c>
      <c r="E36" s="28">
        <f>TableOUCONMN[[#This Row],[Credit Points]]</f>
        <v>25</v>
      </c>
      <c r="F36">
        <v>5</v>
      </c>
      <c r="G36" t="s">
        <v>366</v>
      </c>
      <c r="H36" s="2">
        <v>1</v>
      </c>
      <c r="I36" t="s">
        <v>367</v>
      </c>
      <c r="J36" t="s">
        <v>103</v>
      </c>
      <c r="K36" s="38">
        <v>1</v>
      </c>
      <c r="L36" s="38" t="s">
        <v>373</v>
      </c>
      <c r="M36" s="38">
        <v>25</v>
      </c>
      <c r="N36" s="58">
        <v>42005</v>
      </c>
      <c r="O36" s="58"/>
    </row>
    <row r="37" spans="1:15" x14ac:dyDescent="0.25">
      <c r="A37" t="str">
        <f>TableOUCONMN[[#This Row],[Study Package Code]]</f>
        <v>BLDG1006</v>
      </c>
      <c r="B37" s="2">
        <f>TableOUCONMN[[#This Row],[Ver]]</f>
        <v>3</v>
      </c>
      <c r="C37" t="str">
        <f>IF(TableOUCONMN[[#This Row],[Ver]]&gt;0,_xlfn.TEXTBEFORE(TableOUCONMN[[#This Row],[Structure Line]]," "),"")</f>
        <v>CME106</v>
      </c>
      <c r="D37" t="str">
        <f>IF(TableOUCONMN[[#This Row],[OUA Code]]&lt;&gt;"",_xlfn.TEXTAFTER(TableOUCONMN[[#This Row],[Structure Line]]," "),TableOUCONMN[[#This Row],[Structure Line]])</f>
        <v>High-rise Construction</v>
      </c>
      <c r="E37" s="28">
        <f>TableOUCONMN[[#This Row],[Credit Points]]</f>
        <v>25</v>
      </c>
      <c r="F37" s="38">
        <v>6</v>
      </c>
      <c r="G37" s="38" t="s">
        <v>366</v>
      </c>
      <c r="H37" s="110">
        <v>1</v>
      </c>
      <c r="I37" s="38" t="s">
        <v>367</v>
      </c>
      <c r="J37" s="38" t="s">
        <v>110</v>
      </c>
      <c r="K37" s="38">
        <v>3</v>
      </c>
      <c r="L37" s="38" t="s">
        <v>374</v>
      </c>
      <c r="M37" s="38">
        <v>25</v>
      </c>
      <c r="N37" s="58">
        <v>44927</v>
      </c>
      <c r="O37" s="58"/>
    </row>
    <row r="38" spans="1:15" x14ac:dyDescent="0.25">
      <c r="A38" t="str">
        <f>TableOUCONMN[[#This Row],[Study Package Code]]</f>
        <v>BLDG1017</v>
      </c>
      <c r="B38" s="2">
        <f>TableOUCONMN[[#This Row],[Ver]]</f>
        <v>1</v>
      </c>
      <c r="C38" t="str">
        <f>IF(TableOUCONMN[[#This Row],[Ver]]&gt;0,_xlfn.TEXTBEFORE(TableOUCONMN[[#This Row],[Structure Line]]," "),"")</f>
        <v>CME180</v>
      </c>
      <c r="D38" t="str">
        <f>IF(TableOUCONMN[[#This Row],[OUA Code]]&lt;&gt;"",_xlfn.TEXTAFTER(TableOUCONMN[[#This Row],[Structure Line]]," "),TableOUCONMN[[#This Row],[Structure Line]])</f>
        <v>Building Construction Measurement</v>
      </c>
      <c r="E38" s="28">
        <f>TableOUCONMN[[#This Row],[Credit Points]]</f>
        <v>25</v>
      </c>
      <c r="F38">
        <v>7</v>
      </c>
      <c r="G38" t="s">
        <v>366</v>
      </c>
      <c r="H38" s="2">
        <v>1</v>
      </c>
      <c r="I38" t="s">
        <v>367</v>
      </c>
      <c r="J38" t="s">
        <v>108</v>
      </c>
      <c r="K38" s="38">
        <v>1</v>
      </c>
      <c r="L38" s="38" t="s">
        <v>375</v>
      </c>
      <c r="M38" s="38">
        <v>25</v>
      </c>
      <c r="N38" s="58">
        <v>44927</v>
      </c>
      <c r="O38" s="58"/>
    </row>
    <row r="39" spans="1:15" x14ac:dyDescent="0.25">
      <c r="A39" t="str">
        <f>TableOUCONMN[[#This Row],[Study Package Code]]</f>
        <v>BLDG1019</v>
      </c>
      <c r="B39" s="2">
        <f>TableOUCONMN[[#This Row],[Ver]]</f>
        <v>1</v>
      </c>
      <c r="C39" t="str">
        <f>IF(TableOUCONMN[[#This Row],[Ver]]&gt;0,_xlfn.TEXTBEFORE(TableOUCONMN[[#This Row],[Structure Line]]," "),"")</f>
        <v>CME190</v>
      </c>
      <c r="D39" t="str">
        <f>IF(TableOUCONMN[[#This Row],[OUA Code]]&lt;&gt;"",_xlfn.TEXTAFTER(TableOUCONMN[[#This Row],[Structure Line]]," "),TableOUCONMN[[#This Row],[Structure Line]])</f>
        <v>Health, Safety and Quality in the Built Environment</v>
      </c>
      <c r="E39" s="28">
        <f>TableOUCONMN[[#This Row],[Credit Points]]</f>
        <v>25</v>
      </c>
      <c r="F39">
        <v>8</v>
      </c>
      <c r="G39" t="s">
        <v>366</v>
      </c>
      <c r="H39" s="2">
        <v>1</v>
      </c>
      <c r="I39" t="s">
        <v>367</v>
      </c>
      <c r="J39" t="s">
        <v>111</v>
      </c>
      <c r="K39" s="38">
        <v>1</v>
      </c>
      <c r="L39" s="38" t="s">
        <v>376</v>
      </c>
      <c r="M39" s="38">
        <v>25</v>
      </c>
      <c r="N39" s="58">
        <v>44927</v>
      </c>
      <c r="O39" s="58"/>
    </row>
    <row r="40" spans="1:15" x14ac:dyDescent="0.25">
      <c r="A40" t="str">
        <f>TableOUCONMN[[#This Row],[Study Package Code]]</f>
        <v>BLDG2026</v>
      </c>
      <c r="B40" s="2">
        <f>TableOUCONMN[[#This Row],[Ver]]</f>
        <v>1</v>
      </c>
      <c r="C40" t="str">
        <f>IF(TableOUCONMN[[#This Row],[Ver]]&gt;0,_xlfn.TEXTBEFORE(TableOUCONMN[[#This Row],[Structure Line]]," "),"")</f>
        <v>CME202</v>
      </c>
      <c r="D40" t="str">
        <f>IF(TableOUCONMN[[#This Row],[OUA Code]]&lt;&gt;"",_xlfn.TEXTAFTER(TableOUCONMN[[#This Row],[Structure Line]]," "),TableOUCONMN[[#This Row],[Structure Line]])</f>
        <v>Construction Plant and Equipment</v>
      </c>
      <c r="E40" s="28">
        <f>TableOUCONMN[[#This Row],[Credit Points]]</f>
        <v>25</v>
      </c>
      <c r="F40">
        <v>9</v>
      </c>
      <c r="G40" t="s">
        <v>366</v>
      </c>
      <c r="H40" s="2">
        <v>2</v>
      </c>
      <c r="I40" t="s">
        <v>367</v>
      </c>
      <c r="J40" t="s">
        <v>114</v>
      </c>
      <c r="K40" s="38">
        <v>1</v>
      </c>
      <c r="L40" s="38" t="s">
        <v>377</v>
      </c>
      <c r="M40" s="38">
        <v>25</v>
      </c>
      <c r="N40" s="58">
        <v>42005</v>
      </c>
      <c r="O40" s="58"/>
    </row>
    <row r="41" spans="1:15" x14ac:dyDescent="0.25">
      <c r="A41" t="str">
        <f>TableOUCONMN[[#This Row],[Study Package Code]]</f>
        <v>BLDG2021</v>
      </c>
      <c r="B41" s="2">
        <f>TableOUCONMN[[#This Row],[Ver]]</f>
        <v>1</v>
      </c>
      <c r="C41" t="str">
        <f>IF(TableOUCONMN[[#This Row],[Ver]]&gt;0,_xlfn.TEXTBEFORE(TableOUCONMN[[#This Row],[Structure Line]]," "),"")</f>
        <v>CME203</v>
      </c>
      <c r="D41" t="str">
        <f>IF(TableOUCONMN[[#This Row],[OUA Code]]&lt;&gt;"",_xlfn.TEXTAFTER(TableOUCONMN[[#This Row],[Structure Line]]," "),TableOUCONMN[[#This Row],[Structure Line]])</f>
        <v>Specialised Construction</v>
      </c>
      <c r="E41" s="28">
        <f>TableOUCONMN[[#This Row],[Credit Points]]</f>
        <v>25</v>
      </c>
      <c r="F41">
        <v>10</v>
      </c>
      <c r="G41" t="s">
        <v>366</v>
      </c>
      <c r="H41" s="2">
        <v>2</v>
      </c>
      <c r="I41" t="s">
        <v>367</v>
      </c>
      <c r="J41" t="s">
        <v>112</v>
      </c>
      <c r="K41" s="38">
        <v>1</v>
      </c>
      <c r="L41" s="38" t="s">
        <v>378</v>
      </c>
      <c r="M41" s="38">
        <v>25</v>
      </c>
      <c r="N41" s="58">
        <v>42005</v>
      </c>
      <c r="O41" s="58"/>
    </row>
    <row r="42" spans="1:15" x14ac:dyDescent="0.25">
      <c r="A42" t="str">
        <f>TableOUCONMN[[#This Row],[Study Package Code]]</f>
        <v>BLDG2016</v>
      </c>
      <c r="B42" s="2">
        <f>TableOUCONMN[[#This Row],[Ver]]</f>
        <v>1</v>
      </c>
      <c r="C42" t="str">
        <f>IF(TableOUCONMN[[#This Row],[Ver]]&gt;0,_xlfn.TEXTBEFORE(TableOUCONMN[[#This Row],[Structure Line]]," "),"")</f>
        <v>CME204</v>
      </c>
      <c r="D42" t="str">
        <f>IF(TableOUCONMN[[#This Row],[OUA Code]]&lt;&gt;"",_xlfn.TEXTAFTER(TableOUCONMN[[#This Row],[Structure Line]]," "),TableOUCONMN[[#This Row],[Structure Line]])</f>
        <v>Building Services</v>
      </c>
      <c r="E42" s="28">
        <f>TableOUCONMN[[#This Row],[Credit Points]]</f>
        <v>25</v>
      </c>
      <c r="F42">
        <v>11</v>
      </c>
      <c r="G42" t="s">
        <v>366</v>
      </c>
      <c r="H42" s="2">
        <v>2</v>
      </c>
      <c r="I42" t="s">
        <v>367</v>
      </c>
      <c r="J42" t="s">
        <v>123</v>
      </c>
      <c r="K42" s="38">
        <v>1</v>
      </c>
      <c r="L42" s="38" t="s">
        <v>379</v>
      </c>
      <c r="M42" s="38">
        <v>25</v>
      </c>
      <c r="N42" s="58">
        <v>42005</v>
      </c>
      <c r="O42" s="58"/>
    </row>
    <row r="43" spans="1:15" x14ac:dyDescent="0.25">
      <c r="A43" t="str">
        <f>TableOUCONMN[[#This Row],[Study Package Code]]</f>
        <v>BLDG2028</v>
      </c>
      <c r="B43" s="2">
        <f>TableOUCONMN[[#This Row],[Ver]]</f>
        <v>3</v>
      </c>
      <c r="C43" t="str">
        <f>IF(TableOUCONMN[[#This Row],[Ver]]&gt;0,_xlfn.TEXTBEFORE(TableOUCONMN[[#This Row],[Structure Line]]," "),"")</f>
        <v>CME205</v>
      </c>
      <c r="D43" t="str">
        <f>IF(TableOUCONMN[[#This Row],[OUA Code]]&lt;&gt;"",_xlfn.TEXTAFTER(TableOUCONMN[[#This Row],[Structure Line]]," "),TableOUCONMN[[#This Row],[Structure Line]])</f>
        <v>Building Information Management and Modelling</v>
      </c>
      <c r="E43" s="28">
        <f>TableOUCONMN[[#This Row],[Credit Points]]</f>
        <v>25</v>
      </c>
      <c r="F43" s="38">
        <v>12</v>
      </c>
      <c r="G43" s="38" t="s">
        <v>366</v>
      </c>
      <c r="H43" s="110">
        <v>2</v>
      </c>
      <c r="I43" s="38" t="s">
        <v>367</v>
      </c>
      <c r="J43" s="38" t="s">
        <v>117</v>
      </c>
      <c r="K43" s="38">
        <v>3</v>
      </c>
      <c r="L43" s="38" t="s">
        <v>380</v>
      </c>
      <c r="M43" s="38">
        <v>25</v>
      </c>
      <c r="N43" s="58">
        <v>44927</v>
      </c>
      <c r="O43" s="58"/>
    </row>
    <row r="44" spans="1:15" x14ac:dyDescent="0.25">
      <c r="A44" t="str">
        <f>TableOUCONMN[[#This Row],[Study Package Code]]</f>
        <v>BLDG2027</v>
      </c>
      <c r="B44" s="2">
        <f>TableOUCONMN[[#This Row],[Ver]]</f>
        <v>3</v>
      </c>
      <c r="C44" t="str">
        <f>IF(TableOUCONMN[[#This Row],[Ver]]&gt;0,_xlfn.TEXTBEFORE(TableOUCONMN[[#This Row],[Structure Line]]," "),"")</f>
        <v>CME206</v>
      </c>
      <c r="D44" t="str">
        <f>IF(TableOUCONMN[[#This Row],[OUA Code]]&lt;&gt;"",_xlfn.TEXTAFTER(TableOUCONMN[[#This Row],[Structure Line]]," "),TableOUCONMN[[#This Row],[Structure Line]])</f>
        <v>Building Surveying</v>
      </c>
      <c r="E44" s="28">
        <f>TableOUCONMN[[#This Row],[Credit Points]]</f>
        <v>25</v>
      </c>
      <c r="F44">
        <v>13</v>
      </c>
      <c r="G44" t="s">
        <v>366</v>
      </c>
      <c r="H44" s="2">
        <v>2</v>
      </c>
      <c r="I44" t="s">
        <v>367</v>
      </c>
      <c r="J44" t="s">
        <v>122</v>
      </c>
      <c r="K44" s="38">
        <v>3</v>
      </c>
      <c r="L44" s="38" t="s">
        <v>381</v>
      </c>
      <c r="M44" s="38">
        <v>25</v>
      </c>
      <c r="N44" s="58">
        <v>43466</v>
      </c>
      <c r="O44" s="58"/>
    </row>
    <row r="45" spans="1:15" x14ac:dyDescent="0.25">
      <c r="A45" t="str">
        <f>TableOUCONMN[[#This Row],[Study Package Code]]</f>
        <v>BLDG2034</v>
      </c>
      <c r="B45" s="2">
        <f>TableOUCONMN[[#This Row],[Ver]]</f>
        <v>1</v>
      </c>
      <c r="C45" t="str">
        <f>IF(TableOUCONMN[[#This Row],[Ver]]&gt;0,_xlfn.TEXTBEFORE(TableOUCONMN[[#This Row],[Structure Line]]," "),"")</f>
        <v>CME215</v>
      </c>
      <c r="D45" t="str">
        <f>IF(TableOUCONMN[[#This Row],[OUA Code]]&lt;&gt;"",_xlfn.TEXTAFTER(TableOUCONMN[[#This Row],[Structure Line]]," "),TableOUCONMN[[#This Row],[Structure Line]])</f>
        <v>Construction Estimating and Cost Planning</v>
      </c>
      <c r="E45" s="28">
        <f>TableOUCONMN[[#This Row],[Credit Points]]</f>
        <v>25</v>
      </c>
      <c r="F45">
        <v>14</v>
      </c>
      <c r="G45" t="s">
        <v>366</v>
      </c>
      <c r="H45" s="2">
        <v>2</v>
      </c>
      <c r="I45" t="s">
        <v>367</v>
      </c>
      <c r="J45" t="s">
        <v>119</v>
      </c>
      <c r="K45" s="38">
        <v>1</v>
      </c>
      <c r="L45" s="38" t="s">
        <v>382</v>
      </c>
      <c r="M45" s="38">
        <v>25</v>
      </c>
      <c r="N45" s="58">
        <v>44927</v>
      </c>
      <c r="O45" s="58"/>
    </row>
    <row r="46" spans="1:15" x14ac:dyDescent="0.25">
      <c r="A46" t="str">
        <f>TableOUCONMN[[#This Row],[Study Package Code]]</f>
        <v>Specialisation</v>
      </c>
      <c r="B46" s="2">
        <f>TableOUCONMN[[#This Row],[Ver]]</f>
        <v>0</v>
      </c>
      <c r="C46" t="str">
        <f>IF(TableOUCONMN[[#This Row],[Ver]]&gt;0,_xlfn.TEXTBEFORE(TableOUCONMN[[#This Row],[Structure Line]]," "),"")</f>
        <v/>
      </c>
      <c r="D46" t="str">
        <f>IF(TableOUCONMN[[#This Row],[OUA Code]]&lt;&gt;"",_xlfn.TEXTAFTER(TableOUCONMN[[#This Row],[Structure Line]]," "),TableOUCONMN[[#This Row],[Structure Line]])</f>
        <v>Choose a Specialisation. Student should enrol two units in Year 2 and two units in Year 3 of the selected specialisation</v>
      </c>
      <c r="E46" s="28">
        <f>TableOUCONMN[[#This Row],[Credit Points]]</f>
        <v>100</v>
      </c>
      <c r="F46">
        <v>15</v>
      </c>
      <c r="G46" t="s">
        <v>383</v>
      </c>
      <c r="H46" s="2">
        <v>3</v>
      </c>
      <c r="I46" t="s">
        <v>367</v>
      </c>
      <c r="J46" t="s">
        <v>331</v>
      </c>
      <c r="K46" s="38">
        <v>0</v>
      </c>
      <c r="L46" s="38" t="s">
        <v>391</v>
      </c>
      <c r="M46" s="38">
        <v>100</v>
      </c>
      <c r="N46" s="58"/>
      <c r="O46" s="58"/>
    </row>
    <row r="47" spans="1:15" x14ac:dyDescent="0.25">
      <c r="A47" t="str">
        <f>TableOUCONMN[[#This Row],[Study Package Code]]</f>
        <v>BLDG3029</v>
      </c>
      <c r="B47" s="2">
        <f>TableOUCONMN[[#This Row],[Ver]]</f>
        <v>2</v>
      </c>
      <c r="C47" t="str">
        <f>IF(TableOUCONMN[[#This Row],[Ver]]&gt;0,_xlfn.TEXTBEFORE(TableOUCONMN[[#This Row],[Structure Line]]," "),"")</f>
        <v>CME306</v>
      </c>
      <c r="D47" t="str">
        <f>IF(TableOUCONMN[[#This Row],[OUA Code]]&lt;&gt;"",_xlfn.TEXTAFTER(TableOUCONMN[[#This Row],[Structure Line]]," "),TableOUCONMN[[#This Row],[Structure Line]])</f>
        <v>Construction Planning and Scheduling</v>
      </c>
      <c r="E47" s="28">
        <f>TableOUCONMN[[#This Row],[Credit Points]]</f>
        <v>25</v>
      </c>
      <c r="F47" s="38">
        <v>16</v>
      </c>
      <c r="G47" s="38" t="s">
        <v>366</v>
      </c>
      <c r="H47" s="110">
        <v>3</v>
      </c>
      <c r="I47" s="38" t="s">
        <v>367</v>
      </c>
      <c r="J47" s="38" t="s">
        <v>124</v>
      </c>
      <c r="K47" s="38">
        <v>2</v>
      </c>
      <c r="L47" s="38" t="s">
        <v>384</v>
      </c>
      <c r="M47" s="38">
        <v>25</v>
      </c>
      <c r="N47" s="58">
        <v>44927</v>
      </c>
      <c r="O47" s="58"/>
    </row>
    <row r="48" spans="1:15" x14ac:dyDescent="0.25">
      <c r="A48" t="str">
        <f>TableOUCONMN[[#This Row],[Study Package Code]]</f>
        <v>BLDG3026</v>
      </c>
      <c r="B48" s="2">
        <f>TableOUCONMN[[#This Row],[Ver]]</f>
        <v>4</v>
      </c>
      <c r="C48" t="str">
        <f>IF(TableOUCONMN[[#This Row],[Ver]]&gt;0,_xlfn.TEXTBEFORE(TableOUCONMN[[#This Row],[Structure Line]]," "),"")</f>
        <v>CME307</v>
      </c>
      <c r="D48" t="str">
        <f>IF(TableOUCONMN[[#This Row],[OUA Code]]&lt;&gt;"",_xlfn.TEXTAFTER(TableOUCONMN[[#This Row],[Structure Line]]," "),TableOUCONMN[[#This Row],[Structure Line]])</f>
        <v>Cost Management</v>
      </c>
      <c r="E48" s="28">
        <f>TableOUCONMN[[#This Row],[Credit Points]]</f>
        <v>25</v>
      </c>
      <c r="F48" s="38">
        <v>17</v>
      </c>
      <c r="G48" s="38" t="s">
        <v>366</v>
      </c>
      <c r="H48" s="110">
        <v>3</v>
      </c>
      <c r="I48" s="38" t="s">
        <v>367</v>
      </c>
      <c r="J48" s="38" t="s">
        <v>132</v>
      </c>
      <c r="K48" s="38">
        <v>4</v>
      </c>
      <c r="L48" s="38" t="s">
        <v>385</v>
      </c>
      <c r="M48" s="38">
        <v>25</v>
      </c>
      <c r="N48" s="58">
        <v>44927</v>
      </c>
      <c r="O48" s="58"/>
    </row>
    <row r="49" spans="1:18" x14ac:dyDescent="0.25">
      <c r="A49" t="str">
        <f>TableOUCONMN[[#This Row],[Study Package Code]]</f>
        <v>BLDG3033</v>
      </c>
      <c r="B49" s="2">
        <f>TableOUCONMN[[#This Row],[Ver]]</f>
        <v>1</v>
      </c>
      <c r="C49" t="str">
        <f>IF(TableOUCONMN[[#This Row],[Ver]]&gt;0,_xlfn.TEXTBEFORE(TableOUCONMN[[#This Row],[Structure Line]]," "),"")</f>
        <v>CME315</v>
      </c>
      <c r="D49" t="str">
        <f>IF(TableOUCONMN[[#This Row],[OUA Code]]&lt;&gt;"",_xlfn.TEXTAFTER(TableOUCONMN[[#This Row],[Structure Line]]," "),TableOUCONMN[[#This Row],[Structure Line]])</f>
        <v>Virtual Design and Construction</v>
      </c>
      <c r="E49" s="28">
        <f>TableOUCONMN[[#This Row],[Credit Points]]</f>
        <v>25</v>
      </c>
      <c r="F49">
        <v>18</v>
      </c>
      <c r="G49" t="s">
        <v>366</v>
      </c>
      <c r="H49" s="2">
        <v>3</v>
      </c>
      <c r="I49" t="s">
        <v>367</v>
      </c>
      <c r="J49" t="s">
        <v>133</v>
      </c>
      <c r="K49" s="38">
        <v>1</v>
      </c>
      <c r="L49" s="38" t="s">
        <v>386</v>
      </c>
      <c r="M49" s="38">
        <v>25</v>
      </c>
      <c r="N49" s="58">
        <v>44927</v>
      </c>
      <c r="O49" s="58"/>
    </row>
    <row r="50" spans="1:18" x14ac:dyDescent="0.25">
      <c r="A50" t="str">
        <f>TableOUCONMN[[#This Row],[Study Package Code]]</f>
        <v>BLDG3035</v>
      </c>
      <c r="B50" s="2">
        <f>TableOUCONMN[[#This Row],[Ver]]</f>
        <v>1</v>
      </c>
      <c r="C50" t="str">
        <f>IF(TableOUCONMN[[#This Row],[Ver]]&gt;0,_xlfn.TEXTBEFORE(TableOUCONMN[[#This Row],[Structure Line]]," "),"")</f>
        <v>CME325</v>
      </c>
      <c r="D50" t="str">
        <f>IF(TableOUCONMN[[#This Row],[OUA Code]]&lt;&gt;"",_xlfn.TEXTAFTER(TableOUCONMN[[#This Row],[Structure Line]]," "),TableOUCONMN[[#This Row],[Structure Line]])</f>
        <v>Sustainable Construction Practices in Building and Infrastructure</v>
      </c>
      <c r="E50" s="28">
        <f>TableOUCONMN[[#This Row],[Credit Points]]</f>
        <v>25</v>
      </c>
      <c r="F50">
        <v>19</v>
      </c>
      <c r="G50" t="s">
        <v>366</v>
      </c>
      <c r="H50" s="2">
        <v>3</v>
      </c>
      <c r="I50" t="s">
        <v>367</v>
      </c>
      <c r="J50" t="s">
        <v>129</v>
      </c>
      <c r="K50" s="38">
        <v>1</v>
      </c>
      <c r="L50" s="38" t="s">
        <v>387</v>
      </c>
      <c r="M50" s="38">
        <v>25</v>
      </c>
      <c r="N50" s="58">
        <v>44927</v>
      </c>
      <c r="O50" s="58"/>
    </row>
    <row r="51" spans="1:18" x14ac:dyDescent="0.25">
      <c r="A51" t="str">
        <f>TableOUCONMN[[#This Row],[Study Package Code]]</f>
        <v>BLDG3031</v>
      </c>
      <c r="B51" s="2">
        <f>TableOUCONMN[[#This Row],[Ver]]</f>
        <v>1</v>
      </c>
      <c r="C51" t="str">
        <f>IF(TableOUCONMN[[#This Row],[Ver]]&gt;0,_xlfn.TEXTBEFORE(TableOUCONMN[[#This Row],[Structure Line]]," "),"")</f>
        <v>CME390</v>
      </c>
      <c r="D51" t="str">
        <f>IF(TableOUCONMN[[#This Row],[OUA Code]]&lt;&gt;"",_xlfn.TEXTAFTER(TableOUCONMN[[#This Row],[Structure Line]]," "),TableOUCONMN[[#This Row],[Structure Line]])</f>
        <v>Construction Contracts and Procurement</v>
      </c>
      <c r="E51" s="28">
        <f>TableOUCONMN[[#This Row],[Credit Points]]</f>
        <v>25</v>
      </c>
      <c r="F51">
        <v>20</v>
      </c>
      <c r="G51" t="s">
        <v>366</v>
      </c>
      <c r="H51" s="2">
        <v>3</v>
      </c>
      <c r="I51" t="s">
        <v>367</v>
      </c>
      <c r="J51" t="s">
        <v>127</v>
      </c>
      <c r="K51" s="38">
        <v>1</v>
      </c>
      <c r="L51" s="38" t="s">
        <v>388</v>
      </c>
      <c r="M51" s="38">
        <v>25</v>
      </c>
      <c r="N51" s="58">
        <v>44927</v>
      </c>
      <c r="O51" s="58"/>
    </row>
    <row r="52" spans="1:18" x14ac:dyDescent="0.25">
      <c r="A52" t="str">
        <f>TableOUCONMN[[#This Row],[Study Package Code]]</f>
        <v>URDE3011</v>
      </c>
      <c r="B52" s="2">
        <f>TableOUCONMN[[#This Row],[Ver]]</f>
        <v>1</v>
      </c>
      <c r="C52" t="str">
        <f>IF(TableOUCONMN[[#This Row],[Ver]]&gt;0,_xlfn.TEXTBEFORE(TableOUCONMN[[#This Row],[Structure Line]]," "),"")</f>
        <v>DBE300</v>
      </c>
      <c r="D52" t="str">
        <f>IF(TableOUCONMN[[#This Row],[OUA Code]]&lt;&gt;"",_xlfn.TEXTAFTER(TableOUCONMN[[#This Row],[Structure Line]]," "),TableOUCONMN[[#This Row],[Structure Line]])</f>
        <v>Design and Built Environment Research Methods</v>
      </c>
      <c r="E52" s="28">
        <f>TableOUCONMN[[#This Row],[Credit Points]]</f>
        <v>25</v>
      </c>
      <c r="F52">
        <v>21</v>
      </c>
      <c r="G52" t="s">
        <v>366</v>
      </c>
      <c r="H52" s="2">
        <v>3</v>
      </c>
      <c r="I52" t="s">
        <v>367</v>
      </c>
      <c r="J52" t="s">
        <v>131</v>
      </c>
      <c r="K52" s="38">
        <v>1</v>
      </c>
      <c r="L52" s="38" t="s">
        <v>389</v>
      </c>
      <c r="M52" s="38">
        <v>25</v>
      </c>
      <c r="N52" s="58">
        <v>44562</v>
      </c>
      <c r="O52" s="58"/>
    </row>
    <row r="53" spans="1:18" x14ac:dyDescent="0.25">
      <c r="A53" t="str">
        <f>TableOUCONMN[[#This Row],[Study Package Code]]</f>
        <v>4th Year Stream</v>
      </c>
      <c r="B53" s="2">
        <f>TableOUCONMN[[#This Row],[Ver]]</f>
        <v>0</v>
      </c>
      <c r="C53" t="str">
        <f>IF(TableOUCONMN[[#This Row],[Ver]]&gt;0,_xlfn.TEXTBEFORE(TableOUCONMN[[#This Row],[Structure Line]]," "),"")</f>
        <v/>
      </c>
      <c r="D53" t="str">
        <f>IF(TableOUCONMN[[#This Row],[OUA Code]]&lt;&gt;"",_xlfn.TEXTAFTER(TableOUCONMN[[#This Row],[Structure Line]]," "),TableOUCONMN[[#This Row],[Structure Line]])</f>
        <v>Alternate Cores for OUSU-CONMN Construction Management Fourth Year Stream (OpenUnis)</v>
      </c>
      <c r="E53" s="28">
        <f>TableOUCONMN[[#This Row],[Credit Points]]</f>
        <v>200</v>
      </c>
      <c r="F53">
        <v>22</v>
      </c>
      <c r="G53" t="s">
        <v>390</v>
      </c>
      <c r="H53" s="2">
        <v>4</v>
      </c>
      <c r="I53" t="s">
        <v>367</v>
      </c>
      <c r="J53" t="s">
        <v>204</v>
      </c>
      <c r="K53" s="38">
        <v>0</v>
      </c>
      <c r="L53" s="38" t="s">
        <v>205</v>
      </c>
      <c r="M53" s="38">
        <v>200</v>
      </c>
      <c r="N53" s="58"/>
      <c r="O53" s="58"/>
    </row>
    <row r="54" spans="1:18" x14ac:dyDescent="0.25">
      <c r="A54" t="str">
        <f>TableOUCONMN[[#This Row],[Study Package Code]]</f>
        <v>OSCU-ANGAD</v>
      </c>
      <c r="B54" s="2">
        <f>TableOUCONMN[[#This Row],[Ver]]</f>
        <v>2</v>
      </c>
      <c r="D54" t="str">
        <f>IF(TableOUCONMN[[#This Row],[OUA Code]]&lt;&gt;"",_xlfn.TEXTAFTER(TableOUCONMN[[#This Row],[Structure Line]]," "),TableOUCONMN[[#This Row],[Structure Line]])</f>
        <v>Animation and Game Architecture Design Specialisation (OpenUnis)</v>
      </c>
      <c r="E54" s="28">
        <f>TableOUCONMN[[#This Row],[Credit Points]]</f>
        <v>100</v>
      </c>
      <c r="F54">
        <v>15</v>
      </c>
      <c r="G54" t="s">
        <v>383</v>
      </c>
      <c r="H54" s="2">
        <v>3</v>
      </c>
      <c r="I54" t="s">
        <v>367</v>
      </c>
      <c r="J54" t="s">
        <v>77</v>
      </c>
      <c r="K54" s="38">
        <v>2</v>
      </c>
      <c r="L54" s="38" t="s">
        <v>76</v>
      </c>
      <c r="M54" s="38">
        <v>100</v>
      </c>
      <c r="N54" s="58">
        <v>46023</v>
      </c>
      <c r="O54" s="58"/>
    </row>
    <row r="55" spans="1:18" x14ac:dyDescent="0.25">
      <c r="A55" t="str">
        <f>TableOUCONMN[[#This Row],[Study Package Code]]</f>
        <v>OSCU-INARS</v>
      </c>
      <c r="B55" s="2">
        <f>TableOUCONMN[[#This Row],[Ver]]</f>
        <v>3</v>
      </c>
      <c r="D55" t="str">
        <f>IF(TableOUCONMN[[#This Row],[OUA Code]]&lt;&gt;"",_xlfn.TEXTAFTER(TableOUCONMN[[#This Row],[Structure Line]]," "),TableOUCONMN[[#This Row],[Structure Line]])</f>
        <v>Interior Architecture Specialisation (OpenUnis)</v>
      </c>
      <c r="E55" s="28">
        <f>TableOUCONMN[[#This Row],[Credit Points]]</f>
        <v>100</v>
      </c>
      <c r="F55">
        <v>15</v>
      </c>
      <c r="G55" t="s">
        <v>383</v>
      </c>
      <c r="H55" s="2">
        <v>3</v>
      </c>
      <c r="I55" t="s">
        <v>367</v>
      </c>
      <c r="J55" t="s">
        <v>80</v>
      </c>
      <c r="K55" s="38">
        <v>3</v>
      </c>
      <c r="L55" s="38" t="s">
        <v>79</v>
      </c>
      <c r="M55" s="38">
        <v>100</v>
      </c>
      <c r="N55" s="58">
        <v>45292</v>
      </c>
      <c r="O55" s="58"/>
    </row>
    <row r="56" spans="1:18" x14ac:dyDescent="0.25">
      <c r="A56" t="str">
        <f>TableOUCONMN[[#This Row],[Study Package Code]]</f>
        <v>OSCU-PLGEO</v>
      </c>
      <c r="B56" s="2">
        <f>TableOUCONMN[[#This Row],[Ver]]</f>
        <v>1</v>
      </c>
      <c r="D56" t="str">
        <f>IF(TableOUCONMN[[#This Row],[OUA Code]]&lt;&gt;"",_xlfn.TEXTAFTER(TableOUCONMN[[#This Row],[Structure Line]]," "),TableOUCONMN[[#This Row],[Structure Line]])</f>
        <v>Planning and Geography Specialisation (OpenUnis)</v>
      </c>
      <c r="E56" s="28">
        <f>TableOUCONMN[[#This Row],[Credit Points]]</f>
        <v>100</v>
      </c>
      <c r="F56">
        <v>15</v>
      </c>
      <c r="G56" t="s">
        <v>383</v>
      </c>
      <c r="H56" s="2">
        <v>3</v>
      </c>
      <c r="I56" t="s">
        <v>367</v>
      </c>
      <c r="J56" t="s">
        <v>82</v>
      </c>
      <c r="K56" s="38">
        <v>1</v>
      </c>
      <c r="L56" s="38" t="s">
        <v>81</v>
      </c>
      <c r="M56" s="38">
        <v>100</v>
      </c>
      <c r="N56" s="58">
        <v>44743</v>
      </c>
      <c r="O56" s="58"/>
    </row>
    <row r="57" spans="1:18" x14ac:dyDescent="0.25">
      <c r="A57" t="str">
        <f>TableOUCONMN[[#This Row],[Study Package Code]]</f>
        <v>OUSH-CONMN</v>
      </c>
      <c r="B57" s="2">
        <f>TableOUCONMN[[#This Row],[Ver]]</f>
        <v>2</v>
      </c>
      <c r="D57" t="str">
        <f>IF(TableOUCONMN[[#This Row],[OUA Code]]&lt;&gt;"",_xlfn.TEXTAFTER(TableOUCONMN[[#This Row],[Structure Line]]," "),TableOUCONMN[[#This Row],[Structure Line]])</f>
        <v>Honours Construction Management Stream (OUA)</v>
      </c>
      <c r="E57" s="28">
        <f>TableOUCONMN[[#This Row],[Credit Points]]</f>
        <v>200</v>
      </c>
      <c r="F57">
        <v>22</v>
      </c>
      <c r="G57" t="s">
        <v>390</v>
      </c>
      <c r="H57" s="2">
        <v>4</v>
      </c>
      <c r="I57" t="s">
        <v>367</v>
      </c>
      <c r="J57" t="s">
        <v>74</v>
      </c>
      <c r="K57" s="38">
        <v>2</v>
      </c>
      <c r="L57" s="38" t="s">
        <v>73</v>
      </c>
      <c r="M57" s="38">
        <v>200</v>
      </c>
      <c r="N57" s="58">
        <v>45292</v>
      </c>
      <c r="O57" s="58"/>
    </row>
    <row r="58" spans="1:18" x14ac:dyDescent="0.25">
      <c r="A58" t="str">
        <f>TableOUCONMN[[#This Row],[Study Package Code]]</f>
        <v>OUSU-CONMN</v>
      </c>
      <c r="B58" s="2">
        <f>TableOUCONMN[[#This Row],[Ver]]</f>
        <v>2</v>
      </c>
      <c r="D58" t="str">
        <f>IF(TableOUCONMN[[#This Row],[OUA Code]]&lt;&gt;"",_xlfn.TEXTAFTER(TableOUCONMN[[#This Row],[Structure Line]]," "),TableOUCONMN[[#This Row],[Structure Line]])</f>
        <v>Construction Management Fourth Year Stream (OUA)</v>
      </c>
      <c r="E58" s="28">
        <f>TableOUCONMN[[#This Row],[Credit Points]]</f>
        <v>200</v>
      </c>
      <c r="F58">
        <v>22</v>
      </c>
      <c r="G58" t="s">
        <v>390</v>
      </c>
      <c r="H58" s="2">
        <v>4</v>
      </c>
      <c r="I58" t="s">
        <v>367</v>
      </c>
      <c r="J58" t="s">
        <v>70</v>
      </c>
      <c r="K58" s="38">
        <v>2</v>
      </c>
      <c r="L58" s="38" t="s">
        <v>69</v>
      </c>
      <c r="M58" s="38">
        <v>200</v>
      </c>
      <c r="N58" s="58">
        <v>45292</v>
      </c>
      <c r="O58" s="58"/>
    </row>
    <row r="59" spans="1:18" x14ac:dyDescent="0.25">
      <c r="H59" s="2"/>
      <c r="K59" s="38"/>
      <c r="L59" s="38"/>
      <c r="M59" s="38"/>
      <c r="N59" s="58"/>
      <c r="O59" s="58"/>
    </row>
    <row r="60" spans="1:18" x14ac:dyDescent="0.25">
      <c r="B60"/>
      <c r="E60" s="27"/>
      <c r="F60" s="119"/>
      <c r="G60" s="104" t="s">
        <v>354</v>
      </c>
      <c r="H60" s="109">
        <v>45968</v>
      </c>
      <c r="I60" s="120"/>
      <c r="J60" s="119" t="s">
        <v>74</v>
      </c>
      <c r="K60" s="103">
        <v>2</v>
      </c>
      <c r="L60" s="119" t="s">
        <v>73</v>
      </c>
      <c r="M60" s="120"/>
      <c r="N60" s="121" t="s">
        <v>392</v>
      </c>
      <c r="O60" s="105"/>
    </row>
    <row r="61" spans="1:18" x14ac:dyDescent="0.25">
      <c r="A61" t="s">
        <v>0</v>
      </c>
      <c r="B61" s="2" t="s">
        <v>355</v>
      </c>
      <c r="C61" t="s">
        <v>26</v>
      </c>
      <c r="D61" t="s">
        <v>3</v>
      </c>
      <c r="E61" s="28" t="s">
        <v>356</v>
      </c>
      <c r="F61" t="s">
        <v>357</v>
      </c>
      <c r="G61" t="s">
        <v>358</v>
      </c>
      <c r="H61" s="2" t="s">
        <v>359</v>
      </c>
      <c r="I61" t="s">
        <v>4</v>
      </c>
      <c r="J61" t="s">
        <v>360</v>
      </c>
      <c r="K61" t="s">
        <v>1</v>
      </c>
      <c r="L61" t="s">
        <v>361</v>
      </c>
      <c r="M61" t="s">
        <v>48</v>
      </c>
      <c r="N61" t="s">
        <v>362</v>
      </c>
      <c r="O61" t="s">
        <v>363</v>
      </c>
      <c r="Q61" t="s">
        <v>364</v>
      </c>
      <c r="R61" t="s">
        <v>365</v>
      </c>
    </row>
    <row r="62" spans="1:18" x14ac:dyDescent="0.25">
      <c r="A62" t="str">
        <f>TableOUSHCONMN[[#This Row],[Study Package Code]]</f>
        <v>BLDG4002</v>
      </c>
      <c r="B62" s="2">
        <f>TableOUSHCONMN[[#This Row],[Ver]]</f>
        <v>2</v>
      </c>
      <c r="C62" t="str">
        <f>IF(TableOUSHCONMN[[#This Row],[Ver]]&gt;0,_xlfn.TEXTBEFORE(TableOUSHCONMN[[#This Row],[Structure Line]]," "),"")</f>
        <v>CME408</v>
      </c>
      <c r="D62" t="str">
        <f>IF(TableOUSHCONMN[[#This Row],[OUA Code]]&lt;&gt;"",_xlfn.TEXTAFTER(TableOUSHCONMN[[#This Row],[Structure Line]]," "),TableOUSHCONMN[[#This Row],[Structure Line]])</f>
        <v>Building Dissertation 1</v>
      </c>
      <c r="E62" s="28">
        <f>TableOUSHCONMN[[#This Row],[Credit Points]]</f>
        <v>25</v>
      </c>
      <c r="F62">
        <v>1</v>
      </c>
      <c r="G62" t="s">
        <v>366</v>
      </c>
      <c r="H62" s="2">
        <v>4</v>
      </c>
      <c r="I62" t="s">
        <v>367</v>
      </c>
      <c r="J62" t="s">
        <v>153</v>
      </c>
      <c r="K62" s="38">
        <v>2</v>
      </c>
      <c r="L62" s="38" t="s">
        <v>393</v>
      </c>
      <c r="M62" s="38">
        <v>25</v>
      </c>
      <c r="N62" s="58">
        <v>42370</v>
      </c>
      <c r="O62" s="58"/>
      <c r="Q62" t="s">
        <v>153</v>
      </c>
      <c r="R62">
        <v>2</v>
      </c>
    </row>
    <row r="63" spans="1:18" x14ac:dyDescent="0.25">
      <c r="A63" t="str">
        <f>TableOUSHCONMN[[#This Row],[Study Package Code]]</f>
        <v>BLDG4029</v>
      </c>
      <c r="B63" s="2">
        <f>TableOUSHCONMN[[#This Row],[Ver]]</f>
        <v>1</v>
      </c>
      <c r="C63" t="str">
        <f>IF(TableOUSHCONMN[[#This Row],[Ver]]&gt;0,_xlfn.TEXTBEFORE(TableOUSHCONMN[[#This Row],[Structure Line]]," "),"")</f>
        <v>CME415</v>
      </c>
      <c r="D63" t="str">
        <f>IF(TableOUSHCONMN[[#This Row],[OUA Code]]&lt;&gt;"",_xlfn.TEXTAFTER(TableOUSHCONMN[[#This Row],[Structure Line]]," "),TableOUSHCONMN[[#This Row],[Structure Line]])</f>
        <v>Contract Administration</v>
      </c>
      <c r="E63" s="28">
        <f>TableOUSHCONMN[[#This Row],[Credit Points]]</f>
        <v>25</v>
      </c>
      <c r="F63">
        <v>2</v>
      </c>
      <c r="G63" t="s">
        <v>366</v>
      </c>
      <c r="H63" s="2">
        <v>4</v>
      </c>
      <c r="I63" t="s">
        <v>367</v>
      </c>
      <c r="J63" t="s">
        <v>151</v>
      </c>
      <c r="K63" s="38">
        <v>1</v>
      </c>
      <c r="L63" s="38" t="s">
        <v>394</v>
      </c>
      <c r="M63" s="38">
        <v>25</v>
      </c>
      <c r="N63" s="58">
        <v>43466</v>
      </c>
      <c r="O63" s="58"/>
      <c r="Q63" t="s">
        <v>151</v>
      </c>
      <c r="R63">
        <v>1</v>
      </c>
    </row>
    <row r="64" spans="1:18" x14ac:dyDescent="0.25">
      <c r="A64" t="str">
        <f>TableOUSHCONMN[[#This Row],[Study Package Code]]</f>
        <v>BLDG4024</v>
      </c>
      <c r="B64" s="2">
        <f>TableOUSHCONMN[[#This Row],[Ver]]</f>
        <v>3</v>
      </c>
      <c r="C64" t="str">
        <f>IF(TableOUSHCONMN[[#This Row],[Ver]]&gt;0,_xlfn.TEXTBEFORE(TableOUSHCONMN[[#This Row],[Structure Line]]," "),"")</f>
        <v>CME403</v>
      </c>
      <c r="D64" t="str">
        <f>IF(TableOUSHCONMN[[#This Row],[OUA Code]]&lt;&gt;"",_xlfn.TEXTAFTER(TableOUSHCONMN[[#This Row],[Structure Line]]," "),TableOUSHCONMN[[#This Row],[Structure Line]])</f>
        <v>Integrated Construction Project 1</v>
      </c>
      <c r="E64" s="28">
        <f>TableOUSHCONMN[[#This Row],[Credit Points]]</f>
        <v>25</v>
      </c>
      <c r="F64">
        <v>3</v>
      </c>
      <c r="G64" t="s">
        <v>366</v>
      </c>
      <c r="H64" s="2">
        <v>4</v>
      </c>
      <c r="I64" t="s">
        <v>367</v>
      </c>
      <c r="J64" t="s">
        <v>144</v>
      </c>
      <c r="K64" s="38">
        <v>3</v>
      </c>
      <c r="L64" s="38" t="s">
        <v>395</v>
      </c>
      <c r="M64" s="38">
        <v>25</v>
      </c>
      <c r="N64" s="58">
        <v>44927</v>
      </c>
      <c r="O64" s="58"/>
      <c r="Q64" t="s">
        <v>144</v>
      </c>
      <c r="R64">
        <v>3</v>
      </c>
    </row>
    <row r="65" spans="1:18" x14ac:dyDescent="0.25">
      <c r="A65" t="str">
        <f>TableOUSHCONMN[[#This Row],[Study Package Code]]</f>
        <v>BLDG4025</v>
      </c>
      <c r="B65" s="2">
        <f>TableOUSHCONMN[[#This Row],[Ver]]</f>
        <v>2</v>
      </c>
      <c r="C65" t="str">
        <f>IF(TableOUSHCONMN[[#This Row],[Ver]]&gt;0,_xlfn.TEXTBEFORE(TableOUSHCONMN[[#This Row],[Structure Line]]," "),"")</f>
        <v>CME402</v>
      </c>
      <c r="D65" t="str">
        <f>IF(TableOUSHCONMN[[#This Row],[OUA Code]]&lt;&gt;"",_xlfn.TEXTAFTER(TableOUSHCONMN[[#This Row],[Structure Line]]," "),TableOUSHCONMN[[#This Row],[Structure Line]])</f>
        <v>Project Risk and Development Appraisal</v>
      </c>
      <c r="E65" s="28">
        <f>TableOUSHCONMN[[#This Row],[Credit Points]]</f>
        <v>25</v>
      </c>
      <c r="F65">
        <v>4</v>
      </c>
      <c r="G65" t="s">
        <v>366</v>
      </c>
      <c r="H65" s="2">
        <v>4</v>
      </c>
      <c r="I65" t="s">
        <v>367</v>
      </c>
      <c r="J65" t="s">
        <v>149</v>
      </c>
      <c r="K65" s="38">
        <v>2</v>
      </c>
      <c r="L65" s="38" t="s">
        <v>396</v>
      </c>
      <c r="M65" s="38">
        <v>25</v>
      </c>
      <c r="N65" s="58">
        <v>45658</v>
      </c>
      <c r="O65" s="58"/>
      <c r="Q65" t="s">
        <v>149</v>
      </c>
      <c r="R65">
        <v>1</v>
      </c>
    </row>
    <row r="66" spans="1:18" x14ac:dyDescent="0.25">
      <c r="A66" t="str">
        <f>TableOUSHCONMN[[#This Row],[Study Package Code]]</f>
        <v>BLDG4003</v>
      </c>
      <c r="B66" s="2">
        <f>TableOUSHCONMN[[#This Row],[Ver]]</f>
        <v>2</v>
      </c>
      <c r="C66" t="str">
        <f>IF(TableOUSHCONMN[[#This Row],[Ver]]&gt;0,_xlfn.TEXTBEFORE(TableOUSHCONMN[[#This Row],[Structure Line]]," "),"")</f>
        <v>CME409</v>
      </c>
      <c r="D66" t="str">
        <f>IF(TableOUSHCONMN[[#This Row],[OUA Code]]&lt;&gt;"",_xlfn.TEXTAFTER(TableOUSHCONMN[[#This Row],[Structure Line]]," "),TableOUSHCONMN[[#This Row],[Structure Line]])</f>
        <v>Building Dissertation 2</v>
      </c>
      <c r="E66" s="28">
        <f>TableOUSHCONMN[[#This Row],[Credit Points]]</f>
        <v>50</v>
      </c>
      <c r="F66">
        <v>5</v>
      </c>
      <c r="G66" t="s">
        <v>366</v>
      </c>
      <c r="H66" s="2">
        <v>4</v>
      </c>
      <c r="I66" t="s">
        <v>367</v>
      </c>
      <c r="J66" t="s">
        <v>155</v>
      </c>
      <c r="K66" s="38">
        <v>2</v>
      </c>
      <c r="L66" s="38" t="s">
        <v>397</v>
      </c>
      <c r="M66" s="38">
        <v>50</v>
      </c>
      <c r="N66" s="58">
        <v>42370</v>
      </c>
      <c r="O66" s="58"/>
      <c r="Q66" t="s">
        <v>155</v>
      </c>
      <c r="R66">
        <v>2</v>
      </c>
    </row>
    <row r="67" spans="1:18" x14ac:dyDescent="0.25">
      <c r="A67" t="str">
        <f>TableOUSHCONMN[[#This Row],[Study Package Code]]</f>
        <v>BLDG4017</v>
      </c>
      <c r="B67" s="2">
        <f>TableOUSHCONMN[[#This Row],[Ver]]</f>
        <v>2</v>
      </c>
      <c r="C67" t="str">
        <f>IF(TableOUSHCONMN[[#This Row],[Ver]]&gt;0,_xlfn.TEXTBEFORE(TableOUSHCONMN[[#This Row],[Structure Line]]," "),"")</f>
        <v>CME404</v>
      </c>
      <c r="D67" t="str">
        <f>IF(TableOUSHCONMN[[#This Row],[OUA Code]]&lt;&gt;"",_xlfn.TEXTAFTER(TableOUSHCONMN[[#This Row],[Structure Line]]," "),TableOUSHCONMN[[#This Row],[Structure Line]])</f>
        <v>Facilities and Asset Management</v>
      </c>
      <c r="E67" s="28">
        <f>TableOUSHCONMN[[#This Row],[Credit Points]]</f>
        <v>25</v>
      </c>
      <c r="F67">
        <v>6</v>
      </c>
      <c r="G67" t="s">
        <v>366</v>
      </c>
      <c r="H67" s="2">
        <v>4</v>
      </c>
      <c r="I67" t="s">
        <v>367</v>
      </c>
      <c r="J67" t="s">
        <v>152</v>
      </c>
      <c r="K67" s="38">
        <v>2</v>
      </c>
      <c r="L67" s="38" t="s">
        <v>398</v>
      </c>
      <c r="M67" s="38">
        <v>25</v>
      </c>
      <c r="N67" s="58">
        <v>45108</v>
      </c>
      <c r="O67" s="58"/>
      <c r="Q67" t="s">
        <v>152</v>
      </c>
      <c r="R67">
        <v>2</v>
      </c>
    </row>
    <row r="68" spans="1:18" x14ac:dyDescent="0.25">
      <c r="A68" t="str">
        <f>TableOUSHCONMN[[#This Row],[Study Package Code]]</f>
        <v>BLDG4035</v>
      </c>
      <c r="B68" s="2">
        <f>TableOUSHCONMN[[#This Row],[Ver]]</f>
        <v>1</v>
      </c>
      <c r="C68" t="str">
        <f>IF(TableOUSHCONMN[[#This Row],[Ver]]&gt;0,_xlfn.TEXTBEFORE(TableOUSHCONMN[[#This Row],[Structure Line]]," "),"")</f>
        <v>CME425</v>
      </c>
      <c r="D68" t="str">
        <f>IF(TableOUSHCONMN[[#This Row],[OUA Code]]&lt;&gt;"",_xlfn.TEXTAFTER(TableOUSHCONMN[[#This Row],[Structure Line]]," "),TableOUSHCONMN[[#This Row],[Structure Line]])</f>
        <v>Engineering Measurement</v>
      </c>
      <c r="E68" s="28">
        <f>TableOUSHCONMN[[#This Row],[Credit Points]]</f>
        <v>25</v>
      </c>
      <c r="F68">
        <v>7</v>
      </c>
      <c r="G68" t="s">
        <v>366</v>
      </c>
      <c r="H68" s="2">
        <v>4</v>
      </c>
      <c r="I68" t="s">
        <v>367</v>
      </c>
      <c r="J68" t="s">
        <v>146</v>
      </c>
      <c r="K68" s="38">
        <v>1</v>
      </c>
      <c r="L68" s="38" t="s">
        <v>399</v>
      </c>
      <c r="M68" s="38">
        <v>25</v>
      </c>
      <c r="N68" s="58">
        <v>44927</v>
      </c>
      <c r="O68" s="58"/>
      <c r="Q68" t="s">
        <v>146</v>
      </c>
      <c r="R68">
        <v>1</v>
      </c>
    </row>
    <row r="69" spans="1:18" x14ac:dyDescent="0.25">
      <c r="B69"/>
      <c r="E69"/>
      <c r="F69" s="119"/>
      <c r="G69" s="104" t="s">
        <v>354</v>
      </c>
      <c r="H69" s="109">
        <v>45968</v>
      </c>
      <c r="I69" s="120"/>
      <c r="J69" s="119" t="s">
        <v>70</v>
      </c>
      <c r="K69" s="103">
        <v>2</v>
      </c>
      <c r="L69" s="119" t="s">
        <v>69</v>
      </c>
      <c r="M69" s="120"/>
      <c r="N69" s="70">
        <v>43466</v>
      </c>
      <c r="O69" s="105"/>
    </row>
    <row r="70" spans="1:18" x14ac:dyDescent="0.25">
      <c r="A70" t="s">
        <v>0</v>
      </c>
      <c r="B70" s="2" t="s">
        <v>355</v>
      </c>
      <c r="C70" t="s">
        <v>26</v>
      </c>
      <c r="D70" t="s">
        <v>3</v>
      </c>
      <c r="E70" s="28" t="s">
        <v>356</v>
      </c>
      <c r="F70" t="s">
        <v>357</v>
      </c>
      <c r="G70" t="s">
        <v>358</v>
      </c>
      <c r="H70" s="2" t="s">
        <v>359</v>
      </c>
      <c r="I70" t="s">
        <v>4</v>
      </c>
      <c r="J70" t="s">
        <v>360</v>
      </c>
      <c r="K70" t="s">
        <v>1</v>
      </c>
      <c r="L70" t="s">
        <v>361</v>
      </c>
      <c r="M70" t="s">
        <v>48</v>
      </c>
      <c r="N70" t="s">
        <v>362</v>
      </c>
      <c r="O70" t="s">
        <v>363</v>
      </c>
      <c r="Q70" t="s">
        <v>364</v>
      </c>
      <c r="R70" t="s">
        <v>365</v>
      </c>
    </row>
    <row r="71" spans="1:18" x14ac:dyDescent="0.25">
      <c r="A71" t="str">
        <f>TableOUSUCONMN[[#This Row],[Study Package Code]]</f>
        <v>BLDG4020</v>
      </c>
      <c r="B71" s="2">
        <f>TableOUSUCONMN[[#This Row],[Ver]]</f>
        <v>3</v>
      </c>
      <c r="C71" t="str">
        <f>IF(TableOUSUCONMN[[#This Row],[Ver]]&gt;0,_xlfn.TEXTBEFORE(TableOUSUCONMN[[#This Row],[Structure Line]]," "),"")</f>
        <v>CME405</v>
      </c>
      <c r="D71" t="str">
        <f>IF(TableOUSUCONMN[[#This Row],[OUA Code]]&lt;&gt;"",_xlfn.TEXTAFTER(TableOUSUCONMN[[#This Row],[Structure Line]]," "),TableOUSUCONMN[[#This Row],[Structure Line]])</f>
        <v>Professional Practice in Construction</v>
      </c>
      <c r="E71" s="28">
        <f>TableOUSUCONMN[[#This Row],[Credit Points]]</f>
        <v>25</v>
      </c>
      <c r="F71">
        <v>1</v>
      </c>
      <c r="G71" t="s">
        <v>366</v>
      </c>
      <c r="H71" s="2">
        <v>4</v>
      </c>
      <c r="I71" t="s">
        <v>367</v>
      </c>
      <c r="J71" t="s">
        <v>150</v>
      </c>
      <c r="K71" s="38">
        <v>3</v>
      </c>
      <c r="L71" s="38" t="s">
        <v>400</v>
      </c>
      <c r="M71" s="38">
        <v>25</v>
      </c>
      <c r="N71" s="58">
        <v>45658</v>
      </c>
      <c r="O71" s="58"/>
      <c r="Q71" t="s">
        <v>150</v>
      </c>
      <c r="R71">
        <v>2</v>
      </c>
    </row>
    <row r="72" spans="1:18" x14ac:dyDescent="0.25">
      <c r="A72" t="str">
        <f>TableOUSUCONMN[[#This Row],[Study Package Code]]</f>
        <v>BLDG4024</v>
      </c>
      <c r="B72" s="2">
        <f>TableOUSUCONMN[[#This Row],[Ver]]</f>
        <v>3</v>
      </c>
      <c r="C72" t="str">
        <f>IF(TableOUSUCONMN[[#This Row],[Ver]]&gt;0,_xlfn.TEXTBEFORE(TableOUSUCONMN[[#This Row],[Structure Line]]," "),"")</f>
        <v>CME403</v>
      </c>
      <c r="D72" t="str">
        <f>IF(TableOUSUCONMN[[#This Row],[OUA Code]]&lt;&gt;"",_xlfn.TEXTAFTER(TableOUSUCONMN[[#This Row],[Structure Line]]," "),TableOUSUCONMN[[#This Row],[Structure Line]])</f>
        <v>Integrated Construction Project 1</v>
      </c>
      <c r="E72" s="28">
        <f>TableOUSUCONMN[[#This Row],[Credit Points]]</f>
        <v>25</v>
      </c>
      <c r="F72">
        <v>2</v>
      </c>
      <c r="G72" t="s">
        <v>366</v>
      </c>
      <c r="H72" s="2">
        <v>4</v>
      </c>
      <c r="I72" t="s">
        <v>367</v>
      </c>
      <c r="J72" t="s">
        <v>144</v>
      </c>
      <c r="K72" s="38">
        <v>3</v>
      </c>
      <c r="L72" s="38" t="s">
        <v>395</v>
      </c>
      <c r="M72" s="38">
        <v>25</v>
      </c>
      <c r="N72" s="58">
        <v>44927</v>
      </c>
      <c r="O72" s="58"/>
      <c r="Q72" t="s">
        <v>144</v>
      </c>
      <c r="R72">
        <v>3</v>
      </c>
    </row>
    <row r="73" spans="1:18" x14ac:dyDescent="0.25">
      <c r="A73" t="str">
        <f>TableOUSUCONMN[[#This Row],[Study Package Code]]</f>
        <v>BLDG4025</v>
      </c>
      <c r="B73" s="2">
        <f>TableOUSUCONMN[[#This Row],[Ver]]</f>
        <v>2</v>
      </c>
      <c r="C73" t="str">
        <f>IF(TableOUSUCONMN[[#This Row],[Ver]]&gt;0,_xlfn.TEXTBEFORE(TableOUSUCONMN[[#This Row],[Structure Line]]," "),"")</f>
        <v>CME402</v>
      </c>
      <c r="D73" t="str">
        <f>IF(TableOUSUCONMN[[#This Row],[OUA Code]]&lt;&gt;"",_xlfn.TEXTAFTER(TableOUSUCONMN[[#This Row],[Structure Line]]," "),TableOUSUCONMN[[#This Row],[Structure Line]])</f>
        <v>Project Risk and Development Appraisal</v>
      </c>
      <c r="E73" s="28">
        <f>TableOUSUCONMN[[#This Row],[Credit Points]]</f>
        <v>25</v>
      </c>
      <c r="F73">
        <v>3</v>
      </c>
      <c r="G73" t="s">
        <v>366</v>
      </c>
      <c r="H73" s="2">
        <v>4</v>
      </c>
      <c r="I73" t="s">
        <v>367</v>
      </c>
      <c r="J73" t="s">
        <v>149</v>
      </c>
      <c r="K73" s="38">
        <v>2</v>
      </c>
      <c r="L73" s="38" t="s">
        <v>396</v>
      </c>
      <c r="M73" s="38">
        <v>25</v>
      </c>
      <c r="N73" s="58">
        <v>45658</v>
      </c>
      <c r="O73" s="58"/>
      <c r="Q73" t="s">
        <v>149</v>
      </c>
      <c r="R73">
        <v>1</v>
      </c>
    </row>
    <row r="74" spans="1:18" x14ac:dyDescent="0.25">
      <c r="A74" t="str">
        <f>TableOUSUCONMN[[#This Row],[Study Package Code]]</f>
        <v>BLDG4029</v>
      </c>
      <c r="B74" s="2">
        <f>TableOUSUCONMN[[#This Row],[Ver]]</f>
        <v>1</v>
      </c>
      <c r="C74" t="str">
        <f>IF(TableOUSUCONMN[[#This Row],[Ver]]&gt;0,_xlfn.TEXTBEFORE(TableOUSUCONMN[[#This Row],[Structure Line]]," "),"")</f>
        <v>CME415</v>
      </c>
      <c r="D74" t="str">
        <f>IF(TableOUSUCONMN[[#This Row],[OUA Code]]&lt;&gt;"",_xlfn.TEXTAFTER(TableOUSUCONMN[[#This Row],[Structure Line]]," "),TableOUSUCONMN[[#This Row],[Structure Line]])</f>
        <v>Contract Administration</v>
      </c>
      <c r="E74" s="28">
        <f>TableOUSUCONMN[[#This Row],[Credit Points]]</f>
        <v>25</v>
      </c>
      <c r="F74">
        <v>4</v>
      </c>
      <c r="G74" t="s">
        <v>366</v>
      </c>
      <c r="H74" s="2">
        <v>4</v>
      </c>
      <c r="I74" t="s">
        <v>367</v>
      </c>
      <c r="J74" t="s">
        <v>151</v>
      </c>
      <c r="K74" s="38">
        <v>1</v>
      </c>
      <c r="L74" s="38" t="s">
        <v>394</v>
      </c>
      <c r="M74" s="38">
        <v>25</v>
      </c>
      <c r="N74" s="58">
        <v>43466</v>
      </c>
      <c r="O74" s="58"/>
      <c r="Q74" t="s">
        <v>151</v>
      </c>
      <c r="R74">
        <v>1</v>
      </c>
    </row>
    <row r="75" spans="1:18" x14ac:dyDescent="0.25">
      <c r="A75" t="str">
        <f>TableOUSUCONMN[[#This Row],[Study Package Code]]</f>
        <v>BLDG4017</v>
      </c>
      <c r="B75" s="2">
        <f>TableOUSUCONMN[[#This Row],[Ver]]</f>
        <v>2</v>
      </c>
      <c r="C75" t="str">
        <f>IF(TableOUSUCONMN[[#This Row],[Ver]]&gt;0,_xlfn.TEXTBEFORE(TableOUSUCONMN[[#This Row],[Structure Line]]," "),"")</f>
        <v>CME404</v>
      </c>
      <c r="D75" t="str">
        <f>IF(TableOUSUCONMN[[#This Row],[OUA Code]]&lt;&gt;"",_xlfn.TEXTAFTER(TableOUSUCONMN[[#This Row],[Structure Line]]," "),TableOUSUCONMN[[#This Row],[Structure Line]])</f>
        <v>Facilities and Asset Management</v>
      </c>
      <c r="E75" s="28">
        <f>TableOUSUCONMN[[#This Row],[Credit Points]]</f>
        <v>25</v>
      </c>
      <c r="F75">
        <v>5</v>
      </c>
      <c r="G75" t="s">
        <v>366</v>
      </c>
      <c r="H75" s="2">
        <v>4</v>
      </c>
      <c r="I75" t="s">
        <v>367</v>
      </c>
      <c r="J75" t="s">
        <v>152</v>
      </c>
      <c r="K75" s="38">
        <v>2</v>
      </c>
      <c r="L75" s="38" t="s">
        <v>398</v>
      </c>
      <c r="M75" s="38">
        <v>25</v>
      </c>
      <c r="N75" s="58">
        <v>45108</v>
      </c>
      <c r="O75" s="58"/>
      <c r="Q75" t="s">
        <v>152</v>
      </c>
      <c r="R75">
        <v>2</v>
      </c>
    </row>
    <row r="76" spans="1:18" x14ac:dyDescent="0.25">
      <c r="A76" t="str">
        <f>TableOUSUCONMN[[#This Row],[Study Package Code]]</f>
        <v>BLDG4033</v>
      </c>
      <c r="B76" s="2">
        <f>TableOUSUCONMN[[#This Row],[Ver]]</f>
        <v>1</v>
      </c>
      <c r="C76" t="str">
        <f>IF(TableOUSUCONMN[[#This Row],[Ver]]&gt;0,_xlfn.TEXTBEFORE(TableOUSUCONMN[[#This Row],[Structure Line]]," "),"")</f>
        <v>CME417</v>
      </c>
      <c r="D76" t="str">
        <f>IF(TableOUSUCONMN[[#This Row],[OUA Code]]&lt;&gt;"",_xlfn.TEXTAFTER(TableOUSUCONMN[[#This Row],[Structure Line]]," "),TableOUSUCONMN[[#This Row],[Structure Line]])</f>
        <v>Integrated Construction Project 2</v>
      </c>
      <c r="E76" s="28">
        <f>TableOUSUCONMN[[#This Row],[Credit Points]]</f>
        <v>50</v>
      </c>
      <c r="F76">
        <v>6</v>
      </c>
      <c r="G76" t="s">
        <v>366</v>
      </c>
      <c r="H76" s="2">
        <v>4</v>
      </c>
      <c r="I76" t="s">
        <v>367</v>
      </c>
      <c r="J76" t="s">
        <v>154</v>
      </c>
      <c r="K76" s="38">
        <v>1</v>
      </c>
      <c r="L76" s="38" t="s">
        <v>401</v>
      </c>
      <c r="M76" s="38">
        <v>50</v>
      </c>
      <c r="N76" s="58">
        <v>43466</v>
      </c>
      <c r="O76" s="58"/>
      <c r="Q76" t="s">
        <v>154</v>
      </c>
      <c r="R76">
        <v>1</v>
      </c>
    </row>
    <row r="77" spans="1:18" x14ac:dyDescent="0.25">
      <c r="A77" t="str">
        <f>TableOUSUCONMN[[#This Row],[Study Package Code]]</f>
        <v>BLDG4035</v>
      </c>
      <c r="B77" s="2">
        <f>TableOUSUCONMN[[#This Row],[Ver]]</f>
        <v>1</v>
      </c>
      <c r="C77" t="str">
        <f>IF(TableOUSUCONMN[[#This Row],[Ver]]&gt;0,_xlfn.TEXTBEFORE(TableOUSUCONMN[[#This Row],[Structure Line]]," "),"")</f>
        <v>CME425</v>
      </c>
      <c r="D77" t="str">
        <f>IF(TableOUSUCONMN[[#This Row],[OUA Code]]&lt;&gt;"",_xlfn.TEXTAFTER(TableOUSUCONMN[[#This Row],[Structure Line]]," "),TableOUSUCONMN[[#This Row],[Structure Line]])</f>
        <v>Engineering Measurement</v>
      </c>
      <c r="E77" s="28">
        <f>TableOUSUCONMN[[#This Row],[Credit Points]]</f>
        <v>25</v>
      </c>
      <c r="F77">
        <v>7</v>
      </c>
      <c r="G77" t="s">
        <v>366</v>
      </c>
      <c r="H77" s="2">
        <v>4</v>
      </c>
      <c r="I77" t="s">
        <v>367</v>
      </c>
      <c r="J77" t="s">
        <v>146</v>
      </c>
      <c r="K77" s="38">
        <v>1</v>
      </c>
      <c r="L77" s="38" t="s">
        <v>399</v>
      </c>
      <c r="M77" s="38">
        <v>25</v>
      </c>
      <c r="N77" s="58">
        <v>44927</v>
      </c>
      <c r="O77" s="58"/>
      <c r="Q77" t="s">
        <v>146</v>
      </c>
      <c r="R77">
        <v>1</v>
      </c>
    </row>
    <row r="78" spans="1:18" x14ac:dyDescent="0.25">
      <c r="B78"/>
      <c r="E78"/>
      <c r="F78" s="119"/>
      <c r="G78" s="104" t="s">
        <v>354</v>
      </c>
      <c r="H78" s="109">
        <v>45968</v>
      </c>
      <c r="I78" s="120"/>
      <c r="J78" s="119" t="s">
        <v>77</v>
      </c>
      <c r="K78" s="113">
        <v>2</v>
      </c>
      <c r="L78" s="119" t="s">
        <v>76</v>
      </c>
      <c r="M78" s="120"/>
      <c r="N78" s="112">
        <v>46023</v>
      </c>
      <c r="O78" s="105"/>
    </row>
    <row r="79" spans="1:18" x14ac:dyDescent="0.25">
      <c r="A79" t="s">
        <v>0</v>
      </c>
      <c r="B79" s="2" t="s">
        <v>355</v>
      </c>
      <c r="C79" t="s">
        <v>26</v>
      </c>
      <c r="D79" t="s">
        <v>3</v>
      </c>
      <c r="E79" s="28" t="s">
        <v>356</v>
      </c>
      <c r="F79" t="s">
        <v>357</v>
      </c>
      <c r="G79" t="s">
        <v>358</v>
      </c>
      <c r="H79" s="2" t="s">
        <v>359</v>
      </c>
      <c r="I79" t="s">
        <v>4</v>
      </c>
      <c r="J79" t="s">
        <v>360</v>
      </c>
      <c r="K79" t="s">
        <v>1</v>
      </c>
      <c r="L79" t="s">
        <v>361</v>
      </c>
      <c r="M79" t="s">
        <v>48</v>
      </c>
      <c r="N79" t="s">
        <v>362</v>
      </c>
      <c r="O79" t="s">
        <v>363</v>
      </c>
      <c r="Q79" t="s">
        <v>364</v>
      </c>
      <c r="R79" t="s">
        <v>365</v>
      </c>
    </row>
    <row r="80" spans="1:18" x14ac:dyDescent="0.25">
      <c r="A80" t="str">
        <f>TableOSCUANGAD[[#This Row],[Study Package Code]]</f>
        <v>GRDE1029</v>
      </c>
      <c r="B80" s="2">
        <f>TableOSCUANGAD[[#This Row],[Ver]]</f>
        <v>1</v>
      </c>
      <c r="C80" t="str">
        <f>IF(TableOSCUANGAD[[#This Row],[Ver]]&gt;0,_xlfn.TEXTBEFORE(TableOSCUANGAD[[#This Row],[Structure Line]]," "),"")</f>
        <v>GRDE1029</v>
      </c>
      <c r="D80" t="str">
        <f>IF(TableOSCUANGAD[[#This Row],[OUA Code]]&lt;&gt;"",_xlfn.TEXTAFTER(TableOSCUANGAD[[#This Row],[Structure Line]]," "),TableOSCUANGAD[[#This Row],[Structure Line]])</f>
        <v>Motion Design Studio</v>
      </c>
      <c r="E80" s="28">
        <f>TableOSCUANGAD[[#This Row],[Credit Points]]</f>
        <v>25</v>
      </c>
      <c r="F80">
        <v>1</v>
      </c>
      <c r="G80" t="s">
        <v>366</v>
      </c>
      <c r="H80" s="2">
        <v>1</v>
      </c>
      <c r="I80" t="s">
        <v>367</v>
      </c>
      <c r="J80" t="s">
        <v>163</v>
      </c>
      <c r="K80" s="38">
        <v>1</v>
      </c>
      <c r="L80" s="38" t="s">
        <v>402</v>
      </c>
      <c r="M80" s="38">
        <v>25</v>
      </c>
      <c r="N80" s="58">
        <v>46023</v>
      </c>
      <c r="O80" s="58"/>
      <c r="Q80" t="s">
        <v>403</v>
      </c>
      <c r="R80">
        <v>1</v>
      </c>
    </row>
    <row r="81" spans="1:18" x14ac:dyDescent="0.25">
      <c r="A81" t="str">
        <f>TableOSCUANGAD[[#This Row],[Study Package Code]]</f>
        <v>GRDE1031</v>
      </c>
      <c r="B81" s="2">
        <f>TableOSCUANGAD[[#This Row],[Ver]]</f>
        <v>1</v>
      </c>
      <c r="C81" t="str">
        <f>IF(TableOSCUANGAD[[#This Row],[Ver]]&gt;0,_xlfn.TEXTBEFORE(TableOSCUANGAD[[#This Row],[Structure Line]]," "),"")</f>
        <v>GRDE1031</v>
      </c>
      <c r="D81" t="str">
        <f>IF(TableOSCUANGAD[[#This Row],[OUA Code]]&lt;&gt;"",_xlfn.TEXTAFTER(TableOSCUANGAD[[#This Row],[Structure Line]]," "),TableOSCUANGAD[[#This Row],[Structure Line]])</f>
        <v>Introduction to 3D Modelling</v>
      </c>
      <c r="E81" s="28">
        <f>TableOSCUANGAD[[#This Row],[Credit Points]]</f>
        <v>25</v>
      </c>
      <c r="F81">
        <v>2</v>
      </c>
      <c r="G81" t="s">
        <v>366</v>
      </c>
      <c r="H81" s="2">
        <v>2</v>
      </c>
      <c r="I81" t="s">
        <v>367</v>
      </c>
      <c r="J81" t="s">
        <v>167</v>
      </c>
      <c r="K81" s="38">
        <v>1</v>
      </c>
      <c r="L81" s="38" t="s">
        <v>404</v>
      </c>
      <c r="M81" s="38">
        <v>25</v>
      </c>
      <c r="N81" s="58">
        <v>46023</v>
      </c>
      <c r="O81" s="58"/>
      <c r="Q81" t="s">
        <v>405</v>
      </c>
      <c r="R81">
        <v>1</v>
      </c>
    </row>
    <row r="82" spans="1:18" x14ac:dyDescent="0.25">
      <c r="A82" t="str">
        <f>TableOSCUANGAD[[#This Row],[Study Package Code]]</f>
        <v>GRDE2055</v>
      </c>
      <c r="B82" s="2">
        <f>TableOSCUANGAD[[#This Row],[Ver]]</f>
        <v>1</v>
      </c>
      <c r="C82" t="str">
        <f>IF(TableOSCUANGAD[[#This Row],[Ver]]&gt;0,_xlfn.TEXTBEFORE(TableOSCUANGAD[[#This Row],[Structure Line]]," "),"")</f>
        <v>GRDE2055</v>
      </c>
      <c r="D82" t="str">
        <f>IF(TableOSCUANGAD[[#This Row],[OUA Code]]&lt;&gt;"",_xlfn.TEXTAFTER(TableOSCUANGAD[[#This Row],[Structure Line]]," "),TableOSCUANGAD[[#This Row],[Structure Line]])</f>
        <v>3D Game and Level Design</v>
      </c>
      <c r="E82" s="28">
        <f>TableOSCUANGAD[[#This Row],[Credit Points]]</f>
        <v>25</v>
      </c>
      <c r="F82">
        <v>3</v>
      </c>
      <c r="G82" t="s">
        <v>366</v>
      </c>
      <c r="H82" s="2">
        <v>2</v>
      </c>
      <c r="I82" t="s">
        <v>367</v>
      </c>
      <c r="J82" t="s">
        <v>171</v>
      </c>
      <c r="K82" s="38">
        <v>1</v>
      </c>
      <c r="L82" s="38" t="s">
        <v>406</v>
      </c>
      <c r="M82" s="38">
        <v>25</v>
      </c>
      <c r="N82" s="58">
        <v>46023</v>
      </c>
      <c r="O82" s="58"/>
      <c r="Q82" t="s">
        <v>407</v>
      </c>
      <c r="R82">
        <v>1</v>
      </c>
    </row>
    <row r="83" spans="1:18" x14ac:dyDescent="0.25">
      <c r="A83" t="str">
        <f>TableOSCUANGAD[[#This Row],[Study Package Code]]</f>
        <v>AC-ANGAD</v>
      </c>
      <c r="B83" s="2">
        <f>TableOSCUANGAD[[#This Row],[Ver]]</f>
        <v>0</v>
      </c>
      <c r="C83" t="str">
        <f>IF(TableOSCUANGAD[[#This Row],[Ver]]&gt;0,_xlfn.TEXTBEFORE(TableOSCUANGAD[[#This Row],[Structure Line]]," "),"")</f>
        <v/>
      </c>
      <c r="D83" t="str">
        <f>IF(TableOSCUANGAD[[#This Row],[OUA Code]]&lt;&gt;"",_xlfn.TEXTAFTER(TableOSCUANGAD[[#This Row],[Structure Line]]," "),TableOSCUANGAD[[#This Row],[Structure Line]])</f>
        <v>Choose GRDE3033 or WORK3002</v>
      </c>
      <c r="E83" s="28">
        <f>TableOSCUANGAD[[#This Row],[Credit Points]]</f>
        <v>25</v>
      </c>
      <c r="F83">
        <v>4</v>
      </c>
      <c r="G83" t="s">
        <v>390</v>
      </c>
      <c r="H83" s="2">
        <v>3</v>
      </c>
      <c r="I83" t="s">
        <v>367</v>
      </c>
      <c r="J83" t="s">
        <v>177</v>
      </c>
      <c r="K83" s="38">
        <v>0</v>
      </c>
      <c r="L83" s="38" t="s">
        <v>408</v>
      </c>
      <c r="M83" s="38">
        <v>25</v>
      </c>
      <c r="N83" s="58"/>
      <c r="O83" s="58"/>
      <c r="Q83" t="s">
        <v>177</v>
      </c>
      <c r="R83">
        <v>0</v>
      </c>
    </row>
    <row r="84" spans="1:18" x14ac:dyDescent="0.25">
      <c r="A84" t="str">
        <f>TableOSCUANGAD[[#This Row],[Study Package Code]]</f>
        <v>GRDE3033</v>
      </c>
      <c r="B84" s="2">
        <f>TableOSCUANGAD[[#This Row],[Ver]]</f>
        <v>3</v>
      </c>
      <c r="C84" t="str">
        <f>IF(TableOSCUANGAD[[#This Row],[Ver]]&gt;0,_xlfn.TEXTBEFORE(TableOSCUANGAD[[#This Row],[Structure Line]]," "),"")</f>
        <v>DIG39</v>
      </c>
      <c r="D84" t="str">
        <f>IF(TableOSCUANGAD[[#This Row],[OUA Code]]&lt;&gt;"",_xlfn.TEXTAFTER(TableOSCUANGAD[[#This Row],[Structure Line]]," "),TableOSCUANGAD[[#This Row],[Structure Line]])</f>
        <v>Emerging Digital Experience Studio</v>
      </c>
      <c r="E84" s="28">
        <f>TableOSCUANGAD[[#This Row],[Credit Points]]</f>
        <v>25</v>
      </c>
      <c r="F84">
        <v>4</v>
      </c>
      <c r="G84" t="s">
        <v>390</v>
      </c>
      <c r="H84" s="2">
        <v>3</v>
      </c>
      <c r="I84" t="s">
        <v>367</v>
      </c>
      <c r="J84" t="s">
        <v>181</v>
      </c>
      <c r="K84" s="38">
        <v>3</v>
      </c>
      <c r="L84" s="38" t="s">
        <v>409</v>
      </c>
      <c r="M84" s="38">
        <v>25</v>
      </c>
      <c r="N84" s="58">
        <v>46023</v>
      </c>
      <c r="O84" s="58"/>
      <c r="Q84" t="s">
        <v>181</v>
      </c>
      <c r="R84">
        <v>2</v>
      </c>
    </row>
    <row r="85" spans="1:18" x14ac:dyDescent="0.25">
      <c r="A85" t="str">
        <f>TableOSCUANGAD[[#This Row],[Study Package Code]]</f>
        <v>WORK3002</v>
      </c>
      <c r="B85" s="2">
        <f>TableOSCUANGAD[[#This Row],[Ver]]</f>
        <v>1</v>
      </c>
      <c r="C85" t="str">
        <f>IF(TableOSCUANGAD[[#This Row],[Ver]]&gt;0,_xlfn.TEXTBEFORE(TableOSCUANGAD[[#This Row],[Structure Line]]," "),"")</f>
        <v>WBP300</v>
      </c>
      <c r="D85" t="str">
        <f>IF(TableOSCUANGAD[[#This Row],[OUA Code]]&lt;&gt;"",_xlfn.TEXTAFTER(TableOSCUANGAD[[#This Row],[Structure Line]]," "),TableOSCUANGAD[[#This Row],[Structure Line]])</f>
        <v>Work Based Project</v>
      </c>
      <c r="E85" s="28">
        <f>TableOSCUANGAD[[#This Row],[Credit Points]]</f>
        <v>25</v>
      </c>
      <c r="F85">
        <v>4</v>
      </c>
      <c r="G85" t="s">
        <v>390</v>
      </c>
      <c r="H85" s="2">
        <v>3</v>
      </c>
      <c r="I85" t="s">
        <v>367</v>
      </c>
      <c r="J85" t="s">
        <v>185</v>
      </c>
      <c r="K85" s="38">
        <v>1</v>
      </c>
      <c r="L85" s="38" t="s">
        <v>410</v>
      </c>
      <c r="M85" s="38">
        <v>25</v>
      </c>
      <c r="N85" s="58">
        <v>44287</v>
      </c>
      <c r="O85" s="58"/>
      <c r="Q85" t="s">
        <v>185</v>
      </c>
      <c r="R85">
        <v>1</v>
      </c>
    </row>
    <row r="86" spans="1:18" x14ac:dyDescent="0.25">
      <c r="B86"/>
      <c r="E86"/>
      <c r="F86" s="119"/>
      <c r="G86" s="104" t="s">
        <v>354</v>
      </c>
      <c r="H86" s="109">
        <v>45968</v>
      </c>
      <c r="I86" s="120"/>
      <c r="J86" s="119" t="s">
        <v>80</v>
      </c>
      <c r="K86" s="103">
        <v>3</v>
      </c>
      <c r="L86" s="119" t="s">
        <v>79</v>
      </c>
      <c r="M86" s="120"/>
      <c r="N86" s="70">
        <v>45292</v>
      </c>
      <c r="O86" s="105"/>
    </row>
    <row r="87" spans="1:18" x14ac:dyDescent="0.25">
      <c r="A87" t="s">
        <v>0</v>
      </c>
      <c r="B87" s="2" t="s">
        <v>355</v>
      </c>
      <c r="C87" t="s">
        <v>26</v>
      </c>
      <c r="D87" t="s">
        <v>3</v>
      </c>
      <c r="E87" s="28" t="s">
        <v>356</v>
      </c>
      <c r="F87" t="s">
        <v>357</v>
      </c>
      <c r="G87" t="s">
        <v>358</v>
      </c>
      <c r="H87" s="2" t="s">
        <v>359</v>
      </c>
      <c r="I87" t="s">
        <v>4</v>
      </c>
      <c r="J87" t="s">
        <v>360</v>
      </c>
      <c r="K87" t="s">
        <v>1</v>
      </c>
      <c r="L87" t="s">
        <v>361</v>
      </c>
      <c r="M87" t="s">
        <v>48</v>
      </c>
      <c r="N87" t="s">
        <v>362</v>
      </c>
      <c r="O87" t="s">
        <v>363</v>
      </c>
      <c r="Q87" t="s">
        <v>364</v>
      </c>
      <c r="R87" t="s">
        <v>365</v>
      </c>
    </row>
    <row r="88" spans="1:18" x14ac:dyDescent="0.25">
      <c r="A88" t="str">
        <f>TableOSCUINARS[[#This Row],[Study Package Code]]</f>
        <v>INAR2023</v>
      </c>
      <c r="B88" s="2">
        <f>TableOSCUINARS[[#This Row],[Ver]]</f>
        <v>1</v>
      </c>
      <c r="C88" t="str">
        <f>IF(TableOSCUINARS[[#This Row],[Ver]]&gt;0,_xlfn.TEXTBEFORE(TableOSCUINARS[[#This Row],[Structure Line]]," "),"")</f>
        <v>BIA280</v>
      </c>
      <c r="D88" t="str">
        <f>IF(TableOSCUINARS[[#This Row],[OUA Code]]&lt;&gt;"",_xlfn.TEXTAFTER(TableOSCUINARS[[#This Row],[Structure Line]]," "),TableOSCUINARS[[#This Row],[Structure Line]])</f>
        <v>Philosophy and Practice</v>
      </c>
      <c r="E88" s="28">
        <f>TableOSCUINARS[[#This Row],[Credit Points]]</f>
        <v>25</v>
      </c>
      <c r="F88">
        <v>1</v>
      </c>
      <c r="G88" t="s">
        <v>366</v>
      </c>
      <c r="H88" s="2">
        <v>0</v>
      </c>
      <c r="I88" t="s">
        <v>367</v>
      </c>
      <c r="J88" t="s">
        <v>178</v>
      </c>
      <c r="K88" s="38">
        <v>1</v>
      </c>
      <c r="L88" s="38" t="s">
        <v>411</v>
      </c>
      <c r="M88" s="38">
        <v>25</v>
      </c>
      <c r="N88" s="58">
        <v>44562</v>
      </c>
      <c r="O88" s="58"/>
      <c r="Q88" t="s">
        <v>178</v>
      </c>
      <c r="R88">
        <v>1</v>
      </c>
    </row>
    <row r="89" spans="1:18" x14ac:dyDescent="0.25">
      <c r="A89" t="str">
        <f>TableOSCUINARS[[#This Row],[Study Package Code]]</f>
        <v>INAR3021</v>
      </c>
      <c r="B89" s="2">
        <f>TableOSCUINARS[[#This Row],[Ver]]</f>
        <v>1</v>
      </c>
      <c r="C89" t="str">
        <f>IF(TableOSCUINARS[[#This Row],[Ver]]&gt;0,_xlfn.TEXTBEFORE(TableOSCUINARS[[#This Row],[Structure Line]]," "),"")</f>
        <v>BIA390</v>
      </c>
      <c r="D89" t="str">
        <f>IF(TableOSCUINARS[[#This Row],[OUA Code]]&lt;&gt;"",_xlfn.TEXTAFTER(TableOSCUINARS[[#This Row],[Structure Line]]," "),TableOSCUINARS[[#This Row],[Structure Line]])</f>
        <v>Furniture Design</v>
      </c>
      <c r="E89" s="28">
        <f>TableOSCUINARS[[#This Row],[Credit Points]]</f>
        <v>25</v>
      </c>
      <c r="F89">
        <v>2</v>
      </c>
      <c r="G89" t="s">
        <v>366</v>
      </c>
      <c r="H89" s="2">
        <v>0</v>
      </c>
      <c r="I89" t="s">
        <v>367</v>
      </c>
      <c r="J89" t="s">
        <v>182</v>
      </c>
      <c r="K89" s="38">
        <v>1</v>
      </c>
      <c r="L89" s="38" t="s">
        <v>412</v>
      </c>
      <c r="M89" s="38">
        <v>25</v>
      </c>
      <c r="N89" s="58">
        <v>45292</v>
      </c>
      <c r="O89" s="58"/>
      <c r="Q89" t="s">
        <v>182</v>
      </c>
      <c r="R89">
        <v>1</v>
      </c>
    </row>
    <row r="90" spans="1:18" x14ac:dyDescent="0.25">
      <c r="A90" t="str">
        <f>TableOSCUINARS[[#This Row],[Study Package Code]]</f>
        <v>AC-INARS</v>
      </c>
      <c r="B90" s="2">
        <f>TableOSCUINARS[[#This Row],[Ver]]</f>
        <v>0</v>
      </c>
      <c r="C90" t="str">
        <f>IF(TableOSCUINARS[[#This Row],[Ver]]&gt;0,_xlfn.TEXTBEFORE(TableOSCUINARS[[#This Row],[Structure Line]]," "),"")</f>
        <v/>
      </c>
      <c r="D90" t="str">
        <f>IF(TableOSCUINARS[[#This Row],[OUA Code]]&lt;&gt;"",_xlfn.TEXTAFTER(TableOSCUINARS[[#This Row],[Structure Line]]," "),TableOSCUINARS[[#This Row],[Structure Line]])</f>
        <v>Choose INAR1011 BIA140 or INAR1015 BIA170</v>
      </c>
      <c r="E90" s="28">
        <f>TableOSCUINARS[[#This Row],[Credit Points]]</f>
        <v>25</v>
      </c>
      <c r="F90">
        <v>3</v>
      </c>
      <c r="G90" t="s">
        <v>390</v>
      </c>
      <c r="H90" s="2">
        <v>0</v>
      </c>
      <c r="I90" t="s">
        <v>367</v>
      </c>
      <c r="J90" t="s">
        <v>161</v>
      </c>
      <c r="K90" s="38">
        <v>0</v>
      </c>
      <c r="L90" s="38" t="s">
        <v>413</v>
      </c>
      <c r="M90" s="38">
        <v>25</v>
      </c>
      <c r="N90" s="58"/>
      <c r="O90" s="58"/>
      <c r="Q90" t="s">
        <v>161</v>
      </c>
      <c r="R90">
        <v>0</v>
      </c>
    </row>
    <row r="91" spans="1:18" x14ac:dyDescent="0.25">
      <c r="A91" t="str">
        <f>TableOSCUINARS[[#This Row],[Study Package Code]]</f>
        <v>Opt-INARS</v>
      </c>
      <c r="B91" s="2">
        <f>TableOSCUINARS[[#This Row],[Ver]]</f>
        <v>0</v>
      </c>
      <c r="C91" t="str">
        <f>IF(TableOSCUINARS[[#This Row],[Ver]]&gt;0,_xlfn.TEXTBEFORE(TableOSCUINARS[[#This Row],[Structure Line]]," "),"")</f>
        <v/>
      </c>
      <c r="D91" t="str">
        <f>IF(TableOSCUINARS[[#This Row],[OUA Code]]&lt;&gt;"",_xlfn.TEXTAFTER(TableOSCUINARS[[#This Row],[Structure Line]]," "),TableOSCUINARS[[#This Row],[Structure Line]])</f>
        <v>Choose an Option</v>
      </c>
      <c r="E91" s="28">
        <f>TableOSCUINARS[[#This Row],[Credit Points]]</f>
        <v>25</v>
      </c>
      <c r="F91">
        <v>4</v>
      </c>
      <c r="G91" t="s">
        <v>383</v>
      </c>
      <c r="H91" s="2">
        <v>0</v>
      </c>
      <c r="I91" t="s">
        <v>367</v>
      </c>
      <c r="J91" t="s">
        <v>187</v>
      </c>
      <c r="K91" s="38">
        <v>0</v>
      </c>
      <c r="L91" s="38" t="s">
        <v>414</v>
      </c>
      <c r="M91" s="38">
        <v>25</v>
      </c>
      <c r="N91" s="58"/>
      <c r="O91" s="58"/>
      <c r="Q91" t="s">
        <v>187</v>
      </c>
      <c r="R91">
        <v>0</v>
      </c>
    </row>
    <row r="92" spans="1:18" x14ac:dyDescent="0.25">
      <c r="A92" t="str">
        <f>TableOSCUINARS[[#This Row],[Study Package Code]]</f>
        <v>INAR1011</v>
      </c>
      <c r="B92" s="2">
        <f>TableOSCUINARS[[#This Row],[Ver]]</f>
        <v>4</v>
      </c>
      <c r="C92" t="str">
        <f>IF(TableOSCUINARS[[#This Row],[Ver]]&gt;0,_xlfn.TEXTBEFORE(TableOSCUINARS[[#This Row],[Structure Line]]," "),"")</f>
        <v>BIA140</v>
      </c>
      <c r="D92" t="str">
        <f>IF(TableOSCUINARS[[#This Row],[OUA Code]]&lt;&gt;"",_xlfn.TEXTAFTER(TableOSCUINARS[[#This Row],[Structure Line]]," "),TableOSCUINARS[[#This Row],[Structure Line]])</f>
        <v>Interior Architecture Studio - Foundation</v>
      </c>
      <c r="E92" s="28">
        <f>TableOSCUINARS[[#This Row],[Credit Points]]</f>
        <v>25</v>
      </c>
      <c r="F92">
        <v>3</v>
      </c>
      <c r="G92" t="s">
        <v>390</v>
      </c>
      <c r="H92" s="2">
        <v>0</v>
      </c>
      <c r="I92" t="s">
        <v>367</v>
      </c>
      <c r="J92" t="s">
        <v>164</v>
      </c>
      <c r="K92" s="38">
        <v>4</v>
      </c>
      <c r="L92" s="38" t="s">
        <v>415</v>
      </c>
      <c r="M92" s="38">
        <v>25</v>
      </c>
      <c r="N92" s="58">
        <v>45292</v>
      </c>
      <c r="O92" s="58"/>
      <c r="Q92" t="s">
        <v>164</v>
      </c>
      <c r="R92">
        <v>4</v>
      </c>
    </row>
    <row r="93" spans="1:18" x14ac:dyDescent="0.25">
      <c r="A93" t="str">
        <f>TableOSCUINARS[[#This Row],[Study Package Code]]</f>
        <v>INAR1015</v>
      </c>
      <c r="B93" s="2">
        <f>TableOSCUINARS[[#This Row],[Ver]]</f>
        <v>1</v>
      </c>
      <c r="C93" t="str">
        <f>IF(TableOSCUINARS[[#This Row],[Ver]]&gt;0,_xlfn.TEXTBEFORE(TableOSCUINARS[[#This Row],[Structure Line]]," "),"")</f>
        <v>BIA170</v>
      </c>
      <c r="D93" t="str">
        <f>IF(TableOSCUINARS[[#This Row],[OUA Code]]&lt;&gt;"",_xlfn.TEXTAFTER(TableOSCUINARS[[#This Row],[Structure Line]]," "),TableOSCUINARS[[#This Row],[Structure Line]])</f>
        <v>History of the Interior</v>
      </c>
      <c r="E93" s="28">
        <f>TableOSCUINARS[[#This Row],[Credit Points]]</f>
        <v>25</v>
      </c>
      <c r="F93">
        <v>3</v>
      </c>
      <c r="G93" t="s">
        <v>390</v>
      </c>
      <c r="H93" s="2">
        <v>0</v>
      </c>
      <c r="I93" t="s">
        <v>367</v>
      </c>
      <c r="J93" t="s">
        <v>168</v>
      </c>
      <c r="K93" s="38">
        <v>1</v>
      </c>
      <c r="L93" s="38" t="s">
        <v>416</v>
      </c>
      <c r="M93" s="38">
        <v>25</v>
      </c>
      <c r="N93" s="58">
        <v>43101</v>
      </c>
      <c r="O93" s="58"/>
      <c r="Q93" t="s">
        <v>168</v>
      </c>
      <c r="R93">
        <v>1</v>
      </c>
    </row>
    <row r="94" spans="1:18" x14ac:dyDescent="0.25">
      <c r="A94" t="str">
        <f>TableOSCUINARS[[#This Row],[Study Package Code]]</f>
        <v>INAR2015</v>
      </c>
      <c r="B94" s="2">
        <f>TableOSCUINARS[[#This Row],[Ver]]</f>
        <v>4</v>
      </c>
      <c r="C94" t="str">
        <f>IF(TableOSCUINARS[[#This Row],[Ver]]&gt;0,_xlfn.TEXTBEFORE(TableOSCUINARS[[#This Row],[Structure Line]]," "),"")</f>
        <v>BIA250</v>
      </c>
      <c r="D94" t="str">
        <f>IF(TableOSCUINARS[[#This Row],[OUA Code]]&lt;&gt;"",_xlfn.TEXTAFTER(TableOSCUINARS[[#This Row],[Structure Line]]," "),TableOSCUINARS[[#This Row],[Structure Line]])</f>
        <v>Interior Architecture Studio – Community</v>
      </c>
      <c r="E94" s="28">
        <f>TableOSCUINARS[[#This Row],[Credit Points]]</f>
        <v>25</v>
      </c>
      <c r="F94">
        <v>4</v>
      </c>
      <c r="G94" t="s">
        <v>383</v>
      </c>
      <c r="H94" s="2">
        <v>0</v>
      </c>
      <c r="I94" t="s">
        <v>367</v>
      </c>
      <c r="J94" t="s">
        <v>189</v>
      </c>
      <c r="K94" s="38">
        <v>4</v>
      </c>
      <c r="L94" s="38" t="s">
        <v>417</v>
      </c>
      <c r="M94" s="38">
        <v>25</v>
      </c>
      <c r="N94" s="58">
        <v>45292</v>
      </c>
      <c r="O94" s="58"/>
      <c r="Q94" t="s">
        <v>189</v>
      </c>
      <c r="R94">
        <v>4</v>
      </c>
    </row>
    <row r="95" spans="1:18" x14ac:dyDescent="0.25">
      <c r="A95" t="str">
        <f>TableOSCUINARS[[#This Row],[Study Package Code]]</f>
        <v>INAR2025</v>
      </c>
      <c r="B95" s="2">
        <f>TableOSCUINARS[[#This Row],[Ver]]</f>
        <v>1</v>
      </c>
      <c r="C95" t="str">
        <f>IF(TableOSCUINARS[[#This Row],[Ver]]&gt;0,_xlfn.TEXTBEFORE(TableOSCUINARS[[#This Row],[Structure Line]]," "),"")</f>
        <v>BIA290</v>
      </c>
      <c r="D95" t="str">
        <f>IF(TableOSCUINARS[[#This Row],[OUA Code]]&lt;&gt;"",_xlfn.TEXTAFTER(TableOSCUINARS[[#This Row],[Structure Line]]," "),TableOSCUINARS[[#This Row],[Structure Line]])</f>
        <v>Design Fabrication</v>
      </c>
      <c r="E95" s="28">
        <f>TableOSCUINARS[[#This Row],[Credit Points]]</f>
        <v>25</v>
      </c>
      <c r="F95">
        <v>4</v>
      </c>
      <c r="G95" t="s">
        <v>383</v>
      </c>
      <c r="H95" s="2">
        <v>0</v>
      </c>
      <c r="I95" t="s">
        <v>367</v>
      </c>
      <c r="J95" t="s">
        <v>191</v>
      </c>
      <c r="K95" s="38">
        <v>1</v>
      </c>
      <c r="L95" s="38" t="s">
        <v>418</v>
      </c>
      <c r="M95" s="38">
        <v>25</v>
      </c>
      <c r="N95" s="58">
        <v>45292</v>
      </c>
      <c r="O95" s="58"/>
      <c r="Q95" t="s">
        <v>191</v>
      </c>
      <c r="R95">
        <v>1</v>
      </c>
    </row>
    <row r="96" spans="1:18" x14ac:dyDescent="0.25">
      <c r="A96" t="str">
        <f>TableOSCUINARS[[#This Row],[Study Package Code]]</f>
        <v>WORK3002</v>
      </c>
      <c r="B96" s="2">
        <f>TableOSCUINARS[[#This Row],[Ver]]</f>
        <v>1</v>
      </c>
      <c r="C96" t="str">
        <f>IF(TableOSCUINARS[[#This Row],[Ver]]&gt;0,_xlfn.TEXTBEFORE(TableOSCUINARS[[#This Row],[Structure Line]]," "),"")</f>
        <v>WBP300</v>
      </c>
      <c r="D96" t="str">
        <f>IF(TableOSCUINARS[[#This Row],[OUA Code]]&lt;&gt;"",_xlfn.TEXTAFTER(TableOSCUINARS[[#This Row],[Structure Line]]," "),TableOSCUINARS[[#This Row],[Structure Line]])</f>
        <v>Work Based Project</v>
      </c>
      <c r="E96" s="28">
        <f>TableOSCUINARS[[#This Row],[Credit Points]]</f>
        <v>25</v>
      </c>
      <c r="F96">
        <v>4</v>
      </c>
      <c r="G96" t="s">
        <v>383</v>
      </c>
      <c r="H96" s="2">
        <v>0</v>
      </c>
      <c r="I96" t="s">
        <v>367</v>
      </c>
      <c r="J96" t="s">
        <v>185</v>
      </c>
      <c r="K96" s="38">
        <v>1</v>
      </c>
      <c r="L96" s="38" t="s">
        <v>410</v>
      </c>
      <c r="M96" s="38">
        <v>25</v>
      </c>
      <c r="N96" s="58">
        <v>44287</v>
      </c>
      <c r="O96" s="58"/>
      <c r="Q96" t="s">
        <v>419</v>
      </c>
      <c r="R96">
        <v>3</v>
      </c>
    </row>
    <row r="97" spans="1:18" x14ac:dyDescent="0.25">
      <c r="A97" t="str">
        <f>TableOSCUINARS[[#This Row],[Study Package Code]]</f>
        <v>WORK3006</v>
      </c>
      <c r="B97" s="2">
        <f>TableOSCUINARS[[#This Row],[Ver]]</f>
        <v>1</v>
      </c>
      <c r="D97" t="str">
        <f>IF(TableOSCUINARS[[#This Row],[OUA Code]]&lt;&gt;"",_xlfn.TEXTAFTER(TableOSCUINARS[[#This Row],[Structure Line]]," "),TableOSCUINARS[[#This Row],[Structure Line]])</f>
        <v>Go Global - Internship 4</v>
      </c>
      <c r="E97" s="28">
        <f>TableOSCUINARS[[#This Row],[Credit Points]]</f>
        <v>25</v>
      </c>
      <c r="F97">
        <v>4</v>
      </c>
      <c r="G97" t="s">
        <v>383</v>
      </c>
      <c r="H97" s="2">
        <v>0</v>
      </c>
      <c r="I97" t="s">
        <v>367</v>
      </c>
      <c r="J97" t="s">
        <v>194</v>
      </c>
      <c r="K97" s="38">
        <v>1</v>
      </c>
      <c r="L97" s="38" t="s">
        <v>420</v>
      </c>
      <c r="M97" s="38">
        <v>25</v>
      </c>
      <c r="N97" s="58">
        <v>44743</v>
      </c>
      <c r="O97" s="58"/>
      <c r="Q97" t="s">
        <v>421</v>
      </c>
      <c r="R97">
        <v>1</v>
      </c>
    </row>
    <row r="98" spans="1:18" x14ac:dyDescent="0.25">
      <c r="A98">
        <f>TableOSCUINARS[[#This Row],[Study Package Code]]</f>
        <v>0</v>
      </c>
      <c r="B98" s="2">
        <f>TableOSCUINARS[[#This Row],[Ver]]</f>
        <v>0</v>
      </c>
      <c r="C98" t="str">
        <f>IF(TableOSCUINARS[[#This Row],[Ver]]&gt;0,_xlfn.TEXTBEFORE(TableOSCUINARS[[#This Row],[Structure Line]]," "),"")</f>
        <v/>
      </c>
      <c r="D98">
        <f>IF(TableOSCUINARS[[#This Row],[OUA Code]]&lt;&gt;"",_xlfn.TEXTAFTER(TableOSCUINARS[[#This Row],[Structure Line]]," "),TableOSCUINARS[[#This Row],[Structure Line]])</f>
        <v>0</v>
      </c>
      <c r="E98" s="28">
        <f>TableOSCUINARS[[#This Row],[Credit Points]]</f>
        <v>0</v>
      </c>
      <c r="H98" s="2"/>
      <c r="K98" s="38"/>
      <c r="L98" s="38"/>
      <c r="M98" s="38"/>
      <c r="N98" s="58"/>
      <c r="O98" s="58"/>
      <c r="Q98" t="s">
        <v>185</v>
      </c>
      <c r="R98">
        <v>1</v>
      </c>
    </row>
    <row r="99" spans="1:18" x14ac:dyDescent="0.25">
      <c r="A99">
        <f>TableOSCUINARS[[#This Row],[Study Package Code]]</f>
        <v>0</v>
      </c>
      <c r="B99" s="2">
        <f>TableOSCUINARS[[#This Row],[Ver]]</f>
        <v>0</v>
      </c>
      <c r="C99" t="str">
        <f>IF(TableOSCUINARS[[#This Row],[Ver]]&gt;0,_xlfn.TEXTBEFORE(TableOSCUINARS[[#This Row],[Structure Line]]," "),"")</f>
        <v/>
      </c>
      <c r="D99">
        <f>IF(TableOSCUINARS[[#This Row],[OUA Code]]&lt;&gt;"",_xlfn.TEXTAFTER(TableOSCUINARS[[#This Row],[Structure Line]]," "),TableOSCUINARS[[#This Row],[Structure Line]])</f>
        <v>0</v>
      </c>
      <c r="E99" s="28">
        <f>TableOSCUINARS[[#This Row],[Credit Points]]</f>
        <v>0</v>
      </c>
      <c r="H99" s="2"/>
      <c r="K99" s="38"/>
      <c r="L99" s="38"/>
      <c r="M99" s="38"/>
      <c r="N99" s="58"/>
      <c r="O99" s="58"/>
      <c r="Q99" t="s">
        <v>422</v>
      </c>
      <c r="R99">
        <v>1</v>
      </c>
    </row>
    <row r="100" spans="1:18" x14ac:dyDescent="0.25">
      <c r="B100"/>
      <c r="E100"/>
      <c r="F100" s="119"/>
      <c r="G100" s="104" t="s">
        <v>354</v>
      </c>
      <c r="H100" s="109">
        <v>45968</v>
      </c>
      <c r="I100" s="120"/>
      <c r="J100" s="119" t="s">
        <v>82</v>
      </c>
      <c r="K100" s="103">
        <v>1</v>
      </c>
      <c r="L100" s="119" t="s">
        <v>81</v>
      </c>
      <c r="M100" s="120"/>
      <c r="N100" s="70">
        <v>44743</v>
      </c>
      <c r="O100" s="105"/>
    </row>
    <row r="101" spans="1:18" x14ac:dyDescent="0.25">
      <c r="A101" t="s">
        <v>0</v>
      </c>
      <c r="B101" s="2" t="s">
        <v>355</v>
      </c>
      <c r="C101" t="s">
        <v>26</v>
      </c>
      <c r="D101" t="s">
        <v>3</v>
      </c>
      <c r="E101" s="28" t="s">
        <v>356</v>
      </c>
      <c r="F101" t="s">
        <v>357</v>
      </c>
      <c r="G101" t="s">
        <v>358</v>
      </c>
      <c r="H101" s="2" t="s">
        <v>359</v>
      </c>
      <c r="I101" t="s">
        <v>4</v>
      </c>
      <c r="J101" t="s">
        <v>360</v>
      </c>
      <c r="K101" t="s">
        <v>1</v>
      </c>
      <c r="L101" t="s">
        <v>361</v>
      </c>
      <c r="M101" t="s">
        <v>48</v>
      </c>
      <c r="N101" t="s">
        <v>362</v>
      </c>
      <c r="O101" t="s">
        <v>363</v>
      </c>
      <c r="Q101" t="s">
        <v>364</v>
      </c>
      <c r="R101" t="s">
        <v>365</v>
      </c>
    </row>
    <row r="102" spans="1:18" x14ac:dyDescent="0.25">
      <c r="A102" t="str">
        <f>TableOSCUPLGEO[[#This Row],[Study Package Code]]</f>
        <v>URDE1008</v>
      </c>
      <c r="B102" s="2">
        <f>TableOSCUPLGEO[[#This Row],[Ver]]</f>
        <v>1</v>
      </c>
      <c r="C102" t="str">
        <f>IF(TableOSCUPLGEO[[#This Row],[Ver]]&gt;0,_xlfn.TEXTBEFORE(TableOSCUPLGEO[[#This Row],[Structure Line]]," "),"")</f>
        <v>URP110</v>
      </c>
      <c r="D102" t="str">
        <f>IF(TableOSCUPLGEO[[#This Row],[OUA Code]]&lt;&gt;"",_xlfn.TEXTAFTER(TableOSCUPLGEO[[#This Row],[Structure Line]]," "),TableOSCUPLGEO[[#This Row],[Structure Line]])</f>
        <v>Introduction to Planning</v>
      </c>
      <c r="E102" s="28">
        <f>TableOSCUPLGEO[[#This Row],[Credit Points]]</f>
        <v>25</v>
      </c>
      <c r="F102">
        <v>1</v>
      </c>
      <c r="G102" t="s">
        <v>366</v>
      </c>
      <c r="H102" s="2">
        <v>1</v>
      </c>
      <c r="I102" t="s">
        <v>367</v>
      </c>
      <c r="J102" t="s">
        <v>169</v>
      </c>
      <c r="K102" s="38">
        <v>1</v>
      </c>
      <c r="L102" s="38" t="s">
        <v>423</v>
      </c>
      <c r="M102" s="38">
        <v>25</v>
      </c>
      <c r="N102" s="58">
        <v>42979</v>
      </c>
      <c r="O102" s="58"/>
      <c r="Q102" t="s">
        <v>169</v>
      </c>
      <c r="R102">
        <v>1</v>
      </c>
    </row>
    <row r="103" spans="1:18" x14ac:dyDescent="0.25">
      <c r="A103" t="str">
        <f>TableOSCUPLGEO[[#This Row],[Study Package Code]]</f>
        <v>URDE1007</v>
      </c>
      <c r="B103" s="2">
        <f>TableOSCUPLGEO[[#This Row],[Ver]]</f>
        <v>1</v>
      </c>
      <c r="C103" t="str">
        <f>IF(TableOSCUPLGEO[[#This Row],[Ver]]&gt;0,_xlfn.TEXTBEFORE(TableOSCUPLGEO[[#This Row],[Structure Line]]," "),"")</f>
        <v>URP100</v>
      </c>
      <c r="D103" t="str">
        <f>IF(TableOSCUPLGEO[[#This Row],[OUA Code]]&lt;&gt;"",_xlfn.TEXTAFTER(TableOSCUPLGEO[[#This Row],[Structure Line]]," "),TableOSCUPLGEO[[#This Row],[Structure Line]])</f>
        <v>Governance for Planning</v>
      </c>
      <c r="E103" s="28">
        <f>TableOSCUPLGEO[[#This Row],[Credit Points]]</f>
        <v>25</v>
      </c>
      <c r="F103">
        <v>2</v>
      </c>
      <c r="G103" t="s">
        <v>366</v>
      </c>
      <c r="H103" s="2">
        <v>1</v>
      </c>
      <c r="I103" t="s">
        <v>367</v>
      </c>
      <c r="J103" t="s">
        <v>165</v>
      </c>
      <c r="K103" s="38">
        <v>1</v>
      </c>
      <c r="L103" s="38" t="s">
        <v>424</v>
      </c>
      <c r="M103" s="38">
        <v>25</v>
      </c>
      <c r="N103" s="58">
        <v>42979</v>
      </c>
      <c r="O103" s="58"/>
      <c r="Q103" t="s">
        <v>165</v>
      </c>
      <c r="R103">
        <v>1</v>
      </c>
    </row>
    <row r="104" spans="1:18" x14ac:dyDescent="0.25">
      <c r="A104" t="str">
        <f>TableOSCUPLGEO[[#This Row],[Study Package Code]]</f>
        <v>PHGY3001</v>
      </c>
      <c r="B104" s="2">
        <f>TableOSCUPLGEO[[#This Row],[Ver]]</f>
        <v>3</v>
      </c>
      <c r="C104" t="str">
        <f>IF(TableOSCUPLGEO[[#This Row],[Ver]]&gt;0,_xlfn.TEXTBEFORE(TableOSCUPLGEO[[#This Row],[Structure Line]]," "),"")</f>
        <v>GPH311</v>
      </c>
      <c r="D104" t="str">
        <f>IF(TableOSCUPLGEO[[#This Row],[OUA Code]]&lt;&gt;"",_xlfn.TEXTAFTER(TableOSCUPLGEO[[#This Row],[Structure Line]]," "),TableOSCUPLGEO[[#This Row],[Structure Line]])</f>
        <v>Cultural Landscapes</v>
      </c>
      <c r="E104" s="28">
        <f>TableOSCUPLGEO[[#This Row],[Credit Points]]</f>
        <v>25</v>
      </c>
      <c r="F104">
        <v>3</v>
      </c>
      <c r="G104" t="s">
        <v>366</v>
      </c>
      <c r="H104" s="2">
        <v>3</v>
      </c>
      <c r="I104" t="s">
        <v>367</v>
      </c>
      <c r="J104" t="s">
        <v>173</v>
      </c>
      <c r="K104" s="38">
        <v>3</v>
      </c>
      <c r="L104" s="38" t="s">
        <v>425</v>
      </c>
      <c r="M104" s="38">
        <v>25</v>
      </c>
      <c r="N104" s="58">
        <v>44562</v>
      </c>
      <c r="O104" s="58"/>
      <c r="Q104" t="s">
        <v>173</v>
      </c>
      <c r="R104">
        <v>3</v>
      </c>
    </row>
    <row r="105" spans="1:18" x14ac:dyDescent="0.25">
      <c r="A105" t="str">
        <f>TableOSCUPLGEO[[#This Row],[Study Package Code]]</f>
        <v>AC-PLGEO</v>
      </c>
      <c r="B105" s="2">
        <f>TableOSCUPLGEO[[#This Row],[Ver]]</f>
        <v>0</v>
      </c>
      <c r="C105" t="str">
        <f>IF(TableOSCUPLGEO[[#This Row],[Ver]]&gt;0,_xlfn.TEXTBEFORE(TableOSCUPLGEO[[#This Row],[Structure Line]]," "),"")</f>
        <v/>
      </c>
      <c r="D105" t="str">
        <f>IF(TableOSCUPLGEO[[#This Row],[OUA Code]]&lt;&gt;"",_xlfn.TEXTAFTER(TableOSCUPLGEO[[#This Row],[Structure Line]]," "),TableOSCUPLGEO[[#This Row],[Structure Line]])</f>
        <v>Choose WORK3002 or GEOG3002</v>
      </c>
      <c r="E105" s="28">
        <f>TableOSCUPLGEO[[#This Row],[Credit Points]]</f>
        <v>25</v>
      </c>
      <c r="F105">
        <v>4</v>
      </c>
      <c r="G105" t="s">
        <v>390</v>
      </c>
      <c r="H105" s="2">
        <v>3</v>
      </c>
      <c r="I105" t="s">
        <v>367</v>
      </c>
      <c r="J105" t="s">
        <v>179</v>
      </c>
      <c r="K105" s="38">
        <v>0</v>
      </c>
      <c r="L105" s="38" t="s">
        <v>426</v>
      </c>
      <c r="M105" s="38">
        <v>25</v>
      </c>
      <c r="N105" s="58"/>
      <c r="O105" s="58"/>
      <c r="Q105" t="s">
        <v>179</v>
      </c>
      <c r="R105">
        <v>0</v>
      </c>
    </row>
    <row r="106" spans="1:18" x14ac:dyDescent="0.25">
      <c r="A106" t="str">
        <f>TableOSCUPLGEO[[#This Row],[Study Package Code]]</f>
        <v>GEOG3002</v>
      </c>
      <c r="B106" s="2">
        <f>TableOSCUPLGEO[[#This Row],[Ver]]</f>
        <v>2</v>
      </c>
      <c r="C106" t="str">
        <f>IF(TableOSCUPLGEO[[#This Row],[Ver]]&gt;0,_xlfn.TEXTBEFORE(TableOSCUPLGEO[[#This Row],[Structure Line]]," "),"")</f>
        <v>GPH320</v>
      </c>
      <c r="D106" t="str">
        <f>IF(TableOSCUPLGEO[[#This Row],[OUA Code]]&lt;&gt;"",_xlfn.TEXTAFTER(TableOSCUPLGEO[[#This Row],[Structure Line]]," "),TableOSCUPLGEO[[#This Row],[Structure Line]])</f>
        <v>Urban Geographies</v>
      </c>
      <c r="E106" s="28">
        <f>TableOSCUPLGEO[[#This Row],[Credit Points]]</f>
        <v>25</v>
      </c>
      <c r="F106">
        <v>4</v>
      </c>
      <c r="G106" t="s">
        <v>390</v>
      </c>
      <c r="H106" s="2">
        <v>3</v>
      </c>
      <c r="I106" t="s">
        <v>367</v>
      </c>
      <c r="J106" t="s">
        <v>183</v>
      </c>
      <c r="K106" s="38">
        <v>2</v>
      </c>
      <c r="L106" s="38" t="s">
        <v>427</v>
      </c>
      <c r="M106" s="38">
        <v>25</v>
      </c>
      <c r="N106" s="58">
        <v>44562</v>
      </c>
      <c r="O106" s="58"/>
      <c r="Q106" t="s">
        <v>183</v>
      </c>
      <c r="R106">
        <v>2</v>
      </c>
    </row>
    <row r="107" spans="1:18" x14ac:dyDescent="0.25">
      <c r="A107" t="str">
        <f>TableOSCUPLGEO[[#This Row],[Study Package Code]]</f>
        <v>WORK3002</v>
      </c>
      <c r="B107" s="2">
        <f>TableOSCUPLGEO[[#This Row],[Ver]]</f>
        <v>1</v>
      </c>
      <c r="C107" t="str">
        <f>IF(TableOSCUPLGEO[[#This Row],[Ver]]&gt;0,_xlfn.TEXTBEFORE(TableOSCUPLGEO[[#This Row],[Structure Line]]," "),"")</f>
        <v>WBP300</v>
      </c>
      <c r="D107" t="str">
        <f>IF(TableOSCUPLGEO[[#This Row],[OUA Code]]&lt;&gt;"",_xlfn.TEXTAFTER(TableOSCUPLGEO[[#This Row],[Structure Line]]," "),TableOSCUPLGEO[[#This Row],[Structure Line]])</f>
        <v>Work Based Project</v>
      </c>
      <c r="E107" s="28">
        <f>TableOSCUPLGEO[[#This Row],[Credit Points]]</f>
        <v>25</v>
      </c>
      <c r="F107">
        <v>4</v>
      </c>
      <c r="G107" t="s">
        <v>390</v>
      </c>
      <c r="H107" s="2">
        <v>3</v>
      </c>
      <c r="I107" t="s">
        <v>367</v>
      </c>
      <c r="J107" t="s">
        <v>185</v>
      </c>
      <c r="K107" s="38">
        <v>1</v>
      </c>
      <c r="L107" s="38" t="s">
        <v>410</v>
      </c>
      <c r="M107" s="38">
        <v>25</v>
      </c>
      <c r="N107" s="58">
        <v>44287</v>
      </c>
      <c r="O107" s="58"/>
      <c r="Q107" t="s">
        <v>185</v>
      </c>
      <c r="R107">
        <v>1</v>
      </c>
    </row>
  </sheetData>
  <conditionalFormatting sqref="J3:J29">
    <cfRule type="duplicateValues" dxfId="19" priority="17"/>
  </conditionalFormatting>
  <conditionalFormatting sqref="J32:J58">
    <cfRule type="duplicateValues" dxfId="18" priority="1"/>
  </conditionalFormatting>
  <conditionalFormatting sqref="J62:J68">
    <cfRule type="duplicateValues" dxfId="17" priority="14"/>
  </conditionalFormatting>
  <conditionalFormatting sqref="J71:J77">
    <cfRule type="duplicateValues" dxfId="16" priority="11"/>
  </conditionalFormatting>
  <conditionalFormatting sqref="J80:J85">
    <cfRule type="duplicateValues" dxfId="15" priority="8"/>
  </conditionalFormatting>
  <conditionalFormatting sqref="J88:J99">
    <cfRule type="duplicateValues" dxfId="14" priority="5"/>
  </conditionalFormatting>
  <conditionalFormatting sqref="J102:J107">
    <cfRule type="duplicateValues" dxfId="13" priority="2"/>
  </conditionalFormatting>
  <conditionalFormatting sqref="N3:N29 N32:N59">
    <cfRule type="cellIs" dxfId="12" priority="23" operator="greaterThan">
      <formula>$P$1</formula>
    </cfRule>
  </conditionalFormatting>
  <conditionalFormatting sqref="N62:N68">
    <cfRule type="cellIs" dxfId="11" priority="15" operator="greaterThan">
      <formula>$P$1</formula>
    </cfRule>
  </conditionalFormatting>
  <conditionalFormatting sqref="N71:N77">
    <cfRule type="cellIs" dxfId="10" priority="12" operator="greaterThan">
      <formula>$P$1</formula>
    </cfRule>
  </conditionalFormatting>
  <conditionalFormatting sqref="N80:N85">
    <cfRule type="cellIs" dxfId="9" priority="9" operator="greaterThan">
      <formula>$P$1</formula>
    </cfRule>
  </conditionalFormatting>
  <conditionalFormatting sqref="N88:N99">
    <cfRule type="cellIs" dxfId="8" priority="6" operator="greaterThan">
      <formula>$P$1</formula>
    </cfRule>
  </conditionalFormatting>
  <conditionalFormatting sqref="N102:N107">
    <cfRule type="cellIs" dxfId="7" priority="3" operator="greaterThan">
      <formula>$P$1</formula>
    </cfRule>
  </conditionalFormatting>
  <conditionalFormatting sqref="O3:O29 O32:O59">
    <cfRule type="notContainsBlanks" dxfId="6" priority="32">
      <formula>LEN(TRIM(O3))&gt;0</formula>
    </cfRule>
  </conditionalFormatting>
  <conditionalFormatting sqref="O62:O68">
    <cfRule type="notContainsBlanks" dxfId="5" priority="16">
      <formula>LEN(TRIM(O62))&gt;0</formula>
    </cfRule>
  </conditionalFormatting>
  <conditionalFormatting sqref="O71:O77">
    <cfRule type="notContainsBlanks" dxfId="4" priority="13">
      <formula>LEN(TRIM(O71))&gt;0</formula>
    </cfRule>
  </conditionalFormatting>
  <conditionalFormatting sqref="O80:O85">
    <cfRule type="notContainsBlanks" dxfId="3" priority="10">
      <formula>LEN(TRIM(O80))&gt;0</formula>
    </cfRule>
  </conditionalFormatting>
  <conditionalFormatting sqref="O88:O99">
    <cfRule type="notContainsBlanks" dxfId="2" priority="7">
      <formula>LEN(TRIM(O88))&gt;0</formula>
    </cfRule>
  </conditionalFormatting>
  <conditionalFormatting sqref="O102:O107">
    <cfRule type="notContainsBlanks" dxfId="1" priority="4">
      <formula>LEN(TRIM(O102))&gt;0</formula>
    </cfRule>
  </conditionalFormatting>
  <conditionalFormatting sqref="Q3:R29 Q32:R59 Q62:R68 Q71:R77 Q80:R85 Q88:R99 Q102:R107">
    <cfRule type="expression" dxfId="0" priority="39">
      <formula>Q3&lt;&gt;J3</formula>
    </cfRule>
  </conditionalFormatting>
  <pageMargins left="0.7" right="0.7" top="0.75" bottom="0.75" header="0.3" footer="0.3"/>
  <pageSetup paperSize="9"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
  <sheetViews>
    <sheetView workbookViewId="0">
      <selection activeCell="B35" sqref="B35"/>
    </sheetView>
  </sheetViews>
  <sheetFormatPr defaultRowHeight="15.75" x14ac:dyDescent="0.25"/>
  <cols>
    <col min="1" max="1" width="12.375" bestFit="1" customWidth="1"/>
    <col min="2" max="5" width="5.375" bestFit="1" customWidth="1"/>
    <col min="6" max="6" width="11.5" bestFit="1" customWidth="1"/>
    <col min="7" max="7" width="10.125" bestFit="1" customWidth="1"/>
    <col min="8" max="11" width="1.875" bestFit="1" customWidth="1"/>
    <col min="12" max="12" width="22.25" bestFit="1" customWidth="1"/>
  </cols>
  <sheetData>
    <row r="1" spans="1:11" x14ac:dyDescent="0.25">
      <c r="A1" s="125" t="s">
        <v>354</v>
      </c>
    </row>
    <row r="2" spans="1:11" x14ac:dyDescent="0.25">
      <c r="A2" s="126">
        <v>46037</v>
      </c>
    </row>
    <row r="3" spans="1:11" ht="76.5" x14ac:dyDescent="0.25">
      <c r="A3" t="s">
        <v>428</v>
      </c>
      <c r="B3" s="55" t="s">
        <v>429</v>
      </c>
      <c r="C3" s="55" t="s">
        <v>430</v>
      </c>
      <c r="D3" s="55" t="s">
        <v>431</v>
      </c>
      <c r="E3" s="55" t="s">
        <v>432</v>
      </c>
      <c r="G3" t="s">
        <v>433</v>
      </c>
    </row>
    <row r="4" spans="1:11" x14ac:dyDescent="0.25">
      <c r="A4" t="s">
        <v>109</v>
      </c>
      <c r="B4" s="2"/>
      <c r="C4" s="2">
        <v>1</v>
      </c>
      <c r="D4" s="2"/>
      <c r="E4" s="2">
        <v>1</v>
      </c>
      <c r="G4" s="38" t="s">
        <v>109</v>
      </c>
      <c r="H4" s="110"/>
      <c r="I4" s="110">
        <v>1</v>
      </c>
      <c r="J4" s="110"/>
      <c r="K4" s="110">
        <v>1</v>
      </c>
    </row>
    <row r="5" spans="1:11" x14ac:dyDescent="0.25">
      <c r="A5" t="s">
        <v>106</v>
      </c>
      <c r="B5" s="2">
        <v>1</v>
      </c>
      <c r="C5" s="2"/>
      <c r="D5" s="2">
        <v>1</v>
      </c>
      <c r="E5" s="2"/>
      <c r="G5" s="38" t="s">
        <v>106</v>
      </c>
      <c r="H5" s="110">
        <v>1</v>
      </c>
      <c r="I5" s="110"/>
      <c r="J5" s="110">
        <v>1</v>
      </c>
      <c r="K5" s="110"/>
    </row>
    <row r="6" spans="1:11" x14ac:dyDescent="0.25">
      <c r="A6" t="s">
        <v>110</v>
      </c>
      <c r="B6" s="2">
        <v>1</v>
      </c>
      <c r="C6" s="2"/>
      <c r="D6" s="2">
        <v>1</v>
      </c>
      <c r="E6" s="2"/>
      <c r="G6" s="38" t="s">
        <v>110</v>
      </c>
      <c r="H6" s="110">
        <v>1</v>
      </c>
      <c r="I6" s="110"/>
      <c r="J6" s="110">
        <v>1</v>
      </c>
      <c r="K6" s="110"/>
    </row>
    <row r="7" spans="1:11" x14ac:dyDescent="0.25">
      <c r="A7" t="s">
        <v>103</v>
      </c>
      <c r="B7" s="2"/>
      <c r="C7" s="2">
        <v>1</v>
      </c>
      <c r="D7" s="2"/>
      <c r="E7" s="2">
        <v>1</v>
      </c>
      <c r="G7" s="38" t="s">
        <v>103</v>
      </c>
      <c r="H7" s="110"/>
      <c r="I7" s="110">
        <v>1</v>
      </c>
      <c r="J7" s="110"/>
      <c r="K7" s="110">
        <v>1</v>
      </c>
    </row>
    <row r="8" spans="1:11" x14ac:dyDescent="0.25">
      <c r="A8" t="s">
        <v>107</v>
      </c>
      <c r="B8" s="2"/>
      <c r="C8" s="2">
        <v>1</v>
      </c>
      <c r="D8" s="2"/>
      <c r="E8" s="2">
        <v>1</v>
      </c>
      <c r="G8" s="38" t="s">
        <v>107</v>
      </c>
      <c r="H8" s="110"/>
      <c r="I8" s="110">
        <v>1</v>
      </c>
      <c r="J8" s="110"/>
      <c r="K8" s="110">
        <v>1</v>
      </c>
    </row>
    <row r="9" spans="1:11" x14ac:dyDescent="0.25">
      <c r="A9" t="s">
        <v>108</v>
      </c>
      <c r="B9" s="2">
        <v>1</v>
      </c>
      <c r="C9" s="2"/>
      <c r="D9" s="2">
        <v>1</v>
      </c>
      <c r="E9" s="2"/>
      <c r="G9" s="38" t="s">
        <v>108</v>
      </c>
      <c r="H9" s="110">
        <v>1</v>
      </c>
      <c r="I9" s="110"/>
      <c r="J9" s="110">
        <v>1</v>
      </c>
      <c r="K9" s="110"/>
    </row>
    <row r="10" spans="1:11" x14ac:dyDescent="0.25">
      <c r="A10" t="s">
        <v>111</v>
      </c>
      <c r="B10" s="2"/>
      <c r="C10" s="2">
        <v>1</v>
      </c>
      <c r="D10" s="2"/>
      <c r="E10" s="2">
        <v>1</v>
      </c>
      <c r="G10" s="38" t="s">
        <v>111</v>
      </c>
      <c r="H10" s="110"/>
      <c r="I10" s="110">
        <v>1</v>
      </c>
      <c r="J10" s="110"/>
      <c r="K10" s="110">
        <v>1</v>
      </c>
    </row>
    <row r="11" spans="1:11" x14ac:dyDescent="0.25">
      <c r="A11" t="s">
        <v>123</v>
      </c>
      <c r="B11" s="2"/>
      <c r="C11" s="2"/>
      <c r="D11" s="2"/>
      <c r="E11" s="2">
        <v>1</v>
      </c>
      <c r="G11" s="38" t="s">
        <v>123</v>
      </c>
      <c r="H11" s="110"/>
      <c r="I11" s="110">
        <v>1</v>
      </c>
      <c r="J11" s="110"/>
      <c r="K11" s="110">
        <v>1</v>
      </c>
    </row>
    <row r="12" spans="1:11" x14ac:dyDescent="0.25">
      <c r="A12" t="s">
        <v>112</v>
      </c>
      <c r="B12" s="2"/>
      <c r="C12" s="2">
        <v>1</v>
      </c>
      <c r="D12" s="2"/>
      <c r="E12" s="2"/>
      <c r="G12" s="38" t="s">
        <v>112</v>
      </c>
      <c r="H12" s="110"/>
      <c r="I12" s="110">
        <v>1</v>
      </c>
      <c r="J12" s="110"/>
      <c r="K12" s="110">
        <v>1</v>
      </c>
    </row>
    <row r="13" spans="1:11" x14ac:dyDescent="0.25">
      <c r="A13" t="s">
        <v>114</v>
      </c>
      <c r="B13" s="2">
        <v>1</v>
      </c>
      <c r="C13" s="2"/>
      <c r="D13" s="2"/>
      <c r="E13" s="2"/>
      <c r="G13" s="38" t="s">
        <v>114</v>
      </c>
      <c r="H13" s="110">
        <v>1</v>
      </c>
      <c r="I13" s="110"/>
      <c r="J13" s="110">
        <v>1</v>
      </c>
      <c r="K13" s="110"/>
    </row>
    <row r="14" spans="1:11" x14ac:dyDescent="0.25">
      <c r="A14" t="s">
        <v>122</v>
      </c>
      <c r="B14" s="2"/>
      <c r="C14" s="2"/>
      <c r="D14" s="2">
        <v>1</v>
      </c>
      <c r="E14" s="2"/>
      <c r="G14" s="38" t="s">
        <v>122</v>
      </c>
      <c r="H14" s="110">
        <v>1</v>
      </c>
      <c r="I14" s="110"/>
      <c r="J14" s="110">
        <v>1</v>
      </c>
      <c r="K14" s="110"/>
    </row>
    <row r="15" spans="1:11" x14ac:dyDescent="0.25">
      <c r="A15" t="s">
        <v>117</v>
      </c>
      <c r="B15" s="2"/>
      <c r="C15" s="2"/>
      <c r="D15" s="2">
        <v>1</v>
      </c>
      <c r="E15" s="2"/>
      <c r="G15" s="38" t="s">
        <v>117</v>
      </c>
      <c r="H15" s="110">
        <v>1</v>
      </c>
      <c r="I15" s="110"/>
      <c r="J15" s="110">
        <v>1</v>
      </c>
      <c r="K15" s="110"/>
    </row>
    <row r="16" spans="1:11" x14ac:dyDescent="0.25">
      <c r="A16" t="s">
        <v>119</v>
      </c>
      <c r="B16" s="2"/>
      <c r="C16" s="2"/>
      <c r="D16" s="2"/>
      <c r="E16" s="2">
        <v>1</v>
      </c>
      <c r="G16" s="38" t="s">
        <v>119</v>
      </c>
      <c r="H16" s="110"/>
      <c r="I16" s="110">
        <v>1</v>
      </c>
      <c r="J16" s="110"/>
      <c r="K16" s="110">
        <v>1</v>
      </c>
    </row>
    <row r="17" spans="1:11" x14ac:dyDescent="0.25">
      <c r="A17" t="s">
        <v>132</v>
      </c>
      <c r="B17" s="2"/>
      <c r="C17" s="2">
        <v>1</v>
      </c>
      <c r="D17" s="2"/>
      <c r="E17" s="2"/>
      <c r="G17" s="38" t="s">
        <v>132</v>
      </c>
      <c r="H17" s="110"/>
      <c r="I17" s="110">
        <v>1</v>
      </c>
      <c r="J17" s="110"/>
      <c r="K17" s="110">
        <v>1</v>
      </c>
    </row>
    <row r="18" spans="1:11" x14ac:dyDescent="0.25">
      <c r="A18" t="s">
        <v>124</v>
      </c>
      <c r="B18" s="2">
        <v>1</v>
      </c>
      <c r="C18" s="2"/>
      <c r="D18" s="2"/>
      <c r="E18" s="2"/>
      <c r="G18" s="38" t="s">
        <v>124</v>
      </c>
      <c r="H18" s="110">
        <v>1</v>
      </c>
      <c r="I18" s="110"/>
      <c r="J18" s="110">
        <v>1</v>
      </c>
      <c r="K18" s="110"/>
    </row>
    <row r="19" spans="1:11" x14ac:dyDescent="0.25">
      <c r="A19" t="s">
        <v>127</v>
      </c>
      <c r="B19" s="2"/>
      <c r="C19" s="2">
        <v>1</v>
      </c>
      <c r="D19" s="2"/>
      <c r="E19" s="2"/>
      <c r="G19" s="38" t="s">
        <v>127</v>
      </c>
      <c r="H19" s="110"/>
      <c r="I19" s="110">
        <v>1</v>
      </c>
      <c r="J19" s="110"/>
      <c r="K19" s="110">
        <v>1</v>
      </c>
    </row>
    <row r="20" spans="1:11" x14ac:dyDescent="0.25">
      <c r="A20" t="s">
        <v>133</v>
      </c>
      <c r="B20" s="2"/>
      <c r="C20" s="2"/>
      <c r="D20" s="2">
        <v>1</v>
      </c>
      <c r="E20" s="2"/>
      <c r="G20" s="38" t="s">
        <v>133</v>
      </c>
      <c r="H20" s="110">
        <v>1</v>
      </c>
      <c r="I20" s="110"/>
      <c r="J20" s="110">
        <v>1</v>
      </c>
      <c r="K20" s="110"/>
    </row>
    <row r="21" spans="1:11" x14ac:dyDescent="0.25">
      <c r="A21" t="s">
        <v>129</v>
      </c>
      <c r="B21" s="2"/>
      <c r="C21" s="2"/>
      <c r="D21" s="2">
        <v>1</v>
      </c>
      <c r="E21" s="2"/>
      <c r="G21" s="38" t="s">
        <v>129</v>
      </c>
      <c r="H21" s="110">
        <v>1</v>
      </c>
      <c r="I21" s="110"/>
      <c r="J21" s="110">
        <v>1</v>
      </c>
      <c r="K21" s="110"/>
    </row>
    <row r="22" spans="1:11" x14ac:dyDescent="0.25">
      <c r="A22" t="s">
        <v>153</v>
      </c>
      <c r="B22" s="2">
        <v>1</v>
      </c>
      <c r="C22" s="2"/>
      <c r="D22" s="2">
        <v>1</v>
      </c>
      <c r="E22" s="2"/>
      <c r="G22" s="38" t="s">
        <v>153</v>
      </c>
      <c r="H22" s="110">
        <v>1</v>
      </c>
      <c r="I22" s="110"/>
      <c r="J22" s="110">
        <v>1</v>
      </c>
      <c r="K22" s="110"/>
    </row>
    <row r="23" spans="1:11" x14ac:dyDescent="0.25">
      <c r="A23" t="s">
        <v>155</v>
      </c>
      <c r="B23" s="2">
        <v>1</v>
      </c>
      <c r="C23" s="2"/>
      <c r="D23" s="2">
        <v>1</v>
      </c>
      <c r="E23" s="2"/>
      <c r="G23" s="38" t="s">
        <v>155</v>
      </c>
      <c r="H23" s="110">
        <v>1</v>
      </c>
      <c r="I23" s="110"/>
      <c r="J23" s="110">
        <v>1</v>
      </c>
      <c r="K23" s="110"/>
    </row>
    <row r="24" spans="1:11" x14ac:dyDescent="0.25">
      <c r="A24" t="s">
        <v>152</v>
      </c>
      <c r="B24" s="2"/>
      <c r="C24" s="2"/>
      <c r="D24" s="2"/>
      <c r="E24" s="2">
        <v>1</v>
      </c>
      <c r="G24" s="38" t="s">
        <v>152</v>
      </c>
      <c r="H24" s="110"/>
      <c r="I24" s="110">
        <v>1</v>
      </c>
      <c r="J24" s="110"/>
      <c r="K24" s="110">
        <v>1</v>
      </c>
    </row>
    <row r="25" spans="1:11" x14ac:dyDescent="0.25">
      <c r="A25" t="s">
        <v>150</v>
      </c>
      <c r="B25" s="2">
        <v>1</v>
      </c>
      <c r="C25" s="2"/>
      <c r="D25" s="2">
        <v>1</v>
      </c>
      <c r="E25" s="2"/>
      <c r="F25" s="71"/>
      <c r="G25" s="38" t="s">
        <v>150</v>
      </c>
      <c r="H25" s="110">
        <v>1</v>
      </c>
      <c r="I25" s="110"/>
      <c r="J25" s="110">
        <v>1</v>
      </c>
      <c r="K25" s="110"/>
    </row>
    <row r="26" spans="1:11" x14ac:dyDescent="0.25">
      <c r="A26" t="s">
        <v>144</v>
      </c>
      <c r="B26" s="2">
        <v>1</v>
      </c>
      <c r="C26" s="2"/>
      <c r="D26" s="2">
        <v>1</v>
      </c>
      <c r="E26" s="2"/>
      <c r="G26" s="38" t="s">
        <v>144</v>
      </c>
      <c r="H26" s="110">
        <v>1</v>
      </c>
      <c r="I26" s="110"/>
      <c r="J26" s="110">
        <v>1</v>
      </c>
      <c r="K26" s="110"/>
    </row>
    <row r="27" spans="1:11" x14ac:dyDescent="0.25">
      <c r="A27" t="s">
        <v>149</v>
      </c>
      <c r="B27" s="2"/>
      <c r="C27" s="2"/>
      <c r="D27" s="2"/>
      <c r="E27" s="2">
        <v>1</v>
      </c>
      <c r="G27" s="38" t="s">
        <v>149</v>
      </c>
      <c r="H27" s="110"/>
      <c r="I27" s="110">
        <v>2</v>
      </c>
      <c r="J27" s="110"/>
      <c r="K27" s="110">
        <v>2</v>
      </c>
    </row>
    <row r="28" spans="1:11" x14ac:dyDescent="0.25">
      <c r="A28" t="s">
        <v>151</v>
      </c>
      <c r="B28" s="2"/>
      <c r="C28" s="2">
        <v>1</v>
      </c>
      <c r="D28" s="2"/>
      <c r="E28" s="2"/>
      <c r="G28" s="38" t="s">
        <v>151</v>
      </c>
      <c r="H28" s="110"/>
      <c r="I28" s="110">
        <v>1</v>
      </c>
      <c r="J28" s="110"/>
      <c r="K28" s="110">
        <v>1</v>
      </c>
    </row>
    <row r="29" spans="1:11" x14ac:dyDescent="0.25">
      <c r="A29" t="s">
        <v>154</v>
      </c>
      <c r="B29" s="2">
        <v>1</v>
      </c>
      <c r="C29" s="2"/>
      <c r="D29" s="2">
        <v>1</v>
      </c>
      <c r="E29" s="2"/>
      <c r="G29" s="38" t="s">
        <v>154</v>
      </c>
      <c r="H29" s="110">
        <v>1</v>
      </c>
      <c r="I29" s="110"/>
      <c r="J29" s="110">
        <v>1</v>
      </c>
      <c r="K29" s="110"/>
    </row>
    <row r="30" spans="1:11" x14ac:dyDescent="0.25">
      <c r="A30" t="s">
        <v>146</v>
      </c>
      <c r="B30" s="2"/>
      <c r="C30" s="2">
        <v>1</v>
      </c>
      <c r="D30" s="2"/>
      <c r="E30" s="2"/>
      <c r="G30" s="38" t="s">
        <v>146</v>
      </c>
      <c r="H30" s="110"/>
      <c r="I30" s="110">
        <v>1</v>
      </c>
      <c r="J30" s="110"/>
      <c r="K30" s="110">
        <v>1</v>
      </c>
    </row>
    <row r="31" spans="1:11" x14ac:dyDescent="0.25">
      <c r="A31" t="s">
        <v>101</v>
      </c>
      <c r="B31" s="2">
        <v>1</v>
      </c>
      <c r="C31" s="2">
        <v>1</v>
      </c>
      <c r="D31" s="2">
        <v>1</v>
      </c>
      <c r="E31" s="2">
        <v>1</v>
      </c>
      <c r="G31" s="38" t="s">
        <v>369</v>
      </c>
      <c r="H31" s="110">
        <v>1</v>
      </c>
      <c r="I31" s="110">
        <v>1</v>
      </c>
      <c r="J31" s="110">
        <v>1</v>
      </c>
      <c r="K31" s="110">
        <v>1</v>
      </c>
    </row>
    <row r="32" spans="1:11" x14ac:dyDescent="0.25">
      <c r="A32" t="s">
        <v>183</v>
      </c>
      <c r="B32" s="2">
        <v>1</v>
      </c>
      <c r="C32" s="2"/>
      <c r="D32" s="2"/>
      <c r="E32" s="2"/>
      <c r="G32" s="38" t="s">
        <v>183</v>
      </c>
      <c r="H32" s="110">
        <v>1</v>
      </c>
      <c r="I32" s="110"/>
      <c r="J32" s="110"/>
      <c r="K32" s="110"/>
    </row>
    <row r="33" spans="1:11" x14ac:dyDescent="0.25">
      <c r="A33" t="s">
        <v>163</v>
      </c>
      <c r="B33" s="2"/>
      <c r="C33" s="2">
        <v>1</v>
      </c>
      <c r="D33" s="2"/>
      <c r="E33" s="2">
        <v>1</v>
      </c>
      <c r="G33" s="38" t="s">
        <v>403</v>
      </c>
      <c r="H33" s="110"/>
      <c r="I33" s="110">
        <v>1</v>
      </c>
      <c r="J33" s="110"/>
      <c r="K33" s="110">
        <v>1</v>
      </c>
    </row>
    <row r="34" spans="1:11" x14ac:dyDescent="0.25">
      <c r="A34" t="s">
        <v>167</v>
      </c>
      <c r="B34" s="2">
        <v>1</v>
      </c>
      <c r="C34" s="2"/>
      <c r="D34" s="2">
        <v>1</v>
      </c>
      <c r="E34" s="2"/>
      <c r="G34" s="38" t="s">
        <v>405</v>
      </c>
      <c r="H34" s="110">
        <v>1</v>
      </c>
      <c r="I34" s="110"/>
      <c r="J34" s="110">
        <v>1</v>
      </c>
      <c r="K34" s="110"/>
    </row>
    <row r="35" spans="1:11" x14ac:dyDescent="0.25">
      <c r="A35" t="s">
        <v>171</v>
      </c>
      <c r="B35" s="2"/>
      <c r="C35" s="2">
        <v>1</v>
      </c>
      <c r="D35" s="2"/>
      <c r="E35" s="2">
        <v>1</v>
      </c>
      <c r="G35" s="38" t="s">
        <v>407</v>
      </c>
      <c r="H35" s="110"/>
      <c r="I35" s="110">
        <v>1</v>
      </c>
      <c r="J35" s="110"/>
      <c r="K35" s="110">
        <v>1</v>
      </c>
    </row>
    <row r="36" spans="1:11" x14ac:dyDescent="0.25">
      <c r="A36" t="s">
        <v>181</v>
      </c>
      <c r="B36" s="2">
        <v>1</v>
      </c>
      <c r="C36" s="2"/>
      <c r="D36" s="2">
        <v>1</v>
      </c>
      <c r="E36" s="2"/>
      <c r="G36" s="38" t="s">
        <v>181</v>
      </c>
      <c r="H36" s="110">
        <v>1</v>
      </c>
      <c r="I36" s="110"/>
      <c r="J36" s="110">
        <v>1</v>
      </c>
      <c r="K36" s="110"/>
    </row>
    <row r="37" spans="1:11" x14ac:dyDescent="0.25">
      <c r="A37" t="s">
        <v>164</v>
      </c>
      <c r="B37" s="2">
        <v>1</v>
      </c>
      <c r="C37" s="2"/>
      <c r="D37" s="2"/>
      <c r="E37" s="2"/>
      <c r="G37" s="38" t="s">
        <v>164</v>
      </c>
      <c r="H37" s="110">
        <v>1</v>
      </c>
      <c r="I37" s="110"/>
      <c r="J37" s="110"/>
      <c r="K37" s="110"/>
    </row>
    <row r="38" spans="1:11" x14ac:dyDescent="0.25">
      <c r="A38" t="s">
        <v>168</v>
      </c>
      <c r="B38" s="2"/>
      <c r="C38" s="2"/>
      <c r="D38" s="2">
        <v>1</v>
      </c>
      <c r="E38" s="2"/>
      <c r="G38" s="38" t="s">
        <v>168</v>
      </c>
      <c r="H38" s="110"/>
      <c r="I38" s="110"/>
      <c r="J38" s="110">
        <v>1</v>
      </c>
      <c r="K38" s="110"/>
    </row>
    <row r="39" spans="1:11" x14ac:dyDescent="0.25">
      <c r="A39" t="s">
        <v>189</v>
      </c>
      <c r="B39" s="2"/>
      <c r="C39" s="2"/>
      <c r="D39" s="2">
        <v>1</v>
      </c>
      <c r="E39" s="2"/>
      <c r="G39" s="38" t="s">
        <v>189</v>
      </c>
      <c r="H39" s="110"/>
      <c r="I39" s="110"/>
      <c r="J39" s="110">
        <v>1</v>
      </c>
      <c r="K39" s="110"/>
    </row>
    <row r="40" spans="1:11" x14ac:dyDescent="0.25">
      <c r="A40" t="s">
        <v>178</v>
      </c>
      <c r="B40" s="2"/>
      <c r="C40" s="2">
        <v>1</v>
      </c>
      <c r="D40" s="2"/>
      <c r="E40" s="2"/>
      <c r="G40" s="38" t="s">
        <v>178</v>
      </c>
      <c r="H40" s="110"/>
      <c r="I40" s="110">
        <v>1</v>
      </c>
      <c r="J40" s="110"/>
      <c r="K40" s="110"/>
    </row>
    <row r="41" spans="1:11" x14ac:dyDescent="0.25">
      <c r="A41" t="s">
        <v>191</v>
      </c>
      <c r="B41" s="2"/>
      <c r="C41" s="2"/>
      <c r="D41" s="2">
        <v>1</v>
      </c>
      <c r="E41" s="2"/>
      <c r="G41" s="38" t="s">
        <v>191</v>
      </c>
      <c r="H41" s="110"/>
      <c r="I41" s="110"/>
      <c r="J41" s="110">
        <v>1</v>
      </c>
      <c r="K41" s="110"/>
    </row>
    <row r="42" spans="1:11" x14ac:dyDescent="0.25">
      <c r="A42" t="s">
        <v>182</v>
      </c>
      <c r="B42" s="2">
        <v>1</v>
      </c>
      <c r="C42" s="2"/>
      <c r="D42" s="2"/>
      <c r="E42" s="2"/>
      <c r="G42" s="38" t="s">
        <v>182</v>
      </c>
      <c r="H42" s="110">
        <v>1</v>
      </c>
      <c r="I42" s="110"/>
      <c r="J42" s="110"/>
      <c r="K42" s="110"/>
    </row>
    <row r="43" spans="1:11" x14ac:dyDescent="0.25">
      <c r="A43" t="s">
        <v>173</v>
      </c>
      <c r="B43" s="2"/>
      <c r="C43" s="2"/>
      <c r="D43" s="2">
        <v>1</v>
      </c>
      <c r="E43" s="2"/>
      <c r="G43" s="38" t="s">
        <v>173</v>
      </c>
      <c r="H43" s="110"/>
      <c r="I43" s="110"/>
      <c r="J43" s="110">
        <v>1</v>
      </c>
      <c r="K43" s="110"/>
    </row>
    <row r="44" spans="1:11" x14ac:dyDescent="0.25">
      <c r="A44" t="s">
        <v>165</v>
      </c>
      <c r="B44" s="2">
        <v>1</v>
      </c>
      <c r="C44" s="2"/>
      <c r="D44" s="2">
        <v>1</v>
      </c>
      <c r="E44" s="2"/>
      <c r="G44" s="38" t="s">
        <v>165</v>
      </c>
      <c r="H44" s="110">
        <v>1</v>
      </c>
      <c r="I44" s="110"/>
      <c r="J44" s="110">
        <v>1</v>
      </c>
      <c r="K44" s="110"/>
    </row>
    <row r="45" spans="1:11" x14ac:dyDescent="0.25">
      <c r="A45" t="s">
        <v>169</v>
      </c>
      <c r="B45" s="2"/>
      <c r="C45" s="2">
        <v>1</v>
      </c>
      <c r="D45" s="2"/>
      <c r="E45" s="2">
        <v>1</v>
      </c>
      <c r="G45" s="38" t="s">
        <v>169</v>
      </c>
      <c r="H45" s="110"/>
      <c r="I45" s="110">
        <v>1</v>
      </c>
      <c r="J45" s="110"/>
      <c r="K45" s="110">
        <v>1</v>
      </c>
    </row>
    <row r="46" spans="1:11" x14ac:dyDescent="0.25">
      <c r="A46" t="s">
        <v>131</v>
      </c>
      <c r="B46" s="2"/>
      <c r="C46" s="2">
        <v>1</v>
      </c>
      <c r="D46" s="2"/>
      <c r="E46" s="2">
        <v>1</v>
      </c>
      <c r="G46" s="38" t="s">
        <v>131</v>
      </c>
      <c r="H46" s="110"/>
      <c r="I46" s="110">
        <v>1</v>
      </c>
      <c r="J46" s="110"/>
      <c r="K46" s="110">
        <v>1</v>
      </c>
    </row>
    <row r="47" spans="1:11" x14ac:dyDescent="0.25">
      <c r="G47" s="38" t="s">
        <v>339</v>
      </c>
      <c r="H47" s="110"/>
      <c r="I47" s="110">
        <v>1</v>
      </c>
      <c r="J47" s="110"/>
      <c r="K47" s="110">
        <v>1</v>
      </c>
    </row>
    <row r="48" spans="1:11" x14ac:dyDescent="0.25">
      <c r="F48" s="42"/>
      <c r="G48" s="38" t="s">
        <v>194</v>
      </c>
      <c r="H48" s="110"/>
      <c r="I48" s="110"/>
      <c r="J48" s="110"/>
      <c r="K48" s="110"/>
    </row>
  </sheetData>
  <phoneticPr fontId="62"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058b0421-3d9b-4d43-8840-b275eef407cc" ContentTypeId="0x0101" PreviousValue="false"/>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schemas.microsoft.com/office/2006/metadata/properties"/>
    <ds:schemaRef ds:uri="http://purl.org/dc/elements/1.1/"/>
    <ds:schemaRef ds:uri="1f4c0b20-2c14-4291-851e-36bd297de4e2"/>
    <ds:schemaRef ds:uri="http://schemas.microsoft.com/office/infopath/2007/PartnerControls"/>
    <ds:schemaRef ds:uri="http://schemas.openxmlformats.org/package/2006/metadata/core-properties"/>
    <ds:schemaRef ds:uri="http://schemas.microsoft.com/office/2006/documentManagement/types"/>
    <ds:schemaRef ds:uri="http://schemas.microsoft.com/sharepoint/v4"/>
    <ds:schemaRef ds:uri="http://purl.org/dc/dcmitype/"/>
    <ds:schemaRef ds:uri="ba69df13-0c3c-4942-8695-6ca01564010c"/>
    <ds:schemaRef ds:uri="http://www.w3.org/XML/1998/namespace"/>
    <ds:schemaRef ds:uri="http://purl.org/dc/terms/"/>
  </ds:schemaRefs>
</ds:datastoreItem>
</file>

<file path=customXml/itemProps3.xml><?xml version="1.0" encoding="utf-8"?>
<ds:datastoreItem xmlns:ds="http://schemas.openxmlformats.org/officeDocument/2006/customXml" ds:itemID="{2653EC2F-5AF2-4B8D-BE60-944ED0104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6B207D-7EF4-4D79-B26C-CD0225F413B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Construction Management Planner</vt:lpstr>
      <vt:lpstr>CourseDetails</vt:lpstr>
      <vt:lpstr>Unitsets</vt:lpstr>
      <vt:lpstr>Handbook</vt:lpstr>
      <vt:lpstr>Structures</vt:lpstr>
      <vt:lpstr>Availabilities</vt:lpstr>
      <vt:lpstr>'Construction Management Planner'!Print_Area</vt:lpstr>
      <vt:lpstr>RangeSpecSets</vt:lpstr>
      <vt:lpstr>RangeUnitsets</vt:lpstr>
      <vt:lpstr>RangeUnitSetsY4</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2026-01-15T03:45:14Z</cp:lastPrinted>
  <dcterms:created xsi:type="dcterms:W3CDTF">2022-02-28T04:48:12Z</dcterms:created>
  <dcterms:modified xsi:type="dcterms:W3CDTF">2026-01-15T03:46:21Z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