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updateLinks="never"/>
  <mc:AlternateContent xmlns:mc="http://schemas.openxmlformats.org/markup-compatibility/2006">
    <mc:Choice Requires="x15">
      <x15ac:absPath xmlns:x15ac="http://schemas.microsoft.com/office/spreadsheetml/2010/11/ac" url="C:\Users\259378F\Downloads\"/>
    </mc:Choice>
  </mc:AlternateContent>
  <xr:revisionPtr revIDLastSave="0" documentId="13_ncr:1_{3537E20C-537F-4910-83D8-0D1F0B1AF746}" xr6:coauthVersionLast="47" xr6:coauthVersionMax="47" xr10:uidLastSave="{00000000-0000-0000-0000-000000000000}"/>
  <workbookProtection workbookAlgorithmName="SHA-512" workbookHashValue="PUT3JMVvoygGbP83oYLqirBT3p3oxPkLVTkOW7qjiss/J5dAA6k1pjA1fOuSxxjnL8MdZ2e5gkKNuGgjSl191g==" workbookSaltValue="W78pDMYL7p+swvrvNd8O4g==" workbookSpinCount="100000" lockStructure="1"/>
  <bookViews>
    <workbookView xWindow="-120" yWindow="-120" windowWidth="29040" windowHeight="17520" xr2:uid="{00000000-000D-0000-FFFF-FFFF00000000}"/>
  </bookViews>
  <sheets>
    <sheet name="B-Architecture Planner" sheetId="5" r:id="rId1"/>
    <sheet name="CourseDetails" sheetId="10" state="hidden" r:id="rId2"/>
    <sheet name="Unitsets" sheetId="2" state="hidden" r:id="rId3"/>
    <sheet name="Handbook" sheetId="3" state="hidden" r:id="rId4"/>
    <sheet name="Structures" sheetId="8" state="hidden" r:id="rId5"/>
    <sheet name="Availabilities" sheetId="9" state="hidden" r:id="rId6"/>
  </sheets>
  <definedNames>
    <definedName name="_xlnm._FilterDatabase" localSheetId="3" hidden="1">Handbook!#REF!</definedName>
    <definedName name="_xlnm.Print_Area" localSheetId="0">'B-Architecture Planner'!$A$3:$L$65</definedName>
    <definedName name="RangeSpecSets">Unitsets!$C$33:$J$49</definedName>
    <definedName name="RangeUnitsets">Unitsets!$C$3:$J$27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5" i="3" l="1"/>
  <c r="H45" i="3"/>
  <c r="I45" i="3"/>
  <c r="J45" i="3"/>
  <c r="L45" i="3"/>
  <c r="M45" i="3"/>
  <c r="N45" i="3"/>
  <c r="O45" i="3"/>
  <c r="P45" i="3"/>
  <c r="Q45" i="3"/>
  <c r="G54" i="3"/>
  <c r="G56" i="3"/>
  <c r="H54" i="3"/>
  <c r="H56" i="3"/>
  <c r="I54" i="3"/>
  <c r="I56" i="3"/>
  <c r="J54" i="3"/>
  <c r="J56" i="3"/>
  <c r="L54" i="3"/>
  <c r="L56" i="3"/>
  <c r="M54" i="3"/>
  <c r="M56" i="3"/>
  <c r="N54" i="3"/>
  <c r="N56" i="3"/>
  <c r="O54" i="3"/>
  <c r="O56" i="3"/>
  <c r="P54" i="3"/>
  <c r="P56" i="3"/>
  <c r="Q54" i="3"/>
  <c r="Q56" i="3"/>
  <c r="D74" i="8"/>
  <c r="D75" i="8"/>
  <c r="D76" i="8"/>
  <c r="D77" i="8"/>
  <c r="D78" i="8"/>
  <c r="D79" i="8"/>
  <c r="D80" i="8"/>
  <c r="D81" i="8"/>
  <c r="D82" i="8"/>
  <c r="D83" i="8"/>
  <c r="D84" i="8"/>
  <c r="D85" i="8"/>
  <c r="G39" i="3"/>
  <c r="G40" i="3"/>
  <c r="G43" i="3"/>
  <c r="H39" i="3"/>
  <c r="H40" i="3"/>
  <c r="H43" i="3"/>
  <c r="I39" i="3"/>
  <c r="I40" i="3"/>
  <c r="I43" i="3"/>
  <c r="J39" i="3"/>
  <c r="J40" i="3"/>
  <c r="J43" i="3"/>
  <c r="O39" i="3"/>
  <c r="O40" i="3"/>
  <c r="O43" i="3"/>
  <c r="Q39" i="3"/>
  <c r="Q40" i="3"/>
  <c r="Q43" i="3"/>
  <c r="G36" i="3"/>
  <c r="H36" i="3"/>
  <c r="I36" i="3"/>
  <c r="J36" i="3"/>
  <c r="O36" i="3"/>
  <c r="Q36" i="3"/>
  <c r="L5" i="5"/>
  <c r="E54" i="8"/>
  <c r="D54" i="8"/>
  <c r="B54" i="8"/>
  <c r="A54" i="8"/>
  <c r="E53" i="8"/>
  <c r="D53" i="8"/>
  <c r="B53" i="8"/>
  <c r="A53" i="8"/>
  <c r="E52" i="8"/>
  <c r="D52" i="8"/>
  <c r="B52" i="8"/>
  <c r="A52" i="8"/>
  <c r="E51" i="8"/>
  <c r="D51" i="8"/>
  <c r="B51" i="8"/>
  <c r="A51" i="8"/>
  <c r="M39" i="3" s="1"/>
  <c r="E50" i="8"/>
  <c r="C50" i="8"/>
  <c r="D50" i="8" s="1"/>
  <c r="B50" i="8"/>
  <c r="A50" i="8"/>
  <c r="E49" i="8"/>
  <c r="C49" i="8"/>
  <c r="D49" i="8" s="1"/>
  <c r="B49" i="8"/>
  <c r="A49" i="8"/>
  <c r="E48" i="8"/>
  <c r="C48" i="8"/>
  <c r="D48" i="8" s="1"/>
  <c r="B48" i="8"/>
  <c r="A48" i="8"/>
  <c r="E47" i="8"/>
  <c r="C47" i="8"/>
  <c r="D47" i="8" s="1"/>
  <c r="B47" i="8"/>
  <c r="A47" i="8"/>
  <c r="E46" i="8"/>
  <c r="C46" i="8"/>
  <c r="D46" i="8" s="1"/>
  <c r="B46" i="8"/>
  <c r="A46" i="8"/>
  <c r="E45" i="8"/>
  <c r="C45" i="8"/>
  <c r="D45" i="8" s="1"/>
  <c r="B45" i="8"/>
  <c r="A45" i="8"/>
  <c r="E44" i="8"/>
  <c r="C44" i="8"/>
  <c r="D44" i="8" s="1"/>
  <c r="B44" i="8"/>
  <c r="A44" i="8"/>
  <c r="E43" i="8"/>
  <c r="C43" i="8"/>
  <c r="D43" i="8" s="1"/>
  <c r="B43" i="8"/>
  <c r="A43" i="8"/>
  <c r="E42" i="8"/>
  <c r="C42" i="8"/>
  <c r="D42" i="8" s="1"/>
  <c r="B42" i="8"/>
  <c r="A42" i="8"/>
  <c r="E41" i="8"/>
  <c r="C41" i="8"/>
  <c r="D41" i="8" s="1"/>
  <c r="B41" i="8"/>
  <c r="A41" i="8"/>
  <c r="E40" i="8"/>
  <c r="C40" i="8"/>
  <c r="D40" i="8" s="1"/>
  <c r="B40" i="8"/>
  <c r="A40" i="8"/>
  <c r="E39" i="8"/>
  <c r="C39" i="8"/>
  <c r="D39" i="8" s="1"/>
  <c r="B39" i="8"/>
  <c r="A39" i="8"/>
  <c r="E38" i="8"/>
  <c r="C38" i="8"/>
  <c r="D38" i="8" s="1"/>
  <c r="B38" i="8"/>
  <c r="A38" i="8"/>
  <c r="E37" i="8"/>
  <c r="C37" i="8"/>
  <c r="D37" i="8" s="1"/>
  <c r="B37" i="8"/>
  <c r="A37" i="8"/>
  <c r="E36" i="8"/>
  <c r="C36" i="8"/>
  <c r="D36" i="8" s="1"/>
  <c r="B36" i="8"/>
  <c r="A36" i="8"/>
  <c r="E35" i="8"/>
  <c r="C35" i="8"/>
  <c r="D35" i="8" s="1"/>
  <c r="B35" i="8"/>
  <c r="A35" i="8"/>
  <c r="E34" i="8"/>
  <c r="C34" i="8"/>
  <c r="D34" i="8" s="1"/>
  <c r="B34" i="8"/>
  <c r="A34" i="8"/>
  <c r="E33" i="8"/>
  <c r="C33" i="8"/>
  <c r="D33" i="8" s="1"/>
  <c r="B33" i="8"/>
  <c r="A33" i="8"/>
  <c r="E32" i="8"/>
  <c r="C32" i="8"/>
  <c r="D32" i="8" s="1"/>
  <c r="B32" i="8"/>
  <c r="A32" i="8"/>
  <c r="E31" i="8"/>
  <c r="C31" i="8"/>
  <c r="D31" i="8" s="1"/>
  <c r="B31" i="8"/>
  <c r="A31" i="8"/>
  <c r="E30" i="8"/>
  <c r="C30" i="8"/>
  <c r="D30" i="8" s="1"/>
  <c r="B30" i="8"/>
  <c r="A30" i="8"/>
  <c r="M14" i="3" s="1"/>
  <c r="C59" i="8"/>
  <c r="D59" i="8" s="1"/>
  <c r="C60" i="8"/>
  <c r="D60" i="8" s="1"/>
  <c r="C61" i="8"/>
  <c r="D61" i="8" s="1"/>
  <c r="C62" i="8"/>
  <c r="D62" i="8" s="1"/>
  <c r="C63" i="8"/>
  <c r="D63" i="8" s="1"/>
  <c r="C89" i="8"/>
  <c r="D89" i="8" s="1"/>
  <c r="C90" i="8"/>
  <c r="D90" i="8" s="1"/>
  <c r="C91" i="8"/>
  <c r="D91" i="8" s="1"/>
  <c r="C92" i="8"/>
  <c r="D92" i="8" s="1"/>
  <c r="C93" i="8"/>
  <c r="D93" i="8" s="1"/>
  <c r="C75" i="8"/>
  <c r="C76" i="8"/>
  <c r="C77" i="8"/>
  <c r="C78" i="8"/>
  <c r="C79" i="8"/>
  <c r="C80" i="8"/>
  <c r="C81" i="8"/>
  <c r="C82" i="8"/>
  <c r="C84" i="8"/>
  <c r="C85" i="8"/>
  <c r="C67" i="8"/>
  <c r="D67" i="8" s="1"/>
  <c r="C68" i="8"/>
  <c r="D68" i="8" s="1"/>
  <c r="C69" i="8"/>
  <c r="D69" i="8" s="1"/>
  <c r="C70" i="8"/>
  <c r="D70" i="8" s="1"/>
  <c r="C71" i="8"/>
  <c r="D71" i="8" s="1"/>
  <c r="C88" i="8"/>
  <c r="D88" i="8" s="1"/>
  <c r="C74" i="8"/>
  <c r="C66" i="8"/>
  <c r="D66" i="8" s="1"/>
  <c r="C58" i="8"/>
  <c r="D58" i="8" s="1"/>
  <c r="D17" i="8"/>
  <c r="D27" i="8"/>
  <c r="D26" i="8"/>
  <c r="D25" i="8"/>
  <c r="D24" i="8"/>
  <c r="C23" i="8"/>
  <c r="D23" i="8" s="1"/>
  <c r="C22" i="8"/>
  <c r="D22" i="8" s="1"/>
  <c r="C21" i="8"/>
  <c r="D21" i="8" s="1"/>
  <c r="C20" i="8"/>
  <c r="D20" i="8" s="1"/>
  <c r="C19" i="8"/>
  <c r="D19" i="8" s="1"/>
  <c r="C18" i="8"/>
  <c r="D18" i="8" s="1"/>
  <c r="C17" i="8"/>
  <c r="C16" i="8"/>
  <c r="D16" i="8" s="1"/>
  <c r="C15" i="8"/>
  <c r="D15" i="8" s="1"/>
  <c r="C14" i="8"/>
  <c r="D14" i="8" s="1"/>
  <c r="C13" i="8"/>
  <c r="D13" i="8" s="1"/>
  <c r="C12" i="8"/>
  <c r="D12" i="8" s="1"/>
  <c r="C11" i="8"/>
  <c r="D11" i="8" s="1"/>
  <c r="C10" i="8"/>
  <c r="D10" i="8" s="1"/>
  <c r="C9" i="8"/>
  <c r="D9" i="8" s="1"/>
  <c r="C8" i="8"/>
  <c r="D8" i="8" s="1"/>
  <c r="C7" i="8"/>
  <c r="D7" i="8" s="1"/>
  <c r="C6" i="8"/>
  <c r="D6" i="8" s="1"/>
  <c r="C5" i="8"/>
  <c r="D5" i="8" s="1"/>
  <c r="C4" i="8"/>
  <c r="D4" i="8" s="1"/>
  <c r="C3" i="8"/>
  <c r="D3" i="8" s="1"/>
  <c r="A46" i="5"/>
  <c r="G66" i="3"/>
  <c r="H66" i="3"/>
  <c r="I66" i="3"/>
  <c r="J66" i="3"/>
  <c r="G64" i="3"/>
  <c r="H64" i="3"/>
  <c r="I64" i="3"/>
  <c r="J64" i="3"/>
  <c r="G34" i="3"/>
  <c r="H34" i="3"/>
  <c r="I34" i="3"/>
  <c r="J34" i="3"/>
  <c r="G32" i="3"/>
  <c r="H32" i="3"/>
  <c r="I32" i="3"/>
  <c r="J32" i="3"/>
  <c r="J67" i="3"/>
  <c r="I67" i="3"/>
  <c r="H67" i="3"/>
  <c r="G67" i="3"/>
  <c r="J65" i="3"/>
  <c r="I65" i="3"/>
  <c r="H65" i="3"/>
  <c r="G65" i="3"/>
  <c r="J63" i="3"/>
  <c r="I63" i="3"/>
  <c r="H63" i="3"/>
  <c r="G63" i="3"/>
  <c r="J62" i="3"/>
  <c r="I62" i="3"/>
  <c r="H62" i="3"/>
  <c r="G62" i="3"/>
  <c r="J61" i="3"/>
  <c r="I61" i="3"/>
  <c r="H61" i="3"/>
  <c r="G61" i="3"/>
  <c r="J60" i="3"/>
  <c r="I60" i="3"/>
  <c r="H60" i="3"/>
  <c r="G60" i="3"/>
  <c r="J59" i="3"/>
  <c r="I59" i="3"/>
  <c r="H59" i="3"/>
  <c r="G59" i="3"/>
  <c r="J58" i="3"/>
  <c r="I58" i="3"/>
  <c r="H58" i="3"/>
  <c r="G58" i="3"/>
  <c r="J57" i="3"/>
  <c r="I57" i="3"/>
  <c r="H57" i="3"/>
  <c r="G57" i="3"/>
  <c r="J55" i="3"/>
  <c r="I55" i="3"/>
  <c r="H55" i="3"/>
  <c r="G55" i="3"/>
  <c r="J53" i="3"/>
  <c r="I53" i="3"/>
  <c r="H53" i="3"/>
  <c r="G53" i="3"/>
  <c r="J52" i="3"/>
  <c r="I52" i="3"/>
  <c r="H52" i="3"/>
  <c r="G52" i="3"/>
  <c r="J51" i="3"/>
  <c r="I51" i="3"/>
  <c r="H51" i="3"/>
  <c r="G51" i="3"/>
  <c r="J50" i="3"/>
  <c r="I50" i="3"/>
  <c r="H50" i="3"/>
  <c r="G50" i="3"/>
  <c r="J49" i="3"/>
  <c r="I49" i="3"/>
  <c r="H49" i="3"/>
  <c r="G49" i="3"/>
  <c r="J48" i="3"/>
  <c r="I48" i="3"/>
  <c r="H48" i="3"/>
  <c r="G48" i="3"/>
  <c r="J47" i="3"/>
  <c r="I47" i="3"/>
  <c r="H47" i="3"/>
  <c r="G47" i="3"/>
  <c r="J46" i="3"/>
  <c r="I46" i="3"/>
  <c r="H46" i="3"/>
  <c r="G46" i="3"/>
  <c r="J44" i="3"/>
  <c r="I44" i="3"/>
  <c r="H44" i="3"/>
  <c r="G44" i="3"/>
  <c r="J42" i="3"/>
  <c r="I42" i="3"/>
  <c r="H42" i="3"/>
  <c r="G42" i="3"/>
  <c r="J41" i="3"/>
  <c r="I41" i="3"/>
  <c r="H41" i="3"/>
  <c r="G41" i="3"/>
  <c r="J38" i="3"/>
  <c r="I38" i="3"/>
  <c r="H38" i="3"/>
  <c r="G38" i="3"/>
  <c r="J37" i="3"/>
  <c r="I37" i="3"/>
  <c r="H37" i="3"/>
  <c r="G37" i="3"/>
  <c r="J35" i="3"/>
  <c r="I35" i="3"/>
  <c r="H35" i="3"/>
  <c r="G35" i="3"/>
  <c r="J33" i="3"/>
  <c r="I33" i="3"/>
  <c r="H33" i="3"/>
  <c r="G33" i="3"/>
  <c r="J31" i="3"/>
  <c r="I31" i="3"/>
  <c r="H31" i="3"/>
  <c r="G31" i="3"/>
  <c r="J30" i="3"/>
  <c r="I30" i="3"/>
  <c r="H30" i="3"/>
  <c r="G30" i="3"/>
  <c r="J29" i="3"/>
  <c r="I29" i="3"/>
  <c r="H29" i="3"/>
  <c r="G29" i="3"/>
  <c r="J28" i="3"/>
  <c r="I28" i="3"/>
  <c r="H28" i="3"/>
  <c r="G28" i="3"/>
  <c r="J27" i="3"/>
  <c r="I27" i="3"/>
  <c r="H27" i="3"/>
  <c r="G27" i="3"/>
  <c r="J26" i="3"/>
  <c r="I26" i="3"/>
  <c r="H26" i="3"/>
  <c r="G26" i="3"/>
  <c r="J25" i="3"/>
  <c r="I25" i="3"/>
  <c r="H25" i="3"/>
  <c r="G25" i="3"/>
  <c r="J24" i="3"/>
  <c r="I24" i="3"/>
  <c r="H24" i="3"/>
  <c r="G24" i="3"/>
  <c r="J23" i="3"/>
  <c r="I23" i="3"/>
  <c r="H23" i="3"/>
  <c r="G23" i="3"/>
  <c r="J22" i="3"/>
  <c r="I22" i="3"/>
  <c r="H22" i="3"/>
  <c r="G22" i="3"/>
  <c r="J21" i="3"/>
  <c r="I21" i="3"/>
  <c r="H21" i="3"/>
  <c r="G21" i="3"/>
  <c r="J20" i="3"/>
  <c r="I20" i="3"/>
  <c r="H20" i="3"/>
  <c r="G20" i="3"/>
  <c r="J19" i="3"/>
  <c r="I19" i="3"/>
  <c r="H19" i="3"/>
  <c r="G19" i="3"/>
  <c r="J18" i="3"/>
  <c r="I18" i="3"/>
  <c r="H18" i="3"/>
  <c r="G18" i="3"/>
  <c r="J17" i="3"/>
  <c r="I17" i="3"/>
  <c r="H17" i="3"/>
  <c r="G17" i="3"/>
  <c r="J16" i="3"/>
  <c r="I16" i="3"/>
  <c r="H16" i="3"/>
  <c r="G16" i="3"/>
  <c r="J15" i="3"/>
  <c r="I15" i="3"/>
  <c r="H15" i="3"/>
  <c r="G15" i="3"/>
  <c r="J14" i="3"/>
  <c r="I14" i="3"/>
  <c r="H14" i="3"/>
  <c r="G14" i="3"/>
  <c r="J13" i="3"/>
  <c r="I13" i="3"/>
  <c r="H13" i="3"/>
  <c r="G13" i="3"/>
  <c r="J12" i="3"/>
  <c r="I12" i="3"/>
  <c r="H12" i="3"/>
  <c r="G12" i="3"/>
  <c r="J11" i="3"/>
  <c r="I11" i="3"/>
  <c r="H11" i="3"/>
  <c r="G11" i="3"/>
  <c r="J10" i="3"/>
  <c r="I10" i="3"/>
  <c r="H10" i="3"/>
  <c r="G10" i="3"/>
  <c r="J9" i="3"/>
  <c r="I9" i="3"/>
  <c r="H9" i="3"/>
  <c r="G9" i="3"/>
  <c r="J8" i="3"/>
  <c r="I8" i="3"/>
  <c r="H8" i="3"/>
  <c r="G8" i="3"/>
  <c r="J7" i="3"/>
  <c r="I7" i="3"/>
  <c r="H7" i="3"/>
  <c r="G7" i="3"/>
  <c r="J6" i="3"/>
  <c r="I6" i="3"/>
  <c r="H6" i="3"/>
  <c r="G6" i="3"/>
  <c r="J5" i="3"/>
  <c r="I5" i="3"/>
  <c r="H5" i="3"/>
  <c r="G5" i="3"/>
  <c r="J4" i="3"/>
  <c r="I4" i="3"/>
  <c r="H4" i="3"/>
  <c r="G4" i="3"/>
  <c r="M32" i="3" l="1"/>
  <c r="M47" i="3"/>
  <c r="M53" i="3"/>
  <c r="M10" i="3"/>
  <c r="M66" i="3"/>
  <c r="M50" i="3"/>
  <c r="M29" i="3"/>
  <c r="M13" i="3"/>
  <c r="M36" i="3"/>
  <c r="M65" i="3"/>
  <c r="M49" i="3"/>
  <c r="M28" i="3"/>
  <c r="M12" i="3"/>
  <c r="M43" i="3"/>
  <c r="M48" i="3"/>
  <c r="M27" i="3"/>
  <c r="M11" i="3"/>
  <c r="M40" i="3"/>
  <c r="M46" i="3"/>
  <c r="M25" i="3"/>
  <c r="M9" i="3"/>
  <c r="M63" i="3"/>
  <c r="M8" i="3"/>
  <c r="M26" i="3"/>
  <c r="M44" i="3"/>
  <c r="M62" i="3"/>
  <c r="M42" i="3"/>
  <c r="M23" i="3"/>
  <c r="M7" i="3"/>
  <c r="M61" i="3"/>
  <c r="M41" i="3"/>
  <c r="M22" i="3"/>
  <c r="M6" i="3"/>
  <c r="M24" i="3"/>
  <c r="M60" i="3"/>
  <c r="M38" i="3"/>
  <c r="M21" i="3"/>
  <c r="M5" i="3"/>
  <c r="M59" i="3"/>
  <c r="M37" i="3"/>
  <c r="M20" i="3"/>
  <c r="M4" i="3"/>
  <c r="M19" i="3"/>
  <c r="M3" i="3"/>
  <c r="M58" i="3"/>
  <c r="M57" i="3"/>
  <c r="M34" i="3"/>
  <c r="M18" i="3"/>
  <c r="M64" i="3"/>
  <c r="M35" i="3"/>
  <c r="M55" i="3"/>
  <c r="M33" i="3"/>
  <c r="M17" i="3"/>
  <c r="M16" i="3"/>
  <c r="M52" i="3"/>
  <c r="M31" i="3"/>
  <c r="M15" i="3"/>
  <c r="M67" i="3"/>
  <c r="M51" i="3"/>
  <c r="M30" i="3"/>
  <c r="G7" i="5"/>
  <c r="Q1" i="3"/>
  <c r="P1" i="3"/>
  <c r="O1" i="3"/>
  <c r="N1" i="3"/>
  <c r="L1" i="3"/>
  <c r="K1" i="3"/>
  <c r="J1" i="3"/>
  <c r="I1" i="3"/>
  <c r="H1" i="3"/>
  <c r="G1" i="3"/>
  <c r="F1" i="3"/>
  <c r="E1" i="3"/>
  <c r="D1" i="3"/>
  <c r="C1" i="3"/>
  <c r="B1" i="3"/>
  <c r="A1" i="3"/>
  <c r="H46" i="5"/>
  <c r="L47" i="5"/>
  <c r="K47" i="5"/>
  <c r="J47" i="5"/>
  <c r="I47" i="5"/>
  <c r="H47" i="5"/>
  <c r="L33" i="5"/>
  <c r="K33" i="5"/>
  <c r="J33" i="5"/>
  <c r="I33" i="5"/>
  <c r="H33" i="5"/>
  <c r="L21" i="5"/>
  <c r="K21" i="5"/>
  <c r="J21" i="5"/>
  <c r="I21" i="5"/>
  <c r="H21" i="5"/>
  <c r="J3" i="3" l="1"/>
  <c r="I3" i="3"/>
  <c r="H3" i="3"/>
  <c r="G3" i="3"/>
  <c r="A82" i="8" l="1"/>
  <c r="A83" i="8"/>
  <c r="A84" i="8"/>
  <c r="A85" i="8"/>
  <c r="B82" i="8"/>
  <c r="B83" i="8"/>
  <c r="B84" i="8"/>
  <c r="B85" i="8"/>
  <c r="E82" i="8"/>
  <c r="E83" i="8"/>
  <c r="E84" i="8"/>
  <c r="E85" i="8"/>
  <c r="L6" i="5" l="1"/>
  <c r="A58" i="5" l="1"/>
  <c r="A60" i="5"/>
  <c r="A57" i="5"/>
  <c r="A55" i="5"/>
  <c r="A61" i="5"/>
  <c r="A59" i="5"/>
  <c r="A56" i="5"/>
  <c r="A53" i="5"/>
  <c r="A54" i="5"/>
  <c r="A49" i="5"/>
  <c r="A50" i="5"/>
  <c r="A52" i="5"/>
  <c r="A51" i="5"/>
  <c r="K56" i="5" l="1"/>
  <c r="C56" i="5"/>
  <c r="F56" i="5"/>
  <c r="D56" i="5"/>
  <c r="J56" i="5"/>
  <c r="H56" i="5"/>
  <c r="I56" i="5"/>
  <c r="B56" i="5"/>
  <c r="G56" i="5"/>
  <c r="I61" i="5"/>
  <c r="K61" i="5"/>
  <c r="C61" i="5"/>
  <c r="B61" i="5"/>
  <c r="J61" i="5"/>
  <c r="H61" i="5"/>
  <c r="G61" i="5"/>
  <c r="D61" i="5"/>
  <c r="F61" i="5"/>
  <c r="D55" i="5"/>
  <c r="F55" i="5"/>
  <c r="G55" i="5"/>
  <c r="H55" i="5"/>
  <c r="J55" i="5"/>
  <c r="C55" i="5"/>
  <c r="B55" i="5"/>
  <c r="K55" i="5"/>
  <c r="I55" i="5"/>
  <c r="I57" i="5"/>
  <c r="F57" i="5"/>
  <c r="C57" i="5"/>
  <c r="D57" i="5"/>
  <c r="G57" i="5"/>
  <c r="B57" i="5"/>
  <c r="J57" i="5"/>
  <c r="H57" i="5"/>
  <c r="K57" i="5"/>
  <c r="K60" i="5"/>
  <c r="C60" i="5"/>
  <c r="D60" i="5"/>
  <c r="F60" i="5"/>
  <c r="I60" i="5"/>
  <c r="J60" i="5"/>
  <c r="G60" i="5"/>
  <c r="H60" i="5"/>
  <c r="B60" i="5"/>
  <c r="D59" i="5"/>
  <c r="H59" i="5"/>
  <c r="F59" i="5"/>
  <c r="G59" i="5"/>
  <c r="J59" i="5"/>
  <c r="I59" i="5"/>
  <c r="C59" i="5"/>
  <c r="K59" i="5"/>
  <c r="B59" i="5"/>
  <c r="G58" i="5"/>
  <c r="I58" i="5"/>
  <c r="H58" i="5"/>
  <c r="K58" i="5"/>
  <c r="F58" i="5"/>
  <c r="C58" i="5"/>
  <c r="J58" i="5"/>
  <c r="D58" i="5"/>
  <c r="B58" i="5"/>
  <c r="K51" i="5"/>
  <c r="J51" i="5"/>
  <c r="I51" i="5"/>
  <c r="H51" i="5"/>
  <c r="K49" i="5"/>
  <c r="J49" i="5"/>
  <c r="I49" i="5"/>
  <c r="H49" i="5"/>
  <c r="K52" i="5"/>
  <c r="J52" i="5"/>
  <c r="I52" i="5"/>
  <c r="H52" i="5"/>
  <c r="G6" i="5"/>
  <c r="G5" i="5"/>
  <c r="H50" i="5" l="1"/>
  <c r="H53" i="5"/>
  <c r="J50" i="5"/>
  <c r="J53" i="5"/>
  <c r="K50" i="5"/>
  <c r="K53" i="5"/>
  <c r="I50" i="5"/>
  <c r="I53" i="5"/>
  <c r="H54" i="5"/>
  <c r="I54" i="5"/>
  <c r="J54" i="5"/>
  <c r="K54" i="5"/>
  <c r="E71" i="8" l="1"/>
  <c r="B71" i="8"/>
  <c r="A71" i="8"/>
  <c r="E70" i="8"/>
  <c r="B70" i="8"/>
  <c r="A70" i="8"/>
  <c r="E69" i="8"/>
  <c r="B69" i="8"/>
  <c r="A69" i="8"/>
  <c r="E68" i="8"/>
  <c r="B68" i="8"/>
  <c r="A68" i="8"/>
  <c r="E67" i="8"/>
  <c r="B67" i="8"/>
  <c r="A67" i="8"/>
  <c r="E66" i="8"/>
  <c r="B66" i="8"/>
  <c r="A66" i="8"/>
  <c r="O66" i="3" l="1"/>
  <c r="O64" i="3"/>
  <c r="O34" i="3"/>
  <c r="O32" i="3"/>
  <c r="O24" i="3"/>
  <c r="O4" i="3"/>
  <c r="O5" i="3"/>
  <c r="O9" i="3"/>
  <c r="O51" i="3"/>
  <c r="O8" i="3"/>
  <c r="O52" i="3"/>
  <c r="O46" i="3"/>
  <c r="O48" i="3"/>
  <c r="O50" i="3"/>
  <c r="O67" i="3"/>
  <c r="O31" i="3"/>
  <c r="O7" i="3"/>
  <c r="O6" i="3"/>
  <c r="O57" i="3"/>
  <c r="O16" i="3"/>
  <c r="O58" i="3"/>
  <c r="O17" i="3"/>
  <c r="O25" i="3"/>
  <c r="O33" i="3"/>
  <c r="O59" i="3"/>
  <c r="O29" i="3"/>
  <c r="O42" i="3"/>
  <c r="O10" i="3"/>
  <c r="O18" i="3"/>
  <c r="O26" i="3"/>
  <c r="O35" i="3"/>
  <c r="O47" i="3"/>
  <c r="O60" i="3"/>
  <c r="O21" i="3"/>
  <c r="O22" i="3"/>
  <c r="O65" i="3"/>
  <c r="O11" i="3"/>
  <c r="O19" i="3"/>
  <c r="O27" i="3"/>
  <c r="O37" i="3"/>
  <c r="O61" i="3"/>
  <c r="O13" i="3"/>
  <c r="O53" i="3"/>
  <c r="O12" i="3"/>
  <c r="O20" i="3"/>
  <c r="O28" i="3"/>
  <c r="O38" i="3"/>
  <c r="O49" i="3"/>
  <c r="O62" i="3"/>
  <c r="O41" i="3"/>
  <c r="O63" i="3"/>
  <c r="O14" i="3"/>
  <c r="O55" i="3"/>
  <c r="O15" i="3"/>
  <c r="O23" i="3"/>
  <c r="O30" i="3"/>
  <c r="O44" i="3"/>
  <c r="O3" i="3"/>
  <c r="A44" i="5"/>
  <c r="A32" i="5"/>
  <c r="A20" i="5"/>
  <c r="A43" i="5"/>
  <c r="A31" i="5"/>
  <c r="A19" i="5"/>
  <c r="A41" i="5"/>
  <c r="A29" i="5"/>
  <c r="A17" i="5"/>
  <c r="A28" i="5"/>
  <c r="A16" i="5"/>
  <c r="A38" i="5"/>
  <c r="A14" i="5"/>
  <c r="A37" i="5"/>
  <c r="A13" i="5"/>
  <c r="A35" i="5"/>
  <c r="A10" i="5"/>
  <c r="A40" i="5"/>
  <c r="A25" i="5"/>
  <c r="A11" i="5"/>
  <c r="A22" i="5"/>
  <c r="A26" i="5"/>
  <c r="A23" i="5"/>
  <c r="A34" i="5"/>
  <c r="D50" i="5"/>
  <c r="D54" i="5"/>
  <c r="G53" i="5"/>
  <c r="K16" i="5" l="1"/>
  <c r="J16" i="5"/>
  <c r="I16" i="5"/>
  <c r="H16" i="5"/>
  <c r="H41" i="5"/>
  <c r="I41" i="5"/>
  <c r="K41" i="5"/>
  <c r="J41" i="5"/>
  <c r="J11" i="5"/>
  <c r="I11" i="5"/>
  <c r="K11" i="5"/>
  <c r="H11" i="5"/>
  <c r="I38" i="5"/>
  <c r="H38" i="5"/>
  <c r="J38" i="5"/>
  <c r="K38" i="5"/>
  <c r="K43" i="5"/>
  <c r="J43" i="5"/>
  <c r="I43" i="5"/>
  <c r="H43" i="5"/>
  <c r="K40" i="5"/>
  <c r="J40" i="5"/>
  <c r="I40" i="5"/>
  <c r="H40" i="5"/>
  <c r="J32" i="5"/>
  <c r="I32" i="5"/>
  <c r="H32" i="5"/>
  <c r="K32" i="5"/>
  <c r="K10" i="5"/>
  <c r="J10" i="5"/>
  <c r="I10" i="5"/>
  <c r="H10" i="5"/>
  <c r="H17" i="5"/>
  <c r="K17" i="5"/>
  <c r="J17" i="5"/>
  <c r="I17" i="5"/>
  <c r="J44" i="5"/>
  <c r="K44" i="5"/>
  <c r="I44" i="5"/>
  <c r="H44" i="5"/>
  <c r="K25" i="5"/>
  <c r="J25" i="5"/>
  <c r="I25" i="5"/>
  <c r="H25" i="5"/>
  <c r="K28" i="5"/>
  <c r="J28" i="5"/>
  <c r="I28" i="5"/>
  <c r="H28" i="5"/>
  <c r="K34" i="5"/>
  <c r="J34" i="5"/>
  <c r="I34" i="5"/>
  <c r="H34" i="5"/>
  <c r="H35" i="5"/>
  <c r="I35" i="5"/>
  <c r="J35" i="5"/>
  <c r="K35" i="5"/>
  <c r="J29" i="5"/>
  <c r="K29" i="5"/>
  <c r="I29" i="5"/>
  <c r="H29" i="5"/>
  <c r="I23" i="5"/>
  <c r="H23" i="5"/>
  <c r="J23" i="5"/>
  <c r="K23" i="5"/>
  <c r="H26" i="5"/>
  <c r="I26" i="5"/>
  <c r="K26" i="5"/>
  <c r="J26" i="5"/>
  <c r="K37" i="5"/>
  <c r="J37" i="5"/>
  <c r="I37" i="5"/>
  <c r="H37" i="5"/>
  <c r="K19" i="5"/>
  <c r="J19" i="5"/>
  <c r="I19" i="5"/>
  <c r="H19" i="5"/>
  <c r="H20" i="5"/>
  <c r="J20" i="5"/>
  <c r="I20" i="5"/>
  <c r="K20" i="5"/>
  <c r="K13" i="5"/>
  <c r="J13" i="5"/>
  <c r="I13" i="5"/>
  <c r="H13" i="5"/>
  <c r="K22" i="5"/>
  <c r="J22" i="5"/>
  <c r="I22" i="5"/>
  <c r="H22" i="5"/>
  <c r="J14" i="5"/>
  <c r="H14" i="5"/>
  <c r="I14" i="5"/>
  <c r="K14" i="5"/>
  <c r="K31" i="5"/>
  <c r="J31" i="5"/>
  <c r="I31" i="5"/>
  <c r="H31" i="5"/>
  <c r="C54" i="5"/>
  <c r="F54" i="5"/>
  <c r="B54" i="5"/>
  <c r="G54" i="5"/>
  <c r="B50" i="5"/>
  <c r="G50" i="5"/>
  <c r="F50" i="5"/>
  <c r="C50" i="5"/>
  <c r="G52" i="5"/>
  <c r="C53" i="5"/>
  <c r="D53" i="5"/>
  <c r="C52" i="5"/>
  <c r="F52" i="5"/>
  <c r="B53" i="5"/>
  <c r="D52" i="5"/>
  <c r="B52" i="5"/>
  <c r="F53" i="5"/>
  <c r="B51" i="5"/>
  <c r="G51" i="5"/>
  <c r="F51" i="5"/>
  <c r="D51" i="5"/>
  <c r="C51" i="5"/>
  <c r="A59" i="8" l="1"/>
  <c r="A93" i="8" l="1"/>
  <c r="B93" i="8"/>
  <c r="E93" i="8"/>
  <c r="A92" i="8" l="1"/>
  <c r="B92" i="8"/>
  <c r="E92" i="8"/>
  <c r="A75" i="8" l="1"/>
  <c r="A78" i="8"/>
  <c r="A79" i="8"/>
  <c r="A80" i="8"/>
  <c r="A81" i="8"/>
  <c r="B78" i="8"/>
  <c r="B79" i="8"/>
  <c r="B80" i="8"/>
  <c r="B81" i="8"/>
  <c r="E78" i="8"/>
  <c r="E79" i="8"/>
  <c r="E80" i="8"/>
  <c r="E81" i="8"/>
  <c r="E43" i="5" l="1"/>
  <c r="E31" i="5"/>
  <c r="E40" i="5"/>
  <c r="E28" i="5"/>
  <c r="E37" i="5"/>
  <c r="E25" i="5"/>
  <c r="E34" i="5"/>
  <c r="E22" i="5"/>
  <c r="E16" i="5"/>
  <c r="E19" i="5"/>
  <c r="E13" i="5"/>
  <c r="E10" i="5"/>
  <c r="E38" i="5" l="1"/>
  <c r="E41" i="5"/>
  <c r="E35" i="5"/>
  <c r="E44" i="5"/>
  <c r="E20" i="5"/>
  <c r="E23" i="5"/>
  <c r="E29" i="5"/>
  <c r="E11" i="5"/>
  <c r="E17" i="5"/>
  <c r="E14" i="5"/>
  <c r="E91" i="8" l="1"/>
  <c r="B91" i="8"/>
  <c r="A91" i="8"/>
  <c r="E90" i="8"/>
  <c r="B90" i="8"/>
  <c r="A90" i="8"/>
  <c r="E89" i="8"/>
  <c r="B89" i="8"/>
  <c r="A89" i="8"/>
  <c r="E88" i="8"/>
  <c r="B88" i="8"/>
  <c r="A88" i="8"/>
  <c r="Q64" i="3" l="1"/>
  <c r="Q66" i="3"/>
  <c r="Q32" i="3"/>
  <c r="Q34" i="3"/>
  <c r="Q24" i="3"/>
  <c r="Q4" i="3"/>
  <c r="Q5" i="3"/>
  <c r="Q9" i="3"/>
  <c r="Q52" i="3"/>
  <c r="Q46" i="3"/>
  <c r="Q51" i="3"/>
  <c r="Q48" i="3"/>
  <c r="Q67" i="3"/>
  <c r="Q50" i="3"/>
  <c r="Q8" i="3"/>
  <c r="Q31" i="3"/>
  <c r="Q7" i="3"/>
  <c r="Q6" i="3"/>
  <c r="Q57" i="3"/>
  <c r="Q3" i="3"/>
  <c r="Q10" i="3"/>
  <c r="Q11" i="3"/>
  <c r="Q12" i="3"/>
  <c r="Q13" i="3"/>
  <c r="Q14" i="3"/>
  <c r="Q15" i="3"/>
  <c r="Q16" i="3"/>
  <c r="Q17" i="3"/>
  <c r="Q18" i="3"/>
  <c r="Q19" i="3"/>
  <c r="Q20" i="3"/>
  <c r="Q21" i="3"/>
  <c r="Q22" i="3"/>
  <c r="Q23" i="3"/>
  <c r="Q25" i="3"/>
  <c r="Q26" i="3"/>
  <c r="Q27" i="3"/>
  <c r="Q28" i="3"/>
  <c r="Q29" i="3"/>
  <c r="Q30" i="3"/>
  <c r="Q33" i="3"/>
  <c r="Q35" i="3"/>
  <c r="Q37" i="3"/>
  <c r="Q38" i="3"/>
  <c r="Q41" i="3"/>
  <c r="Q42" i="3"/>
  <c r="Q44" i="3"/>
  <c r="Q47" i="3"/>
  <c r="Q49" i="3"/>
  <c r="Q53" i="3"/>
  <c r="Q55" i="3"/>
  <c r="Q58" i="3"/>
  <c r="Q59" i="3"/>
  <c r="Q60" i="3"/>
  <c r="Q61" i="3"/>
  <c r="Q62" i="3"/>
  <c r="Q63" i="3"/>
  <c r="Q65" i="3"/>
  <c r="E32" i="5"/>
  <c r="E26" i="5"/>
  <c r="G49" i="5" l="1"/>
  <c r="C49" i="5" l="1"/>
  <c r="D49" i="5"/>
  <c r="F49" i="5"/>
  <c r="B49" i="5"/>
  <c r="E75" i="8" l="1"/>
  <c r="B75" i="8"/>
  <c r="E76" i="8"/>
  <c r="B76" i="8"/>
  <c r="A76" i="8"/>
  <c r="E74" i="8"/>
  <c r="B74" i="8"/>
  <c r="A74" i="8"/>
  <c r="E77" i="8"/>
  <c r="B77" i="8"/>
  <c r="A77" i="8"/>
  <c r="P40" i="3" l="1"/>
  <c r="P39" i="3"/>
  <c r="P43" i="3"/>
  <c r="P36" i="3"/>
  <c r="P32" i="3"/>
  <c r="P64" i="3"/>
  <c r="P66" i="3"/>
  <c r="P34" i="3"/>
  <c r="P24" i="3"/>
  <c r="P4" i="3"/>
  <c r="P5" i="3"/>
  <c r="P9" i="3"/>
  <c r="P51" i="3"/>
  <c r="P8" i="3"/>
  <c r="P52" i="3"/>
  <c r="P46" i="3"/>
  <c r="P48" i="3"/>
  <c r="P50" i="3"/>
  <c r="P67" i="3"/>
  <c r="P31" i="3"/>
  <c r="P7" i="3"/>
  <c r="P6" i="3"/>
  <c r="P57" i="3"/>
  <c r="P3" i="3"/>
  <c r="P10" i="3"/>
  <c r="P11" i="3"/>
  <c r="P12" i="3"/>
  <c r="P13" i="3"/>
  <c r="P14" i="3"/>
  <c r="P15" i="3"/>
  <c r="P16" i="3"/>
  <c r="P17" i="3"/>
  <c r="P18" i="3"/>
  <c r="P19" i="3"/>
  <c r="P20" i="3"/>
  <c r="P21" i="3"/>
  <c r="P22" i="3"/>
  <c r="P23" i="3"/>
  <c r="P25" i="3"/>
  <c r="P26" i="3"/>
  <c r="P27" i="3"/>
  <c r="P28" i="3"/>
  <c r="P29" i="3"/>
  <c r="P30" i="3"/>
  <c r="P33" i="3"/>
  <c r="P35" i="3"/>
  <c r="P37" i="3"/>
  <c r="P38" i="3"/>
  <c r="P41" i="3"/>
  <c r="P42" i="3"/>
  <c r="P44" i="3"/>
  <c r="P47" i="3"/>
  <c r="P49" i="3"/>
  <c r="P53" i="3"/>
  <c r="P55" i="3"/>
  <c r="P58" i="3"/>
  <c r="P59" i="3"/>
  <c r="P60" i="3"/>
  <c r="P61" i="3"/>
  <c r="P62" i="3"/>
  <c r="P63" i="3"/>
  <c r="P65" i="3"/>
  <c r="A25" i="8"/>
  <c r="A26" i="8"/>
  <c r="A27" i="8"/>
  <c r="B25" i="8"/>
  <c r="B26" i="8"/>
  <c r="B27" i="8"/>
  <c r="E25" i="8"/>
  <c r="E26" i="8"/>
  <c r="E27" i="8"/>
  <c r="A24" i="8"/>
  <c r="B24" i="8"/>
  <c r="E24" i="8"/>
  <c r="A3" i="8" l="1"/>
  <c r="A7" i="8"/>
  <c r="A8" i="8"/>
  <c r="A9" i="8"/>
  <c r="A10" i="8"/>
  <c r="A11" i="8"/>
  <c r="A12" i="8"/>
  <c r="A13" i="8"/>
  <c r="A14" i="8"/>
  <c r="A15" i="8"/>
  <c r="A16" i="8"/>
  <c r="A17" i="8"/>
  <c r="A18" i="8"/>
  <c r="A19" i="8"/>
  <c r="A20" i="8"/>
  <c r="A21" i="8"/>
  <c r="A22" i="8"/>
  <c r="A23" i="8"/>
  <c r="B7" i="8"/>
  <c r="B8" i="8"/>
  <c r="B9" i="8"/>
  <c r="B10" i="8"/>
  <c r="B11" i="8"/>
  <c r="B12" i="8"/>
  <c r="B13" i="8"/>
  <c r="B14" i="8"/>
  <c r="B15" i="8"/>
  <c r="B16" i="8"/>
  <c r="B17" i="8"/>
  <c r="B18" i="8"/>
  <c r="B19" i="8"/>
  <c r="B20" i="8"/>
  <c r="B21" i="8"/>
  <c r="B22" i="8"/>
  <c r="B23" i="8"/>
  <c r="E7" i="8"/>
  <c r="E8" i="8"/>
  <c r="E9" i="8"/>
  <c r="E10" i="8"/>
  <c r="E11" i="8"/>
  <c r="E12" i="8"/>
  <c r="E13" i="8"/>
  <c r="E14" i="8"/>
  <c r="E15" i="8"/>
  <c r="E16" i="8"/>
  <c r="E17" i="8"/>
  <c r="E18" i="8"/>
  <c r="E19" i="8"/>
  <c r="E20" i="8"/>
  <c r="E21" i="8"/>
  <c r="E22" i="8"/>
  <c r="E23" i="8"/>
  <c r="B58" i="8" l="1"/>
  <c r="E58" i="8"/>
  <c r="E59" i="8"/>
  <c r="E60" i="8"/>
  <c r="E61" i="8"/>
  <c r="E62" i="8"/>
  <c r="E63" i="8"/>
  <c r="B59" i="8"/>
  <c r="B60" i="8"/>
  <c r="B61" i="8"/>
  <c r="B62" i="8"/>
  <c r="B63" i="8"/>
  <c r="A58" i="8"/>
  <c r="A60" i="8"/>
  <c r="A61" i="8"/>
  <c r="A62" i="8"/>
  <c r="A63" i="8"/>
  <c r="E3" i="8"/>
  <c r="E4" i="8"/>
  <c r="E5" i="8"/>
  <c r="E6" i="8"/>
  <c r="B3" i="8"/>
  <c r="B4" i="8"/>
  <c r="B5" i="8"/>
  <c r="B6" i="8"/>
  <c r="A4" i="8"/>
  <c r="L43" i="3" s="1"/>
  <c r="A5" i="8"/>
  <c r="A6" i="8"/>
  <c r="N43" i="3" l="1"/>
  <c r="N36" i="3"/>
  <c r="N40" i="3"/>
  <c r="N39" i="3"/>
  <c r="L39" i="3"/>
  <c r="L36" i="3"/>
  <c r="L40" i="3"/>
  <c r="L32" i="3"/>
  <c r="N34" i="3"/>
  <c r="N66" i="3"/>
  <c r="N32" i="3"/>
  <c r="N64" i="3"/>
  <c r="L34" i="3"/>
  <c r="L66" i="3"/>
  <c r="L64" i="3"/>
  <c r="L24" i="3"/>
  <c r="N24" i="3"/>
  <c r="L61" i="3"/>
  <c r="L4" i="3"/>
  <c r="L5" i="3"/>
  <c r="L9" i="3"/>
  <c r="L51" i="3"/>
  <c r="L8" i="3"/>
  <c r="L52" i="3"/>
  <c r="L46" i="3"/>
  <c r="L48" i="3"/>
  <c r="L50" i="3"/>
  <c r="L67" i="3"/>
  <c r="N4" i="3"/>
  <c r="N5" i="3"/>
  <c r="N9" i="3"/>
  <c r="N51" i="3"/>
  <c r="N8" i="3"/>
  <c r="N52" i="3"/>
  <c r="N46" i="3"/>
  <c r="N48" i="3"/>
  <c r="N50" i="3"/>
  <c r="N67" i="3"/>
  <c r="L57" i="3"/>
  <c r="L6" i="3"/>
  <c r="L7" i="3"/>
  <c r="N57" i="3"/>
  <c r="N31" i="3"/>
  <c r="N7" i="3"/>
  <c r="N6" i="3"/>
  <c r="L31" i="3"/>
  <c r="L35" i="3"/>
  <c r="L12" i="3"/>
  <c r="L10" i="3"/>
  <c r="L11" i="3"/>
  <c r="L14" i="3"/>
  <c r="L13" i="3"/>
  <c r="L15" i="3"/>
  <c r="L20" i="3"/>
  <c r="L21" i="3"/>
  <c r="L16" i="3"/>
  <c r="L18" i="3"/>
  <c r="L19" i="3"/>
  <c r="L17" i="3"/>
  <c r="L27" i="3"/>
  <c r="L28" i="3"/>
  <c r="L22" i="3"/>
  <c r="L25" i="3"/>
  <c r="L26" i="3"/>
  <c r="L23" i="3"/>
  <c r="L53" i="3"/>
  <c r="L55" i="3"/>
  <c r="L58" i="3"/>
  <c r="L38" i="3"/>
  <c r="L41" i="3"/>
  <c r="L42" i="3"/>
  <c r="L44" i="3"/>
  <c r="L65" i="3"/>
  <c r="L30" i="3"/>
  <c r="L29" i="3"/>
  <c r="L33" i="3"/>
  <c r="L47" i="3"/>
  <c r="L49" i="3"/>
  <c r="L63" i="3"/>
  <c r="L62" i="3"/>
  <c r="L59" i="3"/>
  <c r="L37" i="3"/>
  <c r="N10" i="3"/>
  <c r="N11" i="3"/>
  <c r="N12" i="3"/>
  <c r="N13" i="3"/>
  <c r="N14" i="3"/>
  <c r="N15" i="3"/>
  <c r="N16" i="3"/>
  <c r="N17" i="3"/>
  <c r="N18" i="3"/>
  <c r="N19" i="3"/>
  <c r="N20" i="3"/>
  <c r="N21" i="3"/>
  <c r="N22" i="3"/>
  <c r="N23" i="3"/>
  <c r="N25" i="3"/>
  <c r="N26" i="3"/>
  <c r="N27" i="3"/>
  <c r="N28" i="3"/>
  <c r="N29" i="3"/>
  <c r="N30" i="3"/>
  <c r="N33" i="3"/>
  <c r="N35" i="3"/>
  <c r="N37" i="3"/>
  <c r="N38" i="3"/>
  <c r="N41" i="3"/>
  <c r="N42" i="3"/>
  <c r="N44" i="3"/>
  <c r="N47" i="3"/>
  <c r="N49" i="3"/>
  <c r="N53" i="3"/>
  <c r="N55" i="3"/>
  <c r="N58" i="3"/>
  <c r="N59" i="3"/>
  <c r="N60" i="3"/>
  <c r="N61" i="3"/>
  <c r="N62" i="3"/>
  <c r="N63" i="3"/>
  <c r="N65" i="3"/>
  <c r="N3" i="3"/>
  <c r="L60" i="3"/>
  <c r="L3" i="3"/>
  <c r="C41" i="5" l="1"/>
  <c r="F41" i="5"/>
  <c r="G41" i="5"/>
  <c r="B41" i="5"/>
  <c r="D41" i="5"/>
  <c r="B43" i="5"/>
  <c r="F43" i="5"/>
  <c r="G43" i="5"/>
  <c r="D43" i="5"/>
  <c r="C43" i="5"/>
  <c r="B37" i="5"/>
  <c r="C37" i="5"/>
  <c r="G37" i="5"/>
  <c r="F37" i="5"/>
  <c r="D37" i="5"/>
  <c r="D44" i="5"/>
  <c r="B44" i="5"/>
  <c r="C44" i="5"/>
  <c r="F44" i="5"/>
  <c r="G44" i="5"/>
  <c r="D40" i="5"/>
  <c r="B40" i="5"/>
  <c r="C40" i="5"/>
  <c r="F40" i="5"/>
  <c r="G40" i="5"/>
  <c r="C35" i="5"/>
  <c r="G35" i="5"/>
  <c r="D35" i="5"/>
  <c r="F35" i="5"/>
  <c r="B35" i="5"/>
  <c r="C38" i="5"/>
  <c r="G38" i="5"/>
  <c r="F38" i="5"/>
  <c r="B38" i="5"/>
  <c r="D38" i="5"/>
  <c r="D34" i="5"/>
  <c r="F34" i="5"/>
  <c r="B34" i="5"/>
  <c r="C34" i="5"/>
  <c r="G34" i="5"/>
  <c r="F25" i="5" l="1"/>
  <c r="C25" i="5"/>
  <c r="G25" i="5"/>
  <c r="D25" i="5"/>
  <c r="B25" i="5"/>
  <c r="G16" i="5"/>
  <c r="F16" i="5"/>
  <c r="D16" i="5"/>
  <c r="C16" i="5"/>
  <c r="B16" i="5"/>
  <c r="G22" i="5"/>
  <c r="F22" i="5"/>
  <c r="D22" i="5"/>
  <c r="C22" i="5"/>
  <c r="B22" i="5"/>
  <c r="G14" i="5"/>
  <c r="F14" i="5"/>
  <c r="D14" i="5"/>
  <c r="C14" i="5"/>
  <c r="B14" i="5"/>
  <c r="G32" i="5"/>
  <c r="F32" i="5"/>
  <c r="D32" i="5"/>
  <c r="C32" i="5"/>
  <c r="B32" i="5"/>
  <c r="G17" i="5"/>
  <c r="F17" i="5"/>
  <c r="D17" i="5"/>
  <c r="C17" i="5"/>
  <c r="B17" i="5"/>
  <c r="G10" i="5"/>
  <c r="F10" i="5"/>
  <c r="D10" i="5"/>
  <c r="C10" i="5"/>
  <c r="B10" i="5"/>
  <c r="F13" i="5"/>
  <c r="B13" i="5"/>
  <c r="C13" i="5"/>
  <c r="G13" i="5"/>
  <c r="D13" i="5"/>
  <c r="G19" i="5"/>
  <c r="F19" i="5"/>
  <c r="D19" i="5"/>
  <c r="C19" i="5"/>
  <c r="B19" i="5"/>
  <c r="F23" i="5"/>
  <c r="C23" i="5"/>
  <c r="G23" i="5"/>
  <c r="D23" i="5"/>
  <c r="B23" i="5"/>
  <c r="F26" i="5"/>
  <c r="G26" i="5"/>
  <c r="D26" i="5"/>
  <c r="C26" i="5"/>
  <c r="B26" i="5"/>
  <c r="G28" i="5"/>
  <c r="F28" i="5"/>
  <c r="D28" i="5"/>
  <c r="C28" i="5"/>
  <c r="B28" i="5"/>
  <c r="B11" i="5"/>
  <c r="C11" i="5"/>
  <c r="G11" i="5"/>
  <c r="D11" i="5"/>
  <c r="F11" i="5"/>
  <c r="G29" i="5"/>
  <c r="F29" i="5"/>
  <c r="D29" i="5"/>
  <c r="C29" i="5"/>
  <c r="B29" i="5"/>
  <c r="G31" i="5"/>
  <c r="F31" i="5"/>
  <c r="D31" i="5"/>
  <c r="C31" i="5"/>
  <c r="B31" i="5"/>
  <c r="G20" i="5"/>
  <c r="F20" i="5"/>
  <c r="D20" i="5"/>
  <c r="C20" i="5"/>
  <c r="B20" i="5"/>
</calcChain>
</file>

<file path=xl/sharedStrings.xml><?xml version="1.0" encoding="utf-8"?>
<sst xmlns="http://schemas.openxmlformats.org/spreadsheetml/2006/main" count="1260" uniqueCount="391">
  <si>
    <t>UDC</t>
  </si>
  <si>
    <t>Ver</t>
  </si>
  <si>
    <t>OUA Cd</t>
  </si>
  <si>
    <t>Unit Title</t>
  </si>
  <si>
    <t>Pre-reqs</t>
  </si>
  <si>
    <t>Credits</t>
  </si>
  <si>
    <t>Availabilities</t>
  </si>
  <si>
    <t>Progress Notes</t>
  </si>
  <si>
    <r>
      <t>Curtin University</t>
    </r>
    <r>
      <rPr>
        <sz val="11"/>
        <color theme="0"/>
        <rFont val="Arial"/>
        <family val="2"/>
      </rPr>
      <t xml:space="preserve">
School of Design and the Built Environment</t>
    </r>
  </si>
  <si>
    <t>Course:</t>
  </si>
  <si>
    <t>Bachelor of Applied Science (Architectural Science) (OpenUnis)</t>
  </si>
  <si>
    <t>Specialisation:</t>
  </si>
  <si>
    <t>Choose your Specialisation (drop-down list)</t>
  </si>
  <si>
    <t>Specialisation version:</t>
  </si>
  <si>
    <t>Commencing:</t>
  </si>
  <si>
    <t>Choose your commencing study period (drop-down list)</t>
  </si>
  <si>
    <t>Credits to Complete:</t>
  </si>
  <si>
    <t>Year 1</t>
  </si>
  <si>
    <t>OUA Code</t>
  </si>
  <si>
    <t>Study Period</t>
  </si>
  <si>
    <t>Pre-Requisite(s)</t>
  </si>
  <si>
    <t>CP</t>
  </si>
  <si>
    <t>SP1</t>
  </si>
  <si>
    <t>SP2</t>
  </si>
  <si>
    <t>SP3</t>
  </si>
  <si>
    <t>SP4</t>
  </si>
  <si>
    <t>Notes / Progress</t>
  </si>
  <si>
    <t>Year 2</t>
  </si>
  <si>
    <t>Year 3</t>
  </si>
  <si>
    <t>Note: Provided you meet any pre requisites, and the subject is available, you may study specialisation subjects in any order.</t>
  </si>
  <si>
    <t>This study plan is correct and contains up to date course information at the time of issue but may be subject to change. Curtin will not be liable to you or to any other person for any loss or damage (including direct, consequential or economic loss or damage) however caused and whether by negligence or otherwise which may result directly or indirectly from the use of this publication.</t>
  </si>
  <si>
    <r>
      <rPr>
        <b/>
        <sz val="12"/>
        <rFont val="Segoe UI"/>
        <family val="2"/>
      </rPr>
      <t xml:space="preserve">If you have any queries about your course, please contact </t>
    </r>
    <r>
      <rPr>
        <b/>
        <u/>
        <sz val="12"/>
        <color theme="10"/>
        <rFont val="Segoe UI"/>
        <family val="2"/>
      </rPr>
      <t>Curtin Connect.</t>
    </r>
  </si>
  <si>
    <t>Curtin University is a trademark of Curtin University of Technology</t>
  </si>
  <si>
    <t>CRICOS Provider Code 00301J</t>
  </si>
  <si>
    <t>RangeUnitSets</t>
  </si>
  <si>
    <t>Y1SP1</t>
  </si>
  <si>
    <t>ARCH1010</t>
  </si>
  <si>
    <t>Y1SP2</t>
  </si>
  <si>
    <t>ARCH1021</t>
  </si>
  <si>
    <t>Y1SP3</t>
  </si>
  <si>
    <t>Y1SP4</t>
  </si>
  <si>
    <t>ARCH1020</t>
  </si>
  <si>
    <t>COMS1007</t>
  </si>
  <si>
    <t>TableCourses</t>
  </si>
  <si>
    <t>Choose your Course</t>
  </si>
  <si>
    <t>SM Version</t>
  </si>
  <si>
    <t>SM Effective Date</t>
  </si>
  <si>
    <t>Akari Iteration</t>
  </si>
  <si>
    <t>Akari Effective Date</t>
  </si>
  <si>
    <t>Credit Points</t>
  </si>
  <si>
    <t>SM Availabilities</t>
  </si>
  <si>
    <t>OB-ARCH</t>
  </si>
  <si>
    <t>v.3</t>
  </si>
  <si>
    <t>600 credit points required</t>
  </si>
  <si>
    <t>SP1; SP2; SP3; SP4</t>
  </si>
  <si>
    <t>ARCH1009</t>
  </si>
  <si>
    <t>Bachelor of Applied Science (Architectural Science) (OpenUnis CSP)</t>
  </si>
  <si>
    <t>OU-ARCH</t>
  </si>
  <si>
    <t>ARCH1026</t>
  </si>
  <si>
    <t>ARCH1024</t>
  </si>
  <si>
    <t>ARCH2016</t>
  </si>
  <si>
    <t>Spec</t>
  </si>
  <si>
    <t>TableStudyPeriod</t>
  </si>
  <si>
    <t>START</t>
  </si>
  <si>
    <t>Next</t>
  </si>
  <si>
    <t>Next2</t>
  </si>
  <si>
    <t>Next3</t>
  </si>
  <si>
    <t>Study Period 1 (February - May)</t>
  </si>
  <si>
    <t>Y2SP1</t>
  </si>
  <si>
    <t>ARCH2031</t>
  </si>
  <si>
    <t>Y2SP2</t>
  </si>
  <si>
    <t>ARCH2027</t>
  </si>
  <si>
    <t>Y2SP3</t>
  </si>
  <si>
    <t>Y2SP4</t>
  </si>
  <si>
    <t>Study Period 2 (May - August)</t>
  </si>
  <si>
    <t>ARCH3016</t>
  </si>
  <si>
    <t>ARCH2017</t>
  </si>
  <si>
    <t>Study Period 3 (August - November)</t>
  </si>
  <si>
    <t>Study Period 4 (November - February)</t>
  </si>
  <si>
    <t>ARCH2029</t>
  </si>
  <si>
    <t>ARCH2026</t>
  </si>
  <si>
    <t>TableSpecialisations</t>
  </si>
  <si>
    <t>Animation and Game Architecture Design Specialisation (OpenUnis)</t>
  </si>
  <si>
    <t>OSCU-ANGAD</t>
  </si>
  <si>
    <t>v.1</t>
  </si>
  <si>
    <t>100 credit points required</t>
  </si>
  <si>
    <t>Construction Management Specialisation (OpenUnis)</t>
  </si>
  <si>
    <t>OSCU-CONMS</t>
  </si>
  <si>
    <t>v.2</t>
  </si>
  <si>
    <t>Y3SP1</t>
  </si>
  <si>
    <t>ARCH3031</t>
  </si>
  <si>
    <t>Y3SP2</t>
  </si>
  <si>
    <t>ARCH3015</t>
  </si>
  <si>
    <t>Y3SP3</t>
  </si>
  <si>
    <t>Y3SP4</t>
  </si>
  <si>
    <t>Interior Architecture Specialisation (OpenUnis)</t>
  </si>
  <si>
    <t>OSCU-INARS</t>
  </si>
  <si>
    <t>ARCH3018</t>
  </si>
  <si>
    <t>ARCH3019</t>
  </si>
  <si>
    <t>Planning and Geography Specialisation (OpenUnis)</t>
  </si>
  <si>
    <t>OSCU-PLGEO</t>
  </si>
  <si>
    <t>ARCH3030</t>
  </si>
  <si>
    <t>ARCH3028</t>
  </si>
  <si>
    <t>Add Undergrauate Certificate? No!</t>
  </si>
  <si>
    <t>Spec Unit</t>
  </si>
  <si>
    <t>3)      Update structures (Structures Tab)</t>
  </si>
  <si>
    <t>4)      Update Handbook unit list from updated structures (Handbook Tab)</t>
  </si>
  <si>
    <t>5)      Update Availabilities using updated Handbook unit list (Availabilities Tab)</t>
  </si>
  <si>
    <t>6)      Update Pre Requisites (Handbook Tab)</t>
  </si>
  <si>
    <t>RangeSpecSets</t>
  </si>
  <si>
    <t>7)      Update sequences for courses / components (Unitsets Tab)</t>
  </si>
  <si>
    <t>Spec1</t>
  </si>
  <si>
    <t>---</t>
  </si>
  <si>
    <t>AC-INARS</t>
  </si>
  <si>
    <t>8)      Review Handbook Tab for obvious issues / errors and enter notes (Handbook Tab)</t>
  </si>
  <si>
    <t>Spec2</t>
  </si>
  <si>
    <t>GRDE1022</t>
  </si>
  <si>
    <t>BLDG1005</t>
  </si>
  <si>
    <t>INAR1011</t>
  </si>
  <si>
    <t>URDE1007</t>
  </si>
  <si>
    <t>9)      Review Planner Tab(s) for obvious issues / errors (Planner Tab)</t>
  </si>
  <si>
    <t>Spec3</t>
  </si>
  <si>
    <t>GRDE2036</t>
  </si>
  <si>
    <t>BLDG1006</t>
  </si>
  <si>
    <t>INAR1015</t>
  </si>
  <si>
    <t>URDE1008</t>
  </si>
  <si>
    <t>Spec4</t>
  </si>
  <si>
    <t>GRDE2042</t>
  </si>
  <si>
    <t>BLDG2027</t>
  </si>
  <si>
    <t>AND</t>
  </si>
  <si>
    <t>PHGY3001</t>
  </si>
  <si>
    <t>Spec5</t>
  </si>
  <si>
    <t>--</t>
  </si>
  <si>
    <t>Spec6</t>
  </si>
  <si>
    <t>AC-ANGAD</t>
  </si>
  <si>
    <t>AC-CONMS</t>
  </si>
  <si>
    <t>INAR2023</t>
  </si>
  <si>
    <t>AC-PLGEO</t>
  </si>
  <si>
    <t>Spec7</t>
  </si>
  <si>
    <t>GRDE3033</t>
  </si>
  <si>
    <t>BLDG2028</t>
  </si>
  <si>
    <t>INAR3021</t>
  </si>
  <si>
    <t>GEOG3002</t>
  </si>
  <si>
    <t>Spec8</t>
  </si>
  <si>
    <t>WORK3002</t>
  </si>
  <si>
    <t>BLDG2021</t>
  </si>
  <si>
    <t>Spec9</t>
  </si>
  <si>
    <t>Opt-INARS</t>
  </si>
  <si>
    <t>Spec10</t>
  </si>
  <si>
    <t>INAR2015</t>
  </si>
  <si>
    <t>Spec11</t>
  </si>
  <si>
    <t>INAR2025</t>
  </si>
  <si>
    <t>Spec12</t>
  </si>
  <si>
    <t>WORK2002</t>
  </si>
  <si>
    <t>Spec13</t>
  </si>
  <si>
    <t>Spec14</t>
  </si>
  <si>
    <t>WORK3006</t>
  </si>
  <si>
    <t>Spec15</t>
  </si>
  <si>
    <t>Spec16</t>
  </si>
  <si>
    <t>WORK2007</t>
  </si>
  <si>
    <t>Title</t>
  </si>
  <si>
    <t>Notes</t>
  </si>
  <si>
    <t>-</t>
  </si>
  <si>
    <t>Please note this is a 50CP unit</t>
  </si>
  <si>
    <t>and study BOTH</t>
  </si>
  <si>
    <t>Study all three of</t>
  </si>
  <si>
    <t>and study either DIG39 or WBP300</t>
  </si>
  <si>
    <t>and study either CME205 or CME203</t>
  </si>
  <si>
    <t>Study either BIA140 or BIA170</t>
  </si>
  <si>
    <t>and study either GPH320 or WBP300</t>
  </si>
  <si>
    <t>BAS120</t>
  </si>
  <si>
    <t>Sustainability and Structures in Architecture</t>
  </si>
  <si>
    <t>Nil</t>
  </si>
  <si>
    <t>BAS130</t>
  </si>
  <si>
    <t>Reading Architecture Globally</t>
  </si>
  <si>
    <t>BAS115</t>
  </si>
  <si>
    <t>Architecture and Interior Architecture Methods 1A - Analogue Literacy</t>
  </si>
  <si>
    <t>BAS145</t>
  </si>
  <si>
    <t>Architecture and Interior Architecture Methods 1B - Digital Literacy</t>
  </si>
  <si>
    <t>BAS140</t>
  </si>
  <si>
    <t>Architecture and Interior Architecture Design Studio 1 - Small Structures</t>
  </si>
  <si>
    <t>BAS145*</t>
  </si>
  <si>
    <t>BAS150</t>
  </si>
  <si>
    <t>Architectural Science in Context</t>
  </si>
  <si>
    <t>BAS240</t>
  </si>
  <si>
    <t>Architectural Documentation and Detailing</t>
  </si>
  <si>
    <t>BAS250</t>
  </si>
  <si>
    <t>Architecture History and Identity</t>
  </si>
  <si>
    <t>150CP</t>
  </si>
  <si>
    <t>BAS230</t>
  </si>
  <si>
    <t>Architecture Design Studio 2B - Regional Studio</t>
  </si>
  <si>
    <t>BAS115 + BAS145 + BAS140</t>
  </si>
  <si>
    <t>BAS235</t>
  </si>
  <si>
    <t>Architecture Methods 2B - Information Visualisation</t>
  </si>
  <si>
    <t>BAS200</t>
  </si>
  <si>
    <t>Architecture and Interior Architecture Design Studio 2A - Residential Typology and Grammar</t>
  </si>
  <si>
    <t>BAS205</t>
  </si>
  <si>
    <t>Architecture Methods 2A - Digital Fabrication</t>
  </si>
  <si>
    <t>BAS310</t>
  </si>
  <si>
    <t>Environmental and Building Systems in Architecture</t>
  </si>
  <si>
    <t>BAS240 or BAS235 or BIA240</t>
  </si>
  <si>
    <t>BAS320</t>
  </si>
  <si>
    <t>Urban Contexts</t>
  </si>
  <si>
    <t>200CP</t>
  </si>
  <si>
    <t>BAS340</t>
  </si>
  <si>
    <t>Advanced Construction and Sustainability</t>
  </si>
  <si>
    <t>BAS240 + BAS235</t>
  </si>
  <si>
    <t>BAS350</t>
  </si>
  <si>
    <t>Twentieth and Twenty-First Century Architectural Theories</t>
  </si>
  <si>
    <t>350CP</t>
  </si>
  <si>
    <t>BAS330</t>
  </si>
  <si>
    <t>Architecture Design Studio 3B - Civic</t>
  </si>
  <si>
    <t>BAS200 + BAS205 + BAS230 + BAS235</t>
  </si>
  <si>
    <t>BAS300</t>
  </si>
  <si>
    <t>Architecture Design Studio 3A - Multi Residential</t>
  </si>
  <si>
    <t>BAS305</t>
  </si>
  <si>
    <t>Architecture Methods 3A - Digital Futures</t>
  </si>
  <si>
    <t>CME101</t>
  </si>
  <si>
    <t>Low Rise Construction</t>
  </si>
  <si>
    <t>CME106</t>
  </si>
  <si>
    <t>High-rise Construction</t>
  </si>
  <si>
    <t>BLDG1009</t>
  </si>
  <si>
    <t>CME103</t>
  </si>
  <si>
    <t>Introduction to Management in Construction (*Recommended Unit)</t>
  </si>
  <si>
    <t>CME203</t>
  </si>
  <si>
    <t>Specialised Construction</t>
  </si>
  <si>
    <t>CME206</t>
  </si>
  <si>
    <t>Building Surveying</t>
  </si>
  <si>
    <t>CME205</t>
  </si>
  <si>
    <t>Building Information Management and Modelling</t>
  </si>
  <si>
    <t>APC100</t>
  </si>
  <si>
    <t>Academic and Professional Communications</t>
  </si>
  <si>
    <t>GPH320</t>
  </si>
  <si>
    <t>Urban Geographies</t>
  </si>
  <si>
    <t>DIG10</t>
  </si>
  <si>
    <t>Game Design Introduction</t>
  </si>
  <si>
    <t>DIG230</t>
  </si>
  <si>
    <t>Introduction to 3D Modelling and Rendering</t>
  </si>
  <si>
    <t>DIG10 or DIG100</t>
  </si>
  <si>
    <t>DIG28</t>
  </si>
  <si>
    <t>Animation and Motion Graphics Design</t>
  </si>
  <si>
    <t>DIG39</t>
  </si>
  <si>
    <t>Industry Project Development</t>
  </si>
  <si>
    <t>DIG31 or DIG371 or DIG38</t>
  </si>
  <si>
    <t>BIA140</t>
  </si>
  <si>
    <t>Interior Architecture Studio - Foundation (*Recommended Unit)</t>
  </si>
  <si>
    <t>BIA170</t>
  </si>
  <si>
    <t>History of the Interior</t>
  </si>
  <si>
    <t>BIA250</t>
  </si>
  <si>
    <t>Interior Architecture Studio – Community</t>
  </si>
  <si>
    <t>BIA280</t>
  </si>
  <si>
    <t>Philosophy and Practice</t>
  </si>
  <si>
    <t>BIA290</t>
  </si>
  <si>
    <t>Design Fabrication</t>
  </si>
  <si>
    <t>BIA390</t>
  </si>
  <si>
    <t>Furniture Design</t>
  </si>
  <si>
    <t>and study ONE subject from these options</t>
  </si>
  <si>
    <t>GPH311</t>
  </si>
  <si>
    <t>Cultural Landscapes</t>
  </si>
  <si>
    <t>Study one subject from your chosen specialisation (see below)</t>
  </si>
  <si>
    <t>See below</t>
  </si>
  <si>
    <t>Specialisation</t>
  </si>
  <si>
    <t>Choose your Specialisation</t>
  </si>
  <si>
    <t>URP100</t>
  </si>
  <si>
    <t>Governance for Planning</t>
  </si>
  <si>
    <t>URP110</t>
  </si>
  <si>
    <t>Introduction to Planning</t>
  </si>
  <si>
    <t>Changemakers Innovation Lab</t>
  </si>
  <si>
    <t>OUA One Code unit</t>
  </si>
  <si>
    <t>WORK2006</t>
  </si>
  <si>
    <t>See OUA website</t>
  </si>
  <si>
    <t>WBP300</t>
  </si>
  <si>
    <t>Work Based Project (with approval)</t>
  </si>
  <si>
    <t>Go Global - Internship 4 (with approval)</t>
  </si>
  <si>
    <t>WORK3009</t>
  </si>
  <si>
    <t>GOG300</t>
  </si>
  <si>
    <t>Do not alter columns A-E, formulas are used to present data as required for transfer to Handbook Tab</t>
  </si>
  <si>
    <t>Downloaded:</t>
  </si>
  <si>
    <t>V</t>
  </si>
  <si>
    <t>CPs</t>
  </si>
  <si>
    <t>No.</t>
  </si>
  <si>
    <t>Component Type</t>
  </si>
  <si>
    <t>Year Level</t>
  </si>
  <si>
    <t>Study Package Code</t>
  </si>
  <si>
    <t>Structure Line</t>
  </si>
  <si>
    <t>Effective</t>
  </si>
  <si>
    <t>Discont.</t>
  </si>
  <si>
    <t>Column1</t>
  </si>
  <si>
    <t>Column2</t>
  </si>
  <si>
    <t>AltCore</t>
  </si>
  <si>
    <t>NA</t>
  </si>
  <si>
    <t>Core</t>
  </si>
  <si>
    <t>Semester 1</t>
  </si>
  <si>
    <t>BAS115 Architecture and Interior Architecture Methods 1A - Analogue Literacy</t>
  </si>
  <si>
    <t>BAS120 Sustainability and Structures in Architecture</t>
  </si>
  <si>
    <t>Semester 2</t>
  </si>
  <si>
    <t>BAS130 Reading Architecture Globally</t>
  </si>
  <si>
    <t>BAS140 Architecture and Interior Architecture Design Studio 1 - Small Structures</t>
  </si>
  <si>
    <t>BAS145 Architecture and Interior Architecture Methods 1B - Digital Literacy</t>
  </si>
  <si>
    <t>BAS150 Architectural Science in Context</t>
  </si>
  <si>
    <t>BAS200 Architecture and Interior Architecture Design Studio 2A - Residential Typology and Grammar</t>
  </si>
  <si>
    <t>BAS205 Architecture Methods 2A - Digital Fabrication</t>
  </si>
  <si>
    <t>BAS240 Architectural Documentation and Detailing</t>
  </si>
  <si>
    <t>BAS230 Architecture Design Studio 2B - Regional Studio</t>
  </si>
  <si>
    <t>BAS235 Architecture Methods 2B - Information Visualisation</t>
  </si>
  <si>
    <t>BAS250 Architecture History and Identity</t>
  </si>
  <si>
    <t>BAS300 Architecture Design Studio 3A - Multi Residential</t>
  </si>
  <si>
    <t>BAS305 Architecture Methods 3A - Digital Futures</t>
  </si>
  <si>
    <t>BAS310 Environmental and Building Systems in Architecture</t>
  </si>
  <si>
    <t>BAS350 Twentieth and Twenty-First Century Architectural Theories</t>
  </si>
  <si>
    <t>BAS330 Architecture Design Studio 3B - Civic</t>
  </si>
  <si>
    <t>BAS340 Advanced Construction and Sustainability</t>
  </si>
  <si>
    <t>BAS320 Urban Contexts</t>
  </si>
  <si>
    <t>Choose GRDE3033 or WORK3002</t>
  </si>
  <si>
    <t>WBP300 Work Based Project</t>
  </si>
  <si>
    <t>CME101 Low Rise Construction</t>
  </si>
  <si>
    <t>CME106 High-rise Construction</t>
  </si>
  <si>
    <t>CME206 Building Surveying</t>
  </si>
  <si>
    <t>CME203 Specialised Construction</t>
  </si>
  <si>
    <t>CME205 Building Information Management and Modelling</t>
  </si>
  <si>
    <t>URP110 Introduction to Planning</t>
  </si>
  <si>
    <t>URP100 Governance for Planning</t>
  </si>
  <si>
    <t>GPH311 Cultural Landscapes</t>
  </si>
  <si>
    <t>Choose WORK3002 or GEOG3002</t>
  </si>
  <si>
    <t>GPH320 Urban Geographies</t>
  </si>
  <si>
    <t xml:space="preserve">Downloaded: </t>
  </si>
  <si>
    <t>Row Labels</t>
  </si>
  <si>
    <t>OpenUnis SP 1</t>
  </si>
  <si>
    <t>OpenUnis SP 2</t>
  </si>
  <si>
    <t>OpenUnis SP 3</t>
  </si>
  <si>
    <t>OpenUnis SP 4</t>
  </si>
  <si>
    <t>BLDG3031</t>
  </si>
  <si>
    <t>2026 Full-Time Enrolment Planner</t>
  </si>
  <si>
    <t>2026 Availabilities</t>
  </si>
  <si>
    <t>1)      Update high level course / component &amp; study period details (CourseDetails Tab)</t>
  </si>
  <si>
    <t>2)      Update Planner page(s) to reference year of planner e.g. “2026” (Planner Tab)</t>
  </si>
  <si>
    <t>APC Change</t>
  </si>
  <si>
    <t>v.4</t>
  </si>
  <si>
    <t>ENST1002</t>
  </si>
  <si>
    <t>ENST1002 Sustainability Communication and Action</t>
  </si>
  <si>
    <t>GRDE1029</t>
  </si>
  <si>
    <t>GRDE1029 Motion Design Studio</t>
  </si>
  <si>
    <t>GRDE1031</t>
  </si>
  <si>
    <t>GRDE1031 Introduction to 3D Modelling</t>
  </si>
  <si>
    <t>GRDE2055</t>
  </si>
  <si>
    <t>GRDE2055 3D Game and Level Design</t>
  </si>
  <si>
    <t>Choose BLDG2028 or BLDG2021</t>
  </si>
  <si>
    <t>Course version:</t>
  </si>
  <si>
    <t>OB-ARCHSP1</t>
  </si>
  <si>
    <t>OB-ARCHSP2</t>
  </si>
  <si>
    <t>OB-ARCHSP3</t>
  </si>
  <si>
    <t>OB-ARCHSP4</t>
  </si>
  <si>
    <t>Sustainability Communication and Action</t>
  </si>
  <si>
    <t>COMS1007.DE</t>
  </si>
  <si>
    <t>Deactivated effective 31/12/2025</t>
  </si>
  <si>
    <t>Motion Design Studio</t>
  </si>
  <si>
    <t>Introduction to 3D Modelling</t>
  </si>
  <si>
    <t>3D Game and Level Design</t>
  </si>
  <si>
    <t>As at:</t>
  </si>
  <si>
    <t>5 &amp; 6</t>
  </si>
  <si>
    <t>DIG39 Emerging Digital Experience Studio</t>
  </si>
  <si>
    <t>BIA280 Philosophy and Practice</t>
  </si>
  <si>
    <t>BIA390 Furniture Design</t>
  </si>
  <si>
    <t>Choose INAR1011 BIA140 or INAR1015 BIA170</t>
  </si>
  <si>
    <t>Option</t>
  </si>
  <si>
    <t>Choose an Option</t>
  </si>
  <si>
    <t>BIA140 Interior Architecture Studio - Foundation</t>
  </si>
  <si>
    <t>BIA170 History of the Interior</t>
  </si>
  <si>
    <t>BIA250 Interior Architecture Studio – Community</t>
  </si>
  <si>
    <t>BIA290 Design Fabrication</t>
  </si>
  <si>
    <t>Go Global - Internship 4</t>
  </si>
  <si>
    <t>Emerging Digital Experience Studio</t>
  </si>
  <si>
    <t>WORK2002.RE</t>
  </si>
  <si>
    <t>GRDE3033.PO</t>
  </si>
  <si>
    <t>Phasing Out</t>
  </si>
  <si>
    <t>New Version</t>
  </si>
  <si>
    <t>OSCU-ANGAD.PO</t>
  </si>
  <si>
    <t>OSCU-CONMS.PO</t>
  </si>
  <si>
    <t>Previous</t>
  </si>
  <si>
    <t>GRDE2036.DE</t>
  </si>
  <si>
    <t>GRDE2042.DE</t>
  </si>
  <si>
    <t>WORK3009.RE</t>
  </si>
  <si>
    <t>Pre-reqs (25/11/2025)</t>
  </si>
  <si>
    <t>GRDE1029 or DIG271</t>
  </si>
  <si>
    <t>BIA140 or BAS140</t>
  </si>
  <si>
    <t>Removed for 2026</t>
  </si>
  <si>
    <t>Reverted to generic course sequencing for 2026.</t>
  </si>
  <si>
    <t>Just using generic course sequencing for 2026.</t>
  </si>
  <si>
    <t>GRDE1022.DE</t>
  </si>
  <si>
    <t>BLDG1009.RE</t>
  </si>
  <si>
    <t>Removed from structure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</si>
</sst>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2" x14ac:knownFonts="1">
    <font>
      <sz val="12"/>
      <color theme="1"/>
      <name val="Calibri"/>
      <family val="2"/>
      <scheme val="minor"/>
    </font>
    <font>
      <sz val="11"/>
      <color theme="1"/>
      <name val="Calibri"/>
      <family val="2"/>
      <scheme val="minor"/>
    </font>
    <font>
      <b/>
      <sz val="8"/>
      <color rgb="FF000000"/>
      <name val="Arial"/>
      <family val="2"/>
    </font>
    <font>
      <sz val="8"/>
      <name val="Arial"/>
      <family val="2"/>
    </font>
    <font>
      <sz val="8"/>
      <color rgb="FF000000"/>
      <name val="Arial"/>
      <family val="2"/>
    </font>
    <font>
      <b/>
      <sz val="10"/>
      <color rgb="FF000000"/>
      <name val="Arial"/>
      <family val="2"/>
    </font>
    <font>
      <sz val="10"/>
      <color rgb="FF000000"/>
      <name val="Arial"/>
      <family val="2"/>
    </font>
    <font>
      <sz val="8"/>
      <color rgb="FFFF0000"/>
      <name val="Arial"/>
      <family val="2"/>
    </font>
    <font>
      <sz val="10"/>
      <color theme="1"/>
      <name val="Arial"/>
      <family val="2"/>
    </font>
    <font>
      <sz val="8"/>
      <color theme="1"/>
      <name val="Arial"/>
      <family val="2"/>
    </font>
    <font>
      <sz val="11"/>
      <color theme="1"/>
      <name val="Arial"/>
      <family val="2"/>
    </font>
    <font>
      <b/>
      <sz val="10"/>
      <color theme="1"/>
      <name val="Arial"/>
      <family val="2"/>
    </font>
    <font>
      <b/>
      <sz val="12"/>
      <color theme="1"/>
      <name val="Arial"/>
      <family val="2"/>
    </font>
    <font>
      <sz val="10"/>
      <color theme="0"/>
      <name val="Arial"/>
      <family val="2"/>
    </font>
    <font>
      <b/>
      <sz val="12"/>
      <color theme="1"/>
      <name val="Calibri"/>
      <family val="2"/>
      <scheme val="minor"/>
    </font>
    <font>
      <sz val="8"/>
      <color theme="0" tint="-0.499984740745262"/>
      <name val="Arial"/>
      <family val="2"/>
    </font>
    <font>
      <b/>
      <sz val="11"/>
      <color theme="1"/>
      <name val="Segoe UI"/>
      <family val="2"/>
    </font>
    <font>
      <b/>
      <sz val="9"/>
      <color theme="1"/>
      <name val="Segoe UI"/>
      <family val="2"/>
    </font>
    <font>
      <sz val="9"/>
      <color theme="0"/>
      <name val="Segoe UI"/>
      <family val="2"/>
    </font>
    <font>
      <sz val="9"/>
      <color theme="1"/>
      <name val="Segoe UI"/>
      <family val="2"/>
    </font>
    <font>
      <b/>
      <sz val="8"/>
      <color theme="0"/>
      <name val="Segoe UI"/>
      <family val="2"/>
    </font>
    <font>
      <sz val="8"/>
      <name val="Segoe UI"/>
      <family val="2"/>
    </font>
    <font>
      <sz val="8"/>
      <color theme="1"/>
      <name val="Segoe UI"/>
      <family val="2"/>
    </font>
    <font>
      <sz val="8"/>
      <color rgb="FFFF0000"/>
      <name val="Segoe UI"/>
      <family val="2"/>
    </font>
    <font>
      <sz val="7"/>
      <color theme="1"/>
      <name val="Segoe UI"/>
      <family val="2"/>
    </font>
    <font>
      <u/>
      <sz val="11"/>
      <color theme="10"/>
      <name val="Calibri"/>
      <family val="2"/>
      <scheme val="minor"/>
    </font>
    <font>
      <b/>
      <u/>
      <sz val="12"/>
      <color theme="10"/>
      <name val="Segoe UI"/>
      <family val="2"/>
    </font>
    <font>
      <b/>
      <sz val="12"/>
      <name val="Segoe UI"/>
      <family val="2"/>
    </font>
    <font>
      <sz val="11"/>
      <name val="Segoe UI"/>
      <family val="2"/>
    </font>
    <font>
      <sz val="11"/>
      <color theme="1"/>
      <name val="Segoe UI"/>
      <family val="2"/>
    </font>
    <font>
      <sz val="6"/>
      <color theme="1"/>
      <name val="Segoe UI"/>
      <family val="2"/>
    </font>
    <font>
      <b/>
      <sz val="6"/>
      <color theme="1"/>
      <name val="Arial"/>
      <family val="2"/>
    </font>
    <font>
      <sz val="6"/>
      <color theme="1"/>
      <name val="Arial"/>
      <family val="2"/>
    </font>
    <font>
      <sz val="11"/>
      <name val="Arial"/>
      <family val="2"/>
    </font>
    <font>
      <sz val="9"/>
      <name val="Segoe UI"/>
      <family val="2"/>
    </font>
    <font>
      <b/>
      <sz val="9"/>
      <color theme="0"/>
      <name val="Segoe UI"/>
      <family val="2"/>
    </font>
    <font>
      <b/>
      <sz val="11"/>
      <color theme="0"/>
      <name val="Arial"/>
      <family val="2"/>
    </font>
    <font>
      <sz val="11"/>
      <color theme="0"/>
      <name val="Arial"/>
      <family val="2"/>
    </font>
    <font>
      <b/>
      <sz val="11"/>
      <color theme="0"/>
      <name val="Segoe UI"/>
      <family val="2"/>
    </font>
    <font>
      <b/>
      <sz val="11"/>
      <color rgb="FFFF0000"/>
      <name val="Segoe UI"/>
      <family val="2"/>
    </font>
    <font>
      <b/>
      <sz val="9"/>
      <name val="Segoe UI"/>
      <family val="2"/>
    </font>
    <font>
      <b/>
      <i/>
      <sz val="12"/>
      <color rgb="FFC00000"/>
      <name val="Calibri"/>
      <family val="2"/>
      <scheme val="minor"/>
    </font>
    <font>
      <sz val="12"/>
      <name val="Calibri"/>
      <family val="2"/>
      <scheme val="minor"/>
    </font>
    <font>
      <i/>
      <sz val="10"/>
      <color theme="0" tint="-0.34998626667073579"/>
      <name val="Arial"/>
      <family val="2"/>
    </font>
    <font>
      <b/>
      <sz val="10"/>
      <color theme="0"/>
      <name val="Segoe UI"/>
      <family val="2"/>
    </font>
    <font>
      <sz val="12"/>
      <color rgb="FFFF0000"/>
      <name val="Calibri"/>
      <family val="2"/>
      <scheme val="minor"/>
    </font>
    <font>
      <b/>
      <i/>
      <sz val="16"/>
      <color theme="0"/>
      <name val="Segoe UI"/>
      <family val="2"/>
    </font>
    <font>
      <b/>
      <sz val="11"/>
      <name val="Segoe UI"/>
      <family val="2"/>
    </font>
    <font>
      <b/>
      <i/>
      <sz val="10"/>
      <color theme="0" tint="-0.34998626667073579"/>
      <name val="Arial"/>
      <family val="2"/>
    </font>
    <font>
      <b/>
      <sz val="16"/>
      <color theme="1"/>
      <name val="Segoe UI"/>
      <family val="2"/>
    </font>
    <font>
      <b/>
      <sz val="10"/>
      <color theme="8"/>
      <name val="Segoe UI"/>
      <family val="2"/>
    </font>
    <font>
      <b/>
      <i/>
      <u/>
      <sz val="14"/>
      <name val="Calibri"/>
      <family val="2"/>
      <scheme val="minor"/>
    </font>
    <font>
      <sz val="11"/>
      <color rgb="FF006100"/>
      <name val="Calibri"/>
      <family val="2"/>
      <scheme val="minor"/>
    </font>
    <font>
      <sz val="10"/>
      <color rgb="FF00B050"/>
      <name val="Arial"/>
      <family val="2"/>
    </font>
    <font>
      <b/>
      <i/>
      <sz val="12"/>
      <color rgb="FF00B050"/>
      <name val="Calibri"/>
      <family val="2"/>
      <scheme val="minor"/>
    </font>
    <font>
      <sz val="12"/>
      <color rgb="FF00B050"/>
      <name val="Calibri"/>
      <family val="2"/>
      <scheme val="minor"/>
    </font>
    <font>
      <sz val="10"/>
      <name val="Arial"/>
      <family val="2"/>
    </font>
    <font>
      <sz val="8"/>
      <name val="Calibri"/>
      <family val="2"/>
      <scheme val="minor"/>
    </font>
    <font>
      <b/>
      <i/>
      <sz val="12"/>
      <name val="Calibri"/>
      <family val="2"/>
      <scheme val="minor"/>
    </font>
    <font>
      <b/>
      <sz val="12"/>
      <name val="Calibri"/>
      <family val="2"/>
      <scheme val="minor"/>
    </font>
    <font>
      <sz val="10"/>
      <color theme="1"/>
      <name val="Arial"/>
      <family val="2"/>
    </font>
    <font>
      <b/>
      <sz val="8"/>
      <name val="Arial"/>
      <family val="2"/>
    </font>
  </fonts>
  <fills count="15">
    <fill>
      <patternFill patternType="none"/>
    </fill>
    <fill>
      <patternFill patternType="gray125"/>
    </fill>
    <fill>
      <patternFill patternType="solid">
        <fgColor theme="0"/>
        <bgColor indexed="64"/>
      </patternFill>
    </fill>
    <fill>
      <patternFill patternType="solid">
        <fgColor rgb="FFF2F2F2"/>
        <bgColor rgb="FF000000"/>
      </patternFill>
    </fill>
    <fill>
      <patternFill patternType="solid">
        <fgColor rgb="FF999999"/>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rgb="FFFFFF00"/>
        <bgColor indexed="64"/>
      </patternFill>
    </fill>
    <fill>
      <patternFill patternType="solid">
        <fgColor theme="8"/>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rgb="FFC6EFCE"/>
      </patternFill>
    </fill>
    <fill>
      <patternFill patternType="solid">
        <fgColor rgb="FF92D050"/>
        <bgColor indexed="64"/>
      </patternFill>
    </fill>
    <fill>
      <patternFill patternType="solid">
        <fgColor theme="8" tint="0.79998168889431442"/>
        <bgColor indexed="64"/>
      </patternFill>
    </fill>
  </fills>
  <borders count="32">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theme="0" tint="-0.14996795556505021"/>
      </right>
      <top/>
      <bottom/>
      <diagonal/>
    </border>
    <border>
      <left style="thin">
        <color theme="0" tint="-0.14996795556505021"/>
      </left>
      <right style="thin">
        <color theme="0" tint="-0.14996795556505021"/>
      </right>
      <top/>
      <bottom/>
      <diagonal/>
    </border>
    <border>
      <left style="thin">
        <color theme="0" tint="-0.14996795556505021"/>
      </left>
      <right/>
      <top/>
      <bottom/>
      <diagonal/>
    </border>
    <border>
      <left/>
      <right/>
      <top/>
      <bottom style="thin">
        <color rgb="FF999999"/>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theme="0" tint="-0.14990691854609822"/>
      </right>
      <top/>
      <bottom/>
      <diagonal/>
    </border>
    <border>
      <left style="thin">
        <color theme="0" tint="-0.14996795556505021"/>
      </left>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style="thin">
        <color theme="0" tint="-0.14993743705557422"/>
      </right>
      <top style="thin">
        <color theme="0" tint="-0.14993743705557422"/>
      </top>
      <bottom style="thin">
        <color theme="0" tint="-0.14993743705557422"/>
      </bottom>
      <diagonal/>
    </border>
    <border>
      <left style="thin">
        <color theme="0" tint="-0.14990691854609822"/>
      </left>
      <right/>
      <top/>
      <bottom/>
      <diagonal/>
    </border>
    <border>
      <left/>
      <right style="double">
        <color auto="1"/>
      </right>
      <top/>
      <bottom/>
      <diagonal/>
    </border>
    <border>
      <left style="thin">
        <color theme="0" tint="-0.14990691854609822"/>
      </left>
      <right style="thin">
        <color theme="0" tint="-0.1498764000366222"/>
      </right>
      <top/>
      <bottom/>
      <diagonal/>
    </border>
    <border>
      <left style="thin">
        <color theme="0" tint="-0.1498764000366222"/>
      </left>
      <right style="thin">
        <color theme="0" tint="-0.1498764000366222"/>
      </right>
      <top/>
      <bottom/>
      <diagonal/>
    </border>
    <border>
      <left style="thin">
        <color theme="0" tint="-0.1498764000366222"/>
      </left>
      <right style="thin">
        <color theme="0" tint="-0.14990691854609822"/>
      </right>
      <top/>
      <bottom/>
      <diagonal/>
    </border>
    <border>
      <left style="thin">
        <color theme="0" tint="-0.14990691854609822"/>
      </left>
      <right style="thin">
        <color theme="0" tint="-0.1498764000366222"/>
      </right>
      <top style="thin">
        <color theme="0" tint="-0.14993743705557422"/>
      </top>
      <bottom style="thin">
        <color theme="0" tint="-0.14993743705557422"/>
      </bottom>
      <diagonal/>
    </border>
    <border>
      <left style="thin">
        <color theme="0" tint="-0.1498764000366222"/>
      </left>
      <right style="thin">
        <color theme="0" tint="-0.1498764000366222"/>
      </right>
      <top style="thin">
        <color theme="0" tint="-0.14993743705557422"/>
      </top>
      <bottom style="thin">
        <color theme="0" tint="-0.14993743705557422"/>
      </bottom>
      <diagonal/>
    </border>
    <border>
      <left style="thin">
        <color theme="0" tint="-0.1498764000366222"/>
      </left>
      <right style="thin">
        <color theme="0" tint="-0.14990691854609822"/>
      </right>
      <top style="thin">
        <color theme="0" tint="-0.14993743705557422"/>
      </top>
      <bottom style="thin">
        <color theme="0" tint="-0.14993743705557422"/>
      </bottom>
      <diagonal/>
    </border>
    <border>
      <left style="thin">
        <color theme="0" tint="-0.14990691854609822"/>
      </left>
      <right/>
      <top/>
      <bottom style="thin">
        <color theme="0" tint="-0.14993743705557422"/>
      </bottom>
      <diagonal/>
    </border>
    <border>
      <left/>
      <right/>
      <top/>
      <bottom style="thin">
        <color theme="0" tint="-0.14993743705557422"/>
      </bottom>
      <diagonal/>
    </border>
    <border>
      <left/>
      <right style="thin">
        <color theme="0" tint="-0.14990691854609822"/>
      </right>
      <top/>
      <bottom style="thin">
        <color theme="0" tint="-0.14993743705557422"/>
      </bottom>
      <diagonal/>
    </border>
  </borders>
  <cellStyleXfs count="4">
    <xf numFmtId="0" fontId="0" fillId="0" borderId="0"/>
    <xf numFmtId="0" fontId="1" fillId="0" borderId="0"/>
    <xf numFmtId="0" fontId="25" fillId="0" borderId="0" applyNumberFormat="0" applyFill="0" applyBorder="0" applyAlignment="0" applyProtection="0"/>
    <xf numFmtId="0" fontId="52" fillId="12" borderId="0" applyNumberFormat="0" applyBorder="0" applyAlignment="0" applyProtection="0"/>
  </cellStyleXfs>
  <cellXfs count="200">
    <xf numFmtId="0" fontId="0" fillId="0" borderId="0" xfId="0"/>
    <xf numFmtId="0" fontId="3" fillId="0" borderId="0" xfId="0" applyFont="1" applyAlignment="1">
      <alignment horizontal="center" vertical="center"/>
    </xf>
    <xf numFmtId="0" fontId="0" fillId="0" borderId="0" xfId="0" applyAlignment="1">
      <alignment horizontal="center"/>
    </xf>
    <xf numFmtId="0" fontId="5" fillId="0" borderId="0" xfId="0" applyFont="1"/>
    <xf numFmtId="0" fontId="8" fillId="0" borderId="0" xfId="0" applyFont="1"/>
    <xf numFmtId="0" fontId="2" fillId="3" borderId="3" xfId="0" applyFont="1" applyFill="1" applyBorder="1" applyAlignment="1">
      <alignment horizontal="right" vertical="center"/>
    </xf>
    <xf numFmtId="0" fontId="2" fillId="3" borderId="2" xfId="0" applyFont="1" applyFill="1" applyBorder="1" applyAlignment="1">
      <alignment horizontal="right" vertical="center"/>
    </xf>
    <xf numFmtId="0" fontId="8" fillId="0" borderId="0" xfId="0" applyFont="1" applyAlignment="1">
      <alignment horizontal="left"/>
    </xf>
    <xf numFmtId="0" fontId="11" fillId="0" borderId="0" xfId="0" applyFont="1" applyAlignment="1">
      <alignment horizontal="left"/>
    </xf>
    <xf numFmtId="0" fontId="12" fillId="0" borderId="0" xfId="0" applyFont="1" applyAlignment="1">
      <alignment horizontal="left"/>
    </xf>
    <xf numFmtId="0" fontId="10" fillId="0" borderId="0" xfId="0" applyFont="1"/>
    <xf numFmtId="0" fontId="13" fillId="0" borderId="0" xfId="0" applyFont="1"/>
    <xf numFmtId="0" fontId="9" fillId="0" borderId="0" xfId="0" applyFont="1" applyAlignment="1">
      <alignment horizontal="center" vertical="center"/>
    </xf>
    <xf numFmtId="0" fontId="26" fillId="4" borderId="0" xfId="2" applyFont="1" applyFill="1" applyAlignment="1" applyProtection="1">
      <alignment vertical="center"/>
    </xf>
    <xf numFmtId="0" fontId="25" fillId="4" borderId="0" xfId="2" applyFill="1" applyAlignment="1" applyProtection="1">
      <alignment vertical="center"/>
    </xf>
    <xf numFmtId="0" fontId="15" fillId="0" borderId="0" xfId="0" applyFont="1" applyAlignment="1">
      <alignment horizontal="center"/>
    </xf>
    <xf numFmtId="0" fontId="4" fillId="0" borderId="6" xfId="0" applyFont="1" applyBorder="1" applyAlignment="1">
      <alignment horizontal="center" vertical="center"/>
    </xf>
    <xf numFmtId="0" fontId="4" fillId="0" borderId="8" xfId="0" applyFont="1" applyBorder="1" applyAlignment="1">
      <alignment horizontal="center" vertical="center"/>
    </xf>
    <xf numFmtId="0" fontId="14" fillId="0" borderId="0" xfId="0" applyFont="1"/>
    <xf numFmtId="0" fontId="0" fillId="0" borderId="5" xfId="0" applyBorder="1"/>
    <xf numFmtId="0" fontId="2" fillId="3" borderId="1" xfId="0" applyFont="1" applyFill="1" applyBorder="1" applyAlignment="1">
      <alignment horizontal="right" vertical="center"/>
    </xf>
    <xf numFmtId="0" fontId="19" fillId="2" borderId="20" xfId="1" applyFont="1" applyFill="1" applyBorder="1" applyAlignment="1" applyProtection="1">
      <alignment horizontal="center" vertical="center" wrapText="1"/>
      <protection locked="0"/>
    </xf>
    <xf numFmtId="0" fontId="19" fillId="0" borderId="20" xfId="1" applyFont="1" applyBorder="1" applyAlignment="1" applyProtection="1">
      <alignment horizontal="center" vertical="center" wrapText="1"/>
      <protection locked="0"/>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3" fillId="0" borderId="10" xfId="0" applyFont="1" applyBorder="1" applyAlignment="1">
      <alignment horizontal="center" vertical="center"/>
    </xf>
    <xf numFmtId="0" fontId="41" fillId="0" borderId="0" xfId="0" applyFont="1"/>
    <xf numFmtId="0" fontId="0" fillId="0" borderId="22" xfId="0" applyBorder="1" applyAlignment="1">
      <alignment horizontal="center"/>
    </xf>
    <xf numFmtId="0" fontId="8" fillId="0" borderId="0" xfId="0" applyFont="1" applyAlignment="1">
      <alignment horizontal="center"/>
    </xf>
    <xf numFmtId="0" fontId="4" fillId="0" borderId="9" xfId="0" applyFont="1" applyBorder="1" applyAlignment="1">
      <alignment horizontal="center" vertical="center"/>
    </xf>
    <xf numFmtId="0" fontId="3" fillId="0" borderId="8" xfId="0" applyFont="1" applyBorder="1" applyAlignment="1">
      <alignment horizontal="center" vertical="center"/>
    </xf>
    <xf numFmtId="0" fontId="4" fillId="7" borderId="5" xfId="0" applyFont="1" applyFill="1" applyBorder="1" applyAlignment="1">
      <alignment horizontal="center" vertical="center"/>
    </xf>
    <xf numFmtId="0" fontId="42" fillId="0" borderId="0" xfId="0" applyFont="1"/>
    <xf numFmtId="0" fontId="43" fillId="0" borderId="0" xfId="0" applyFont="1" applyAlignment="1">
      <alignment horizontal="right"/>
    </xf>
    <xf numFmtId="0" fontId="4" fillId="0" borderId="7" xfId="0" applyFont="1" applyBorder="1" applyAlignment="1">
      <alignment horizontal="center" vertical="center"/>
    </xf>
    <xf numFmtId="0" fontId="4" fillId="0" borderId="10" xfId="0" applyFont="1" applyBorder="1" applyAlignment="1">
      <alignment horizontal="center" vertical="center"/>
    </xf>
    <xf numFmtId="0" fontId="25" fillId="4" borderId="0" xfId="2" applyFill="1" applyAlignment="1" applyProtection="1">
      <alignment horizontal="center" vertical="center"/>
    </xf>
    <xf numFmtId="0" fontId="45" fillId="0" borderId="0" xfId="0" applyFont="1"/>
    <xf numFmtId="14" fontId="0" fillId="0" borderId="0" xfId="0" applyNumberFormat="1"/>
    <xf numFmtId="0" fontId="48" fillId="0" borderId="0" xfId="0" applyFont="1" applyAlignment="1">
      <alignment horizontal="left"/>
    </xf>
    <xf numFmtId="14" fontId="42" fillId="0" borderId="0" xfId="0" applyNumberFormat="1" applyFont="1"/>
    <xf numFmtId="0" fontId="4" fillId="0" borderId="6" xfId="0" quotePrefix="1" applyFont="1" applyBorder="1" applyAlignment="1">
      <alignment horizontal="center" vertical="center"/>
    </xf>
    <xf numFmtId="0" fontId="4" fillId="0" borderId="8" xfId="0" quotePrefix="1" applyFont="1" applyBorder="1" applyAlignment="1">
      <alignment horizontal="center" vertical="center"/>
    </xf>
    <xf numFmtId="0" fontId="4" fillId="0" borderId="4" xfId="0" applyFont="1" applyBorder="1" applyAlignment="1">
      <alignment horizontal="center" vertical="center"/>
    </xf>
    <xf numFmtId="0" fontId="3" fillId="0" borderId="9" xfId="0" applyFont="1" applyBorder="1" applyAlignment="1">
      <alignment horizontal="center" vertical="center"/>
    </xf>
    <xf numFmtId="0" fontId="19" fillId="10" borderId="17" xfId="1" applyFont="1" applyFill="1" applyBorder="1" applyAlignment="1" applyProtection="1">
      <alignment horizontal="center" vertical="center" wrapText="1"/>
      <protection locked="0"/>
    </xf>
    <xf numFmtId="0" fontId="6" fillId="0" borderId="0" xfId="0" applyFont="1"/>
    <xf numFmtId="0" fontId="0" fillId="0" borderId="0" xfId="0" applyAlignment="1">
      <alignment horizontal="left"/>
    </xf>
    <xf numFmtId="0" fontId="0" fillId="0" borderId="0" xfId="0" applyAlignment="1">
      <alignment horizontal="left" textRotation="90"/>
    </xf>
    <xf numFmtId="0" fontId="8" fillId="5" borderId="0" xfId="0" applyFont="1" applyFill="1" applyAlignment="1">
      <alignment horizontal="center"/>
    </xf>
    <xf numFmtId="0" fontId="8" fillId="11" borderId="0" xfId="0" applyFont="1" applyFill="1" applyAlignment="1">
      <alignment horizontal="center"/>
    </xf>
    <xf numFmtId="0" fontId="51" fillId="0" borderId="0" xfId="0" applyFont="1"/>
    <xf numFmtId="14" fontId="52" fillId="12" borderId="0" xfId="3" applyNumberFormat="1" applyAlignment="1">
      <alignment horizontal="center"/>
    </xf>
    <xf numFmtId="0" fontId="8" fillId="0" borderId="0" xfId="0" applyFont="1" applyAlignment="1">
      <alignment wrapText="1"/>
    </xf>
    <xf numFmtId="0" fontId="53" fillId="6" borderId="0" xfId="0" applyFont="1" applyFill="1"/>
    <xf numFmtId="0" fontId="55" fillId="0" borderId="0" xfId="0" applyFont="1" applyAlignment="1">
      <alignment horizontal="center"/>
    </xf>
    <xf numFmtId="0" fontId="56" fillId="6" borderId="0" xfId="0" applyFont="1" applyFill="1"/>
    <xf numFmtId="0" fontId="56" fillId="0" borderId="0" xfId="0" applyFont="1" applyAlignment="1">
      <alignment horizontal="center" wrapText="1"/>
    </xf>
    <xf numFmtId="0" fontId="56" fillId="0" borderId="0" xfId="0" applyFont="1" applyAlignment="1">
      <alignment horizontal="center"/>
    </xf>
    <xf numFmtId="0" fontId="56" fillId="0" borderId="0" xfId="0" applyFont="1"/>
    <xf numFmtId="14" fontId="0" fillId="0" borderId="0" xfId="0" applyNumberFormat="1" applyAlignment="1">
      <alignment horizontal="center"/>
    </xf>
    <xf numFmtId="0" fontId="56" fillId="13" borderId="0" xfId="0" applyFont="1" applyFill="1" applyAlignment="1">
      <alignment horizontal="center"/>
    </xf>
    <xf numFmtId="14" fontId="56" fillId="13" borderId="0" xfId="0" applyNumberFormat="1" applyFont="1" applyFill="1" applyAlignment="1">
      <alignment horizontal="center"/>
    </xf>
    <xf numFmtId="0" fontId="53" fillId="0" borderId="0" xfId="0" applyFont="1" applyAlignment="1">
      <alignment horizontal="center"/>
    </xf>
    <xf numFmtId="14" fontId="53" fillId="0" borderId="0" xfId="0" applyNumberFormat="1" applyFont="1" applyAlignment="1">
      <alignment horizontal="center"/>
    </xf>
    <xf numFmtId="0" fontId="58" fillId="0" borderId="0" xfId="0" applyFont="1" applyAlignment="1">
      <alignment horizontal="left"/>
    </xf>
    <xf numFmtId="14" fontId="59" fillId="0" borderId="0" xfId="0" applyNumberFormat="1" applyFont="1" applyAlignment="1">
      <alignment horizontal="right"/>
    </xf>
    <xf numFmtId="14" fontId="59" fillId="0" borderId="0" xfId="0" applyNumberFormat="1" applyFont="1"/>
    <xf numFmtId="0" fontId="58" fillId="13" borderId="0" xfId="0" applyFont="1" applyFill="1" applyAlignment="1">
      <alignment horizontal="center"/>
    </xf>
    <xf numFmtId="14" fontId="58" fillId="13" borderId="0" xfId="0" applyNumberFormat="1" applyFont="1" applyFill="1"/>
    <xf numFmtId="0" fontId="58" fillId="0" borderId="0" xfId="0" applyFont="1" applyAlignment="1">
      <alignment horizontal="center"/>
    </xf>
    <xf numFmtId="14" fontId="54" fillId="0" borderId="0" xfId="0" applyNumberFormat="1" applyFont="1"/>
    <xf numFmtId="0" fontId="8" fillId="11" borderId="7" xfId="0" applyFont="1" applyFill="1" applyBorder="1" applyAlignment="1">
      <alignment horizontal="center"/>
    </xf>
    <xf numFmtId="0" fontId="45" fillId="0" borderId="0" xfId="0" applyFont="1" applyAlignment="1">
      <alignment horizontal="left"/>
    </xf>
    <xf numFmtId="0" fontId="0" fillId="0" borderId="0" xfId="0" applyAlignment="1">
      <alignment horizontal="right"/>
    </xf>
    <xf numFmtId="0" fontId="42" fillId="0" borderId="0" xfId="0" applyFont="1" applyAlignment="1">
      <alignment horizontal="center"/>
    </xf>
    <xf numFmtId="14" fontId="59" fillId="0" borderId="0" xfId="0" applyNumberFormat="1" applyFont="1" applyAlignment="1">
      <alignment horizontal="center"/>
    </xf>
    <xf numFmtId="0" fontId="8" fillId="14" borderId="0" xfId="0" applyFont="1" applyFill="1"/>
    <xf numFmtId="0" fontId="60" fillId="0" borderId="0" xfId="0" applyFont="1"/>
    <xf numFmtId="0" fontId="60" fillId="0" borderId="0" xfId="0" applyFont="1" applyAlignment="1">
      <alignment horizontal="center"/>
    </xf>
    <xf numFmtId="0" fontId="60" fillId="5" borderId="0" xfId="0" applyFont="1" applyFill="1" applyAlignment="1">
      <alignment horizontal="center"/>
    </xf>
    <xf numFmtId="0" fontId="60" fillId="0" borderId="0" xfId="0" applyFont="1" applyAlignment="1">
      <alignment wrapText="1"/>
    </xf>
    <xf numFmtId="0" fontId="60" fillId="11" borderId="0" xfId="0" applyFont="1" applyFill="1" applyAlignment="1">
      <alignment horizontal="center"/>
    </xf>
    <xf numFmtId="0" fontId="60" fillId="11" borderId="7" xfId="0" applyFont="1" applyFill="1" applyBorder="1" applyAlignment="1">
      <alignment horizontal="center"/>
    </xf>
    <xf numFmtId="0" fontId="0" fillId="8" borderId="0" xfId="0" applyFill="1" applyAlignment="1">
      <alignment horizontal="center"/>
    </xf>
    <xf numFmtId="14" fontId="0" fillId="8" borderId="0" xfId="0" applyNumberFormat="1" applyFill="1" applyAlignment="1">
      <alignment horizontal="center"/>
    </xf>
    <xf numFmtId="0" fontId="61" fillId="3" borderId="4" xfId="0" applyFont="1" applyFill="1" applyBorder="1" applyAlignment="1">
      <alignment horizontal="right" vertical="center"/>
    </xf>
    <xf numFmtId="0" fontId="61" fillId="3" borderId="6" xfId="0" applyFont="1" applyFill="1" applyBorder="1" applyAlignment="1">
      <alignment horizontal="right" vertical="center"/>
    </xf>
    <xf numFmtId="0" fontId="61" fillId="3" borderId="5" xfId="0" applyFont="1" applyFill="1" applyBorder="1" applyAlignment="1">
      <alignment horizontal="right" vertical="center"/>
    </xf>
    <xf numFmtId="0" fontId="15" fillId="0" borderId="11" xfId="1" applyFont="1" applyBorder="1" applyAlignment="1" applyProtection="1">
      <alignment horizontal="center"/>
    </xf>
    <xf numFmtId="0" fontId="15" fillId="0" borderId="12" xfId="1" applyFont="1" applyBorder="1" applyAlignment="1" applyProtection="1">
      <alignment horizontal="center"/>
    </xf>
    <xf numFmtId="0" fontId="15" fillId="0" borderId="12" xfId="1" applyFont="1" applyBorder="1" applyProtection="1"/>
    <xf numFmtId="0" fontId="15" fillId="0" borderId="13" xfId="1" applyFont="1" applyBorder="1" applyProtection="1"/>
    <xf numFmtId="0" fontId="1" fillId="0" borderId="0" xfId="1" applyProtection="1"/>
    <xf numFmtId="0" fontId="15" fillId="0" borderId="0" xfId="1" applyFont="1" applyAlignment="1" applyProtection="1">
      <alignment horizontal="center"/>
    </xf>
    <xf numFmtId="0" fontId="7" fillId="0" borderId="0" xfId="1" applyFont="1" applyAlignment="1" applyProtection="1">
      <alignment horizontal="center" vertical="center"/>
    </xf>
    <xf numFmtId="0" fontId="15" fillId="0" borderId="0" xfId="1" applyFont="1" applyProtection="1"/>
    <xf numFmtId="0" fontId="36" fillId="9" borderId="14" xfId="1" applyFont="1" applyFill="1" applyBorder="1" applyAlignment="1" applyProtection="1">
      <alignment horizontal="left" vertical="center" wrapText="1"/>
    </xf>
    <xf numFmtId="0" fontId="36" fillId="9" borderId="0" xfId="1" applyFont="1" applyFill="1" applyAlignment="1" applyProtection="1">
      <alignment vertical="center" wrapText="1"/>
    </xf>
    <xf numFmtId="0" fontId="49" fillId="10" borderId="15" xfId="1" applyFont="1" applyFill="1" applyBorder="1" applyAlignment="1" applyProtection="1">
      <alignment vertical="center"/>
    </xf>
    <xf numFmtId="0" fontId="16" fillId="10" borderId="16" xfId="1" applyFont="1" applyFill="1" applyBorder="1" applyAlignment="1" applyProtection="1">
      <alignment vertical="center"/>
    </xf>
    <xf numFmtId="0" fontId="49" fillId="10" borderId="16" xfId="1" applyFont="1" applyFill="1" applyBorder="1" applyAlignment="1" applyProtection="1">
      <alignment horizontal="right" vertical="center"/>
    </xf>
    <xf numFmtId="0" fontId="39" fillId="10" borderId="16" xfId="1" applyFont="1" applyFill="1" applyBorder="1" applyAlignment="1" applyProtection="1">
      <alignment vertical="center"/>
    </xf>
    <xf numFmtId="0" fontId="1" fillId="0" borderId="0" xfId="1" applyAlignment="1" applyProtection="1">
      <alignment horizontal="center"/>
    </xf>
    <xf numFmtId="0" fontId="17" fillId="2" borderId="0" xfId="1" applyFont="1" applyFill="1" applyAlignment="1" applyProtection="1">
      <alignment horizontal="right" vertical="center" indent="1"/>
    </xf>
    <xf numFmtId="0" fontId="19" fillId="2" borderId="0" xfId="1" applyFont="1" applyFill="1" applyAlignment="1" applyProtection="1">
      <alignment horizontal="right" vertical="center" indent="1"/>
    </xf>
    <xf numFmtId="0" fontId="47" fillId="2" borderId="0" xfId="1" applyFont="1" applyFill="1" applyAlignment="1" applyProtection="1">
      <alignment vertical="center"/>
    </xf>
    <xf numFmtId="0" fontId="17" fillId="2" borderId="0" xfId="1" applyFont="1" applyFill="1" applyAlignment="1" applyProtection="1">
      <alignment vertical="center"/>
    </xf>
    <xf numFmtId="14" fontId="35" fillId="2" borderId="0" xfId="1" applyNumberFormat="1" applyFont="1" applyFill="1" applyAlignment="1" applyProtection="1">
      <alignment horizontal="right" vertical="center"/>
    </xf>
    <xf numFmtId="0" fontId="17" fillId="2" borderId="0" xfId="1" applyFont="1" applyFill="1" applyAlignment="1" applyProtection="1">
      <alignment horizontal="left" vertical="center"/>
    </xf>
    <xf numFmtId="0" fontId="17" fillId="2" borderId="0" xfId="1" applyFont="1" applyFill="1" applyAlignment="1" applyProtection="1">
      <alignment horizontal="left" vertical="center" indent="1"/>
    </xf>
    <xf numFmtId="0" fontId="19" fillId="2" borderId="0" xfId="1" applyFont="1" applyFill="1" applyAlignment="1" applyProtection="1">
      <alignment horizontal="left" vertical="center" wrapText="1"/>
    </xf>
    <xf numFmtId="0" fontId="19" fillId="0" borderId="0" xfId="1" applyFont="1" applyAlignment="1" applyProtection="1">
      <alignment vertical="top" wrapText="1"/>
    </xf>
    <xf numFmtId="0" fontId="18" fillId="0" borderId="0" xfId="1" applyFont="1" applyAlignment="1" applyProtection="1">
      <alignment vertical="top" wrapText="1"/>
    </xf>
    <xf numFmtId="0" fontId="20" fillId="9" borderId="0" xfId="1" applyFont="1" applyFill="1" applyAlignment="1" applyProtection="1">
      <alignment horizontal="center" vertical="center"/>
    </xf>
    <xf numFmtId="0" fontId="20" fillId="9" borderId="0" xfId="1" applyFont="1" applyFill="1" applyAlignment="1" applyProtection="1">
      <alignment horizontal="left" vertical="center" indent="1"/>
    </xf>
    <xf numFmtId="0" fontId="20" fillId="9" borderId="0" xfId="1" applyFont="1" applyFill="1" applyAlignment="1" applyProtection="1">
      <alignment vertical="center"/>
    </xf>
    <xf numFmtId="0" fontId="20" fillId="9" borderId="21" xfId="1" applyFont="1" applyFill="1" applyBorder="1" applyAlignment="1" applyProtection="1">
      <alignment horizontal="left" vertical="center"/>
    </xf>
    <xf numFmtId="0" fontId="20" fillId="9" borderId="0" xfId="1" applyFont="1" applyFill="1" applyAlignment="1" applyProtection="1">
      <alignment horizontal="left" vertical="center"/>
    </xf>
    <xf numFmtId="0" fontId="20" fillId="9" borderId="17" xfId="1" applyFont="1" applyFill="1" applyBorder="1" applyAlignment="1" applyProtection="1">
      <alignment horizontal="left" vertical="center"/>
    </xf>
    <xf numFmtId="0" fontId="21" fillId="2" borderId="0" xfId="1" applyFont="1" applyFill="1" applyAlignment="1" applyProtection="1">
      <alignment vertical="center"/>
    </xf>
    <xf numFmtId="0" fontId="22" fillId="2" borderId="0" xfId="1" applyFont="1" applyFill="1" applyAlignment="1" applyProtection="1">
      <alignment vertical="center"/>
    </xf>
    <xf numFmtId="0" fontId="20" fillId="9" borderId="0" xfId="1" applyFont="1" applyFill="1" applyAlignment="1" applyProtection="1">
      <alignment horizontal="left" vertical="center" shrinkToFit="1"/>
    </xf>
    <xf numFmtId="0" fontId="20" fillId="9" borderId="0" xfId="1" applyFont="1" applyFill="1" applyAlignment="1" applyProtection="1">
      <alignment horizontal="center" vertical="center" wrapText="1"/>
    </xf>
    <xf numFmtId="0" fontId="20" fillId="9" borderId="0" xfId="1" applyFont="1" applyFill="1" applyAlignment="1" applyProtection="1">
      <alignment horizontal="center" vertical="center" shrinkToFit="1"/>
    </xf>
    <xf numFmtId="0" fontId="20" fillId="9" borderId="23" xfId="1" applyFont="1" applyFill="1" applyBorder="1" applyAlignment="1" applyProtection="1">
      <alignment horizontal="center" vertical="center" wrapText="1"/>
    </xf>
    <xf numFmtId="0" fontId="20" fillId="9" borderId="24" xfId="1" applyFont="1" applyFill="1" applyBorder="1" applyAlignment="1" applyProtection="1">
      <alignment horizontal="center" vertical="center" wrapText="1"/>
    </xf>
    <xf numFmtId="0" fontId="20" fillId="9" borderId="25" xfId="1" applyFont="1" applyFill="1" applyBorder="1" applyAlignment="1" applyProtection="1">
      <alignment horizontal="center" vertical="center" wrapText="1"/>
    </xf>
    <xf numFmtId="0" fontId="19" fillId="2" borderId="18" xfId="1" applyFont="1" applyFill="1" applyBorder="1" applyAlignment="1" applyProtection="1">
      <alignment horizontal="center" vertical="center" wrapText="1"/>
    </xf>
    <xf numFmtId="0" fontId="19" fillId="2" borderId="19" xfId="1" applyFont="1" applyFill="1" applyBorder="1" applyAlignment="1" applyProtection="1">
      <alignment horizontal="center" vertical="center" wrapText="1"/>
    </xf>
    <xf numFmtId="0" fontId="19" fillId="2" borderId="19" xfId="1" applyFont="1" applyFill="1" applyBorder="1" applyAlignment="1" applyProtection="1">
      <alignment vertical="center" shrinkToFit="1"/>
    </xf>
    <xf numFmtId="0" fontId="22" fillId="2" borderId="19" xfId="1" applyFont="1" applyFill="1" applyBorder="1" applyAlignment="1" applyProtection="1">
      <alignment horizontal="center" vertical="center" shrinkToFit="1"/>
    </xf>
    <xf numFmtId="0" fontId="19" fillId="2" borderId="26" xfId="1" applyFont="1" applyFill="1" applyBorder="1" applyAlignment="1" applyProtection="1">
      <alignment horizontal="center" vertical="center" wrapText="1"/>
    </xf>
    <xf numFmtId="0" fontId="19" fillId="2" borderId="27" xfId="1" applyFont="1" applyFill="1" applyBorder="1" applyAlignment="1" applyProtection="1">
      <alignment horizontal="center" vertical="center" wrapText="1"/>
    </xf>
    <xf numFmtId="0" fontId="19" fillId="2" borderId="28" xfId="1" applyFont="1" applyFill="1" applyBorder="1" applyAlignment="1" applyProtection="1">
      <alignment horizontal="center" vertical="center" wrapText="1"/>
    </xf>
    <xf numFmtId="0" fontId="23" fillId="0" borderId="0" xfId="1" applyFont="1" applyAlignment="1" applyProtection="1">
      <alignment horizontal="center" vertical="center" wrapText="1"/>
    </xf>
    <xf numFmtId="0" fontId="21" fillId="2" borderId="0" xfId="1" applyFont="1" applyFill="1" applyAlignment="1" applyProtection="1">
      <alignment wrapText="1"/>
    </xf>
    <xf numFmtId="0" fontId="22" fillId="2" borderId="0" xfId="1" applyFont="1" applyFill="1" applyAlignment="1" applyProtection="1">
      <alignment wrapText="1"/>
    </xf>
    <xf numFmtId="0" fontId="19" fillId="10" borderId="13" xfId="1" applyFont="1" applyFill="1" applyBorder="1" applyAlignment="1" applyProtection="1">
      <alignment horizontal="center" vertical="center" wrapText="1"/>
    </xf>
    <xf numFmtId="0" fontId="19" fillId="10" borderId="0" xfId="1" applyFont="1" applyFill="1" applyAlignment="1" applyProtection="1">
      <alignment horizontal="center" vertical="center" wrapText="1"/>
    </xf>
    <xf numFmtId="0" fontId="19" fillId="10" borderId="0" xfId="1" applyFont="1" applyFill="1" applyAlignment="1" applyProtection="1">
      <alignment vertical="center" shrinkToFit="1"/>
    </xf>
    <xf numFmtId="0" fontId="22" fillId="10" borderId="0" xfId="1" applyFont="1" applyFill="1" applyAlignment="1" applyProtection="1">
      <alignment horizontal="left" vertical="center" shrinkToFit="1"/>
    </xf>
    <xf numFmtId="0" fontId="19" fillId="10" borderId="23" xfId="1" applyFont="1" applyFill="1" applyBorder="1" applyAlignment="1" applyProtection="1">
      <alignment horizontal="center" vertical="center" wrapText="1"/>
    </xf>
    <xf numFmtId="0" fontId="19" fillId="10" borderId="24" xfId="1" applyFont="1" applyFill="1" applyBorder="1" applyAlignment="1" applyProtection="1">
      <alignment horizontal="center" vertical="center" wrapText="1"/>
    </xf>
    <xf numFmtId="0" fontId="19" fillId="10" borderId="25" xfId="1" applyFont="1" applyFill="1" applyBorder="1" applyAlignment="1" applyProtection="1">
      <alignment horizontal="center" vertical="center" wrapText="1"/>
    </xf>
    <xf numFmtId="0" fontId="19" fillId="0" borderId="19" xfId="1" applyFont="1" applyBorder="1" applyAlignment="1" applyProtection="1">
      <alignment horizontal="center" vertical="center" wrapText="1"/>
    </xf>
    <xf numFmtId="0" fontId="19" fillId="0" borderId="26" xfId="1" applyFont="1" applyBorder="1" applyAlignment="1" applyProtection="1">
      <alignment horizontal="center" vertical="center" wrapText="1"/>
    </xf>
    <xf numFmtId="0" fontId="19" fillId="0" borderId="27" xfId="1" applyFont="1" applyBorder="1" applyAlignment="1" applyProtection="1">
      <alignment horizontal="center" vertical="center" wrapText="1"/>
    </xf>
    <xf numFmtId="0" fontId="19" fillId="0" borderId="28" xfId="1" applyFont="1" applyBorder="1" applyAlignment="1" applyProtection="1">
      <alignment horizontal="center" vertical="center" wrapText="1"/>
    </xf>
    <xf numFmtId="0" fontId="21" fillId="2" borderId="0" xfId="1" applyFont="1" applyFill="1" applyProtection="1"/>
    <xf numFmtId="0" fontId="22" fillId="2" borderId="0" xfId="1" applyFont="1" applyFill="1" applyProtection="1"/>
    <xf numFmtId="0" fontId="19" fillId="0" borderId="19" xfId="1" applyFont="1" applyBorder="1" applyAlignment="1" applyProtection="1">
      <alignment horizontal="left" vertical="center" shrinkToFit="1"/>
    </xf>
    <xf numFmtId="0" fontId="21" fillId="2" borderId="0" xfId="1" applyFont="1" applyFill="1" applyAlignment="1" applyProtection="1">
      <alignment horizontal="center" vertical="center"/>
    </xf>
    <xf numFmtId="0" fontId="19" fillId="0" borderId="19" xfId="1" applyFont="1" applyBorder="1" applyAlignment="1" applyProtection="1">
      <alignment vertical="center" shrinkToFit="1"/>
    </xf>
    <xf numFmtId="0" fontId="30" fillId="2" borderId="0" xfId="1" applyFont="1" applyFill="1" applyAlignment="1" applyProtection="1">
      <alignment horizontal="left" vertical="center" wrapText="1"/>
    </xf>
    <xf numFmtId="0" fontId="31" fillId="2" borderId="0" xfId="1" applyFont="1" applyFill="1" applyAlignment="1" applyProtection="1">
      <alignment horizontal="left" vertical="center" shrinkToFit="1"/>
    </xf>
    <xf numFmtId="0" fontId="31" fillId="2" borderId="0" xfId="1" applyFont="1" applyFill="1" applyAlignment="1" applyProtection="1">
      <alignment horizontal="center" vertical="center" wrapText="1"/>
    </xf>
    <xf numFmtId="0" fontId="32" fillId="2" borderId="0" xfId="1" applyFont="1" applyFill="1" applyAlignment="1" applyProtection="1">
      <alignment vertical="center"/>
    </xf>
    <xf numFmtId="0" fontId="33" fillId="2" borderId="0" xfId="1" applyFont="1" applyFill="1" applyAlignment="1" applyProtection="1">
      <alignment horizontal="center" vertical="center"/>
    </xf>
    <xf numFmtId="0" fontId="33" fillId="2" borderId="0" xfId="1" applyFont="1" applyFill="1" applyProtection="1"/>
    <xf numFmtId="0" fontId="10" fillId="2" borderId="0" xfId="1" applyFont="1" applyFill="1" applyProtection="1"/>
    <xf numFmtId="0" fontId="46" fillId="9" borderId="0" xfId="1" applyFont="1" applyFill="1" applyAlignment="1" applyProtection="1">
      <alignment horizontal="left" vertical="center" readingOrder="1"/>
    </xf>
    <xf numFmtId="0" fontId="35" fillId="9" borderId="0" xfId="1" applyFont="1" applyFill="1" applyAlignment="1" applyProtection="1">
      <alignment horizontal="left" vertical="center" readingOrder="1"/>
    </xf>
    <xf numFmtId="0" fontId="18" fillId="9" borderId="0" xfId="1" applyFont="1" applyFill="1" applyAlignment="1" applyProtection="1">
      <alignment horizontal="left" vertical="center" shrinkToFit="1"/>
    </xf>
    <xf numFmtId="0" fontId="38" fillId="9" borderId="0" xfId="1" applyFont="1" applyFill="1" applyAlignment="1" applyProtection="1">
      <alignment horizontal="center" vertical="center"/>
    </xf>
    <xf numFmtId="0" fontId="38" fillId="9" borderId="0" xfId="1" applyFont="1" applyFill="1" applyAlignment="1" applyProtection="1">
      <alignment horizontal="center" vertical="center" readingOrder="1"/>
    </xf>
    <xf numFmtId="0" fontId="20" fillId="9" borderId="0" xfId="1" applyFont="1" applyFill="1" applyAlignment="1" applyProtection="1">
      <alignment vertical="center" readingOrder="1"/>
    </xf>
    <xf numFmtId="0" fontId="38" fillId="9" borderId="0" xfId="1" applyFont="1" applyFill="1" applyAlignment="1" applyProtection="1">
      <alignment vertical="center" readingOrder="1"/>
    </xf>
    <xf numFmtId="0" fontId="38" fillId="9" borderId="17" xfId="1" applyFont="1" applyFill="1" applyBorder="1" applyAlignment="1" applyProtection="1">
      <alignment vertical="center" readingOrder="1"/>
    </xf>
    <xf numFmtId="0" fontId="20" fillId="9" borderId="0" xfId="1" applyFont="1" applyFill="1" applyAlignment="1" applyProtection="1">
      <alignment horizontal="center" vertical="top"/>
    </xf>
    <xf numFmtId="0" fontId="1" fillId="0" borderId="0" xfId="1" applyAlignment="1" applyProtection="1">
      <alignment horizontal="center" vertical="center"/>
    </xf>
    <xf numFmtId="0" fontId="44" fillId="9" borderId="0" xfId="1" applyFont="1" applyFill="1" applyAlignment="1" applyProtection="1">
      <alignment horizontal="left" vertical="center"/>
    </xf>
    <xf numFmtId="0" fontId="35" fillId="9" borderId="0" xfId="1" applyFont="1" applyFill="1" applyAlignment="1" applyProtection="1">
      <alignment horizontal="left" vertical="center"/>
    </xf>
    <xf numFmtId="0" fontId="1" fillId="0" borderId="0" xfId="1" applyAlignment="1" applyProtection="1">
      <alignment horizontal="center" vertical="top"/>
    </xf>
    <xf numFmtId="0" fontId="50" fillId="0" borderId="0" xfId="1" applyFont="1" applyAlignment="1" applyProtection="1">
      <alignment horizontal="left" vertical="center"/>
    </xf>
    <xf numFmtId="0" fontId="35" fillId="0" borderId="0" xfId="1" applyFont="1" applyAlignment="1" applyProtection="1">
      <alignment horizontal="left" vertical="center"/>
    </xf>
    <xf numFmtId="0" fontId="20" fillId="0" borderId="0" xfId="1" applyFont="1" applyAlignment="1" applyProtection="1">
      <alignment horizontal="left" vertical="center" shrinkToFit="1"/>
    </xf>
    <xf numFmtId="0" fontId="20" fillId="0" borderId="0" xfId="1" applyFont="1" applyAlignment="1" applyProtection="1">
      <alignment horizontal="center" vertical="center" wrapText="1"/>
    </xf>
    <xf numFmtId="0" fontId="20" fillId="0" borderId="0" xfId="1" applyFont="1" applyAlignment="1" applyProtection="1">
      <alignment horizontal="center" vertical="center" shrinkToFit="1"/>
    </xf>
    <xf numFmtId="0" fontId="20" fillId="0" borderId="0" xfId="1" applyFont="1" applyAlignment="1" applyProtection="1">
      <alignment horizontal="center" vertical="center"/>
    </xf>
    <xf numFmtId="0" fontId="20" fillId="0" borderId="29" xfId="1" applyFont="1" applyBorder="1" applyAlignment="1" applyProtection="1">
      <alignment horizontal="center" vertical="center" wrapText="1"/>
    </xf>
    <xf numFmtId="0" fontId="20" fillId="0" borderId="30" xfId="1" applyFont="1" applyBorder="1" applyAlignment="1" applyProtection="1">
      <alignment horizontal="center" vertical="center" wrapText="1"/>
    </xf>
    <xf numFmtId="0" fontId="20" fillId="0" borderId="31" xfId="1" applyFont="1" applyBorder="1" applyAlignment="1" applyProtection="1">
      <alignment horizontal="center" vertical="center" wrapText="1"/>
    </xf>
    <xf numFmtId="0" fontId="34" fillId="0" borderId="18" xfId="1" applyFont="1" applyBorder="1" applyAlignment="1" applyProtection="1">
      <alignment horizontal="center" vertical="center"/>
    </xf>
    <xf numFmtId="0" fontId="34" fillId="0" borderId="19" xfId="1" applyFont="1" applyBorder="1" applyAlignment="1" applyProtection="1">
      <alignment horizontal="center" vertical="center"/>
    </xf>
    <xf numFmtId="0" fontId="34" fillId="0" borderId="19" xfId="1" applyFont="1" applyBorder="1" applyAlignment="1" applyProtection="1">
      <alignment horizontal="left" vertical="center" shrinkToFit="1"/>
    </xf>
    <xf numFmtId="0" fontId="34" fillId="0" borderId="19" xfId="1" applyFont="1" applyBorder="1" applyAlignment="1" applyProtection="1">
      <alignment horizontal="center" vertical="center" wrapText="1"/>
    </xf>
    <xf numFmtId="0" fontId="19" fillId="2" borderId="26" xfId="1" applyFont="1" applyFill="1" applyBorder="1" applyAlignment="1" applyProtection="1">
      <alignment horizontal="center" vertical="center"/>
    </xf>
    <xf numFmtId="0" fontId="19" fillId="2" borderId="27" xfId="1" applyFont="1" applyFill="1" applyBorder="1" applyAlignment="1" applyProtection="1">
      <alignment horizontal="center" vertical="center"/>
    </xf>
    <xf numFmtId="0" fontId="19" fillId="2" borderId="28" xfId="1" applyFont="1" applyFill="1" applyBorder="1" applyAlignment="1" applyProtection="1">
      <alignment horizontal="center" vertical="center"/>
    </xf>
    <xf numFmtId="0" fontId="0" fillId="0" borderId="0" xfId="0" applyProtection="1"/>
    <xf numFmtId="0" fontId="24" fillId="2" borderId="0" xfId="1" applyFont="1" applyFill="1" applyAlignment="1" applyProtection="1">
      <alignment horizontal="center" vertical="center" wrapText="1"/>
    </xf>
    <xf numFmtId="0" fontId="28" fillId="2" borderId="0" xfId="1" applyFont="1" applyFill="1" applyProtection="1"/>
    <xf numFmtId="0" fontId="29" fillId="2" borderId="0" xfId="1" applyFont="1" applyFill="1" applyProtection="1"/>
    <xf numFmtId="0" fontId="30" fillId="2" borderId="0" xfId="1" applyFont="1" applyFill="1" applyAlignment="1" applyProtection="1">
      <alignment vertical="center"/>
    </xf>
    <xf numFmtId="0" fontId="10" fillId="2" borderId="0" xfId="1" applyFont="1" applyFill="1" applyAlignment="1" applyProtection="1">
      <alignment vertical="center"/>
    </xf>
    <xf numFmtId="0" fontId="32" fillId="2" borderId="0" xfId="1" applyFont="1" applyFill="1" applyAlignment="1" applyProtection="1">
      <alignment horizontal="right" vertical="center"/>
    </xf>
    <xf numFmtId="0" fontId="40" fillId="5" borderId="0" xfId="1" applyFont="1" applyFill="1" applyAlignment="1" applyProtection="1">
      <alignment vertical="center"/>
      <protection locked="0"/>
    </xf>
    <xf numFmtId="0" fontId="17" fillId="2" borderId="0" xfId="1" applyFont="1" applyFill="1" applyAlignment="1" applyProtection="1">
      <alignment vertical="center"/>
      <protection locked="0"/>
    </xf>
    <xf numFmtId="0" fontId="20" fillId="0" borderId="0" xfId="1" applyFont="1" applyAlignment="1" applyProtection="1">
      <alignment horizontal="center" vertical="top"/>
      <protection locked="0"/>
    </xf>
  </cellXfs>
  <cellStyles count="4">
    <cellStyle name="Good" xfId="3" builtinId="26"/>
    <cellStyle name="Hyperlink" xfId="2" builtinId="8"/>
    <cellStyle name="Normal" xfId="0" builtinId="0"/>
    <cellStyle name="Normal 2" xfId="1" xr:uid="{00000000-0005-0000-0000-000003000000}"/>
  </cellStyles>
  <dxfs count="168">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7" tint="0.79998168889431442"/>
        </patternFill>
      </fill>
    </dxf>
    <dxf>
      <font>
        <b val="0"/>
        <i/>
      </font>
      <fill>
        <patternFill>
          <bgColor theme="4" tint="0.79998168889431442"/>
        </patternFill>
      </fill>
    </dxf>
    <dxf>
      <font>
        <b/>
        <i val="0"/>
      </font>
      <fill>
        <patternFill>
          <bgColor theme="0" tint="-0.14996795556505021"/>
        </patternFill>
      </fill>
    </dxf>
    <dxf>
      <font>
        <b val="0"/>
        <i/>
      </font>
      <fill>
        <patternFill>
          <bgColor theme="4" tint="0.79998168889431442"/>
        </patternFill>
      </fill>
    </dxf>
    <dxf>
      <font>
        <b/>
        <i/>
        <color rgb="FFFF0000"/>
      </font>
    </dxf>
    <dxf>
      <font>
        <b/>
        <i/>
      </font>
      <fill>
        <patternFill>
          <bgColor theme="0" tint="-0.14996795556505021"/>
        </patternFill>
      </fill>
    </dxf>
    <dxf>
      <fill>
        <patternFill>
          <bgColor theme="0" tint="-0.14996795556505021"/>
        </patternFill>
      </fill>
    </dxf>
    <dxf>
      <font>
        <b val="0"/>
        <i/>
      </font>
      <fill>
        <patternFill>
          <bgColor theme="4" tint="0.79998168889431442"/>
        </patternFill>
      </fill>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strike val="0"/>
        <outline val="0"/>
        <shadow val="0"/>
        <u val="none"/>
        <vertAlign val="baseline"/>
        <sz val="12"/>
        <color auto="1"/>
        <name val="Calibri"/>
        <scheme val="minor"/>
      </font>
      <numFmt numFmtId="19" formatCode="d/mm/yyyy"/>
    </dxf>
    <dxf>
      <font>
        <strike val="0"/>
        <outline val="0"/>
        <shadow val="0"/>
        <u val="none"/>
        <vertAlign val="baseline"/>
        <sz val="12"/>
        <color auto="1"/>
        <name val="Calibri"/>
        <scheme val="minor"/>
      </font>
      <numFmt numFmtId="19" formatCode="d/mm/yyyy"/>
    </dxf>
    <dxf>
      <font>
        <strike val="0"/>
        <outline val="0"/>
        <shadow val="0"/>
        <u val="none"/>
        <vertAlign val="baseline"/>
        <sz val="12"/>
        <color auto="1"/>
        <name val="Calibri"/>
        <scheme val="minor"/>
      </font>
    </dxf>
    <dxf>
      <font>
        <strike val="0"/>
        <outline val="0"/>
        <shadow val="0"/>
        <u val="none"/>
        <vertAlign val="baseline"/>
        <sz val="12"/>
        <color auto="1"/>
        <name val="Calibri"/>
        <scheme val="minor"/>
      </font>
    </dxf>
    <dxf>
      <font>
        <strike val="0"/>
        <outline val="0"/>
        <shadow val="0"/>
        <u val="none"/>
        <vertAlign val="baseline"/>
        <sz val="12"/>
        <color auto="1"/>
        <name val="Calibri"/>
        <scheme val="minor"/>
      </font>
    </dxf>
    <dxf>
      <font>
        <strike val="0"/>
        <outline val="0"/>
        <shadow val="0"/>
        <u val="none"/>
        <vertAlign val="baseline"/>
        <sz val="12"/>
        <color auto="1"/>
        <name val="Calibri"/>
        <scheme val="minor"/>
      </font>
    </dxf>
    <dxf>
      <font>
        <strike val="0"/>
        <outline val="0"/>
        <shadow val="0"/>
        <u val="none"/>
        <vertAlign val="baseline"/>
        <sz val="12"/>
        <color auto="1"/>
        <name val="Calibri"/>
        <family val="2"/>
        <scheme val="minor"/>
      </font>
    </dxf>
    <dxf>
      <font>
        <strike val="0"/>
        <outline val="0"/>
        <shadow val="0"/>
        <u val="none"/>
        <vertAlign val="baseline"/>
        <sz val="12"/>
        <color auto="1"/>
        <name val="Calibri"/>
        <scheme val="minor"/>
      </font>
      <alignment horizontal="center" vertical="bottom" textRotation="0" wrapText="0" indent="0" justifyLastLine="0" shrinkToFit="0" readingOrder="0"/>
    </dxf>
    <dxf>
      <font>
        <strike val="0"/>
        <outline val="0"/>
        <shadow val="0"/>
        <u val="none"/>
        <vertAlign val="baseline"/>
        <sz val="12"/>
        <color auto="1"/>
        <name val="Calibri"/>
        <scheme val="minor"/>
      </font>
    </dxf>
    <dxf>
      <font>
        <strike val="0"/>
        <outline val="0"/>
        <shadow val="0"/>
        <u val="none"/>
        <vertAlign val="baseline"/>
        <sz val="12"/>
        <color auto="1"/>
        <name val="Calibri"/>
        <scheme val="minor"/>
      </font>
    </dxf>
    <dxf>
      <numFmt numFmtId="0" formatCode="General"/>
      <alignment horizontal="center" vertical="bottom" textRotation="0" wrapText="0" indent="0" justifyLastLine="0" shrinkToFit="0" readingOrder="0"/>
    </dxf>
    <dxf>
      <numFmt numFmtId="0" formatCode="General"/>
    </dxf>
    <dxf>
      <numFmt numFmtId="0" formatCode="General"/>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numFmt numFmtId="0" formatCode="General"/>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font>
        <strike val="0"/>
        <outline val="0"/>
        <shadow val="0"/>
        <u val="none"/>
        <vertAlign val="baseline"/>
        <sz val="12"/>
        <color auto="1"/>
        <name val="Calibri"/>
        <scheme val="minor"/>
      </font>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dxf>
    <dxf>
      <font>
        <strike val="0"/>
        <outline val="0"/>
        <shadow val="0"/>
        <u val="none"/>
        <vertAlign val="baseline"/>
        <sz val="12"/>
        <color auto="1"/>
        <name val="Calibri"/>
        <scheme val="minor"/>
      </font>
      <alignment horizontal="center" vertical="bottom" textRotation="0" wrapText="0" indent="0" justifyLastLine="0" shrinkToFit="0" readingOrder="0"/>
    </dxf>
    <dxf>
      <font>
        <strike val="0"/>
        <outline val="0"/>
        <shadow val="0"/>
        <u val="none"/>
        <vertAlign val="baseline"/>
        <sz val="12"/>
        <color auto="1"/>
        <name val="Calibri"/>
        <scheme val="minor"/>
      </font>
    </dxf>
    <dxf>
      <font>
        <strike val="0"/>
        <outline val="0"/>
        <shadow val="0"/>
        <u val="none"/>
        <vertAlign val="baseline"/>
        <sz val="12"/>
        <color auto="1"/>
        <name val="Calibri"/>
        <scheme val="minor"/>
      </font>
    </dxf>
    <dxf>
      <numFmt numFmtId="0" formatCode="General"/>
      <alignment horizontal="center" vertical="bottom" textRotation="0" wrapText="0" indent="0" justifyLastLine="0" shrinkToFit="0" readingOrder="0"/>
    </dxf>
    <dxf>
      <numFmt numFmtId="0" formatCode="General"/>
    </dxf>
    <dxf>
      <numFmt numFmtId="0" formatCode="General"/>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numFmt numFmtId="0" formatCode="General"/>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dxf>
    <dxf>
      <font>
        <b val="0"/>
        <i val="0"/>
        <strike val="0"/>
        <condense val="0"/>
        <extend val="0"/>
        <outline val="0"/>
        <shadow val="0"/>
        <u val="none"/>
        <vertAlign val="baseline"/>
        <sz val="12"/>
        <color auto="1"/>
        <name val="Calibri"/>
        <scheme val="minor"/>
      </font>
    </dxf>
    <dxf>
      <font>
        <b val="0"/>
        <i val="0"/>
        <strike val="0"/>
        <condense val="0"/>
        <extend val="0"/>
        <outline val="0"/>
        <shadow val="0"/>
        <u val="none"/>
        <vertAlign val="baseline"/>
        <sz val="12"/>
        <color auto="1"/>
        <name val="Calibri"/>
        <scheme val="minor"/>
      </font>
    </dxf>
    <dxf>
      <font>
        <b val="0"/>
        <i val="0"/>
        <strike val="0"/>
        <condense val="0"/>
        <extend val="0"/>
        <outline val="0"/>
        <shadow val="0"/>
        <u val="none"/>
        <vertAlign val="baseline"/>
        <sz val="12"/>
        <color auto="1"/>
        <name val="Calibri"/>
        <scheme val="minor"/>
      </font>
    </dxf>
    <dxf>
      <font>
        <b val="0"/>
        <i val="0"/>
        <strike val="0"/>
        <condense val="0"/>
        <extend val="0"/>
        <outline val="0"/>
        <shadow val="0"/>
        <u val="none"/>
        <vertAlign val="baseline"/>
        <sz val="12"/>
        <color auto="1"/>
        <name val="Calibri"/>
        <scheme val="minor"/>
      </font>
    </dxf>
    <dxf>
      <font>
        <b val="0"/>
        <i val="0"/>
        <strike val="0"/>
        <condense val="0"/>
        <extend val="0"/>
        <outline val="0"/>
        <shadow val="0"/>
        <u val="none"/>
        <vertAlign val="baseline"/>
        <sz val="12"/>
        <color auto="1"/>
        <name val="Calibri"/>
        <scheme val="minor"/>
      </font>
      <alignment horizontal="center" vertical="bottom" textRotation="0" wrapText="0" indent="0" justifyLastLine="0" shrinkToFit="0" readingOrder="0"/>
    </dxf>
    <dxf>
      <font>
        <b val="0"/>
        <i val="0"/>
        <strike val="0"/>
        <condense val="0"/>
        <extend val="0"/>
        <outline val="0"/>
        <shadow val="0"/>
        <u val="none"/>
        <vertAlign val="baseline"/>
        <sz val="12"/>
        <color auto="1"/>
        <name val="Calibri"/>
        <scheme val="minor"/>
      </font>
    </dxf>
    <dxf>
      <font>
        <b val="0"/>
        <i val="0"/>
        <strike val="0"/>
        <condense val="0"/>
        <extend val="0"/>
        <outline val="0"/>
        <shadow val="0"/>
        <u val="none"/>
        <vertAlign val="baseline"/>
        <sz val="12"/>
        <color auto="1"/>
        <name val="Calibri"/>
        <scheme val="minor"/>
      </font>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numFmt numFmtId="0" formatCode="General"/>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dxf>
    <dxf>
      <font>
        <b val="0"/>
        <i val="0"/>
        <strike val="0"/>
        <condense val="0"/>
        <extend val="0"/>
        <outline val="0"/>
        <shadow val="0"/>
        <u val="none"/>
        <vertAlign val="baseline"/>
        <sz val="12"/>
        <color auto="1"/>
        <name val="Calibri"/>
        <scheme val="minor"/>
      </font>
    </dxf>
    <dxf>
      <font>
        <b val="0"/>
        <i val="0"/>
        <strike val="0"/>
        <condense val="0"/>
        <extend val="0"/>
        <outline val="0"/>
        <shadow val="0"/>
        <u val="none"/>
        <vertAlign val="baseline"/>
        <sz val="12"/>
        <color auto="1"/>
        <name val="Calibri"/>
        <scheme val="minor"/>
      </font>
    </dxf>
    <dxf>
      <font>
        <b val="0"/>
        <i val="0"/>
        <strike val="0"/>
        <condense val="0"/>
        <extend val="0"/>
        <outline val="0"/>
        <shadow val="0"/>
        <u val="none"/>
        <vertAlign val="baseline"/>
        <sz val="12"/>
        <color auto="1"/>
        <name val="Calibri"/>
        <scheme val="minor"/>
      </font>
    </dxf>
    <dxf>
      <font>
        <b val="0"/>
        <i val="0"/>
        <strike val="0"/>
        <condense val="0"/>
        <extend val="0"/>
        <outline val="0"/>
        <shadow val="0"/>
        <u val="none"/>
        <vertAlign val="baseline"/>
        <sz val="12"/>
        <color auto="1"/>
        <name val="Calibri"/>
        <scheme val="minor"/>
      </font>
    </dxf>
    <dxf>
      <font>
        <b val="0"/>
        <i val="0"/>
        <strike val="0"/>
        <condense val="0"/>
        <extend val="0"/>
        <outline val="0"/>
        <shadow val="0"/>
        <u val="none"/>
        <vertAlign val="baseline"/>
        <sz val="12"/>
        <color auto="1"/>
        <name val="Calibri"/>
        <scheme val="minor"/>
      </font>
      <alignment horizontal="center" vertical="bottom" textRotation="0" wrapText="0" indent="0" justifyLastLine="0" shrinkToFit="0" readingOrder="0"/>
    </dxf>
    <dxf>
      <font>
        <b val="0"/>
        <i val="0"/>
        <strike val="0"/>
        <condense val="0"/>
        <extend val="0"/>
        <outline val="0"/>
        <shadow val="0"/>
        <u val="none"/>
        <vertAlign val="baseline"/>
        <sz val="12"/>
        <color auto="1"/>
        <name val="Calibri"/>
        <scheme val="minor"/>
      </font>
    </dxf>
    <dxf>
      <font>
        <b val="0"/>
        <i val="0"/>
        <strike val="0"/>
        <condense val="0"/>
        <extend val="0"/>
        <outline val="0"/>
        <shadow val="0"/>
        <u val="none"/>
        <vertAlign val="baseline"/>
        <sz val="12"/>
        <color auto="1"/>
        <name val="Calibri"/>
        <scheme val="minor"/>
      </font>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numFmt numFmtId="0" formatCode="General"/>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dxf>
    <dxf>
      <font>
        <b val="0"/>
        <i val="0"/>
        <strike val="0"/>
        <condense val="0"/>
        <extend val="0"/>
        <outline val="0"/>
        <shadow val="0"/>
        <u val="none"/>
        <vertAlign val="baseline"/>
        <sz val="12"/>
        <color auto="1"/>
        <name val="Calibri"/>
        <scheme val="minor"/>
      </font>
    </dxf>
    <dxf>
      <font>
        <b val="0"/>
        <i val="0"/>
        <strike val="0"/>
        <condense val="0"/>
        <extend val="0"/>
        <outline val="0"/>
        <shadow val="0"/>
        <u val="none"/>
        <vertAlign val="baseline"/>
        <sz val="12"/>
        <color auto="1"/>
        <name val="Calibri"/>
        <scheme val="minor"/>
      </font>
    </dxf>
    <dxf>
      <font>
        <b val="0"/>
        <i val="0"/>
        <strike val="0"/>
        <condense val="0"/>
        <extend val="0"/>
        <outline val="0"/>
        <shadow val="0"/>
        <u val="none"/>
        <vertAlign val="baseline"/>
        <sz val="12"/>
        <color auto="1"/>
        <name val="Calibri"/>
        <scheme val="minor"/>
      </font>
    </dxf>
    <dxf>
      <font>
        <b val="0"/>
        <i val="0"/>
        <strike val="0"/>
        <condense val="0"/>
        <extend val="0"/>
        <outline val="0"/>
        <shadow val="0"/>
        <u val="none"/>
        <vertAlign val="baseline"/>
        <sz val="12"/>
        <color auto="1"/>
        <name val="Calibri"/>
        <scheme val="minor"/>
      </font>
    </dxf>
    <dxf>
      <font>
        <b val="0"/>
        <i val="0"/>
        <strike val="0"/>
        <condense val="0"/>
        <extend val="0"/>
        <outline val="0"/>
        <shadow val="0"/>
        <u val="none"/>
        <vertAlign val="baseline"/>
        <sz val="12"/>
        <color auto="1"/>
        <name val="Calibri"/>
        <scheme val="minor"/>
      </font>
      <alignment horizontal="center" vertical="bottom" textRotation="0" wrapText="0" indent="0" justifyLastLine="0" shrinkToFit="0" readingOrder="0"/>
    </dxf>
    <dxf>
      <font>
        <b val="0"/>
        <i val="0"/>
        <strike val="0"/>
        <condense val="0"/>
        <extend val="0"/>
        <outline val="0"/>
        <shadow val="0"/>
        <u val="none"/>
        <vertAlign val="baseline"/>
        <sz val="12"/>
        <color auto="1"/>
        <name val="Calibri"/>
        <scheme val="minor"/>
      </font>
    </dxf>
    <dxf>
      <font>
        <b val="0"/>
        <i val="0"/>
        <strike val="0"/>
        <condense val="0"/>
        <extend val="0"/>
        <outline val="0"/>
        <shadow val="0"/>
        <u val="none"/>
        <vertAlign val="baseline"/>
        <sz val="12"/>
        <color auto="1"/>
        <name val="Calibri"/>
        <scheme val="minor"/>
      </font>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numFmt numFmtId="0" formatCode="General"/>
    </dxf>
    <dxf>
      <font>
        <strike val="0"/>
        <outline val="0"/>
        <shadow val="0"/>
        <u val="none"/>
        <vertAlign val="baseline"/>
        <sz val="12"/>
        <color auto="1"/>
        <name val="Calibri"/>
        <scheme val="minor"/>
      </font>
      <numFmt numFmtId="19" formatCode="d/mm/yyyy"/>
    </dxf>
    <dxf>
      <font>
        <strike val="0"/>
        <outline val="0"/>
        <shadow val="0"/>
        <u val="none"/>
        <vertAlign val="baseline"/>
        <sz val="12"/>
        <color auto="1"/>
        <name val="Calibri"/>
        <scheme val="minor"/>
      </font>
      <numFmt numFmtId="19" formatCode="d/mm/yyyy"/>
    </dxf>
    <dxf>
      <font>
        <strike val="0"/>
        <outline val="0"/>
        <shadow val="0"/>
        <u val="none"/>
        <vertAlign val="baseline"/>
        <sz val="12"/>
        <color auto="1"/>
        <name val="Calibri"/>
        <scheme val="minor"/>
      </font>
    </dxf>
    <dxf>
      <font>
        <strike val="0"/>
        <outline val="0"/>
        <shadow val="0"/>
        <u val="none"/>
        <vertAlign val="baseline"/>
        <sz val="12"/>
        <color auto="1"/>
        <name val="Calibri"/>
        <scheme val="minor"/>
      </font>
    </dxf>
    <dxf>
      <font>
        <strike val="0"/>
        <outline val="0"/>
        <shadow val="0"/>
        <u val="none"/>
        <vertAlign val="baseline"/>
        <sz val="12"/>
        <color auto="1"/>
        <name val="Calibri"/>
        <scheme val="minor"/>
      </font>
    </dxf>
    <dxf>
      <font>
        <strike val="0"/>
        <outline val="0"/>
        <shadow val="0"/>
        <u val="none"/>
        <vertAlign val="baseline"/>
        <sz val="12"/>
        <color auto="1"/>
        <name val="Calibri"/>
        <scheme val="minor"/>
      </font>
    </dxf>
    <dxf>
      <font>
        <strike val="0"/>
        <outline val="0"/>
        <shadow val="0"/>
        <u val="none"/>
        <vertAlign val="baseline"/>
        <sz val="12"/>
        <color auto="1"/>
        <name val="Calibri"/>
        <scheme val="minor"/>
      </font>
    </dxf>
    <dxf>
      <font>
        <strike val="0"/>
        <outline val="0"/>
        <shadow val="0"/>
        <u val="none"/>
        <vertAlign val="baseline"/>
        <sz val="12"/>
        <color auto="1"/>
        <name val="Calibri"/>
        <scheme val="minor"/>
      </font>
      <alignment horizontal="center" vertical="bottom" textRotation="0" wrapText="0" indent="0" justifyLastLine="0" shrinkToFit="0" readingOrder="0"/>
    </dxf>
    <dxf>
      <font>
        <strike val="0"/>
        <outline val="0"/>
        <shadow val="0"/>
        <u val="none"/>
        <vertAlign val="baseline"/>
        <sz val="12"/>
        <color auto="1"/>
        <name val="Calibri"/>
        <scheme val="minor"/>
      </font>
    </dxf>
    <dxf>
      <font>
        <strike val="0"/>
        <outline val="0"/>
        <shadow val="0"/>
        <u val="none"/>
        <vertAlign val="baseline"/>
        <sz val="12"/>
        <color auto="1"/>
        <name val="Calibri"/>
        <scheme val="minor"/>
      </font>
    </dxf>
    <dxf>
      <numFmt numFmtId="0" formatCode="General"/>
      <alignment horizontal="center" vertical="bottom" textRotation="0" wrapText="0" indent="0" justifyLastLine="0" shrinkToFit="0" readingOrder="0"/>
    </dxf>
    <dxf>
      <numFmt numFmtId="0" formatCode="General"/>
    </dxf>
    <dxf>
      <numFmt numFmtId="0" formatCode="General"/>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numFmt numFmtId="0" formatCode="General"/>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Arial"/>
        <family val="2"/>
        <scheme val="none"/>
      </font>
      <numFmt numFmtId="0" formatCode="General"/>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alignment horizontal="general" vertical="bottom" textRotation="0" wrapText="1" indent="0" justifyLastLine="0" shrinkToFit="0" readingOrder="0"/>
    </dxf>
    <dxf>
      <font>
        <strike val="0"/>
        <outline val="0"/>
        <shadow val="0"/>
        <u val="none"/>
        <vertAlign val="baseline"/>
        <sz val="10"/>
        <color theme="1"/>
        <name val="Arial"/>
        <scheme val="none"/>
      </font>
      <fill>
        <patternFill patternType="solid">
          <fgColor indexed="64"/>
          <bgColor theme="4"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4"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4"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4" tint="0.79998168889431442"/>
        </patternFill>
      </fill>
      <alignment horizontal="center" vertical="bottom" textRotation="0" wrapText="0" indent="0" justifyLastLine="0" shrinkToFit="0" readingOrder="0"/>
    </dxf>
    <dxf>
      <font>
        <strike val="0"/>
        <outline val="0"/>
        <shadow val="0"/>
        <u val="none"/>
        <vertAlign val="baseline"/>
        <sz val="10"/>
        <color auto="1"/>
        <name val="Arial"/>
        <scheme val="none"/>
      </font>
      <fill>
        <patternFill patternType="solid">
          <fgColor indexed="64"/>
          <bgColor theme="5" tint="0.79998168889431442"/>
        </patternFill>
      </fill>
    </dxf>
    <dxf>
      <font>
        <strike val="0"/>
        <outline val="0"/>
        <shadow val="0"/>
        <u val="none"/>
        <vertAlign val="baseline"/>
        <sz val="10"/>
        <color theme="1"/>
        <name val="Arial"/>
        <scheme val="none"/>
      </font>
      <alignment horizontal="center" vertical="bottom" textRotation="0" wrapText="0" indent="0" justifyLastLine="0" shrinkToFit="0" readingOrder="0"/>
    </dxf>
    <dxf>
      <font>
        <strike val="0"/>
        <outline val="0"/>
        <shadow val="0"/>
        <u val="none"/>
        <vertAlign val="baseline"/>
        <sz val="10"/>
        <color theme="1"/>
        <name val="Arial"/>
        <scheme val="none"/>
      </font>
    </dxf>
    <dxf>
      <font>
        <strike val="0"/>
        <outline val="0"/>
        <shadow val="0"/>
        <u val="none"/>
        <vertAlign val="baseline"/>
        <sz val="10"/>
        <color theme="1"/>
        <name val="Arial"/>
        <scheme val="none"/>
      </font>
      <alignment horizontal="center" vertical="bottom" textRotation="0" wrapText="0" indent="0" justifyLastLine="0" shrinkToFit="0" readingOrder="0"/>
    </dxf>
    <dxf>
      <font>
        <strike val="0"/>
        <outline val="0"/>
        <shadow val="0"/>
        <u val="none"/>
        <vertAlign val="baseline"/>
        <sz val="10"/>
        <color theme="1"/>
        <name val="Arial"/>
        <scheme val="none"/>
      </font>
      <alignment horizontal="center" vertical="bottom" textRotation="0" wrapText="0" indent="0" justifyLastLine="0" shrinkToFit="0" readingOrder="0"/>
    </dxf>
    <dxf>
      <font>
        <strike val="0"/>
        <outline val="0"/>
        <shadow val="0"/>
        <u val="none"/>
        <vertAlign val="baseline"/>
        <sz val="10"/>
        <color theme="1"/>
        <name val="Arial"/>
        <scheme val="none"/>
      </font>
    </dxf>
    <dxf>
      <font>
        <strike val="0"/>
        <outline val="0"/>
        <shadow val="0"/>
        <u val="none"/>
        <vertAlign val="baseline"/>
        <sz val="10"/>
        <color theme="1"/>
        <name val="Arial"/>
        <scheme val="none"/>
      </font>
    </dxf>
    <dxf>
      <alignment horizontal="left" vertical="bottom"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dxf>
    <dxf>
      <font>
        <b val="0"/>
        <i val="0"/>
        <strike val="0"/>
        <condense val="0"/>
        <extend val="0"/>
        <outline val="0"/>
        <shadow val="0"/>
        <u val="none"/>
        <vertAlign val="baseline"/>
        <sz val="10"/>
        <color auto="1"/>
        <name val="Arial"/>
        <family val="2"/>
        <scheme val="none"/>
      </font>
      <fill>
        <patternFill patternType="none">
          <fgColor indexed="64"/>
          <bgColor auto="1"/>
        </patternFill>
      </fill>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rgb="FF000000"/>
        <name val="Arial"/>
        <scheme val="none"/>
      </font>
      <numFmt numFmtId="0" formatCode="General"/>
      <fill>
        <patternFill patternType="none">
          <fgColor indexed="64"/>
          <bgColor auto="1"/>
        </patternFill>
      </fill>
    </dxf>
    <dxf>
      <font>
        <b val="0"/>
        <i val="0"/>
        <strike val="0"/>
        <condense val="0"/>
        <extend val="0"/>
        <outline val="0"/>
        <shadow val="0"/>
        <u val="none"/>
        <vertAlign val="baseline"/>
        <sz val="10"/>
        <color rgb="FF000000"/>
        <name val="Arial"/>
        <scheme val="none"/>
      </font>
      <fill>
        <patternFill patternType="none">
          <fgColor indexed="64"/>
          <bgColor auto="1"/>
        </patternFill>
      </fill>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indent="0" justifyLastLine="0" shrinkToFit="0" readingOrder="0"/>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auto="1"/>
        </patternFill>
      </fill>
      <alignment horizontal="center" vertical="bottom" textRotation="0" indent="0" justifyLastLine="0" shrinkToFit="0" readingOrder="0"/>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auto="1"/>
        </patternFill>
      </fill>
      <alignment horizontal="center" vertical="bottom" textRotation="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dxf>
  </dxfs>
  <tableStyles count="0" defaultTableStyle="TableStyleMedium2" defaultPivotStyle="PivotStyleLight16"/>
  <colors>
    <mruColors>
      <color rgb="FFFFE699"/>
      <color rgb="FFB4FFFF"/>
      <color rgb="FF0D4B6D"/>
      <color rgb="FF919296"/>
      <color rgb="FFF2F2F2"/>
      <color rgb="FFB4C6E7"/>
      <color rgb="FFF49AC1"/>
      <color rgb="FF808080"/>
      <color rgb="FFD1D2D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13</xdr:col>
      <xdr:colOff>266701</xdr:colOff>
      <xdr:row>3</xdr:row>
      <xdr:rowOff>114301</xdr:rowOff>
    </xdr:from>
    <xdr:ext cx="5629275" cy="4610099"/>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1715751" y="619126"/>
          <a:ext cx="5629275" cy="4610099"/>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ctr" rtl="0" fontAlgn="base"/>
          <a:r>
            <a:rPr lang="en-AU" sz="1100" b="1" i="0" u="sng">
              <a:solidFill>
                <a:schemeClr val="dk1"/>
              </a:solidFill>
              <a:effectLst/>
              <a:latin typeface="+mn-lt"/>
              <a:ea typeface="+mn-ea"/>
              <a:cs typeface="+mn-cs"/>
            </a:rPr>
            <a:t>Enrolment Guidelines</a:t>
          </a:r>
        </a:p>
        <a:p>
          <a:pPr algn="ctr" rtl="0" fontAlgn="base"/>
          <a:endParaRPr lang="en-AU" sz="1000">
            <a:effectLst/>
          </a:endParaRPr>
        </a:p>
        <a:p>
          <a:pPr algn="ctr" rtl="0" fontAlgn="base"/>
          <a:r>
            <a:rPr lang="en-AU" sz="1100" b="1" i="0">
              <a:solidFill>
                <a:schemeClr val="accent5"/>
              </a:solidFill>
              <a:effectLst/>
              <a:latin typeface="+mn-lt"/>
              <a:ea typeface="+mn-ea"/>
              <a:cs typeface="+mn-cs"/>
            </a:rPr>
            <a:t>Bachelor of Applied Science (Architectural Science) (OpenUnis)</a:t>
          </a:r>
        </a:p>
        <a:p>
          <a:pPr algn="ctr" rtl="0" fontAlgn="base"/>
          <a:endParaRPr lang="en-AU">
            <a:effectLst/>
          </a:endParaRPr>
        </a:p>
        <a:p>
          <a:pPr algn="ctr" rtl="0" fontAlgn="base"/>
          <a:r>
            <a:rPr lang="en-AU" sz="1100" i="1">
              <a:solidFill>
                <a:schemeClr val="dk1"/>
              </a:solidFill>
              <a:effectLst/>
              <a:latin typeface="+mn-lt"/>
              <a:ea typeface="+mn-ea"/>
              <a:cs typeface="+mn-cs"/>
            </a:rPr>
            <a:t>Use the drop-down lists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Specialisation</a:t>
          </a:r>
          <a:r>
            <a:rPr lang="en-AU" sz="1100" i="1" baseline="0">
              <a:solidFill>
                <a:schemeClr val="dk1"/>
              </a:solidFill>
              <a:effectLst/>
              <a:latin typeface="+mn-lt"/>
              <a:ea typeface="+mn-ea"/>
              <a:cs typeface="+mn-cs"/>
            </a:rPr>
            <a:t> and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pPr algn="ctr" rtl="0" fontAlgn="base"/>
          <a:endParaRPr lang="en-AU" sz="1100" b="1" i="0">
            <a:solidFill>
              <a:schemeClr val="dk1"/>
            </a:solidFill>
            <a:effectLst/>
            <a:latin typeface="+mn-lt"/>
            <a:ea typeface="+mn-ea"/>
            <a:cs typeface="+mn-cs"/>
          </a:endParaRPr>
        </a:p>
        <a:p>
          <a:pPr algn="l" rtl="0" fontAlgn="base"/>
          <a:r>
            <a:rPr lang="en-AU" sz="1100" b="0" i="0">
              <a:solidFill>
                <a:schemeClr val="dk1"/>
              </a:solidFill>
              <a:effectLst/>
              <a:latin typeface="+mn-lt"/>
              <a:ea typeface="+mn-ea"/>
              <a:cs typeface="+mn-cs"/>
            </a:rPr>
            <a:t>This planner shows the </a:t>
          </a:r>
          <a:r>
            <a:rPr lang="en-AU" sz="1100" b="1" i="0" u="sng">
              <a:solidFill>
                <a:schemeClr val="dk1"/>
              </a:solidFill>
              <a:effectLst/>
              <a:latin typeface="+mn-lt"/>
              <a:ea typeface="+mn-ea"/>
              <a:cs typeface="+mn-cs"/>
            </a:rPr>
            <a:t>recommended</a:t>
          </a:r>
          <a:r>
            <a:rPr lang="en-AU" sz="1100" b="0" i="0">
              <a:solidFill>
                <a:schemeClr val="dk1"/>
              </a:solidFill>
              <a:effectLst/>
              <a:latin typeface="+mn-lt"/>
              <a:ea typeface="+mn-ea"/>
              <a:cs typeface="+mn-cs"/>
            </a:rPr>
            <a:t> sequence of </a:t>
          </a:r>
          <a:r>
            <a:rPr lang="en-AU" sz="1100" b="1" i="0">
              <a:solidFill>
                <a:schemeClr val="dk1"/>
              </a:solidFill>
              <a:effectLst/>
              <a:latin typeface="+mn-lt"/>
              <a:ea typeface="+mn-ea"/>
              <a:cs typeface="+mn-cs"/>
            </a:rPr>
            <a:t>full-time study </a:t>
          </a:r>
          <a:r>
            <a:rPr lang="en-AU" sz="1100" b="0" i="0">
              <a:solidFill>
                <a:schemeClr val="dk1"/>
              </a:solidFill>
              <a:effectLst/>
              <a:latin typeface="+mn-lt"/>
              <a:ea typeface="+mn-ea"/>
              <a:cs typeface="+mn-cs"/>
            </a:rPr>
            <a:t>based on your study period of commencement. The standard full-time study load is </a:t>
          </a:r>
          <a:r>
            <a:rPr lang="en-AU" sz="1100" b="1" i="0">
              <a:solidFill>
                <a:schemeClr val="dk1"/>
              </a:solidFill>
              <a:effectLst/>
              <a:latin typeface="+mn-lt"/>
              <a:ea typeface="+mn-ea"/>
              <a:cs typeface="+mn-cs"/>
            </a:rPr>
            <a:t>two subjects per study period</a:t>
          </a:r>
          <a:r>
            <a:rPr lang="en-AU" sz="1100" b="0" i="0">
              <a:solidFill>
                <a:schemeClr val="dk1"/>
              </a:solidFill>
              <a:effectLst/>
              <a:latin typeface="+mn-lt"/>
              <a:ea typeface="+mn-ea"/>
              <a:cs typeface="+mn-cs"/>
            </a:rPr>
            <a:t>. Subjects may not be offered in every study period and may not be available at the time that you wish to study them. Your progression in the degree may be affected if you do not follow the recommended sequence of enrolment.</a:t>
          </a:r>
        </a:p>
        <a:p>
          <a:pPr algn="l" rtl="0" fontAlgn="base"/>
          <a:endParaRPr lang="en-AU" sz="1000">
            <a:effectLst/>
          </a:endParaRPr>
        </a:p>
        <a:p>
          <a:pPr rtl="0" fontAlgn="base"/>
          <a:r>
            <a:rPr lang="en-AU" sz="1100" b="0" i="0">
              <a:solidFill>
                <a:schemeClr val="dk1"/>
              </a:solidFill>
              <a:effectLst/>
              <a:latin typeface="+mn-lt"/>
              <a:ea typeface="+mn-ea"/>
              <a:cs typeface="+mn-cs"/>
            </a:rPr>
            <a:t>If you wish to enrol in a part-time load, </a:t>
          </a:r>
          <a:r>
            <a:rPr lang="en-AU" sz="1100" b="0" i="0" baseline="0">
              <a:solidFill>
                <a:schemeClr val="dk1"/>
              </a:solidFill>
              <a:effectLst/>
              <a:latin typeface="+mn-lt"/>
              <a:ea typeface="+mn-ea"/>
              <a:cs typeface="+mn-cs"/>
            </a:rPr>
            <a:t>please contact your Course Coordinator (Email - architecture@curtin.edu.au) to develop an ad hoc study plan.</a:t>
          </a:r>
        </a:p>
        <a:p>
          <a:pPr rtl="0" fontAlgn="base"/>
          <a:endParaRPr lang="en-AU" sz="1000">
            <a:effectLst/>
          </a:endParaRPr>
        </a:p>
        <a:p>
          <a:r>
            <a:rPr lang="en-AU" sz="1100" b="1">
              <a:solidFill>
                <a:schemeClr val="dk1"/>
              </a:solidFill>
              <a:effectLst/>
              <a:latin typeface="+mn-lt"/>
              <a:ea typeface="+mn-ea"/>
              <a:cs typeface="+mn-cs"/>
            </a:rPr>
            <a:t>Pre-requisites</a:t>
          </a:r>
          <a:endParaRPr lang="en-AU" sz="1000">
            <a:effectLst/>
          </a:endParaRPr>
        </a:p>
        <a:p>
          <a:r>
            <a:rPr lang="en-AU" sz="1100">
              <a:solidFill>
                <a:schemeClr val="dk1"/>
              </a:solidFill>
              <a:effectLst/>
              <a:latin typeface="+mn-lt"/>
              <a:ea typeface="+mn-ea"/>
              <a:cs typeface="+mn-cs"/>
            </a:rPr>
            <a:t>Pre-requisite units denoted by * can be enrolled concurrently in the same study period if required by the</a:t>
          </a:r>
          <a:r>
            <a:rPr lang="en-AU" sz="1100" baseline="0">
              <a:solidFill>
                <a:schemeClr val="dk1"/>
              </a:solidFill>
              <a:effectLst/>
              <a:latin typeface="+mn-lt"/>
              <a:ea typeface="+mn-ea"/>
              <a:cs typeface="+mn-cs"/>
            </a:rPr>
            <a:t> Enrolment Planner's specified sequence.</a:t>
          </a:r>
        </a:p>
        <a:p>
          <a:endParaRPr lang="en-AU" sz="1100" baseline="0">
            <a:solidFill>
              <a:schemeClr val="dk1"/>
            </a:solidFill>
            <a:effectLst/>
            <a:latin typeface="+mn-lt"/>
            <a:ea typeface="+mn-ea"/>
            <a:cs typeface="+mn-cs"/>
          </a:endParaRPr>
        </a:p>
        <a:p>
          <a:r>
            <a:rPr lang="en-AU" sz="1100" b="1" baseline="0">
              <a:solidFill>
                <a:schemeClr val="dk1"/>
              </a:solidFill>
              <a:effectLst/>
              <a:latin typeface="+mn-lt"/>
              <a:ea typeface="+mn-ea"/>
              <a:cs typeface="+mn-cs"/>
            </a:rPr>
            <a:t>Specialisation Subjects</a:t>
          </a:r>
          <a:endParaRPr lang="en-AU">
            <a:effectLst/>
          </a:endParaRPr>
        </a:p>
        <a:p>
          <a:r>
            <a:rPr lang="en-AU" sz="1100" b="0">
              <a:solidFill>
                <a:schemeClr val="dk1"/>
              </a:solidFill>
              <a:effectLst/>
              <a:latin typeface="+mn-lt"/>
              <a:ea typeface="+mn-ea"/>
              <a:cs typeface="+mn-cs"/>
            </a:rPr>
            <a:t>Provided you meet any pre requisites, and the subject is available, you may study specialisation subjects in any order.</a:t>
          </a:r>
          <a:endParaRPr lang="en-AU">
            <a:effectLst/>
          </a:endParaRPr>
        </a:p>
        <a:p>
          <a:endParaRPr lang="en-AU" sz="1000">
            <a:effectLst/>
          </a:endParaRPr>
        </a:p>
        <a:p>
          <a:pPr rtl="0" fontAlgn="base"/>
          <a:r>
            <a:rPr lang="en-AU" sz="1100" b="1" i="0">
              <a:solidFill>
                <a:schemeClr val="dk1"/>
              </a:solidFill>
              <a:effectLst/>
              <a:latin typeface="+mn-lt"/>
              <a:ea typeface="+mn-ea"/>
              <a:cs typeface="+mn-cs"/>
            </a:rPr>
            <a:t>Need more support?</a:t>
          </a:r>
          <a:r>
            <a:rPr lang="en-AU" sz="1100" b="0" i="0">
              <a:solidFill>
                <a:schemeClr val="dk1"/>
              </a:solidFill>
              <a:effectLst/>
              <a:latin typeface="+mn-lt"/>
              <a:ea typeface="+mn-ea"/>
              <a:cs typeface="+mn-cs"/>
            </a:rPr>
            <a:t> </a:t>
          </a:r>
          <a:endParaRPr lang="en-AU" sz="1000">
            <a:effectLst/>
          </a:endParaRPr>
        </a:p>
        <a:p>
          <a:pPr rtl="0" fontAlgn="base"/>
          <a:r>
            <a:rPr lang="en-AU" sz="1100" b="0" i="0">
              <a:solidFill>
                <a:schemeClr val="dk1"/>
              </a:solidFill>
              <a:effectLst/>
              <a:latin typeface="+mn-lt"/>
              <a:ea typeface="+mn-ea"/>
              <a:cs typeface="+mn-cs"/>
            </a:rPr>
            <a:t>This planner is designed to be used in conjunction with the information provided by Curtin Connect on the Student Essentials webpages. If you have any questions regarding your enrolment, please contact Curtin Connect.</a:t>
          </a:r>
        </a:p>
      </xdr:txBody>
    </xdr:sp>
    <xdr:clientData/>
  </xdr:oneCellAnchor>
  <xdr:twoCellAnchor>
    <xdr:from>
      <xdr:col>8</xdr:col>
      <xdr:colOff>314325</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7410450" y="266699"/>
          <a:ext cx="185824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47626</xdr:colOff>
      <xdr:row>2</xdr:row>
      <xdr:rowOff>276225</xdr:rowOff>
    </xdr:from>
    <xdr:to>
      <xdr:col>21</xdr:col>
      <xdr:colOff>409576</xdr:colOff>
      <xdr:row>3</xdr:row>
      <xdr:rowOff>114695</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000-000004000000}"/>
            </a:ext>
          </a:extLst>
        </xdr:cNvPr>
        <xdr:cNvSpPr txBox="1"/>
      </xdr:nvSpPr>
      <xdr:spPr>
        <a:xfrm>
          <a:off x="14925676" y="276225"/>
          <a:ext cx="2419350" cy="34329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Courses" displayName="TableCourses" ref="A4:H6" totalsRowShown="0" headerRowDxfId="167">
  <autoFilter ref="A4:H6" xr:uid="{00000000-0009-0000-0100-000003000000}"/>
  <tableColumns count="8">
    <tableColumn id="3" xr3:uid="{00000000-0010-0000-0000-000003000000}" name="Choose your Course" dataDxfId="166"/>
    <tableColumn id="1" xr3:uid="{00000000-0010-0000-0000-000001000000}" name="UDC" dataDxfId="165"/>
    <tableColumn id="2" xr3:uid="{00000000-0010-0000-0000-000002000000}" name="SM Version" dataDxfId="164"/>
    <tableColumn id="5" xr3:uid="{00000000-0010-0000-0000-000005000000}" name="SM Effective Date" dataDxfId="163"/>
    <tableColumn id="4" xr3:uid="{00000000-0010-0000-0000-000004000000}" name="Akari Iteration" dataDxfId="162"/>
    <tableColumn id="6" xr3:uid="{00000000-0010-0000-0000-000006000000}" name="Akari Effective Date" dataDxfId="161"/>
    <tableColumn id="7" xr3:uid="{00000000-0010-0000-0000-000007000000}" name="Credit Points" dataDxfId="160"/>
    <tableColumn id="8" xr3:uid="{00000000-0010-0000-0000-000008000000}" name="SM Availabilities" dataDxfId="159"/>
  </tableColumns>
  <tableStyleInfo name="TableStyleLight8"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9000000}" name="TableOBARCHCheck" displayName="TableOBARCHCheck" ref="Q2:R27" totalsRowShown="0">
  <autoFilter ref="Q2:R27" xr:uid="{00000000-0009-0000-0100-000008000000}"/>
  <tableColumns count="2">
    <tableColumn id="1" xr3:uid="{00000000-0010-0000-0900-000001000000}" name="Column1"/>
    <tableColumn id="2" xr3:uid="{00000000-0010-0000-0900-000002000000}" name="Column2"/>
  </tableColumns>
  <tableStyleInfo name="TableStyleLight4"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TableOSCUANGADCheck" displayName="TableOSCUANGADCheck" ref="Q57:R63" totalsRowShown="0">
  <autoFilter ref="Q57:R63" xr:uid="{00000000-0009-0000-0100-00000B000000}"/>
  <tableColumns count="2">
    <tableColumn id="1" xr3:uid="{00000000-0010-0000-0A00-000001000000}" name="Column1"/>
    <tableColumn id="2" xr3:uid="{00000000-0010-0000-0A00-000002000000}" name="Column2"/>
  </tableColumns>
  <tableStyleInfo name="TableStyleLight4"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Table53565754261213" displayName="Table53565754261213" ref="Q65:R71" totalsRowShown="0">
  <autoFilter ref="Q65:R71" xr:uid="{00000000-0009-0000-0100-00000C000000}"/>
  <tableColumns count="2">
    <tableColumn id="1" xr3:uid="{00000000-0010-0000-0B00-000001000000}" name="Column1"/>
    <tableColumn id="2" xr3:uid="{00000000-0010-0000-0B00-000002000000}" name="Column2"/>
  </tableColumns>
  <tableStyleInfo name="TableStyleLight4"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Table53565754261215" displayName="Table53565754261215" ref="Q73:R85" totalsRowShown="0">
  <autoFilter ref="Q73:R85" xr:uid="{00000000-0009-0000-0100-00000E000000}"/>
  <tableColumns count="2">
    <tableColumn id="1" xr3:uid="{00000000-0010-0000-0C00-000001000000}" name="Column1"/>
    <tableColumn id="2" xr3:uid="{00000000-0010-0000-0C00-000002000000}" name="Column2"/>
  </tableColumns>
  <tableStyleInfo name="TableStyleLight4"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able53565754261216" displayName="Table53565754261216" ref="Q87:R93" totalsRowShown="0">
  <autoFilter ref="Q87:R93" xr:uid="{00000000-0009-0000-0100-00000F000000}"/>
  <tableColumns count="2">
    <tableColumn id="1" xr3:uid="{00000000-0010-0000-0D00-000001000000}" name="Column1"/>
    <tableColumn id="2" xr3:uid="{00000000-0010-0000-0D00-000002000000}" name="Column2"/>
  </tableColumns>
  <tableStyleInfo name="TableStyleLight4"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DA951EA0-0E6C-457F-B010-B3D23BC7ABA1}" name="TableOUARCH" displayName="TableOUARCH" ref="A29:O54" totalsRowShown="0">
  <autoFilter ref="A29:O54" xr:uid="{DA951EA0-0E6C-457F-B010-B3D23BC7ABA1}"/>
  <sortState xmlns:xlrd2="http://schemas.microsoft.com/office/spreadsheetml/2017/richdata2" ref="A30:R33">
    <sortCondition ref="O2:O6"/>
  </sortState>
  <tableColumns count="15">
    <tableColumn id="1" xr3:uid="{179C7F35-F49D-4D59-B7A6-17A3E7D163E3}" name="UDC" dataDxfId="50">
      <calculatedColumnFormula>TableOUARCH[[#This Row],[Study Package Code]]</calculatedColumnFormula>
    </tableColumn>
    <tableColumn id="9" xr3:uid="{214CD578-202E-4946-8AFA-0989357D928B}" name="V" dataDxfId="49">
      <calculatedColumnFormula>TableOUARCH[[#This Row],[Ver]]</calculatedColumnFormula>
    </tableColumn>
    <tableColumn id="10" xr3:uid="{773A9833-AB31-4AB8-B6E6-D5DDC7F22E2B}" name="OUA Code" dataDxfId="48">
      <calculatedColumnFormula>IF(TableOUARCH[[#This Row],[Ver]]&gt;0,_xlfn.TEXTBEFORE(TableOUARCH[[#This Row],[Structure Line]]," "),"")</calculatedColumnFormula>
    </tableColumn>
    <tableColumn id="11" xr3:uid="{A729A41B-595E-490B-8881-F8E222296C51}" name="Unit Title" dataDxfId="47">
      <calculatedColumnFormula>IF(TableOUARCH[[#This Row],[OUA Code]]&lt;&gt;"",_xlfn.TEXTAFTER(TableOUARCH[[#This Row],[Structure Line]]," "),TableOUARCH[[#This Row],[Structure Line]])</calculatedColumnFormula>
    </tableColumn>
    <tableColumn id="12" xr3:uid="{8997053E-75FA-453A-9D34-86AC6412FAA0}" name="CPs" dataDxfId="46">
      <calculatedColumnFormula>TableOUARCH[[#This Row],[Credit Points]]</calculatedColumnFormula>
    </tableColumn>
    <tableColumn id="13" xr3:uid="{78EDA680-235A-4D26-9722-6C4C3CA57F09}" name="No." dataDxfId="45"/>
    <tableColumn id="2" xr3:uid="{73456398-B22D-4760-8AE8-84D6A8673D71}" name="Component Type" dataDxfId="44"/>
    <tableColumn id="3" xr3:uid="{5ADD08A6-37A9-4CAA-8CAC-AA8A6D38D29C}" name="Year Level" dataDxfId="43"/>
    <tableColumn id="4" xr3:uid="{50A69648-0726-4E13-9147-A5EACF5893CF}" name="Study Period" dataDxfId="42"/>
    <tableColumn id="5" xr3:uid="{4ECF7CF9-D1ED-404E-8727-C22E7E43D8AD}" name="Study Package Code" dataDxfId="41"/>
    <tableColumn id="6" xr3:uid="{01CA1868-F3C2-48C8-A5E2-3B4A33CB84BE}" name="Ver" dataDxfId="40"/>
    <tableColumn id="7" xr3:uid="{5A1D6BDD-2026-4BC7-AFDE-37F22F11A67E}" name="Structure Line" dataDxfId="39"/>
    <tableColumn id="8" xr3:uid="{AFB7B902-589E-4F19-9D79-6D7047D35CF0}" name="Credit Points" dataDxfId="38"/>
    <tableColumn id="14" xr3:uid="{C718FBA4-F8C8-47E5-B88C-46A5F03B9462}" name="Effective" dataDxfId="37"/>
    <tableColumn id="15" xr3:uid="{377F27E6-7D5C-4A35-A74D-3B04AA4EEFA3}" name="Discont." dataDxfId="36"/>
  </tableColumns>
  <tableStyleInfo name="TableStyleLight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3F32C1A5-3293-484E-844C-E75C07C9FE3E}" name="TableOUARCHCheck" displayName="TableOUARCHCheck" ref="Q29:R54" totalsRowShown="0">
  <autoFilter ref="Q29:R54" xr:uid="{3F32C1A5-3293-484E-844C-E75C07C9FE3E}"/>
  <tableColumns count="2">
    <tableColumn id="1" xr3:uid="{8D0FA32D-329E-4F24-8CA6-9936A8529DFD}" name="Column1"/>
    <tableColumn id="2" xr3:uid="{30C691BB-EB56-41E1-8BBA-24292CCA76D5}" name="Column2"/>
  </tableColumns>
  <tableStyleInfo name="TableStyleLight4"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E000000}" name="TableAvailabilities" displayName="TableAvailabilities" ref="A3:E43" totalsRowShown="0">
  <autoFilter ref="A3:E43" xr:uid="{00000000-0009-0000-0100-00000D000000}"/>
  <tableColumns count="5">
    <tableColumn id="1" xr3:uid="{00000000-0010-0000-0E00-000001000000}" name="Row Labels"/>
    <tableColumn id="2" xr3:uid="{00000000-0010-0000-0E00-000002000000}" name="OpenUnis SP 1" dataDxfId="35"/>
    <tableColumn id="3" xr3:uid="{00000000-0010-0000-0E00-000003000000}" name="OpenUnis SP 2" dataDxfId="34"/>
    <tableColumn id="4" xr3:uid="{00000000-0010-0000-0E00-000004000000}" name="OpenUnis SP 3" dataDxfId="33"/>
    <tableColumn id="5" xr3:uid="{00000000-0010-0000-0E00-000005000000}" name="OpenUnis SP 4" dataDxfId="32"/>
  </tableColumns>
  <tableStyleInfo name="TableStyleLight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leStudyPeriod" displayName="TableStudyPeriod" ref="A9:E13" totalsRowShown="0" dataDxfId="158">
  <autoFilter ref="A9:E13" xr:uid="{00000000-0009-0000-0100-000004000000}"/>
  <tableColumns count="5">
    <tableColumn id="1" xr3:uid="{00000000-0010-0000-0100-000001000000}" name="Choose your commencing study period (drop-down list)" dataDxfId="157"/>
    <tableColumn id="2" xr3:uid="{00000000-0010-0000-0100-000002000000}" name="START" dataDxfId="156"/>
    <tableColumn id="3" xr3:uid="{00000000-0010-0000-0100-000003000000}" name="Next" dataDxfId="155"/>
    <tableColumn id="4" xr3:uid="{00000000-0010-0000-0100-000004000000}" name="Next2" dataDxfId="154"/>
    <tableColumn id="5" xr3:uid="{00000000-0010-0000-0100-000005000000}" name="Next3" dataDxfId="153"/>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leSpecialisations" displayName="TableSpecialisations" ref="A16:G20" totalsRowShown="0" dataDxfId="152">
  <autoFilter ref="A16:G20" xr:uid="{00000000-0009-0000-0100-000005000000}"/>
  <tableColumns count="7">
    <tableColumn id="1" xr3:uid="{00000000-0010-0000-0200-000001000000}" name="Choose your Specialisation (drop-down list)" dataDxfId="151"/>
    <tableColumn id="2" xr3:uid="{00000000-0010-0000-0200-000002000000}" name="UDC" dataDxfId="150"/>
    <tableColumn id="3" xr3:uid="{00000000-0010-0000-0200-000003000000}" name="SM Version" dataDxfId="149"/>
    <tableColumn id="4" xr3:uid="{00000000-0010-0000-0200-000004000000}" name="SM Effective Date" dataDxfId="148"/>
    <tableColumn id="5" xr3:uid="{00000000-0010-0000-0200-000005000000}" name="Akari Iteration" dataDxfId="147"/>
    <tableColumn id="6" xr3:uid="{00000000-0010-0000-0200-000006000000}" name="Akari Effective Date" dataDxfId="146"/>
    <tableColumn id="7" xr3:uid="{00000000-0010-0000-0200-000007000000}" name="Credit Points" dataDxfId="145"/>
  </tableColumns>
  <tableStyleInfo name="TableStyleLight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3000000}" name="TableHandbook" displayName="TableHandbook" ref="A2:Q67" totalsRowShown="0" headerRowDxfId="144" dataDxfId="143">
  <autoFilter ref="A2:Q67" xr:uid="{00000000-0009-0000-0100-000002000000}"/>
  <sortState xmlns:xlrd2="http://schemas.microsoft.com/office/spreadsheetml/2017/richdata2" ref="A3:Q67">
    <sortCondition ref="A2:A67"/>
  </sortState>
  <tableColumns count="17">
    <tableColumn id="1" xr3:uid="{00000000-0010-0000-0300-000001000000}" name="UDC" dataDxfId="142"/>
    <tableColumn id="2" xr3:uid="{00000000-0010-0000-0300-000002000000}" name="Ver" dataDxfId="141"/>
    <tableColumn id="3" xr3:uid="{00000000-0010-0000-0300-000003000000}" name="OUA Cd" dataDxfId="140"/>
    <tableColumn id="4" xr3:uid="{00000000-0010-0000-0300-000004000000}" name="Title" dataDxfId="139"/>
    <tableColumn id="5" xr3:uid="{00000000-0010-0000-0300-000005000000}" name="Credits" dataDxfId="138"/>
    <tableColumn id="6" xr3:uid="{00000000-0010-0000-0300-000006000000}" name="Pre-reqs (25/11/2025)" dataDxfId="137"/>
    <tableColumn id="12" xr3:uid="{00000000-0010-0000-0300-00000C000000}" name="SP1" dataDxfId="136">
      <calculatedColumnFormula>IFERROR(IF(VLOOKUP(TableHandbook[[#This Row],[UDC]],TableAvailabilities[],2,FALSE)&gt;0,"Y",""),"")</calculatedColumnFormula>
    </tableColumn>
    <tableColumn id="13" xr3:uid="{00000000-0010-0000-0300-00000D000000}" name="SP2" dataDxfId="135">
      <calculatedColumnFormula>IFERROR(IF(VLOOKUP(TableHandbook[[#This Row],[UDC]],TableAvailabilities[],3,FALSE)&gt;0,"Y",""),"")</calculatedColumnFormula>
    </tableColumn>
    <tableColumn id="14" xr3:uid="{00000000-0010-0000-0300-00000E000000}" name="SP3" dataDxfId="134">
      <calculatedColumnFormula>IFERROR(IF(VLOOKUP(TableHandbook[[#This Row],[UDC]],TableAvailabilities[],4,FALSE)&gt;0,"Y",""),"")</calculatedColumnFormula>
    </tableColumn>
    <tableColumn id="15" xr3:uid="{00000000-0010-0000-0300-00000F000000}" name="SP4" dataDxfId="133">
      <calculatedColumnFormula>IFERROR(IF(VLOOKUP(TableHandbook[[#This Row],[UDC]],TableAvailabilities[],5,FALSE)&gt;0,"Y",""),"")</calculatedColumnFormula>
    </tableColumn>
    <tableColumn id="16" xr3:uid="{00000000-0010-0000-0300-000010000000}" name="Notes" dataDxfId="132"/>
    <tableColumn id="8" xr3:uid="{00000000-0010-0000-0300-000008000000}" name="OB-ARCH" dataDxfId="131">
      <calculatedColumnFormula>IFERROR(VLOOKUP(TableHandbook[[#This Row],[UDC]],TableOBARCH[],7,FALSE),"")</calculatedColumnFormula>
    </tableColumn>
    <tableColumn id="7" xr3:uid="{F7AB3AD4-E189-421C-A052-FC01204EBB7B}" name="OU-ARCH" dataDxfId="130">
      <calculatedColumnFormula>IFERROR(VLOOKUP(TableHandbook[[#This Row],[UDC]],TableOUARCH[],7,FALSE),"")</calculatedColumnFormula>
    </tableColumn>
    <tableColumn id="9" xr3:uid="{00000000-0010-0000-0300-000009000000}" name="OSCU-ANGAD" dataDxfId="129">
      <calculatedColumnFormula>IFERROR(VLOOKUP(TableHandbook[[#This Row],[UDC]],TableOSCUANGAD[],7,FALSE),"")</calculatedColumnFormula>
    </tableColumn>
    <tableColumn id="10" xr3:uid="{00000000-0010-0000-0300-00000A000000}" name="OSCU-CONMS" dataDxfId="128">
      <calculatedColumnFormula>IFERROR(VLOOKUP(TableHandbook[[#This Row],[UDC]],TableOSCUCONMS[],7,FALSE),"")</calculatedColumnFormula>
    </tableColumn>
    <tableColumn id="20" xr3:uid="{00000000-0010-0000-0300-000014000000}" name="OSCU-INARS" dataDxfId="127">
      <calculatedColumnFormula>IFERROR(VLOOKUP(TableHandbook[[#This Row],[UDC]],TableOSCUINARS[],7,FALSE),"")</calculatedColumnFormula>
    </tableColumn>
    <tableColumn id="21" xr3:uid="{00000000-0010-0000-0300-000015000000}" name="OSCU-PLGEO" dataDxfId="126">
      <calculatedColumnFormula>IFERROR(VLOOKUP(TableHandbook[[#This Row],[UDC]],TableOSCUPLGEO[],7,FALSE),"")</calculatedColumnFormula>
    </tableColumn>
  </tableColumns>
  <tableStyleInfo name="TableStyleLight11" showFirstColumn="0" showLastColumn="0" showRowStripes="1" showColumnStripes="1"/>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4000000}" name="TableOBARCH" displayName="TableOBARCH" ref="A2:O27" totalsRowShown="0">
  <autoFilter ref="A2:O27" xr:uid="{00000000-0009-0000-0100-000001000000}"/>
  <sortState xmlns:xlrd2="http://schemas.microsoft.com/office/spreadsheetml/2017/richdata2" ref="U3:AL6">
    <sortCondition ref="AI2:AI6"/>
  </sortState>
  <tableColumns count="15">
    <tableColumn id="1" xr3:uid="{00000000-0010-0000-0400-000001000000}" name="UDC" dataDxfId="125">
      <calculatedColumnFormula>TableOBARCH[[#This Row],[Study Package Code]]</calculatedColumnFormula>
    </tableColumn>
    <tableColumn id="9" xr3:uid="{00000000-0010-0000-0400-000009000000}" name="V" dataDxfId="124">
      <calculatedColumnFormula>TableOBARCH[[#This Row],[Ver]]</calculatedColumnFormula>
    </tableColumn>
    <tableColumn id="10" xr3:uid="{00000000-0010-0000-0400-00000A000000}" name="OUA Code" dataDxfId="123">
      <calculatedColumnFormula>IF(TableOBARCH[[#This Row],[Ver]]&gt;0,_xlfn.TEXTBEFORE(TableOBARCH[[#This Row],[Structure Line]]," "),"")</calculatedColumnFormula>
    </tableColumn>
    <tableColumn id="11" xr3:uid="{00000000-0010-0000-0400-00000B000000}" name="Unit Title" dataDxfId="122">
      <calculatedColumnFormula>IF(TableOBARCH[[#This Row],[OUA Code]]&lt;&gt;"",_xlfn.TEXTAFTER(TableOBARCH[[#This Row],[Structure Line]]," "),TableOBARCH[[#This Row],[Structure Line]])</calculatedColumnFormula>
    </tableColumn>
    <tableColumn id="12" xr3:uid="{00000000-0010-0000-0400-00000C000000}" name="CPs" dataDxfId="121">
      <calculatedColumnFormula>TableOBARCH[[#This Row],[Credit Points]]</calculatedColumnFormula>
    </tableColumn>
    <tableColumn id="13" xr3:uid="{00000000-0010-0000-0400-00000D000000}" name="No." dataDxfId="120"/>
    <tableColumn id="2" xr3:uid="{00000000-0010-0000-0400-000002000000}" name="Component Type" dataDxfId="119"/>
    <tableColumn id="3" xr3:uid="{00000000-0010-0000-0400-000003000000}" name="Year Level" dataDxfId="118"/>
    <tableColumn id="4" xr3:uid="{00000000-0010-0000-0400-000004000000}" name="Study Period" dataDxfId="117"/>
    <tableColumn id="5" xr3:uid="{00000000-0010-0000-0400-000005000000}" name="Study Package Code" dataDxfId="116"/>
    <tableColumn id="6" xr3:uid="{00000000-0010-0000-0400-000006000000}" name="Ver" dataDxfId="115"/>
    <tableColumn id="7" xr3:uid="{00000000-0010-0000-0400-000007000000}" name="Structure Line" dataDxfId="114"/>
    <tableColumn id="8" xr3:uid="{00000000-0010-0000-0400-000008000000}" name="Credit Points" dataDxfId="113"/>
    <tableColumn id="14" xr3:uid="{00000000-0010-0000-0400-00000E000000}" name="Effective" dataDxfId="112"/>
    <tableColumn id="15" xr3:uid="{00000000-0010-0000-0400-00000F000000}" name="Discont." dataDxfId="111"/>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OSCUANGAD" displayName="TableOSCUANGAD" ref="A57:O63" totalsRowShown="0">
  <autoFilter ref="A57:O63" xr:uid="{00000000-0009-0000-0100-000006000000}"/>
  <sortState xmlns:xlrd2="http://schemas.microsoft.com/office/spreadsheetml/2017/richdata2" ref="U11:AL18">
    <sortCondition ref="AH10:AH18"/>
  </sortState>
  <tableColumns count="15">
    <tableColumn id="1" xr3:uid="{00000000-0010-0000-0500-000001000000}" name="UDC" dataDxfId="110">
      <calculatedColumnFormula>TableOSCUANGAD[[#This Row],[Study Package Code]]</calculatedColumnFormula>
    </tableColumn>
    <tableColumn id="9" xr3:uid="{00000000-0010-0000-0500-000009000000}" name="V" dataDxfId="109">
      <calculatedColumnFormula>TableOSCUANGAD[[#This Row],[Ver]]</calculatedColumnFormula>
    </tableColumn>
    <tableColumn id="10" xr3:uid="{00000000-0010-0000-0500-00000A000000}" name="OUA Code" dataDxfId="108">
      <calculatedColumnFormula>IF(TableOSCUANGAD[[#This Row],[Ver]]&gt;0,_xlfn.TEXTBEFORE(TableOSCUANGAD[[#This Row],[Structure Line]]," "),"")</calculatedColumnFormula>
    </tableColumn>
    <tableColumn id="11" xr3:uid="{00000000-0010-0000-0500-00000B000000}" name="Unit Title" dataDxfId="107">
      <calculatedColumnFormula>IF(TableOSCUANGAD[[#This Row],[OUA Code]]&lt;&gt;"",_xlfn.TEXTAFTER(TableOSCUANGAD[[#This Row],[Structure Line]]," "),TableOSCUANGAD[[#This Row],[Structure Line]])</calculatedColumnFormula>
    </tableColumn>
    <tableColumn id="12" xr3:uid="{00000000-0010-0000-0500-00000C000000}" name="CPs" dataDxfId="106">
      <calculatedColumnFormula>TableOSCUANGAD[[#This Row],[Credit Points]]</calculatedColumnFormula>
    </tableColumn>
    <tableColumn id="13" xr3:uid="{00000000-0010-0000-0500-00000D000000}" name="No." dataDxfId="105"/>
    <tableColumn id="2" xr3:uid="{00000000-0010-0000-0500-000002000000}" name="Component Type" dataDxfId="104"/>
    <tableColumn id="3" xr3:uid="{00000000-0010-0000-0500-000003000000}" name="Year Level" dataDxfId="103"/>
    <tableColumn id="4" xr3:uid="{00000000-0010-0000-0500-000004000000}" name="Study Period" dataDxfId="102"/>
    <tableColumn id="5" xr3:uid="{00000000-0010-0000-0500-000005000000}" name="Study Package Code" dataDxfId="101"/>
    <tableColumn id="6" xr3:uid="{00000000-0010-0000-0500-000006000000}" name="Ver" dataDxfId="100"/>
    <tableColumn id="7" xr3:uid="{00000000-0010-0000-0500-000007000000}" name="Structure Line" dataDxfId="99"/>
    <tableColumn id="8" xr3:uid="{00000000-0010-0000-0500-000008000000}" name="Credit Points" dataDxfId="98"/>
    <tableColumn id="14" xr3:uid="{00000000-0010-0000-0500-00000E000000}" name="Effective" dataDxfId="97"/>
    <tableColumn id="15" xr3:uid="{00000000-0010-0000-0500-00000F000000}" name="Discont." dataDxfId="96"/>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OSCUINARS" displayName="TableOSCUINARS" ref="A73:O85" totalsRowShown="0">
  <autoFilter ref="A73:O85" xr:uid="{00000000-0009-0000-0100-000007000000}"/>
  <sortState xmlns:xlrd2="http://schemas.microsoft.com/office/spreadsheetml/2017/richdata2" ref="A74:N81">
    <sortCondition ref="F73:F81"/>
  </sortState>
  <tableColumns count="15">
    <tableColumn id="1" xr3:uid="{00000000-0010-0000-0600-000001000000}" name="UDC" dataDxfId="95">
      <calculatedColumnFormula>TableOSCUINARS[[#This Row],[Study Package Code]]</calculatedColumnFormula>
    </tableColumn>
    <tableColumn id="9" xr3:uid="{00000000-0010-0000-0600-000009000000}" name="V" dataDxfId="94">
      <calculatedColumnFormula>TableOSCUINARS[[#This Row],[Ver]]</calculatedColumnFormula>
    </tableColumn>
    <tableColumn id="10" xr3:uid="{00000000-0010-0000-0600-00000A000000}" name="OUA Code" dataDxfId="93">
      <calculatedColumnFormula>IF(TableOSCUINARS[[#This Row],[Ver]]&gt;0,_xlfn.TEXTBEFORE(TableOSCUINARS[[#This Row],[Structure Line]]," "),"")</calculatedColumnFormula>
    </tableColumn>
    <tableColumn id="11" xr3:uid="{00000000-0010-0000-0600-00000B000000}" name="Unit Title" dataDxfId="92">
      <calculatedColumnFormula>IF(TableOSCUINARS[[#This Row],[OUA Code]]&lt;&gt;"",_xlfn.TEXTAFTER(TableOSCUINARS[[#This Row],[Structure Line]]," "),TableOSCUINARS[[#This Row],[Structure Line]])</calculatedColumnFormula>
    </tableColumn>
    <tableColumn id="12" xr3:uid="{00000000-0010-0000-0600-00000C000000}" name="CPs" dataDxfId="91">
      <calculatedColumnFormula>TableOSCUINARS[[#This Row],[Credit Points]]</calculatedColumnFormula>
    </tableColumn>
    <tableColumn id="13" xr3:uid="{00000000-0010-0000-0600-00000D000000}" name="No." dataDxfId="90"/>
    <tableColumn id="2" xr3:uid="{00000000-0010-0000-0600-000002000000}" name="Component Type" dataDxfId="89"/>
    <tableColumn id="3" xr3:uid="{00000000-0010-0000-0600-000003000000}" name="Year Level" dataDxfId="88"/>
    <tableColumn id="4" xr3:uid="{00000000-0010-0000-0600-000004000000}" name="Study Period" dataDxfId="87"/>
    <tableColumn id="5" xr3:uid="{00000000-0010-0000-0600-000005000000}" name="Study Package Code" dataDxfId="86"/>
    <tableColumn id="6" xr3:uid="{00000000-0010-0000-0600-000006000000}" name="Ver" dataDxfId="85"/>
    <tableColumn id="7" xr3:uid="{00000000-0010-0000-0600-000007000000}" name="Structure Line" dataDxfId="84"/>
    <tableColumn id="8" xr3:uid="{00000000-0010-0000-0600-000008000000}" name="Credit Points" dataDxfId="83"/>
    <tableColumn id="14" xr3:uid="{00000000-0010-0000-0600-00000E000000}" name="Effective" dataDxfId="82"/>
    <tableColumn id="15" xr3:uid="{00000000-0010-0000-0600-00000F000000}" name="Discont." dataDxfId="81"/>
  </tableColumns>
  <tableStyleInfo name="TableStyleLight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7000000}" name="TableOSCUPLGEO" displayName="TableOSCUPLGEO" ref="A87:O93" totalsRowShown="0">
  <autoFilter ref="A87:O93" xr:uid="{00000000-0009-0000-0100-000009000000}"/>
  <sortState xmlns:xlrd2="http://schemas.microsoft.com/office/spreadsheetml/2017/richdata2" ref="A82:M87">
    <sortCondition descending="1" ref="G76:G82"/>
  </sortState>
  <tableColumns count="15">
    <tableColumn id="1" xr3:uid="{00000000-0010-0000-0700-000001000000}" name="UDC" dataDxfId="80">
      <calculatedColumnFormula>TableOSCUPLGEO[[#This Row],[Study Package Code]]</calculatedColumnFormula>
    </tableColumn>
    <tableColumn id="9" xr3:uid="{00000000-0010-0000-0700-000009000000}" name="V" dataDxfId="79">
      <calculatedColumnFormula>TableOSCUPLGEO[[#This Row],[Ver]]</calculatedColumnFormula>
    </tableColumn>
    <tableColumn id="10" xr3:uid="{00000000-0010-0000-0700-00000A000000}" name="OUA Code" dataDxfId="78">
      <calculatedColumnFormula>IF(TableOSCUPLGEO[[#This Row],[Ver]]&gt;0,_xlfn.TEXTBEFORE(TableOSCUPLGEO[[#This Row],[Structure Line]]," "),"")</calculatedColumnFormula>
    </tableColumn>
    <tableColumn id="11" xr3:uid="{00000000-0010-0000-0700-00000B000000}" name="Unit Title" dataDxfId="77">
      <calculatedColumnFormula>IF(TableOSCUPLGEO[[#This Row],[OUA Code]]&lt;&gt;"",_xlfn.TEXTAFTER(TableOSCUPLGEO[[#This Row],[Structure Line]]," "),TableOSCUPLGEO[[#This Row],[Structure Line]])</calculatedColumnFormula>
    </tableColumn>
    <tableColumn id="12" xr3:uid="{00000000-0010-0000-0700-00000C000000}" name="CPs" dataDxfId="76">
      <calculatedColumnFormula>TableOSCUPLGEO[[#This Row],[Credit Points]]</calculatedColumnFormula>
    </tableColumn>
    <tableColumn id="13" xr3:uid="{00000000-0010-0000-0700-00000D000000}" name="No." dataDxfId="75"/>
    <tableColumn id="2" xr3:uid="{00000000-0010-0000-0700-000002000000}" name="Component Type" dataDxfId="74"/>
    <tableColumn id="3" xr3:uid="{00000000-0010-0000-0700-000003000000}" name="Year Level" dataDxfId="73"/>
    <tableColumn id="4" xr3:uid="{00000000-0010-0000-0700-000004000000}" name="Study Period" dataDxfId="72"/>
    <tableColumn id="5" xr3:uid="{00000000-0010-0000-0700-000005000000}" name="Study Package Code" dataDxfId="71"/>
    <tableColumn id="6" xr3:uid="{00000000-0010-0000-0700-000006000000}" name="Ver" dataDxfId="70"/>
    <tableColumn id="7" xr3:uid="{00000000-0010-0000-0700-000007000000}" name="Structure Line" dataDxfId="69"/>
    <tableColumn id="8" xr3:uid="{00000000-0010-0000-0700-000008000000}" name="Credit Points" dataDxfId="68"/>
    <tableColumn id="14" xr3:uid="{00000000-0010-0000-0700-00000E000000}" name="Effective" dataDxfId="67"/>
    <tableColumn id="15" xr3:uid="{00000000-0010-0000-0700-00000F000000}" name="Discont." dataDxfId="66"/>
  </tableColumns>
  <tableStyleInfo name="TableStyleLight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8000000}" name="TableOSCUCONMS" displayName="TableOSCUCONMS" ref="A65:O71" totalsRowShown="0">
  <autoFilter ref="A65:O71" xr:uid="{00000000-0009-0000-0100-00000A000000}"/>
  <sortState xmlns:xlrd2="http://schemas.microsoft.com/office/spreadsheetml/2017/richdata2" ref="A66:N71">
    <sortCondition ref="F65:F71"/>
  </sortState>
  <tableColumns count="15">
    <tableColumn id="1" xr3:uid="{00000000-0010-0000-0800-000001000000}" name="UDC" dataDxfId="65">
      <calculatedColumnFormula>TableOSCUCONMS[[#This Row],[Study Package Code]]</calculatedColumnFormula>
    </tableColumn>
    <tableColumn id="9" xr3:uid="{00000000-0010-0000-0800-000009000000}" name="V" dataDxfId="64">
      <calculatedColumnFormula>TableOSCUCONMS[[#This Row],[Ver]]</calculatedColumnFormula>
    </tableColumn>
    <tableColumn id="10" xr3:uid="{00000000-0010-0000-0800-00000A000000}" name="OUA Code" dataDxfId="63">
      <calculatedColumnFormula>IF(TableOSCUCONMS[[#This Row],[Ver]]&gt;0,_xlfn.TEXTBEFORE(TableOSCUCONMS[[#This Row],[Structure Line]]," "),"")</calculatedColumnFormula>
    </tableColumn>
    <tableColumn id="11" xr3:uid="{00000000-0010-0000-0800-00000B000000}" name="Unit Title" dataDxfId="62">
      <calculatedColumnFormula>IF(TableOSCUCONMS[[#This Row],[OUA Code]]&lt;&gt;"",_xlfn.TEXTAFTER(TableOSCUCONMS[[#This Row],[Structure Line]]," "),TableOSCUCONMS[[#This Row],[Structure Line]])</calculatedColumnFormula>
    </tableColumn>
    <tableColumn id="12" xr3:uid="{00000000-0010-0000-0800-00000C000000}" name="CPs" dataDxfId="61">
      <calculatedColumnFormula>TableOSCUCONMS[[#This Row],[Credit Points]]</calculatedColumnFormula>
    </tableColumn>
    <tableColumn id="13" xr3:uid="{00000000-0010-0000-0800-00000D000000}" name="No." dataDxfId="60"/>
    <tableColumn id="2" xr3:uid="{00000000-0010-0000-0800-000002000000}" name="Component Type" dataDxfId="59"/>
    <tableColumn id="3" xr3:uid="{00000000-0010-0000-0800-000003000000}" name="Year Level" dataDxfId="58"/>
    <tableColumn id="4" xr3:uid="{00000000-0010-0000-0800-000004000000}" name="Study Period" dataDxfId="57"/>
    <tableColumn id="5" xr3:uid="{00000000-0010-0000-0800-000005000000}" name="Study Package Code" dataDxfId="56"/>
    <tableColumn id="6" xr3:uid="{00000000-0010-0000-0800-000006000000}" name="Ver" dataDxfId="55"/>
    <tableColumn id="7" xr3:uid="{00000000-0010-0000-0800-000007000000}" name="Structure Line" dataDxfId="54"/>
    <tableColumn id="8" xr3:uid="{00000000-0010-0000-0800-000008000000}" name="Credit Points" dataDxfId="53"/>
    <tableColumn id="14" xr3:uid="{00000000-0010-0000-0800-00000E000000}" name="Effective" dataDxfId="52"/>
    <tableColumn id="15" xr3:uid="{00000000-0010-0000-0800-00000F000000}" name="Discont." dataDxfId="51"/>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tudents.connect.curtin.edu.au/" TargetMode="External"/></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table" Target="../tables/table11.xml"/><Relationship Id="rId13" Type="http://schemas.openxmlformats.org/officeDocument/2006/relationships/table" Target="../tables/table16.xml"/><Relationship Id="rId3" Type="http://schemas.openxmlformats.org/officeDocument/2006/relationships/table" Target="../tables/table6.xml"/><Relationship Id="rId7" Type="http://schemas.openxmlformats.org/officeDocument/2006/relationships/table" Target="../tables/table10.xml"/><Relationship Id="rId12" Type="http://schemas.openxmlformats.org/officeDocument/2006/relationships/table" Target="../tables/table15.xml"/><Relationship Id="rId2" Type="http://schemas.openxmlformats.org/officeDocument/2006/relationships/table" Target="../tables/table5.xml"/><Relationship Id="rId1" Type="http://schemas.openxmlformats.org/officeDocument/2006/relationships/printerSettings" Target="../printerSettings/printerSettings4.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_rels/sheet6.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65"/>
  <sheetViews>
    <sheetView showGridLines="0" tabSelected="1" topLeftCell="A3" zoomScaleNormal="100" workbookViewId="0">
      <selection activeCell="D6" sqref="D6"/>
    </sheetView>
  </sheetViews>
  <sheetFormatPr defaultColWidth="9" defaultRowHeight="15" x14ac:dyDescent="0.25"/>
  <cols>
    <col min="1" max="1" width="11.75" style="103" customWidth="1"/>
    <col min="2" max="2" width="3.25" style="103" customWidth="1"/>
    <col min="3" max="3" width="10.375" style="103" customWidth="1"/>
    <col min="4" max="4" width="56" style="93" customWidth="1"/>
    <col min="5" max="5" width="7.5" style="93" customWidth="1"/>
    <col min="6" max="6" width="21.125" style="93" customWidth="1"/>
    <col min="7" max="7" width="5.625" style="93" customWidth="1"/>
    <col min="8" max="11" width="4.625" style="93" customWidth="1"/>
    <col min="12" max="12" width="18.625" style="93" customWidth="1"/>
    <col min="13" max="13" width="2.5" style="93" hidden="1" customWidth="1"/>
    <col min="14" max="16384" width="9" style="93"/>
  </cols>
  <sheetData>
    <row r="1" spans="1:16" hidden="1" x14ac:dyDescent="0.25">
      <c r="A1" s="89" t="s">
        <v>0</v>
      </c>
      <c r="B1" s="90" t="s">
        <v>1</v>
      </c>
      <c r="C1" s="90" t="s">
        <v>2</v>
      </c>
      <c r="D1" s="91" t="s">
        <v>3</v>
      </c>
      <c r="E1" s="91"/>
      <c r="F1" s="91" t="s">
        <v>4</v>
      </c>
      <c r="G1" s="91" t="s">
        <v>5</v>
      </c>
      <c r="H1" s="92" t="s">
        <v>6</v>
      </c>
      <c r="I1" s="91"/>
      <c r="J1" s="91"/>
      <c r="K1" s="91"/>
      <c r="L1" s="91" t="s">
        <v>7</v>
      </c>
    </row>
    <row r="2" spans="1:16" hidden="1" x14ac:dyDescent="0.25">
      <c r="A2" s="94"/>
      <c r="B2" s="95">
        <v>2</v>
      </c>
      <c r="C2" s="95">
        <v>3</v>
      </c>
      <c r="D2" s="95">
        <v>4</v>
      </c>
      <c r="E2" s="95"/>
      <c r="F2" s="95">
        <v>6</v>
      </c>
      <c r="G2" s="95">
        <v>5</v>
      </c>
      <c r="H2" s="95">
        <v>7</v>
      </c>
      <c r="I2" s="95">
        <v>8</v>
      </c>
      <c r="J2" s="95">
        <v>9</v>
      </c>
      <c r="K2" s="95">
        <v>10</v>
      </c>
      <c r="L2" s="96"/>
    </row>
    <row r="3" spans="1:16" ht="39.950000000000003" customHeight="1" x14ac:dyDescent="0.25">
      <c r="A3" s="97" t="s">
        <v>8</v>
      </c>
      <c r="B3" s="97"/>
      <c r="C3" s="97"/>
      <c r="D3" s="97"/>
      <c r="E3" s="98"/>
      <c r="F3" s="98"/>
      <c r="G3" s="98"/>
      <c r="H3" s="98"/>
      <c r="I3" s="98"/>
      <c r="J3" s="98"/>
      <c r="K3" s="98"/>
      <c r="L3" s="98"/>
    </row>
    <row r="4" spans="1:16" ht="25.5" x14ac:dyDescent="0.25">
      <c r="A4" s="99"/>
      <c r="B4" s="100"/>
      <c r="C4" s="100"/>
      <c r="D4" s="101"/>
      <c r="E4" s="101" t="s">
        <v>332</v>
      </c>
      <c r="F4" s="100"/>
      <c r="G4" s="102"/>
      <c r="H4" s="102"/>
      <c r="I4" s="102"/>
      <c r="J4" s="102"/>
      <c r="K4" s="102"/>
      <c r="L4" s="102"/>
    </row>
    <row r="5" spans="1:16" ht="20.100000000000001" customHeight="1" x14ac:dyDescent="0.25">
      <c r="B5" s="104"/>
      <c r="C5" s="105" t="s">
        <v>9</v>
      </c>
      <c r="D5" s="106" t="s">
        <v>10</v>
      </c>
      <c r="E5" s="107"/>
      <c r="F5" s="105" t="s">
        <v>347</v>
      </c>
      <c r="G5" s="107" t="str">
        <f>IFERROR(CONCATENATE(VLOOKUP(D5,TableCourses[],2,FALSE)," ",VLOOKUP(D5,TableCourses[],3,FALSE)),"")</f>
        <v>OB-ARCH v.4</v>
      </c>
      <c r="H5" s="107"/>
      <c r="I5" s="107"/>
      <c r="J5" s="107"/>
      <c r="K5" s="107"/>
      <c r="L5" s="108" t="e">
        <f>CONCATENATE(VLOOKUP(D5,TableCourses[],2,FALSE),VLOOKUP(D7,TableStudyPeriod[],2,FALSE))</f>
        <v>#N/A</v>
      </c>
    </row>
    <row r="6" spans="1:16" ht="20.100000000000001" customHeight="1" x14ac:dyDescent="0.25">
      <c r="B6" s="104"/>
      <c r="C6" s="105" t="s">
        <v>11</v>
      </c>
      <c r="D6" s="197" t="s">
        <v>12</v>
      </c>
      <c r="E6" s="107"/>
      <c r="F6" s="105" t="s">
        <v>13</v>
      </c>
      <c r="G6" s="107" t="str">
        <f>IFERROR(CONCATENATE(VLOOKUP(D6,TableSpecialisations[],2,FALSE)," ",VLOOKUP(D6,TableSpecialisations[],3,FALSE)),"")</f>
        <v/>
      </c>
      <c r="H6" s="107"/>
      <c r="I6" s="107"/>
      <c r="J6" s="107"/>
      <c r="K6" s="107"/>
      <c r="L6" s="108" t="e">
        <f>VLOOKUP($D$6,TableSpecialisations[],2,FALSE)</f>
        <v>#N/A</v>
      </c>
    </row>
    <row r="7" spans="1:16" ht="20.100000000000001" customHeight="1" x14ac:dyDescent="0.25">
      <c r="A7" s="109"/>
      <c r="B7" s="110"/>
      <c r="C7" s="105" t="s">
        <v>14</v>
      </c>
      <c r="D7" s="198" t="s">
        <v>15</v>
      </c>
      <c r="E7" s="111"/>
      <c r="F7" s="105" t="s">
        <v>16</v>
      </c>
      <c r="G7" s="107" t="str">
        <f>IFERROR(VLOOKUP($D$5,TableCourses[],7,FALSE),"")</f>
        <v>600 credit points required</v>
      </c>
      <c r="H7" s="112"/>
      <c r="I7" s="112"/>
      <c r="J7" s="112"/>
      <c r="K7" s="112"/>
      <c r="L7" s="113"/>
    </row>
    <row r="8" spans="1:16" s="121" customFormat="1" ht="14.1" customHeight="1" x14ac:dyDescent="0.25">
      <c r="A8" s="114"/>
      <c r="B8" s="114"/>
      <c r="C8" s="114"/>
      <c r="D8" s="115"/>
      <c r="E8" s="116"/>
      <c r="F8" s="114"/>
      <c r="G8" s="114"/>
      <c r="H8" s="117" t="s">
        <v>333</v>
      </c>
      <c r="I8" s="118"/>
      <c r="J8" s="118"/>
      <c r="K8" s="119"/>
      <c r="L8" s="116"/>
      <c r="M8" s="120"/>
      <c r="N8" s="120"/>
      <c r="O8" s="120"/>
    </row>
    <row r="9" spans="1:16" s="121" customFormat="1" ht="21" x14ac:dyDescent="0.25">
      <c r="A9" s="114" t="s">
        <v>17</v>
      </c>
      <c r="B9" s="114"/>
      <c r="C9" s="114" t="s">
        <v>18</v>
      </c>
      <c r="D9" s="122" t="s">
        <v>3</v>
      </c>
      <c r="E9" s="123" t="s">
        <v>19</v>
      </c>
      <c r="F9" s="124" t="s">
        <v>20</v>
      </c>
      <c r="G9" s="114" t="s">
        <v>21</v>
      </c>
      <c r="H9" s="125" t="s">
        <v>22</v>
      </c>
      <c r="I9" s="126" t="s">
        <v>23</v>
      </c>
      <c r="J9" s="126" t="s">
        <v>24</v>
      </c>
      <c r="K9" s="127" t="s">
        <v>25</v>
      </c>
      <c r="L9" s="114" t="s">
        <v>26</v>
      </c>
      <c r="M9" s="120"/>
      <c r="N9" s="120"/>
      <c r="O9" s="120"/>
    </row>
    <row r="10" spans="1:16" s="137" customFormat="1" ht="20.100000000000001" customHeight="1" x14ac:dyDescent="0.15">
      <c r="A10" s="128" t="str">
        <f>IFERROR(IF(HLOOKUP($L$5,RangeUnitsets,M10,FALSE)=0,"",HLOOKUP($L$5,RangeUnitsets,M10,FALSE)),"")</f>
        <v/>
      </c>
      <c r="B10" s="129" t="str">
        <f>IFERROR(IF(VLOOKUP($A10,TableHandbook[],2,FALSE)=0,"",VLOOKUP($A10,TableHandbook[],2,FALSE)),"")</f>
        <v/>
      </c>
      <c r="C10" s="129" t="str">
        <f>IFERROR(IF(VLOOKUP($A10,TableHandbook[],3,FALSE)=0,"",VLOOKUP($A10,TableHandbook[],3,FALSE)),"")</f>
        <v/>
      </c>
      <c r="D10" s="130" t="str">
        <f>IFERROR(IF(VLOOKUP($A10,TableHandbook[],4,FALSE)=0,"",VLOOKUP($A10,TableHandbook[],4,FALSE)),"")</f>
        <v/>
      </c>
      <c r="E10" s="129" t="str">
        <f>IF(A10="","",VLOOKUP($D$7,TableStudyPeriod[],2,FALSE))</f>
        <v/>
      </c>
      <c r="F10" s="131" t="str">
        <f>IFERROR(IF(VLOOKUP($A10,TableHandbook[],6,FALSE)=0,"",VLOOKUP($A10,TableHandbook[],6,FALSE)),"")</f>
        <v/>
      </c>
      <c r="G10" s="129" t="str">
        <f>IFERROR(IF(VLOOKUP($A10,TableHandbook[],5,FALSE)=0,"",VLOOKUP($A10,TableHandbook[],5,FALSE)),"")</f>
        <v/>
      </c>
      <c r="H10" s="132" t="str">
        <f>IFERROR(VLOOKUP($A10,TableHandbook[],H$2,FALSE),"")</f>
        <v/>
      </c>
      <c r="I10" s="133" t="str">
        <f>IFERROR(VLOOKUP($A10,TableHandbook[],I$2,FALSE),"")</f>
        <v/>
      </c>
      <c r="J10" s="133" t="str">
        <f>IFERROR(VLOOKUP($A10,TableHandbook[],J$2,FALSE),"")</f>
        <v/>
      </c>
      <c r="K10" s="134" t="str">
        <f>IFERROR(VLOOKUP($A10,TableHandbook[],K$2,FALSE),"")</f>
        <v/>
      </c>
      <c r="L10" s="21"/>
      <c r="M10" s="135">
        <v>2</v>
      </c>
      <c r="N10" s="136"/>
      <c r="O10" s="136"/>
    </row>
    <row r="11" spans="1:16" s="137" customFormat="1" ht="20.100000000000001" customHeight="1" x14ac:dyDescent="0.15">
      <c r="A11" s="128" t="str">
        <f>IFERROR(IF(HLOOKUP($L$5,RangeUnitsets,M11,FALSE)=0,"",HLOOKUP($L$5,RangeUnitsets,M11,FALSE)),"")</f>
        <v/>
      </c>
      <c r="B11" s="129" t="str">
        <f>IFERROR(IF(VLOOKUP($A11,TableHandbook[],2,FALSE)=0,"",VLOOKUP($A11,TableHandbook[],2,FALSE)),"")</f>
        <v/>
      </c>
      <c r="C11" s="129" t="str">
        <f>IFERROR(IF(VLOOKUP($A11,TableHandbook[],3,FALSE)=0,"",VLOOKUP($A11,TableHandbook[],3,FALSE)),"")</f>
        <v/>
      </c>
      <c r="D11" s="130" t="str">
        <f>IFERROR(IF(VLOOKUP($A11,TableHandbook[],4,FALSE)=0,"",VLOOKUP($A11,TableHandbook[],4,FALSE)),"")</f>
        <v/>
      </c>
      <c r="E11" s="129" t="str">
        <f>IF(A11="","",E10)</f>
        <v/>
      </c>
      <c r="F11" s="131" t="str">
        <f>IFERROR(IF(VLOOKUP($A11,TableHandbook[],6,FALSE)=0,"",VLOOKUP($A11,TableHandbook[],6,FALSE)),"")</f>
        <v/>
      </c>
      <c r="G11" s="129" t="str">
        <f>IFERROR(IF(VLOOKUP($A11,TableHandbook[],5,FALSE)=0,"",VLOOKUP($A11,TableHandbook[],5,FALSE)),"")</f>
        <v/>
      </c>
      <c r="H11" s="132" t="str">
        <f>IFERROR(VLOOKUP($A11,TableHandbook[],H$2,FALSE),"")</f>
        <v/>
      </c>
      <c r="I11" s="133" t="str">
        <f>IFERROR(VLOOKUP($A11,TableHandbook[],I$2,FALSE),"")</f>
        <v/>
      </c>
      <c r="J11" s="133" t="str">
        <f>IFERROR(VLOOKUP($A11,TableHandbook[],J$2,FALSE),"")</f>
        <v/>
      </c>
      <c r="K11" s="134" t="str">
        <f>IFERROR(VLOOKUP($A11,TableHandbook[],K$2,FALSE),"")</f>
        <v/>
      </c>
      <c r="L11" s="21"/>
      <c r="M11" s="135">
        <v>3</v>
      </c>
      <c r="N11" s="136"/>
      <c r="O11" s="136"/>
    </row>
    <row r="12" spans="1:16" s="137" customFormat="1" ht="5.0999999999999996" customHeight="1" x14ac:dyDescent="0.15">
      <c r="A12" s="138"/>
      <c r="B12" s="139"/>
      <c r="C12" s="139"/>
      <c r="D12" s="140"/>
      <c r="E12" s="139"/>
      <c r="F12" s="141"/>
      <c r="G12" s="139"/>
      <c r="H12" s="142"/>
      <c r="I12" s="143"/>
      <c r="J12" s="143"/>
      <c r="K12" s="144"/>
      <c r="L12" s="45"/>
      <c r="M12" s="135"/>
      <c r="N12" s="136"/>
      <c r="O12" s="136"/>
      <c r="P12" s="136"/>
    </row>
    <row r="13" spans="1:16" s="137" customFormat="1" ht="20.100000000000001" customHeight="1" x14ac:dyDescent="0.15">
      <c r="A13" s="128" t="str">
        <f>IFERROR(IF(HLOOKUP($L$5,RangeUnitsets,M13,FALSE)=0,"",HLOOKUP($L$5,RangeUnitsets,M13,FALSE)),"")</f>
        <v/>
      </c>
      <c r="B13" s="129" t="str">
        <f>IFERROR(IF(VLOOKUP($A13,TableHandbook[],2,FALSE)=0,"",VLOOKUP($A13,TableHandbook[],2,FALSE)),"")</f>
        <v/>
      </c>
      <c r="C13" s="129" t="str">
        <f>IFERROR(IF(VLOOKUP($A13,TableHandbook[],3,FALSE)=0,"",VLOOKUP($A13,TableHandbook[],3,FALSE)),"")</f>
        <v/>
      </c>
      <c r="D13" s="130" t="str">
        <f>IFERROR(IF(VLOOKUP($A13,TableHandbook[],4,FALSE)=0,"",VLOOKUP($A13,TableHandbook[],4,FALSE)),"")</f>
        <v/>
      </c>
      <c r="E13" s="129" t="str">
        <f>IF(A13="","",VLOOKUP($D$7,TableStudyPeriod[],3,FALSE))</f>
        <v/>
      </c>
      <c r="F13" s="131" t="str">
        <f>IFERROR(IF(VLOOKUP($A13,TableHandbook[],6,FALSE)=0,"",VLOOKUP($A13,TableHandbook[],6,FALSE)),"")</f>
        <v/>
      </c>
      <c r="G13" s="129" t="str">
        <f>IFERROR(IF(VLOOKUP($A13,TableHandbook[],5,FALSE)=0,"",VLOOKUP($A13,TableHandbook[],5,FALSE)),"")</f>
        <v/>
      </c>
      <c r="H13" s="132" t="str">
        <f>IFERROR(VLOOKUP($A13,TableHandbook[],H$2,FALSE),"")</f>
        <v/>
      </c>
      <c r="I13" s="133" t="str">
        <f>IFERROR(VLOOKUP($A13,TableHandbook[],I$2,FALSE),"")</f>
        <v/>
      </c>
      <c r="J13" s="133" t="str">
        <f>IFERROR(VLOOKUP($A13,TableHandbook[],J$2,FALSE),"")</f>
        <v/>
      </c>
      <c r="K13" s="134" t="str">
        <f>IFERROR(VLOOKUP($A13,TableHandbook[],K$2,FALSE),"")</f>
        <v/>
      </c>
      <c r="L13" s="22"/>
      <c r="M13" s="135">
        <v>4</v>
      </c>
      <c r="N13" s="136"/>
      <c r="O13" s="136"/>
    </row>
    <row r="14" spans="1:16" s="137" customFormat="1" ht="20.100000000000001" customHeight="1" x14ac:dyDescent="0.15">
      <c r="A14" s="128" t="str">
        <f>IFERROR(IF(HLOOKUP($L$5,RangeUnitsets,M14,FALSE)=0,"",HLOOKUP($L$5,RangeUnitsets,M14,FALSE)),"")</f>
        <v/>
      </c>
      <c r="B14" s="129" t="str">
        <f>IFERROR(IF(VLOOKUP($A14,TableHandbook[],2,FALSE)=0,"",VLOOKUP($A14,TableHandbook[],2,FALSE)),"")</f>
        <v/>
      </c>
      <c r="C14" s="129" t="str">
        <f>IFERROR(IF(VLOOKUP($A14,TableHandbook[],3,FALSE)=0,"",VLOOKUP($A14,TableHandbook[],3,FALSE)),"")</f>
        <v/>
      </c>
      <c r="D14" s="130" t="str">
        <f>IFERROR(IF(VLOOKUP($A14,TableHandbook[],4,FALSE)=0,"",VLOOKUP($A14,TableHandbook[],4,FALSE)),"")</f>
        <v/>
      </c>
      <c r="E14" s="129" t="str">
        <f>IF(A14="","",E13)</f>
        <v/>
      </c>
      <c r="F14" s="131" t="str">
        <f>IFERROR(IF(VLOOKUP($A14,TableHandbook[],6,FALSE)=0,"",VLOOKUP($A14,TableHandbook[],6,FALSE)),"")</f>
        <v/>
      </c>
      <c r="G14" s="129" t="str">
        <f>IFERROR(IF(VLOOKUP($A14,TableHandbook[],5,FALSE)=0,"",VLOOKUP($A14,TableHandbook[],5,FALSE)),"")</f>
        <v/>
      </c>
      <c r="H14" s="132" t="str">
        <f>IFERROR(VLOOKUP($A14,TableHandbook[],H$2,FALSE),"")</f>
        <v/>
      </c>
      <c r="I14" s="133" t="str">
        <f>IFERROR(VLOOKUP($A14,TableHandbook[],I$2,FALSE),"")</f>
        <v/>
      </c>
      <c r="J14" s="133" t="str">
        <f>IFERROR(VLOOKUP($A14,TableHandbook[],J$2,FALSE),"")</f>
        <v/>
      </c>
      <c r="K14" s="134" t="str">
        <f>IFERROR(VLOOKUP($A14,TableHandbook[],K$2,FALSE),"")</f>
        <v/>
      </c>
      <c r="L14" s="21"/>
      <c r="M14" s="135">
        <v>5</v>
      </c>
      <c r="N14" s="136"/>
      <c r="O14" s="136"/>
    </row>
    <row r="15" spans="1:16" s="137" customFormat="1" ht="5.0999999999999996" customHeight="1" x14ac:dyDescent="0.15">
      <c r="A15" s="138"/>
      <c r="B15" s="139"/>
      <c r="C15" s="139"/>
      <c r="D15" s="140"/>
      <c r="E15" s="139"/>
      <c r="F15" s="141"/>
      <c r="G15" s="139"/>
      <c r="H15" s="142"/>
      <c r="I15" s="143"/>
      <c r="J15" s="143"/>
      <c r="K15" s="144"/>
      <c r="L15" s="45"/>
      <c r="M15" s="135"/>
      <c r="N15" s="136"/>
      <c r="O15" s="136"/>
      <c r="P15" s="136"/>
    </row>
    <row r="16" spans="1:16" s="137" customFormat="1" ht="20.100000000000001" customHeight="1" x14ac:dyDescent="0.15">
      <c r="A16" s="128" t="str">
        <f>IFERROR(IF(HLOOKUP($L$5,RangeUnitsets,M16,FALSE)=0,"",HLOOKUP($L$5,RangeUnitsets,M16,FALSE)),"")</f>
        <v/>
      </c>
      <c r="B16" s="145" t="str">
        <f>IFERROR(IF(VLOOKUP($A16,TableHandbook[],2,FALSE)=0,"",VLOOKUP($A16,TableHandbook[],2,FALSE)),"")</f>
        <v/>
      </c>
      <c r="C16" s="145" t="str">
        <f>IFERROR(IF(VLOOKUP($A16,TableHandbook[],3,FALSE)=0,"",VLOOKUP($A16,TableHandbook[],3,FALSE)),"")</f>
        <v/>
      </c>
      <c r="D16" s="130" t="str">
        <f>IFERROR(IF(VLOOKUP($A16,TableHandbook[],4,FALSE)=0,"",VLOOKUP($A16,TableHandbook[],4,FALSE)),"")</f>
        <v/>
      </c>
      <c r="E16" s="129" t="str">
        <f>IF(A16="","",VLOOKUP($D$7,TableStudyPeriod[],4,FALSE))</f>
        <v/>
      </c>
      <c r="F16" s="131" t="str">
        <f>IFERROR(IF(VLOOKUP($A16,TableHandbook[],6,FALSE)=0,"",VLOOKUP($A16,TableHandbook[],6,FALSE)),"")</f>
        <v/>
      </c>
      <c r="G16" s="145" t="str">
        <f>IFERROR(IF(VLOOKUP($A16,TableHandbook[],5,FALSE)=0,"",VLOOKUP($A16,TableHandbook[],5,FALSE)),"")</f>
        <v/>
      </c>
      <c r="H16" s="146" t="str">
        <f>IFERROR(VLOOKUP($A16,TableHandbook[],H$2,FALSE),"")</f>
        <v/>
      </c>
      <c r="I16" s="147" t="str">
        <f>IFERROR(VLOOKUP($A16,TableHandbook[],I$2,FALSE),"")</f>
        <v/>
      </c>
      <c r="J16" s="147" t="str">
        <f>IFERROR(VLOOKUP($A16,TableHandbook[],J$2,FALSE),"")</f>
        <v/>
      </c>
      <c r="K16" s="148" t="str">
        <f>IFERROR(VLOOKUP($A16,TableHandbook[],K$2,FALSE),"")</f>
        <v/>
      </c>
      <c r="L16" s="22"/>
      <c r="M16" s="135">
        <v>6</v>
      </c>
      <c r="N16" s="136"/>
      <c r="O16" s="136"/>
    </row>
    <row r="17" spans="1:16" s="150" customFormat="1" ht="20.100000000000001" customHeight="1" x14ac:dyDescent="0.15">
      <c r="A17" s="128" t="str">
        <f>IFERROR(IF(HLOOKUP($L$5,RangeUnitsets,M17,FALSE)=0,"",HLOOKUP($L$5,RangeUnitsets,M17,FALSE)),"")</f>
        <v/>
      </c>
      <c r="B17" s="145" t="str">
        <f>IFERROR(IF(VLOOKUP($A17,TableHandbook[],2,FALSE)=0,"",VLOOKUP($A17,TableHandbook[],2,FALSE)),"")</f>
        <v/>
      </c>
      <c r="C17" s="145" t="str">
        <f>IFERROR(IF(VLOOKUP($A17,TableHandbook[],3,FALSE)=0,"",VLOOKUP($A17,TableHandbook[],3,FALSE)),"")</f>
        <v/>
      </c>
      <c r="D17" s="130" t="str">
        <f>IFERROR(IF(VLOOKUP($A17,TableHandbook[],4,FALSE)=0,"",VLOOKUP($A17,TableHandbook[],4,FALSE)),"")</f>
        <v/>
      </c>
      <c r="E17" s="129" t="str">
        <f>IF(A17="","",E16)</f>
        <v/>
      </c>
      <c r="F17" s="131" t="str">
        <f>IFERROR(IF(VLOOKUP($A17,TableHandbook[],6,FALSE)=0,"",VLOOKUP($A17,TableHandbook[],6,FALSE)),"")</f>
        <v/>
      </c>
      <c r="G17" s="145" t="str">
        <f>IFERROR(IF(VLOOKUP($A17,TableHandbook[],5,FALSE)=0,"",VLOOKUP($A17,TableHandbook[],5,FALSE)),"")</f>
        <v/>
      </c>
      <c r="H17" s="146" t="str">
        <f>IFERROR(VLOOKUP($A17,TableHandbook[],H$2,FALSE),"")</f>
        <v/>
      </c>
      <c r="I17" s="147" t="str">
        <f>IFERROR(VLOOKUP($A17,TableHandbook[],I$2,FALSE),"")</f>
        <v/>
      </c>
      <c r="J17" s="147" t="str">
        <f>IFERROR(VLOOKUP($A17,TableHandbook[],J$2,FALSE),"")</f>
        <v/>
      </c>
      <c r="K17" s="148" t="str">
        <f>IFERROR(VLOOKUP($A17,TableHandbook[],K$2,FALSE),"")</f>
        <v/>
      </c>
      <c r="L17" s="22"/>
      <c r="M17" s="135">
        <v>7</v>
      </c>
      <c r="N17" s="149"/>
      <c r="O17" s="149"/>
    </row>
    <row r="18" spans="1:16" s="137" customFormat="1" ht="5.0999999999999996" customHeight="1" x14ac:dyDescent="0.15">
      <c r="A18" s="138"/>
      <c r="B18" s="139"/>
      <c r="C18" s="139"/>
      <c r="D18" s="140"/>
      <c r="E18" s="139"/>
      <c r="F18" s="141"/>
      <c r="G18" s="139"/>
      <c r="H18" s="142"/>
      <c r="I18" s="143"/>
      <c r="J18" s="143"/>
      <c r="K18" s="144"/>
      <c r="L18" s="45"/>
      <c r="M18" s="135"/>
      <c r="N18" s="136"/>
      <c r="O18" s="136"/>
      <c r="P18" s="136"/>
    </row>
    <row r="19" spans="1:16" s="150" customFormat="1" ht="20.100000000000001" customHeight="1" x14ac:dyDescent="0.15">
      <c r="A19" s="128" t="str">
        <f>IFERROR(IF(HLOOKUP($L$5,RangeUnitsets,M19,FALSE)=0,"",HLOOKUP($L$5,RangeUnitsets,M19,FALSE)),"")</f>
        <v/>
      </c>
      <c r="B19" s="145" t="str">
        <f>IFERROR(IF(VLOOKUP($A19,TableHandbook[],2,FALSE)=0,"",VLOOKUP($A19,TableHandbook[],2,FALSE)),"")</f>
        <v/>
      </c>
      <c r="C19" s="145" t="str">
        <f>IFERROR(IF(VLOOKUP($A19,TableHandbook[],3,FALSE)=0,"",VLOOKUP($A19,TableHandbook[],3,FALSE)),"")</f>
        <v/>
      </c>
      <c r="D19" s="130" t="str">
        <f>IFERROR(IF(VLOOKUP($A19,TableHandbook[],4,FALSE)=0,"",VLOOKUP($A19,TableHandbook[],4,FALSE)),"")</f>
        <v/>
      </c>
      <c r="E19" s="129" t="str">
        <f>IF(A19="","",VLOOKUP($D$7,TableStudyPeriod[],5,FALSE))</f>
        <v/>
      </c>
      <c r="F19" s="131" t="str">
        <f>IFERROR(IF(VLOOKUP($A19,TableHandbook[],6,FALSE)=0,"",VLOOKUP($A19,TableHandbook[],6,FALSE)),"")</f>
        <v/>
      </c>
      <c r="G19" s="145" t="str">
        <f>IFERROR(IF(VLOOKUP($A19,TableHandbook[],5,FALSE)=0,"",VLOOKUP($A19,TableHandbook[],5,FALSE)),"")</f>
        <v/>
      </c>
      <c r="H19" s="146" t="str">
        <f>IFERROR(VLOOKUP($A19,TableHandbook[],H$2,FALSE),"")</f>
        <v/>
      </c>
      <c r="I19" s="147" t="str">
        <f>IFERROR(VLOOKUP($A19,TableHandbook[],I$2,FALSE),"")</f>
        <v/>
      </c>
      <c r="J19" s="147" t="str">
        <f>IFERROR(VLOOKUP($A19,TableHandbook[],J$2,FALSE),"")</f>
        <v/>
      </c>
      <c r="K19" s="148" t="str">
        <f>IFERROR(VLOOKUP($A19,TableHandbook[],K$2,FALSE),"")</f>
        <v/>
      </c>
      <c r="L19" s="22"/>
      <c r="M19" s="135">
        <v>8</v>
      </c>
      <c r="N19" s="149"/>
      <c r="O19" s="149"/>
    </row>
    <row r="20" spans="1:16" s="150" customFormat="1" ht="20.100000000000001" customHeight="1" x14ac:dyDescent="0.15">
      <c r="A20" s="128" t="str">
        <f>IFERROR(IF(HLOOKUP($L$5,RangeUnitsets,M20,FALSE)=0,"",HLOOKUP($L$5,RangeUnitsets,M20,FALSE)),"")</f>
        <v/>
      </c>
      <c r="B20" s="145" t="str">
        <f>IFERROR(IF(VLOOKUP($A20,TableHandbook[],2,FALSE)=0,"",VLOOKUP($A20,TableHandbook[],2,FALSE)),"")</f>
        <v/>
      </c>
      <c r="C20" s="145" t="str">
        <f>IFERROR(IF(VLOOKUP($A20,TableHandbook[],3,FALSE)=0,"",VLOOKUP($A20,TableHandbook[],3,FALSE)),"")</f>
        <v/>
      </c>
      <c r="D20" s="151" t="str">
        <f>IFERROR(IF(VLOOKUP($A20,TableHandbook[],4,FALSE)=0,"",VLOOKUP($A20,TableHandbook[],4,FALSE)),"")</f>
        <v/>
      </c>
      <c r="E20" s="145" t="str">
        <f>IF(A20="","",E19)</f>
        <v/>
      </c>
      <c r="F20" s="131" t="str">
        <f>IFERROR(IF(VLOOKUP($A20,TableHandbook[],6,FALSE)=0,"",VLOOKUP($A20,TableHandbook[],6,FALSE)),"")</f>
        <v/>
      </c>
      <c r="G20" s="145" t="str">
        <f>IFERROR(IF(VLOOKUP($A20,TableHandbook[],5,FALSE)=0,"",VLOOKUP($A20,TableHandbook[],5,FALSE)),"")</f>
        <v/>
      </c>
      <c r="H20" s="146" t="str">
        <f>IFERROR(VLOOKUP($A20,TableHandbook[],H$2,FALSE),"")</f>
        <v/>
      </c>
      <c r="I20" s="147" t="str">
        <f>IFERROR(VLOOKUP($A20,TableHandbook[],I$2,FALSE),"")</f>
        <v/>
      </c>
      <c r="J20" s="147" t="str">
        <f>IFERROR(VLOOKUP($A20,TableHandbook[],J$2,FALSE),"")</f>
        <v/>
      </c>
      <c r="K20" s="148" t="str">
        <f>IFERROR(VLOOKUP($A20,TableHandbook[],K$2,FALSE),"")</f>
        <v/>
      </c>
      <c r="L20" s="22"/>
      <c r="M20" s="135">
        <v>9</v>
      </c>
      <c r="N20" s="149"/>
      <c r="O20" s="149"/>
    </row>
    <row r="21" spans="1:16" s="121" customFormat="1" ht="21" x14ac:dyDescent="0.25">
      <c r="A21" s="114" t="s">
        <v>27</v>
      </c>
      <c r="B21" s="114"/>
      <c r="C21" s="114" t="s">
        <v>18</v>
      </c>
      <c r="D21" s="122" t="s">
        <v>3</v>
      </c>
      <c r="E21" s="123" t="s">
        <v>19</v>
      </c>
      <c r="F21" s="124" t="s">
        <v>20</v>
      </c>
      <c r="G21" s="114" t="s">
        <v>21</v>
      </c>
      <c r="H21" s="125" t="str">
        <f>H$9</f>
        <v>SP1</v>
      </c>
      <c r="I21" s="126" t="str">
        <f t="shared" ref="I21:L21" si="0">I$9</f>
        <v>SP2</v>
      </c>
      <c r="J21" s="126" t="str">
        <f t="shared" si="0"/>
        <v>SP3</v>
      </c>
      <c r="K21" s="127" t="str">
        <f t="shared" si="0"/>
        <v>SP4</v>
      </c>
      <c r="L21" s="114" t="str">
        <f t="shared" si="0"/>
        <v>Notes / Progress</v>
      </c>
      <c r="M21" s="152"/>
      <c r="N21" s="120"/>
      <c r="O21" s="120"/>
    </row>
    <row r="22" spans="1:16" s="137" customFormat="1" ht="20.100000000000001" customHeight="1" x14ac:dyDescent="0.15">
      <c r="A22" s="128" t="str">
        <f>IFERROR(IF(HLOOKUP($L$5,RangeUnitsets,M22,FALSE)=0,"",HLOOKUP($L$5,RangeUnitsets,M22,FALSE)),"")</f>
        <v/>
      </c>
      <c r="B22" s="145" t="str">
        <f>IFERROR(IF(VLOOKUP($A22,TableHandbook[],2,FALSE)=0,"",VLOOKUP($A22,TableHandbook[],2,FALSE)),"")</f>
        <v/>
      </c>
      <c r="C22" s="145" t="str">
        <f>IFERROR(IF(VLOOKUP($A22,TableHandbook[],3,FALSE)=0,"",VLOOKUP($A22,TableHandbook[],3,FALSE)),"")</f>
        <v/>
      </c>
      <c r="D22" s="153" t="str">
        <f>IFERROR(IF(VLOOKUP($A22,TableHandbook[],4,FALSE)=0,"",VLOOKUP($A22,TableHandbook[],4,FALSE)),"")</f>
        <v/>
      </c>
      <c r="E22" s="145" t="str">
        <f>IF(A22="","",VLOOKUP($D$7,TableStudyPeriod[],2,FALSE))</f>
        <v/>
      </c>
      <c r="F22" s="131" t="str">
        <f>IFERROR(IF(VLOOKUP($A22,TableHandbook[],6,FALSE)=0,"",VLOOKUP($A22,TableHandbook[],6,FALSE)),"")</f>
        <v/>
      </c>
      <c r="G22" s="129" t="str">
        <f>IFERROR(IF(VLOOKUP($A22,TableHandbook[],5,FALSE)=0,"",VLOOKUP($A22,TableHandbook[],5,FALSE)),"")</f>
        <v/>
      </c>
      <c r="H22" s="132" t="str">
        <f>IFERROR(VLOOKUP($A22,TableHandbook[],H$2,FALSE),"")</f>
        <v/>
      </c>
      <c r="I22" s="133" t="str">
        <f>IFERROR(VLOOKUP($A22,TableHandbook[],I$2,FALSE),"")</f>
        <v/>
      </c>
      <c r="J22" s="133" t="str">
        <f>IFERROR(VLOOKUP($A22,TableHandbook[],J$2,FALSE),"")</f>
        <v/>
      </c>
      <c r="K22" s="134" t="str">
        <f>IFERROR(VLOOKUP($A22,TableHandbook[],K$2,FALSE),"")</f>
        <v/>
      </c>
      <c r="L22" s="21"/>
      <c r="M22" s="135">
        <v>10</v>
      </c>
      <c r="N22" s="136"/>
      <c r="O22" s="136"/>
    </row>
    <row r="23" spans="1:16" s="137" customFormat="1" ht="20.100000000000001" customHeight="1" x14ac:dyDescent="0.15">
      <c r="A23" s="128" t="str">
        <f>IFERROR(IF(HLOOKUP($L$5,RangeUnitsets,M23,FALSE)=0,"",HLOOKUP($L$5,RangeUnitsets,M23,FALSE)),"")</f>
        <v/>
      </c>
      <c r="B23" s="145" t="str">
        <f>IFERROR(IF(VLOOKUP($A23,TableHandbook[],2,FALSE)=0,"",VLOOKUP($A23,TableHandbook[],2,FALSE)),"")</f>
        <v/>
      </c>
      <c r="C23" s="145" t="str">
        <f>IFERROR(IF(VLOOKUP($A23,TableHandbook[],3,FALSE)=0,"",VLOOKUP($A23,TableHandbook[],3,FALSE)),"")</f>
        <v/>
      </c>
      <c r="D23" s="151" t="str">
        <f>IFERROR(IF(VLOOKUP($A23,TableHandbook[],4,FALSE)=0,"",VLOOKUP($A23,TableHandbook[],4,FALSE)),"")</f>
        <v/>
      </c>
      <c r="E23" s="145" t="str">
        <f>IF(A23="","",E22)</f>
        <v/>
      </c>
      <c r="F23" s="131" t="str">
        <f>IFERROR(IF(VLOOKUP($A23,TableHandbook[],6,FALSE)=0,"",VLOOKUP($A23,TableHandbook[],6,FALSE)),"")</f>
        <v/>
      </c>
      <c r="G23" s="129" t="str">
        <f>IFERROR(IF(VLOOKUP($A23,TableHandbook[],5,FALSE)=0,"",VLOOKUP($A23,TableHandbook[],5,FALSE)),"")</f>
        <v/>
      </c>
      <c r="H23" s="132" t="str">
        <f>IFERROR(VLOOKUP($A23,TableHandbook[],H$2,FALSE),"")</f>
        <v/>
      </c>
      <c r="I23" s="133" t="str">
        <f>IFERROR(VLOOKUP($A23,TableHandbook[],I$2,FALSE),"")</f>
        <v/>
      </c>
      <c r="J23" s="133" t="str">
        <f>IFERROR(VLOOKUP($A23,TableHandbook[],J$2,FALSE),"")</f>
        <v/>
      </c>
      <c r="K23" s="134" t="str">
        <f>IFERROR(VLOOKUP($A23,TableHandbook[],K$2,FALSE),"")</f>
        <v/>
      </c>
      <c r="L23" s="21"/>
      <c r="M23" s="135">
        <v>11</v>
      </c>
      <c r="N23" s="136"/>
      <c r="O23" s="136"/>
    </row>
    <row r="24" spans="1:16" s="137" customFormat="1" ht="5.0999999999999996" customHeight="1" x14ac:dyDescent="0.15">
      <c r="A24" s="138"/>
      <c r="B24" s="139"/>
      <c r="C24" s="139"/>
      <c r="D24" s="140"/>
      <c r="E24" s="139"/>
      <c r="F24" s="141"/>
      <c r="G24" s="139"/>
      <c r="H24" s="142"/>
      <c r="I24" s="143"/>
      <c r="J24" s="143"/>
      <c r="K24" s="144"/>
      <c r="L24" s="45"/>
      <c r="M24" s="135"/>
      <c r="N24" s="136"/>
      <c r="O24" s="136"/>
      <c r="P24" s="136"/>
    </row>
    <row r="25" spans="1:16" s="137" customFormat="1" ht="20.100000000000001" customHeight="1" x14ac:dyDescent="0.15">
      <c r="A25" s="128" t="str">
        <f>IFERROR(IF(HLOOKUP($L$5,RangeUnitsets,M25,FALSE)=0,"",HLOOKUP($L$5,RangeUnitsets,M25,FALSE)),"")</f>
        <v/>
      </c>
      <c r="B25" s="145" t="str">
        <f>IFERROR(IF(VLOOKUP($A25,TableHandbook[],2,FALSE)=0,"",VLOOKUP($A25,TableHandbook[],2,FALSE)),"")</f>
        <v/>
      </c>
      <c r="C25" s="145" t="str">
        <f>IFERROR(IF(VLOOKUP($A25,TableHandbook[],3,FALSE)=0,"",VLOOKUP($A25,TableHandbook[],3,FALSE)),"")</f>
        <v/>
      </c>
      <c r="D25" s="151" t="str">
        <f>IFERROR(IF(VLOOKUP($A25,TableHandbook[],4,FALSE)=0,"",VLOOKUP($A25,TableHandbook[],4,FALSE)),"")</f>
        <v/>
      </c>
      <c r="E25" s="145" t="str">
        <f>IF(A25="","",VLOOKUP($D$7,TableStudyPeriod[],3,FALSE))</f>
        <v/>
      </c>
      <c r="F25" s="131" t="str">
        <f>IFERROR(IF(VLOOKUP($A25,TableHandbook[],6,FALSE)=0,"",VLOOKUP($A25,TableHandbook[],6,FALSE)),"")</f>
        <v/>
      </c>
      <c r="G25" s="129" t="str">
        <f>IFERROR(IF(VLOOKUP($A25,TableHandbook[],5,FALSE)=0,"",VLOOKUP($A25,TableHandbook[],5,FALSE)),"")</f>
        <v/>
      </c>
      <c r="H25" s="132" t="str">
        <f>IFERROR(VLOOKUP($A25,TableHandbook[],H$2,FALSE),"")</f>
        <v/>
      </c>
      <c r="I25" s="133" t="str">
        <f>IFERROR(VLOOKUP($A25,TableHandbook[],I$2,FALSE),"")</f>
        <v/>
      </c>
      <c r="J25" s="133" t="str">
        <f>IFERROR(VLOOKUP($A25,TableHandbook[],J$2,FALSE),"")</f>
        <v/>
      </c>
      <c r="K25" s="134" t="str">
        <f>IFERROR(VLOOKUP($A25,TableHandbook[],K$2,FALSE),"")</f>
        <v/>
      </c>
      <c r="L25" s="21"/>
      <c r="M25" s="135">
        <v>12</v>
      </c>
      <c r="N25" s="136"/>
      <c r="O25" s="136"/>
    </row>
    <row r="26" spans="1:16" s="137" customFormat="1" ht="20.100000000000001" customHeight="1" x14ac:dyDescent="0.15">
      <c r="A26" s="128" t="str">
        <f>IFERROR(IF(HLOOKUP($L$5,RangeUnitsets,M26,FALSE)=0,"",HLOOKUP($L$5,RangeUnitsets,M26,FALSE)),"")</f>
        <v/>
      </c>
      <c r="B26" s="145" t="str">
        <f>IFERROR(IF(VLOOKUP($A26,TableHandbook[],2,FALSE)=0,"",VLOOKUP($A26,TableHandbook[],2,FALSE)),"")</f>
        <v/>
      </c>
      <c r="C26" s="145" t="str">
        <f>IFERROR(IF(VLOOKUP($A26,TableHandbook[],3,FALSE)=0,"",VLOOKUP($A26,TableHandbook[],3,FALSE)),"")</f>
        <v/>
      </c>
      <c r="D26" s="151" t="str">
        <f>IFERROR(IF(VLOOKUP($A26,TableHandbook[],4,FALSE)=0,"",VLOOKUP($A26,TableHandbook[],4,FALSE)),"")</f>
        <v/>
      </c>
      <c r="E26" s="145" t="str">
        <f>IF(A26="","",E25)</f>
        <v/>
      </c>
      <c r="F26" s="131" t="str">
        <f>IFERROR(IF(VLOOKUP($A26,TableHandbook[],6,FALSE)=0,"",VLOOKUP($A26,TableHandbook[],6,FALSE)),"")</f>
        <v/>
      </c>
      <c r="G26" s="129" t="str">
        <f>IFERROR(IF(VLOOKUP($A26,TableHandbook[],5,FALSE)=0,"",VLOOKUP($A26,TableHandbook[],5,FALSE)),"")</f>
        <v/>
      </c>
      <c r="H26" s="132" t="str">
        <f>IFERROR(VLOOKUP($A26,TableHandbook[],H$2,FALSE),"")</f>
        <v/>
      </c>
      <c r="I26" s="133" t="str">
        <f>IFERROR(VLOOKUP($A26,TableHandbook[],I$2,FALSE),"")</f>
        <v/>
      </c>
      <c r="J26" s="133" t="str">
        <f>IFERROR(VLOOKUP($A26,TableHandbook[],J$2,FALSE),"")</f>
        <v/>
      </c>
      <c r="K26" s="134" t="str">
        <f>IFERROR(VLOOKUP($A26,TableHandbook[],K$2,FALSE),"")</f>
        <v/>
      </c>
      <c r="L26" s="21"/>
      <c r="M26" s="135">
        <v>13</v>
      </c>
      <c r="N26" s="136"/>
      <c r="O26" s="136"/>
    </row>
    <row r="27" spans="1:16" s="137" customFormat="1" ht="5.0999999999999996" customHeight="1" x14ac:dyDescent="0.15">
      <c r="A27" s="138"/>
      <c r="B27" s="139"/>
      <c r="C27" s="139"/>
      <c r="D27" s="140"/>
      <c r="E27" s="139"/>
      <c r="F27" s="141"/>
      <c r="G27" s="139"/>
      <c r="H27" s="142"/>
      <c r="I27" s="143"/>
      <c r="J27" s="143"/>
      <c r="K27" s="144"/>
      <c r="L27" s="45"/>
      <c r="M27" s="135"/>
      <c r="N27" s="136"/>
      <c r="O27" s="136"/>
      <c r="P27" s="136"/>
    </row>
    <row r="28" spans="1:16" s="137" customFormat="1" ht="20.100000000000001" customHeight="1" x14ac:dyDescent="0.15">
      <c r="A28" s="128" t="str">
        <f>IFERROR(IF(HLOOKUP($L$5,RangeUnitsets,M28,FALSE)=0,"",HLOOKUP($L$5,RangeUnitsets,M28,FALSE)),"")</f>
        <v/>
      </c>
      <c r="B28" s="145" t="str">
        <f>IFERROR(IF(VLOOKUP($A28,TableHandbook[],2,FALSE)=0,"",VLOOKUP($A28,TableHandbook[],2,FALSE)),"")</f>
        <v/>
      </c>
      <c r="C28" s="145" t="str">
        <f>IFERROR(IF(VLOOKUP($A28,TableHandbook[],3,FALSE)=0,"",VLOOKUP($A28,TableHandbook[],3,FALSE)),"")</f>
        <v/>
      </c>
      <c r="D28" s="151" t="str">
        <f>IFERROR(IF(VLOOKUP($A28,TableHandbook[],4,FALSE)=0,"",VLOOKUP($A28,TableHandbook[],4,FALSE)),"")</f>
        <v/>
      </c>
      <c r="E28" s="145" t="str">
        <f>IF(A28="","",VLOOKUP($D$7,TableStudyPeriod[],4,FALSE))</f>
        <v/>
      </c>
      <c r="F28" s="131" t="str">
        <f>IFERROR(IF(VLOOKUP($A28,TableHandbook[],6,FALSE)=0,"",VLOOKUP($A28,TableHandbook[],6,FALSE)),"")</f>
        <v/>
      </c>
      <c r="G28" s="129" t="str">
        <f>IFERROR(IF(VLOOKUP($A28,TableHandbook[],5,FALSE)=0,"",VLOOKUP($A28,TableHandbook[],5,FALSE)),"")</f>
        <v/>
      </c>
      <c r="H28" s="132" t="str">
        <f>IFERROR(VLOOKUP($A28,TableHandbook[],H$2,FALSE),"")</f>
        <v/>
      </c>
      <c r="I28" s="133" t="str">
        <f>IFERROR(VLOOKUP($A28,TableHandbook[],I$2,FALSE),"")</f>
        <v/>
      </c>
      <c r="J28" s="133" t="str">
        <f>IFERROR(VLOOKUP($A28,TableHandbook[],J$2,FALSE),"")</f>
        <v/>
      </c>
      <c r="K28" s="134" t="str">
        <f>IFERROR(VLOOKUP($A28,TableHandbook[],K$2,FALSE),"")</f>
        <v/>
      </c>
      <c r="L28" s="21"/>
      <c r="M28" s="135">
        <v>14</v>
      </c>
      <c r="N28" s="136"/>
      <c r="O28" s="136"/>
    </row>
    <row r="29" spans="1:16" s="137" customFormat="1" ht="20.100000000000001" customHeight="1" x14ac:dyDescent="0.15">
      <c r="A29" s="128" t="str">
        <f>IFERROR(IF(HLOOKUP($L$5,RangeUnitsets,M29,FALSE)=0,"",HLOOKUP($L$5,RangeUnitsets,M29,FALSE)),"")</f>
        <v/>
      </c>
      <c r="B29" s="145" t="str">
        <f>IFERROR(IF(VLOOKUP($A29,TableHandbook[],2,FALSE)=0,"",VLOOKUP($A29,TableHandbook[],2,FALSE)),"")</f>
        <v/>
      </c>
      <c r="C29" s="145" t="str">
        <f>IFERROR(IF(VLOOKUP($A29,TableHandbook[],3,FALSE)=0,"",VLOOKUP($A29,TableHandbook[],3,FALSE)),"")</f>
        <v/>
      </c>
      <c r="D29" s="151" t="str">
        <f>IFERROR(IF(VLOOKUP($A29,TableHandbook[],4,FALSE)=0,"",VLOOKUP($A29,TableHandbook[],4,FALSE)),"")</f>
        <v/>
      </c>
      <c r="E29" s="145" t="str">
        <f>IF(A29="","",E28)</f>
        <v/>
      </c>
      <c r="F29" s="131" t="str">
        <f>IFERROR(IF(VLOOKUP($A29,TableHandbook[],6,FALSE)=0,"",VLOOKUP($A29,TableHandbook[],6,FALSE)),"")</f>
        <v/>
      </c>
      <c r="G29" s="129" t="str">
        <f>IFERROR(IF(VLOOKUP($A29,TableHandbook[],5,FALSE)=0,"",VLOOKUP($A29,TableHandbook[],5,FALSE)),"")</f>
        <v/>
      </c>
      <c r="H29" s="132" t="str">
        <f>IFERROR(VLOOKUP($A29,TableHandbook[],H$2,FALSE),"")</f>
        <v/>
      </c>
      <c r="I29" s="133" t="str">
        <f>IFERROR(VLOOKUP($A29,TableHandbook[],I$2,FALSE),"")</f>
        <v/>
      </c>
      <c r="J29" s="133" t="str">
        <f>IFERROR(VLOOKUP($A29,TableHandbook[],J$2,FALSE),"")</f>
        <v/>
      </c>
      <c r="K29" s="134" t="str">
        <f>IFERROR(VLOOKUP($A29,TableHandbook[],K$2,FALSE),"")</f>
        <v/>
      </c>
      <c r="L29" s="21"/>
      <c r="M29" s="135">
        <v>15</v>
      </c>
      <c r="N29" s="136"/>
      <c r="O29" s="136"/>
    </row>
    <row r="30" spans="1:16" s="137" customFormat="1" ht="5.0999999999999996" customHeight="1" x14ac:dyDescent="0.15">
      <c r="A30" s="138"/>
      <c r="B30" s="139"/>
      <c r="C30" s="139"/>
      <c r="D30" s="140"/>
      <c r="E30" s="139"/>
      <c r="F30" s="141"/>
      <c r="G30" s="139"/>
      <c r="H30" s="142"/>
      <c r="I30" s="143"/>
      <c r="J30" s="143"/>
      <c r="K30" s="144"/>
      <c r="L30" s="45"/>
      <c r="M30" s="135"/>
      <c r="N30" s="136"/>
      <c r="O30" s="136"/>
      <c r="P30" s="136"/>
    </row>
    <row r="31" spans="1:16" s="150" customFormat="1" ht="20.100000000000001" customHeight="1" x14ac:dyDescent="0.15">
      <c r="A31" s="128" t="str">
        <f>IFERROR(IF(HLOOKUP($L$5,RangeUnitsets,M31,FALSE)=0,"",HLOOKUP($L$5,RangeUnitsets,M31,FALSE)),"")</f>
        <v/>
      </c>
      <c r="B31" s="145" t="str">
        <f>IFERROR(IF(VLOOKUP($A31,TableHandbook[],2,FALSE)=0,"",VLOOKUP($A31,TableHandbook[],2,FALSE)),"")</f>
        <v/>
      </c>
      <c r="C31" s="145" t="str">
        <f>IFERROR(IF(VLOOKUP($A31,TableHandbook[],3,FALSE)=0,"",VLOOKUP($A31,TableHandbook[],3,FALSE)),"")</f>
        <v/>
      </c>
      <c r="D31" s="151" t="str">
        <f>IFERROR(IF(VLOOKUP($A31,TableHandbook[],4,FALSE)=0,"",VLOOKUP($A31,TableHandbook[],4,FALSE)),"")</f>
        <v/>
      </c>
      <c r="E31" s="145" t="str">
        <f>IF(A31="","",VLOOKUP($D$7,TableStudyPeriod[],5,FALSE))</f>
        <v/>
      </c>
      <c r="F31" s="131" t="str">
        <f>IFERROR(IF(VLOOKUP($A31,TableHandbook[],6,FALSE)=0,"",VLOOKUP($A31,TableHandbook[],6,FALSE)),"")</f>
        <v/>
      </c>
      <c r="G31" s="129" t="str">
        <f>IFERROR(IF(VLOOKUP($A31,TableHandbook[],5,FALSE)=0,"",VLOOKUP($A31,TableHandbook[],5,FALSE)),"")</f>
        <v/>
      </c>
      <c r="H31" s="132" t="str">
        <f>IFERROR(VLOOKUP($A31,TableHandbook[],H$2,FALSE),"")</f>
        <v/>
      </c>
      <c r="I31" s="133" t="str">
        <f>IFERROR(VLOOKUP($A31,TableHandbook[],I$2,FALSE),"")</f>
        <v/>
      </c>
      <c r="J31" s="133" t="str">
        <f>IFERROR(VLOOKUP($A31,TableHandbook[],J$2,FALSE),"")</f>
        <v/>
      </c>
      <c r="K31" s="134" t="str">
        <f>IFERROR(VLOOKUP($A31,TableHandbook[],K$2,FALSE),"")</f>
        <v/>
      </c>
      <c r="L31" s="21"/>
      <c r="M31" s="135">
        <v>16</v>
      </c>
      <c r="N31" s="149"/>
      <c r="O31" s="149"/>
    </row>
    <row r="32" spans="1:16" s="150" customFormat="1" ht="20.100000000000001" customHeight="1" x14ac:dyDescent="0.15">
      <c r="A32" s="128" t="str">
        <f>IFERROR(IF(HLOOKUP($L$5,RangeUnitsets,M32,FALSE)=0,"",HLOOKUP($L$5,RangeUnitsets,M32,FALSE)),"")</f>
        <v/>
      </c>
      <c r="B32" s="145" t="str">
        <f>IFERROR(IF(VLOOKUP($A32,TableHandbook[],2,FALSE)=0,"",VLOOKUP($A32,TableHandbook[],2,FALSE)),"")</f>
        <v/>
      </c>
      <c r="C32" s="145" t="str">
        <f>IFERROR(IF(VLOOKUP($A32,TableHandbook[],3,FALSE)=0,"",VLOOKUP($A32,TableHandbook[],3,FALSE)),"")</f>
        <v/>
      </c>
      <c r="D32" s="151" t="str">
        <f>IFERROR(IF(VLOOKUP($A32,TableHandbook[],4,FALSE)=0,"",VLOOKUP($A32,TableHandbook[],4,FALSE)),"")</f>
        <v/>
      </c>
      <c r="E32" s="129" t="str">
        <f>IF(A32="","",E31)</f>
        <v/>
      </c>
      <c r="F32" s="131" t="str">
        <f>IFERROR(IF(VLOOKUP($A32,TableHandbook[],6,FALSE)=0,"",VLOOKUP($A32,TableHandbook[],6,FALSE)),"")</f>
        <v/>
      </c>
      <c r="G32" s="129" t="str">
        <f>IFERROR(IF(VLOOKUP($A32,TableHandbook[],5,FALSE)=0,"",VLOOKUP($A32,TableHandbook[],5,FALSE)),"")</f>
        <v/>
      </c>
      <c r="H32" s="132" t="str">
        <f>IFERROR(VLOOKUP($A32,TableHandbook[],H$2,FALSE),"")</f>
        <v/>
      </c>
      <c r="I32" s="133" t="str">
        <f>IFERROR(VLOOKUP($A32,TableHandbook[],I$2,FALSE),"")</f>
        <v/>
      </c>
      <c r="J32" s="133" t="str">
        <f>IFERROR(VLOOKUP($A32,TableHandbook[],J$2,FALSE),"")</f>
        <v/>
      </c>
      <c r="K32" s="134" t="str">
        <f>IFERROR(VLOOKUP($A32,TableHandbook[],K$2,FALSE),"")</f>
        <v/>
      </c>
      <c r="L32" s="21"/>
      <c r="M32" s="135">
        <v>17</v>
      </c>
      <c r="N32" s="149"/>
      <c r="O32" s="149"/>
    </row>
    <row r="33" spans="1:16" s="121" customFormat="1" ht="21" x14ac:dyDescent="0.25">
      <c r="A33" s="114" t="s">
        <v>28</v>
      </c>
      <c r="B33" s="114"/>
      <c r="C33" s="114" t="s">
        <v>18</v>
      </c>
      <c r="D33" s="122" t="s">
        <v>3</v>
      </c>
      <c r="E33" s="123" t="s">
        <v>19</v>
      </c>
      <c r="F33" s="124" t="s">
        <v>20</v>
      </c>
      <c r="G33" s="114" t="s">
        <v>21</v>
      </c>
      <c r="H33" s="125" t="str">
        <f>H$9</f>
        <v>SP1</v>
      </c>
      <c r="I33" s="126" t="str">
        <f t="shared" ref="I33:L33" si="1">I$9</f>
        <v>SP2</v>
      </c>
      <c r="J33" s="126" t="str">
        <f t="shared" si="1"/>
        <v>SP3</v>
      </c>
      <c r="K33" s="127" t="str">
        <f t="shared" si="1"/>
        <v>SP4</v>
      </c>
      <c r="L33" s="114" t="str">
        <f t="shared" si="1"/>
        <v>Notes / Progress</v>
      </c>
      <c r="M33" s="152"/>
      <c r="N33" s="120"/>
      <c r="O33" s="120"/>
    </row>
    <row r="34" spans="1:16" s="137" customFormat="1" ht="20.100000000000001" customHeight="1" x14ac:dyDescent="0.15">
      <c r="A34" s="128" t="str">
        <f>IFERROR(IF(HLOOKUP($L$5,RangeUnitsets,M34,FALSE)=0,"",HLOOKUP($L$5,RangeUnitsets,M34,FALSE)),"")</f>
        <v/>
      </c>
      <c r="B34" s="145" t="str">
        <f>IFERROR(IF(VLOOKUP($A34,TableHandbook[],2,FALSE)=0,"",VLOOKUP($A34,TableHandbook[],2,FALSE)),"")</f>
        <v/>
      </c>
      <c r="C34" s="145" t="str">
        <f>IFERROR(IF(VLOOKUP($A34,TableHandbook[],3,FALSE)=0,"",VLOOKUP($A34,TableHandbook[],3,FALSE)),"")</f>
        <v/>
      </c>
      <c r="D34" s="153" t="str">
        <f>IFERROR(IF(VLOOKUP($A34,TableHandbook[],4,FALSE)=0,"",VLOOKUP($A34,TableHandbook[],4,FALSE)),"")</f>
        <v/>
      </c>
      <c r="E34" s="145" t="str">
        <f>IF(A34="","",VLOOKUP($D$7,TableStudyPeriod[],2,FALSE))</f>
        <v/>
      </c>
      <c r="F34" s="131" t="str">
        <f>IFERROR(IF(VLOOKUP($A34,TableHandbook[],6,FALSE)=0,"",VLOOKUP($A34,TableHandbook[],6,FALSE)),"")</f>
        <v/>
      </c>
      <c r="G34" s="129" t="str">
        <f>IFERROR(IF(VLOOKUP($A34,TableHandbook[],5,FALSE)=0,"",VLOOKUP($A34,TableHandbook[],5,FALSE)),"")</f>
        <v/>
      </c>
      <c r="H34" s="132" t="str">
        <f>IFERROR(VLOOKUP($A34,TableHandbook[],H$2,FALSE),"")</f>
        <v/>
      </c>
      <c r="I34" s="133" t="str">
        <f>IFERROR(VLOOKUP($A34,TableHandbook[],I$2,FALSE),"")</f>
        <v/>
      </c>
      <c r="J34" s="133" t="str">
        <f>IFERROR(VLOOKUP($A34,TableHandbook[],J$2,FALSE),"")</f>
        <v/>
      </c>
      <c r="K34" s="134" t="str">
        <f>IFERROR(VLOOKUP($A34,TableHandbook[],K$2,FALSE),"")</f>
        <v/>
      </c>
      <c r="L34" s="21"/>
      <c r="M34" s="135">
        <v>18</v>
      </c>
      <c r="N34" s="136"/>
      <c r="O34" s="136"/>
    </row>
    <row r="35" spans="1:16" s="137" customFormat="1" ht="20.100000000000001" customHeight="1" x14ac:dyDescent="0.15">
      <c r="A35" s="128" t="str">
        <f>IFERROR(IF(HLOOKUP($L$5,RangeUnitsets,M35,FALSE)=0,"",HLOOKUP($L$5,RangeUnitsets,M35,FALSE)),"")</f>
        <v/>
      </c>
      <c r="B35" s="145" t="str">
        <f>IFERROR(IF(VLOOKUP($A35,TableHandbook[],2,FALSE)=0,"",VLOOKUP($A35,TableHandbook[],2,FALSE)),"")</f>
        <v/>
      </c>
      <c r="C35" s="145" t="str">
        <f>IFERROR(IF(VLOOKUP($A35,TableHandbook[],3,FALSE)=0,"",VLOOKUP($A35,TableHandbook[],3,FALSE)),"")</f>
        <v/>
      </c>
      <c r="D35" s="151" t="str">
        <f>IFERROR(IF(VLOOKUP($A35,TableHandbook[],4,FALSE)=0,"",VLOOKUP($A35,TableHandbook[],4,FALSE)),"")</f>
        <v/>
      </c>
      <c r="E35" s="145" t="str">
        <f>IF(A35="","",E34)</f>
        <v/>
      </c>
      <c r="F35" s="131" t="str">
        <f>IFERROR(IF(VLOOKUP($A35,TableHandbook[],6,FALSE)=0,"",VLOOKUP($A35,TableHandbook[],6,FALSE)),"")</f>
        <v/>
      </c>
      <c r="G35" s="129" t="str">
        <f>IFERROR(IF(VLOOKUP($A35,TableHandbook[],5,FALSE)=0,"",VLOOKUP($A35,TableHandbook[],5,FALSE)),"")</f>
        <v/>
      </c>
      <c r="H35" s="132" t="str">
        <f>IFERROR(VLOOKUP($A35,TableHandbook[],H$2,FALSE),"")</f>
        <v/>
      </c>
      <c r="I35" s="133" t="str">
        <f>IFERROR(VLOOKUP($A35,TableHandbook[],I$2,FALSE),"")</f>
        <v/>
      </c>
      <c r="J35" s="133" t="str">
        <f>IFERROR(VLOOKUP($A35,TableHandbook[],J$2,FALSE),"")</f>
        <v/>
      </c>
      <c r="K35" s="134" t="str">
        <f>IFERROR(VLOOKUP($A35,TableHandbook[],K$2,FALSE),"")</f>
        <v/>
      </c>
      <c r="L35" s="21"/>
      <c r="M35" s="135">
        <v>19</v>
      </c>
      <c r="N35" s="136"/>
      <c r="O35" s="136"/>
    </row>
    <row r="36" spans="1:16" s="137" customFormat="1" ht="5.0999999999999996" customHeight="1" x14ac:dyDescent="0.15">
      <c r="A36" s="138"/>
      <c r="B36" s="139"/>
      <c r="C36" s="139"/>
      <c r="D36" s="140"/>
      <c r="E36" s="139"/>
      <c r="F36" s="141"/>
      <c r="G36" s="139"/>
      <c r="H36" s="142"/>
      <c r="I36" s="143"/>
      <c r="J36" s="143"/>
      <c r="K36" s="144"/>
      <c r="L36" s="45"/>
      <c r="M36" s="135"/>
      <c r="N36" s="136"/>
      <c r="O36" s="136"/>
      <c r="P36" s="136"/>
    </row>
    <row r="37" spans="1:16" s="137" customFormat="1" ht="20.100000000000001" customHeight="1" x14ac:dyDescent="0.15">
      <c r="A37" s="128" t="str">
        <f>IFERROR(IF(HLOOKUP($L$5,RangeUnitsets,M37,FALSE)=0,"",HLOOKUP($L$5,RangeUnitsets,M37,FALSE)),"")</f>
        <v/>
      </c>
      <c r="B37" s="145" t="str">
        <f>IFERROR(IF(VLOOKUP($A37,TableHandbook[],2,FALSE)=0,"",VLOOKUP($A37,TableHandbook[],2,FALSE)),"")</f>
        <v/>
      </c>
      <c r="C37" s="145" t="str">
        <f>IFERROR(IF(VLOOKUP($A37,TableHandbook[],3,FALSE)=0,"",VLOOKUP($A37,TableHandbook[],3,FALSE)),"")</f>
        <v/>
      </c>
      <c r="D37" s="151" t="str">
        <f>IFERROR(IF(VLOOKUP($A37,TableHandbook[],4,FALSE)=0,"",VLOOKUP($A37,TableHandbook[],4,FALSE)),"")</f>
        <v/>
      </c>
      <c r="E37" s="145" t="str">
        <f>IF(A37="","",VLOOKUP($D$7,TableStudyPeriod[],3,FALSE))</f>
        <v/>
      </c>
      <c r="F37" s="131" t="str">
        <f>IFERROR(IF(VLOOKUP($A37,TableHandbook[],6,FALSE)=0,"",VLOOKUP($A37,TableHandbook[],6,FALSE)),"")</f>
        <v/>
      </c>
      <c r="G37" s="129" t="str">
        <f>IFERROR(IF(VLOOKUP($A37,TableHandbook[],5,FALSE)=0,"",VLOOKUP($A37,TableHandbook[],5,FALSE)),"")</f>
        <v/>
      </c>
      <c r="H37" s="132" t="str">
        <f>IFERROR(VLOOKUP($A37,TableHandbook[],H$2,FALSE),"")</f>
        <v/>
      </c>
      <c r="I37" s="133" t="str">
        <f>IFERROR(VLOOKUP($A37,TableHandbook[],I$2,FALSE),"")</f>
        <v/>
      </c>
      <c r="J37" s="133" t="str">
        <f>IFERROR(VLOOKUP($A37,TableHandbook[],J$2,FALSE),"")</f>
        <v/>
      </c>
      <c r="K37" s="134" t="str">
        <f>IFERROR(VLOOKUP($A37,TableHandbook[],K$2,FALSE),"")</f>
        <v/>
      </c>
      <c r="L37" s="21"/>
      <c r="M37" s="135">
        <v>20</v>
      </c>
      <c r="N37" s="136"/>
      <c r="O37" s="136"/>
    </row>
    <row r="38" spans="1:16" s="137" customFormat="1" ht="20.100000000000001" customHeight="1" x14ac:dyDescent="0.15">
      <c r="A38" s="128" t="str">
        <f>IFERROR(IF(HLOOKUP($L$5,RangeUnitsets,M38,FALSE)=0,"",HLOOKUP($L$5,RangeUnitsets,M38,FALSE)),"")</f>
        <v/>
      </c>
      <c r="B38" s="145" t="str">
        <f>IFERROR(IF(VLOOKUP($A38,TableHandbook[],2,FALSE)=0,"",VLOOKUP($A38,TableHandbook[],2,FALSE)),"")</f>
        <v/>
      </c>
      <c r="C38" s="145" t="str">
        <f>IFERROR(IF(VLOOKUP($A38,TableHandbook[],3,FALSE)=0,"",VLOOKUP($A38,TableHandbook[],3,FALSE)),"")</f>
        <v/>
      </c>
      <c r="D38" s="151" t="str">
        <f>IFERROR(IF(VLOOKUP($A38,TableHandbook[],4,FALSE)=0,"",VLOOKUP($A38,TableHandbook[],4,FALSE)),"")</f>
        <v/>
      </c>
      <c r="E38" s="145" t="str">
        <f>IF(A38="","",E37)</f>
        <v/>
      </c>
      <c r="F38" s="131" t="str">
        <f>IFERROR(IF(VLOOKUP($A38,TableHandbook[],6,FALSE)=0,"",VLOOKUP($A38,TableHandbook[],6,FALSE)),"")</f>
        <v/>
      </c>
      <c r="G38" s="129" t="str">
        <f>IFERROR(IF(VLOOKUP($A38,TableHandbook[],5,FALSE)=0,"",VLOOKUP($A38,TableHandbook[],5,FALSE)),"")</f>
        <v/>
      </c>
      <c r="H38" s="132" t="str">
        <f>IFERROR(VLOOKUP($A38,TableHandbook[],H$2,FALSE),"")</f>
        <v/>
      </c>
      <c r="I38" s="133" t="str">
        <f>IFERROR(VLOOKUP($A38,TableHandbook[],I$2,FALSE),"")</f>
        <v/>
      </c>
      <c r="J38" s="133" t="str">
        <f>IFERROR(VLOOKUP($A38,TableHandbook[],J$2,FALSE),"")</f>
        <v/>
      </c>
      <c r="K38" s="134" t="str">
        <f>IFERROR(VLOOKUP($A38,TableHandbook[],K$2,FALSE),"")</f>
        <v/>
      </c>
      <c r="L38" s="21"/>
      <c r="M38" s="135">
        <v>21</v>
      </c>
      <c r="N38" s="136"/>
      <c r="O38" s="136"/>
    </row>
    <row r="39" spans="1:16" s="137" customFormat="1" ht="5.0999999999999996" customHeight="1" x14ac:dyDescent="0.15">
      <c r="A39" s="138"/>
      <c r="B39" s="139"/>
      <c r="C39" s="139"/>
      <c r="D39" s="140"/>
      <c r="E39" s="139"/>
      <c r="F39" s="141"/>
      <c r="G39" s="139"/>
      <c r="H39" s="142"/>
      <c r="I39" s="143"/>
      <c r="J39" s="143"/>
      <c r="K39" s="144"/>
      <c r="L39" s="45"/>
      <c r="M39" s="135"/>
      <c r="N39" s="136"/>
      <c r="O39" s="136"/>
      <c r="P39" s="136"/>
    </row>
    <row r="40" spans="1:16" s="137" customFormat="1" ht="20.100000000000001" customHeight="1" x14ac:dyDescent="0.15">
      <c r="A40" s="128" t="str">
        <f>IFERROR(IF(HLOOKUP($L$5,RangeUnitsets,M40,FALSE)=0,"",HLOOKUP($L$5,RangeUnitsets,M40,FALSE)),"")</f>
        <v/>
      </c>
      <c r="B40" s="145" t="str">
        <f>IFERROR(IF(VLOOKUP($A40,TableHandbook[],2,FALSE)=0,"",VLOOKUP($A40,TableHandbook[],2,FALSE)),"")</f>
        <v/>
      </c>
      <c r="C40" s="145" t="str">
        <f>IFERROR(IF(VLOOKUP($A40,TableHandbook[],3,FALSE)=0,"",VLOOKUP($A40,TableHandbook[],3,FALSE)),"")</f>
        <v/>
      </c>
      <c r="D40" s="151" t="str">
        <f>IFERROR(IF(VLOOKUP($A40,TableHandbook[],4,FALSE)=0,"",VLOOKUP($A40,TableHandbook[],4,FALSE)),"")</f>
        <v/>
      </c>
      <c r="E40" s="145" t="str">
        <f>IF(A40="","",VLOOKUP($D$7,TableStudyPeriod[],4,FALSE))</f>
        <v/>
      </c>
      <c r="F40" s="131" t="str">
        <f>IFERROR(IF(VLOOKUP($A40,TableHandbook[],6,FALSE)=0,"",VLOOKUP($A40,TableHandbook[],6,FALSE)),"")</f>
        <v/>
      </c>
      <c r="G40" s="129" t="str">
        <f>IFERROR(IF(VLOOKUP($A40,TableHandbook[],5,FALSE)=0,"",VLOOKUP($A40,TableHandbook[],5,FALSE)),"")</f>
        <v/>
      </c>
      <c r="H40" s="132" t="str">
        <f>IFERROR(VLOOKUP($A40,TableHandbook[],H$2,FALSE),"")</f>
        <v/>
      </c>
      <c r="I40" s="133" t="str">
        <f>IFERROR(VLOOKUP($A40,TableHandbook[],I$2,FALSE),"")</f>
        <v/>
      </c>
      <c r="J40" s="133" t="str">
        <f>IFERROR(VLOOKUP($A40,TableHandbook[],J$2,FALSE),"")</f>
        <v/>
      </c>
      <c r="K40" s="134" t="str">
        <f>IFERROR(VLOOKUP($A40,TableHandbook[],K$2,FALSE),"")</f>
        <v/>
      </c>
      <c r="L40" s="21"/>
      <c r="M40" s="135">
        <v>22</v>
      </c>
      <c r="N40" s="136"/>
      <c r="O40" s="136"/>
    </row>
    <row r="41" spans="1:16" s="137" customFormat="1" ht="20.100000000000001" customHeight="1" x14ac:dyDescent="0.15">
      <c r="A41" s="128" t="str">
        <f>IFERROR(IF(HLOOKUP($L$5,RangeUnitsets,M41,FALSE)=0,"",HLOOKUP($L$5,RangeUnitsets,M41,FALSE)),"")</f>
        <v/>
      </c>
      <c r="B41" s="145" t="str">
        <f>IFERROR(IF(VLOOKUP($A41,TableHandbook[],2,FALSE)=0,"",VLOOKUP($A41,TableHandbook[],2,FALSE)),"")</f>
        <v/>
      </c>
      <c r="C41" s="145" t="str">
        <f>IFERROR(IF(VLOOKUP($A41,TableHandbook[],3,FALSE)=0,"",VLOOKUP($A41,TableHandbook[],3,FALSE)),"")</f>
        <v/>
      </c>
      <c r="D41" s="151" t="str">
        <f>IFERROR(IF(VLOOKUP($A41,TableHandbook[],4,FALSE)=0,"",VLOOKUP($A41,TableHandbook[],4,FALSE)),"")</f>
        <v/>
      </c>
      <c r="E41" s="145" t="str">
        <f>IF(A41="","",E40)</f>
        <v/>
      </c>
      <c r="F41" s="131" t="str">
        <f>IFERROR(IF(VLOOKUP($A41,TableHandbook[],6,FALSE)=0,"",VLOOKUP($A41,TableHandbook[],6,FALSE)),"")</f>
        <v/>
      </c>
      <c r="G41" s="129" t="str">
        <f>IFERROR(IF(VLOOKUP($A41,TableHandbook[],5,FALSE)=0,"",VLOOKUP($A41,TableHandbook[],5,FALSE)),"")</f>
        <v/>
      </c>
      <c r="H41" s="132" t="str">
        <f>IFERROR(VLOOKUP($A41,TableHandbook[],H$2,FALSE),"")</f>
        <v/>
      </c>
      <c r="I41" s="133" t="str">
        <f>IFERROR(VLOOKUP($A41,TableHandbook[],I$2,FALSE),"")</f>
        <v/>
      </c>
      <c r="J41" s="133" t="str">
        <f>IFERROR(VLOOKUP($A41,TableHandbook[],J$2,FALSE),"")</f>
        <v/>
      </c>
      <c r="K41" s="134" t="str">
        <f>IFERROR(VLOOKUP($A41,TableHandbook[],K$2,FALSE),"")</f>
        <v/>
      </c>
      <c r="L41" s="21"/>
      <c r="M41" s="135">
        <v>23</v>
      </c>
      <c r="N41" s="136"/>
      <c r="O41" s="136"/>
    </row>
    <row r="42" spans="1:16" s="137" customFormat="1" ht="5.0999999999999996" customHeight="1" x14ac:dyDescent="0.15">
      <c r="A42" s="138"/>
      <c r="B42" s="139"/>
      <c r="C42" s="139"/>
      <c r="D42" s="140"/>
      <c r="E42" s="139"/>
      <c r="F42" s="141"/>
      <c r="G42" s="139"/>
      <c r="H42" s="142"/>
      <c r="I42" s="143"/>
      <c r="J42" s="143"/>
      <c r="K42" s="144"/>
      <c r="L42" s="45"/>
      <c r="M42" s="135"/>
      <c r="N42" s="136"/>
      <c r="O42" s="136"/>
      <c r="P42" s="136"/>
    </row>
    <row r="43" spans="1:16" s="150" customFormat="1" ht="20.100000000000001" customHeight="1" x14ac:dyDescent="0.15">
      <c r="A43" s="128" t="str">
        <f>IFERROR(IF(HLOOKUP($L$5,RangeUnitsets,M43,FALSE)=0,"",HLOOKUP($L$5,RangeUnitsets,M43,FALSE)),"")</f>
        <v/>
      </c>
      <c r="B43" s="145" t="str">
        <f>IFERROR(IF(VLOOKUP($A43,TableHandbook[],2,FALSE)=0,"",VLOOKUP($A43,TableHandbook[],2,FALSE)),"")</f>
        <v/>
      </c>
      <c r="C43" s="145" t="str">
        <f>IFERROR(IF(VLOOKUP($A43,TableHandbook[],3,FALSE)=0,"",VLOOKUP($A43,TableHandbook[],3,FALSE)),"")</f>
        <v/>
      </c>
      <c r="D43" s="151" t="str">
        <f>IFERROR(IF(VLOOKUP($A43,TableHandbook[],4,FALSE)=0,"",VLOOKUP($A43,TableHandbook[],4,FALSE)),"")</f>
        <v/>
      </c>
      <c r="E43" s="145" t="str">
        <f>IF(A43="","",VLOOKUP($D$7,TableStudyPeriod[],5,FALSE))</f>
        <v/>
      </c>
      <c r="F43" s="131" t="str">
        <f>IFERROR(IF(VLOOKUP($A43,TableHandbook[],6,FALSE)=0,"",VLOOKUP($A43,TableHandbook[],6,FALSE)),"")</f>
        <v/>
      </c>
      <c r="G43" s="129" t="str">
        <f>IFERROR(IF(VLOOKUP($A43,TableHandbook[],5,FALSE)=0,"",VLOOKUP($A43,TableHandbook[],5,FALSE)),"")</f>
        <v/>
      </c>
      <c r="H43" s="132" t="str">
        <f>IFERROR(VLOOKUP($A43,TableHandbook[],H$2,FALSE),"")</f>
        <v/>
      </c>
      <c r="I43" s="133" t="str">
        <f>IFERROR(VLOOKUP($A43,TableHandbook[],I$2,FALSE),"")</f>
        <v/>
      </c>
      <c r="J43" s="133" t="str">
        <f>IFERROR(VLOOKUP($A43,TableHandbook[],J$2,FALSE),"")</f>
        <v/>
      </c>
      <c r="K43" s="134" t="str">
        <f>IFERROR(VLOOKUP($A43,TableHandbook[],K$2,FALSE),"")</f>
        <v/>
      </c>
      <c r="L43" s="21"/>
      <c r="M43" s="135">
        <v>24</v>
      </c>
      <c r="N43" s="149"/>
      <c r="O43" s="149"/>
    </row>
    <row r="44" spans="1:16" s="150" customFormat="1" ht="20.100000000000001" customHeight="1" x14ac:dyDescent="0.15">
      <c r="A44" s="128" t="str">
        <f>IFERROR(IF(HLOOKUP($L$5,RangeUnitsets,M44,FALSE)=0,"",HLOOKUP($L$5,RangeUnitsets,M44,FALSE)),"")</f>
        <v/>
      </c>
      <c r="B44" s="145" t="str">
        <f>IFERROR(IF(VLOOKUP($A44,TableHandbook[],2,FALSE)=0,"",VLOOKUP($A44,TableHandbook[],2,FALSE)),"")</f>
        <v/>
      </c>
      <c r="C44" s="145" t="str">
        <f>IFERROR(IF(VLOOKUP($A44,TableHandbook[],3,FALSE)=0,"",VLOOKUP($A44,TableHandbook[],3,FALSE)),"")</f>
        <v/>
      </c>
      <c r="D44" s="151" t="str">
        <f>IFERROR(IF(VLOOKUP($A44,TableHandbook[],4,FALSE)=0,"",VLOOKUP($A44,TableHandbook[],4,FALSE)),"")</f>
        <v/>
      </c>
      <c r="E44" s="129" t="str">
        <f>IF(A44="","",E43)</f>
        <v/>
      </c>
      <c r="F44" s="131" t="str">
        <f>IFERROR(IF(VLOOKUP($A44,TableHandbook[],6,FALSE)=0,"",VLOOKUP($A44,TableHandbook[],6,FALSE)),"")</f>
        <v/>
      </c>
      <c r="G44" s="129" t="str">
        <f>IFERROR(IF(VLOOKUP($A44,TableHandbook[],5,FALSE)=0,"",VLOOKUP($A44,TableHandbook[],5,FALSE)),"")</f>
        <v/>
      </c>
      <c r="H44" s="132" t="str">
        <f>IFERROR(VLOOKUP($A44,TableHandbook[],H$2,FALSE),"")</f>
        <v/>
      </c>
      <c r="I44" s="133" t="str">
        <f>IFERROR(VLOOKUP($A44,TableHandbook[],I$2,FALSE),"")</f>
        <v/>
      </c>
      <c r="J44" s="133" t="str">
        <f>IFERROR(VLOOKUP($A44,TableHandbook[],J$2,FALSE),"")</f>
        <v/>
      </c>
      <c r="K44" s="134" t="str">
        <f>IFERROR(VLOOKUP($A44,TableHandbook[],K$2,FALSE),"")</f>
        <v/>
      </c>
      <c r="L44" s="21"/>
      <c r="M44" s="135">
        <v>25</v>
      </c>
      <c r="N44" s="149"/>
      <c r="O44" s="149"/>
    </row>
    <row r="45" spans="1:16" s="160" customFormat="1" ht="13.9" customHeight="1" x14ac:dyDescent="0.2">
      <c r="A45" s="154"/>
      <c r="B45" s="154"/>
      <c r="C45" s="154"/>
      <c r="D45" s="155"/>
      <c r="E45" s="156"/>
      <c r="F45" s="157"/>
      <c r="G45" s="157"/>
      <c r="H45" s="157"/>
      <c r="I45" s="157"/>
      <c r="J45" s="157"/>
      <c r="K45" s="157"/>
      <c r="L45" s="157"/>
      <c r="M45" s="158"/>
      <c r="N45" s="159"/>
      <c r="O45" s="159"/>
    </row>
    <row r="46" spans="1:16" ht="25.5" x14ac:dyDescent="0.25">
      <c r="A46" s="161" t="str">
        <f>D6</f>
        <v>Choose your Specialisation (drop-down list)</v>
      </c>
      <c r="B46" s="162"/>
      <c r="C46" s="162"/>
      <c r="D46" s="163"/>
      <c r="E46" s="164"/>
      <c r="F46" s="165"/>
      <c r="G46" s="165"/>
      <c r="H46" s="117" t="str">
        <f>H8</f>
        <v>2026 Availabilities</v>
      </c>
      <c r="I46" s="166"/>
      <c r="J46" s="167"/>
      <c r="K46" s="168"/>
      <c r="L46" s="169"/>
      <c r="M46" s="170"/>
    </row>
    <row r="47" spans="1:16" s="173" customFormat="1" x14ac:dyDescent="0.25">
      <c r="A47" s="171"/>
      <c r="B47" s="172"/>
      <c r="C47" s="114" t="s">
        <v>18</v>
      </c>
      <c r="D47" s="122" t="s">
        <v>3</v>
      </c>
      <c r="E47" s="123"/>
      <c r="F47" s="124" t="s">
        <v>20</v>
      </c>
      <c r="G47" s="114" t="s">
        <v>21</v>
      </c>
      <c r="H47" s="125" t="str">
        <f>H$9</f>
        <v>SP1</v>
      </c>
      <c r="I47" s="126" t="str">
        <f t="shared" ref="I47:L47" si="2">I$9</f>
        <v>SP2</v>
      </c>
      <c r="J47" s="126" t="str">
        <f t="shared" si="2"/>
        <v>SP3</v>
      </c>
      <c r="K47" s="127" t="str">
        <f t="shared" si="2"/>
        <v>SP4</v>
      </c>
      <c r="L47" s="114" t="str">
        <f t="shared" si="2"/>
        <v>Notes / Progress</v>
      </c>
      <c r="M47" s="170"/>
    </row>
    <row r="48" spans="1:16" s="173" customFormat="1" ht="30" customHeight="1" x14ac:dyDescent="0.25">
      <c r="A48" s="174" t="s">
        <v>29</v>
      </c>
      <c r="B48" s="175"/>
      <c r="C48" s="175"/>
      <c r="D48" s="176"/>
      <c r="E48" s="177"/>
      <c r="F48" s="178"/>
      <c r="G48" s="179"/>
      <c r="H48" s="180"/>
      <c r="I48" s="181"/>
      <c r="J48" s="181"/>
      <c r="K48" s="182"/>
      <c r="L48" s="199"/>
      <c r="M48" s="170"/>
    </row>
    <row r="49" spans="1:15" x14ac:dyDescent="0.25">
      <c r="A49" s="183" t="str">
        <f t="shared" ref="A49:A61" si="3">IFERROR(IF(HLOOKUP($L$6,RangeSpecSets,M49,FALSE)=0,"",HLOOKUP($L$6,RangeSpecSets,M49,FALSE)),"")</f>
        <v/>
      </c>
      <c r="B49" s="184" t="str">
        <f>IFERROR(IF(VLOOKUP($A49,TableHandbook[],2,FALSE)=0,"",VLOOKUP($A49,TableHandbook[],2,FALSE)),"")</f>
        <v/>
      </c>
      <c r="C49" s="184" t="str">
        <f>IFERROR(IF(VLOOKUP($A49,TableHandbook[],3,FALSE)=0,"",VLOOKUP($A49,TableHandbook[],3,FALSE)),"")</f>
        <v/>
      </c>
      <c r="D49" s="185" t="str">
        <f>IFERROR(IF(VLOOKUP($A49,TableHandbook[],4,FALSE)=0,"",VLOOKUP($A49,TableHandbook[],4,FALSE)),"")</f>
        <v/>
      </c>
      <c r="E49" s="186"/>
      <c r="F49" s="131" t="str">
        <f>IFERROR(IF(VLOOKUP($A49,TableHandbook[],6,FALSE)=0,"",VLOOKUP($A49,TableHandbook[],6,FALSE)),"")</f>
        <v/>
      </c>
      <c r="G49" s="186" t="str">
        <f>IFERROR(IF(VLOOKUP($A49,TableHandbook[],5,FALSE)=0,"",VLOOKUP($A49,TableHandbook[],5,FALSE)),"")</f>
        <v/>
      </c>
      <c r="H49" s="187" t="str">
        <f>IFERROR(VLOOKUP($A49,TableHandbook[],H$2,FALSE),"")</f>
        <v/>
      </c>
      <c r="I49" s="188" t="str">
        <f>IFERROR(VLOOKUP($A49,TableHandbook[],I$2,FALSE),"")</f>
        <v/>
      </c>
      <c r="J49" s="188" t="str">
        <f>IFERROR(VLOOKUP($A49,TableHandbook[],J$2,FALSE),"")</f>
        <v/>
      </c>
      <c r="K49" s="189" t="str">
        <f>IFERROR(VLOOKUP($A49,TableHandbook[],K$2,FALSE),"")</f>
        <v/>
      </c>
      <c r="L49" s="22"/>
      <c r="M49" s="135">
        <v>2</v>
      </c>
    </row>
    <row r="50" spans="1:15" x14ac:dyDescent="0.25">
      <c r="A50" s="183" t="str">
        <f t="shared" si="3"/>
        <v/>
      </c>
      <c r="B50" s="184" t="str">
        <f>IFERROR(IF(VLOOKUP($A50,TableHandbook[],2,FALSE)=0,"",VLOOKUP($A50,TableHandbook[],2,FALSE)),"")</f>
        <v/>
      </c>
      <c r="C50" s="184" t="str">
        <f>IFERROR(IF(VLOOKUP($A50,TableHandbook[],3,FALSE)=0,"",VLOOKUP($A50,TableHandbook[],3,FALSE)),"")</f>
        <v/>
      </c>
      <c r="D50" s="185" t="str">
        <f>IFERROR(IF(VLOOKUP($A50,TableHandbook[],4,FALSE)=0,"",VLOOKUP($A50,TableHandbook[],4,FALSE)),"")</f>
        <v/>
      </c>
      <c r="E50" s="186"/>
      <c r="F50" s="131" t="str">
        <f>IFERROR(IF(VLOOKUP($A50,TableHandbook[],6,FALSE)=0,"",VLOOKUP($A50,TableHandbook[],6,FALSE)),"")</f>
        <v/>
      </c>
      <c r="G50" s="186" t="str">
        <f>IFERROR(IF(VLOOKUP($A50,TableHandbook[],5,FALSE)=0,"",VLOOKUP($A50,TableHandbook[],5,FALSE)),"")</f>
        <v/>
      </c>
      <c r="H50" s="187" t="str">
        <f>IFERROR(VLOOKUP($A50,TableHandbook[],H$2,FALSE),"")</f>
        <v/>
      </c>
      <c r="I50" s="188" t="str">
        <f>IFERROR(VLOOKUP($A50,TableHandbook[],I$2,FALSE),"")</f>
        <v/>
      </c>
      <c r="J50" s="188" t="str">
        <f>IFERROR(VLOOKUP($A50,TableHandbook[],J$2,FALSE),"")</f>
        <v/>
      </c>
      <c r="K50" s="189" t="str">
        <f>IFERROR(VLOOKUP($A50,TableHandbook[],K$2,FALSE),"")</f>
        <v/>
      </c>
      <c r="L50" s="22"/>
      <c r="M50" s="135">
        <v>3</v>
      </c>
    </row>
    <row r="51" spans="1:15" x14ac:dyDescent="0.25">
      <c r="A51" s="183" t="str">
        <f t="shared" si="3"/>
        <v/>
      </c>
      <c r="B51" s="184" t="str">
        <f>IFERROR(IF(VLOOKUP($A51,TableHandbook[],2,FALSE)=0,"",VLOOKUP($A51,TableHandbook[],2,FALSE)),"")</f>
        <v/>
      </c>
      <c r="C51" s="184" t="str">
        <f>IFERROR(IF(VLOOKUP($A51,TableHandbook[],3,FALSE)=0,"",VLOOKUP($A51,TableHandbook[],3,FALSE)),"")</f>
        <v/>
      </c>
      <c r="D51" s="185" t="str">
        <f>IFERROR(IF(VLOOKUP($A51,TableHandbook[],4,FALSE)=0,"",VLOOKUP($A51,TableHandbook[],4,FALSE)),"")</f>
        <v/>
      </c>
      <c r="E51" s="186"/>
      <c r="F51" s="131" t="str">
        <f>IFERROR(IF(VLOOKUP($A51,TableHandbook[],6,FALSE)=0,"",VLOOKUP($A51,TableHandbook[],6,FALSE)),"")</f>
        <v/>
      </c>
      <c r="G51" s="186" t="str">
        <f>IFERROR(IF(VLOOKUP($A51,TableHandbook[],5,FALSE)=0,"",VLOOKUP($A51,TableHandbook[],5,FALSE)),"")</f>
        <v/>
      </c>
      <c r="H51" s="187" t="str">
        <f>IFERROR(VLOOKUP($A51,TableHandbook[],H$2,FALSE),"")</f>
        <v/>
      </c>
      <c r="I51" s="188" t="str">
        <f>IFERROR(VLOOKUP($A51,TableHandbook[],I$2,FALSE),"")</f>
        <v/>
      </c>
      <c r="J51" s="188" t="str">
        <f>IFERROR(VLOOKUP($A51,TableHandbook[],J$2,FALSE),"")</f>
        <v/>
      </c>
      <c r="K51" s="189" t="str">
        <f>IFERROR(VLOOKUP($A51,TableHandbook[],K$2,FALSE),"")</f>
        <v/>
      </c>
      <c r="L51" s="22"/>
      <c r="M51" s="135">
        <v>4</v>
      </c>
    </row>
    <row r="52" spans="1:15" x14ac:dyDescent="0.25">
      <c r="A52" s="183" t="str">
        <f t="shared" si="3"/>
        <v/>
      </c>
      <c r="B52" s="184" t="str">
        <f>IFERROR(IF(VLOOKUP($A52,TableHandbook[],2,FALSE)=0,"",VLOOKUP($A52,TableHandbook[],2,FALSE)),"")</f>
        <v/>
      </c>
      <c r="C52" s="184" t="str">
        <f>IFERROR(IF(VLOOKUP($A52,TableHandbook[],3,FALSE)=0,"",VLOOKUP($A52,TableHandbook[],3,FALSE)),"")</f>
        <v/>
      </c>
      <c r="D52" s="185" t="str">
        <f>IFERROR(IF(VLOOKUP($A52,TableHandbook[],4,FALSE)=0,"",VLOOKUP($A52,TableHandbook[],4,FALSE)),"")</f>
        <v/>
      </c>
      <c r="E52" s="186"/>
      <c r="F52" s="131" t="str">
        <f>IFERROR(IF(VLOOKUP($A52,TableHandbook[],6,FALSE)=0,"",VLOOKUP($A52,TableHandbook[],6,FALSE)),"")</f>
        <v/>
      </c>
      <c r="G52" s="186" t="str">
        <f>IFERROR(IF(VLOOKUP($A52,TableHandbook[],5,FALSE)=0,"",VLOOKUP($A52,TableHandbook[],5,FALSE)),"")</f>
        <v/>
      </c>
      <c r="H52" s="187" t="str">
        <f>IFERROR(VLOOKUP($A52,TableHandbook[],H$2,FALSE),"")</f>
        <v/>
      </c>
      <c r="I52" s="188" t="str">
        <f>IFERROR(VLOOKUP($A52,TableHandbook[],I$2,FALSE),"")</f>
        <v/>
      </c>
      <c r="J52" s="188" t="str">
        <f>IFERROR(VLOOKUP($A52,TableHandbook[],J$2,FALSE),"")</f>
        <v/>
      </c>
      <c r="K52" s="189" t="str">
        <f>IFERROR(VLOOKUP($A52,TableHandbook[],K$2,FALSE),"")</f>
        <v/>
      </c>
      <c r="L52" s="22"/>
      <c r="M52" s="135">
        <v>5</v>
      </c>
    </row>
    <row r="53" spans="1:15" x14ac:dyDescent="0.25">
      <c r="A53" s="183" t="str">
        <f t="shared" si="3"/>
        <v/>
      </c>
      <c r="B53" s="184" t="str">
        <f>IFERROR(IF(VLOOKUP($A53,TableHandbook[],2,FALSE)=0,"",VLOOKUP($A53,TableHandbook[],2,FALSE)),"")</f>
        <v/>
      </c>
      <c r="C53" s="184" t="str">
        <f>IFERROR(IF(VLOOKUP($A53,TableHandbook[],3,FALSE)=0,"",VLOOKUP($A53,TableHandbook[],3,FALSE)),"")</f>
        <v/>
      </c>
      <c r="D53" s="185" t="str">
        <f>IFERROR(IF(VLOOKUP($A53,TableHandbook[],4,FALSE)=0,"",VLOOKUP($A53,TableHandbook[],4,FALSE)),"")</f>
        <v/>
      </c>
      <c r="E53" s="186"/>
      <c r="F53" s="131" t="str">
        <f>IFERROR(IF(VLOOKUP($A53,TableHandbook[],6,FALSE)=0,"",VLOOKUP($A53,TableHandbook[],6,FALSE)),"")</f>
        <v/>
      </c>
      <c r="G53" s="186" t="str">
        <f>IFERROR(IF(VLOOKUP($A53,TableHandbook[],5,FALSE)=0,"",VLOOKUP($A53,TableHandbook[],5,FALSE)),"")</f>
        <v/>
      </c>
      <c r="H53" s="187" t="str">
        <f>IFERROR(VLOOKUP($A53,TableHandbook[],H$2,FALSE),"")</f>
        <v/>
      </c>
      <c r="I53" s="188" t="str">
        <f>IFERROR(VLOOKUP($A53,TableHandbook[],I$2,FALSE),"")</f>
        <v/>
      </c>
      <c r="J53" s="188" t="str">
        <f>IFERROR(VLOOKUP($A53,TableHandbook[],J$2,FALSE),"")</f>
        <v/>
      </c>
      <c r="K53" s="189" t="str">
        <f>IFERROR(VLOOKUP($A53,TableHandbook[],K$2,FALSE),"")</f>
        <v/>
      </c>
      <c r="L53" s="22"/>
      <c r="M53" s="135">
        <v>6</v>
      </c>
    </row>
    <row r="54" spans="1:15" x14ac:dyDescent="0.25">
      <c r="A54" s="183" t="str">
        <f t="shared" si="3"/>
        <v/>
      </c>
      <c r="B54" s="184" t="str">
        <f>IFERROR(IF(VLOOKUP($A54,TableHandbook[],2,FALSE)=0,"",VLOOKUP($A54,TableHandbook[],2,FALSE)),"")</f>
        <v/>
      </c>
      <c r="C54" s="184" t="str">
        <f>IFERROR(IF(VLOOKUP($A54,TableHandbook[],3,FALSE)=0,"",VLOOKUP($A54,TableHandbook[],3,FALSE)),"")</f>
        <v/>
      </c>
      <c r="D54" s="185" t="str">
        <f>IFERROR(IF(VLOOKUP($A54,TableHandbook[],4,FALSE)=0,"",VLOOKUP($A54,TableHandbook[],4,FALSE)),"")</f>
        <v/>
      </c>
      <c r="E54" s="186"/>
      <c r="F54" s="131" t="str">
        <f>IFERROR(IF(VLOOKUP($A54,TableHandbook[],6,FALSE)=0,"",VLOOKUP($A54,TableHandbook[],6,FALSE)),"")</f>
        <v/>
      </c>
      <c r="G54" s="186" t="str">
        <f>IFERROR(IF(VLOOKUP($A54,TableHandbook[],5,FALSE)=0,"",VLOOKUP($A54,TableHandbook[],5,FALSE)),"")</f>
        <v/>
      </c>
      <c r="H54" s="187" t="str">
        <f>IFERROR(VLOOKUP($A54,TableHandbook[],H$2,FALSE),"")</f>
        <v/>
      </c>
      <c r="I54" s="188" t="str">
        <f>IFERROR(VLOOKUP($A54,TableHandbook[],I$2,FALSE),"")</f>
        <v/>
      </c>
      <c r="J54" s="188" t="str">
        <f>IFERROR(VLOOKUP($A54,TableHandbook[],J$2,FALSE),"")</f>
        <v/>
      </c>
      <c r="K54" s="189" t="str">
        <f>IFERROR(VLOOKUP($A54,TableHandbook[],K$2,FALSE),"")</f>
        <v/>
      </c>
      <c r="L54" s="22"/>
      <c r="M54" s="135">
        <v>7</v>
      </c>
    </row>
    <row r="55" spans="1:15" x14ac:dyDescent="0.25">
      <c r="A55" s="183" t="str">
        <f t="shared" si="3"/>
        <v/>
      </c>
      <c r="B55" s="184" t="str">
        <f>IFERROR(IF(VLOOKUP($A55,TableHandbook[],2,FALSE)=0,"",VLOOKUP($A55,TableHandbook[],2,FALSE)),"")</f>
        <v/>
      </c>
      <c r="C55" s="184" t="str">
        <f>IFERROR(IF(VLOOKUP($A55,TableHandbook[],3,FALSE)=0,"",VLOOKUP($A55,TableHandbook[],3,FALSE)),"")</f>
        <v/>
      </c>
      <c r="D55" s="185" t="str">
        <f>IFERROR(IF(VLOOKUP($A55,TableHandbook[],4,FALSE)=0,"",VLOOKUP($A55,TableHandbook[],4,FALSE)),"")</f>
        <v/>
      </c>
      <c r="E55" s="186"/>
      <c r="F55" s="131" t="str">
        <f>IFERROR(IF(VLOOKUP($A55,TableHandbook[],6,FALSE)=0,"",VLOOKUP($A55,TableHandbook[],6,FALSE)),"")</f>
        <v/>
      </c>
      <c r="G55" s="186" t="str">
        <f>IFERROR(IF(VLOOKUP($A55,TableHandbook[],5,FALSE)=0,"",VLOOKUP($A55,TableHandbook[],5,FALSE)),"")</f>
        <v/>
      </c>
      <c r="H55" s="187" t="str">
        <f>IFERROR(VLOOKUP($A55,TableHandbook[],H$2,FALSE),"")</f>
        <v/>
      </c>
      <c r="I55" s="188" t="str">
        <f>IFERROR(VLOOKUP($A55,TableHandbook[],I$2,FALSE),"")</f>
        <v/>
      </c>
      <c r="J55" s="188" t="str">
        <f>IFERROR(VLOOKUP($A55,TableHandbook[],J$2,FALSE),"")</f>
        <v/>
      </c>
      <c r="K55" s="189" t="str">
        <f>IFERROR(VLOOKUP($A55,TableHandbook[],K$2,FALSE),"")</f>
        <v/>
      </c>
      <c r="L55" s="22"/>
      <c r="M55" s="135">
        <v>8</v>
      </c>
    </row>
    <row r="56" spans="1:15" x14ac:dyDescent="0.25">
      <c r="A56" s="183" t="str">
        <f t="shared" si="3"/>
        <v/>
      </c>
      <c r="B56" s="184" t="str">
        <f>IFERROR(IF(VLOOKUP($A56,TableHandbook[],2,FALSE)=0,"",VLOOKUP($A56,TableHandbook[],2,FALSE)),"")</f>
        <v/>
      </c>
      <c r="C56" s="184" t="str">
        <f>IFERROR(IF(VLOOKUP($A56,TableHandbook[],3,FALSE)=0,"",VLOOKUP($A56,TableHandbook[],3,FALSE)),"")</f>
        <v/>
      </c>
      <c r="D56" s="185" t="str">
        <f>IFERROR(IF(VLOOKUP($A56,TableHandbook[],4,FALSE)=0,"",VLOOKUP($A56,TableHandbook[],4,FALSE)),"")</f>
        <v/>
      </c>
      <c r="E56" s="186"/>
      <c r="F56" s="131" t="str">
        <f>IFERROR(IF(VLOOKUP($A56,TableHandbook[],6,FALSE)=0,"",VLOOKUP($A56,TableHandbook[],6,FALSE)),"")</f>
        <v/>
      </c>
      <c r="G56" s="186" t="str">
        <f>IFERROR(IF(VLOOKUP($A56,TableHandbook[],5,FALSE)=0,"",VLOOKUP($A56,TableHandbook[],5,FALSE)),"")</f>
        <v/>
      </c>
      <c r="H56" s="187" t="str">
        <f>IFERROR(VLOOKUP($A56,TableHandbook[],H$2,FALSE),"")</f>
        <v/>
      </c>
      <c r="I56" s="188" t="str">
        <f>IFERROR(VLOOKUP($A56,TableHandbook[],I$2,FALSE),"")</f>
        <v/>
      </c>
      <c r="J56" s="188" t="str">
        <f>IFERROR(VLOOKUP($A56,TableHandbook[],J$2,FALSE),"")</f>
        <v/>
      </c>
      <c r="K56" s="189" t="str">
        <f>IFERROR(VLOOKUP($A56,TableHandbook[],K$2,FALSE),"")</f>
        <v/>
      </c>
      <c r="L56" s="22"/>
      <c r="M56" s="135">
        <v>9</v>
      </c>
    </row>
    <row r="57" spans="1:15" x14ac:dyDescent="0.25">
      <c r="A57" s="183" t="str">
        <f t="shared" si="3"/>
        <v/>
      </c>
      <c r="B57" s="184" t="str">
        <f>IFERROR(IF(VLOOKUP($A57,TableHandbook[],2,FALSE)=0,"",VLOOKUP($A57,TableHandbook[],2,FALSE)),"")</f>
        <v/>
      </c>
      <c r="C57" s="184" t="str">
        <f>IFERROR(IF(VLOOKUP($A57,TableHandbook[],3,FALSE)=0,"",VLOOKUP($A57,TableHandbook[],3,FALSE)),"")</f>
        <v/>
      </c>
      <c r="D57" s="185" t="str">
        <f>IFERROR(IF(VLOOKUP($A57,TableHandbook[],4,FALSE)=0,"",VLOOKUP($A57,TableHandbook[],4,FALSE)),"")</f>
        <v/>
      </c>
      <c r="E57" s="186"/>
      <c r="F57" s="131" t="str">
        <f>IFERROR(IF(VLOOKUP($A57,TableHandbook[],6,FALSE)=0,"",VLOOKUP($A57,TableHandbook[],6,FALSE)),"")</f>
        <v/>
      </c>
      <c r="G57" s="186" t="str">
        <f>IFERROR(IF(VLOOKUP($A57,TableHandbook[],5,FALSE)=0,"",VLOOKUP($A57,TableHandbook[],5,FALSE)),"")</f>
        <v/>
      </c>
      <c r="H57" s="187" t="str">
        <f>IFERROR(VLOOKUP($A57,TableHandbook[],H$2,FALSE),"")</f>
        <v/>
      </c>
      <c r="I57" s="188" t="str">
        <f>IFERROR(VLOOKUP($A57,TableHandbook[],I$2,FALSE),"")</f>
        <v/>
      </c>
      <c r="J57" s="188" t="str">
        <f>IFERROR(VLOOKUP($A57,TableHandbook[],J$2,FALSE),"")</f>
        <v/>
      </c>
      <c r="K57" s="189" t="str">
        <f>IFERROR(VLOOKUP($A57,TableHandbook[],K$2,FALSE),"")</f>
        <v/>
      </c>
      <c r="L57" s="22"/>
      <c r="M57" s="135">
        <v>10</v>
      </c>
    </row>
    <row r="58" spans="1:15" x14ac:dyDescent="0.25">
      <c r="A58" s="183" t="str">
        <f t="shared" si="3"/>
        <v/>
      </c>
      <c r="B58" s="184" t="str">
        <f>IFERROR(IF(VLOOKUP($A58,TableHandbook[],2,FALSE)=0,"",VLOOKUP($A58,TableHandbook[],2,FALSE)),"")</f>
        <v/>
      </c>
      <c r="C58" s="184" t="str">
        <f>IFERROR(IF(VLOOKUP($A58,TableHandbook[],3,FALSE)=0,"",VLOOKUP($A58,TableHandbook[],3,FALSE)),"")</f>
        <v/>
      </c>
      <c r="D58" s="185" t="str">
        <f>IFERROR(IF(VLOOKUP($A58,TableHandbook[],4,FALSE)=0,"",VLOOKUP($A58,TableHandbook[],4,FALSE)),"")</f>
        <v/>
      </c>
      <c r="E58" s="186"/>
      <c r="F58" s="131" t="str">
        <f>IFERROR(IF(VLOOKUP($A58,TableHandbook[],6,FALSE)=0,"",VLOOKUP($A58,TableHandbook[],6,FALSE)),"")</f>
        <v/>
      </c>
      <c r="G58" s="186" t="str">
        <f>IFERROR(IF(VLOOKUP($A58,TableHandbook[],5,FALSE)=0,"",VLOOKUP($A58,TableHandbook[],5,FALSE)),"")</f>
        <v/>
      </c>
      <c r="H58" s="187" t="str">
        <f>IFERROR(VLOOKUP($A58,TableHandbook[],H$2,FALSE),"")</f>
        <v/>
      </c>
      <c r="I58" s="188" t="str">
        <f>IFERROR(VLOOKUP($A58,TableHandbook[],I$2,FALSE),"")</f>
        <v/>
      </c>
      <c r="J58" s="188" t="str">
        <f>IFERROR(VLOOKUP($A58,TableHandbook[],J$2,FALSE),"")</f>
        <v/>
      </c>
      <c r="K58" s="189" t="str">
        <f>IFERROR(VLOOKUP($A58,TableHandbook[],K$2,FALSE),"")</f>
        <v/>
      </c>
      <c r="L58" s="22"/>
      <c r="M58" s="135">
        <v>11</v>
      </c>
    </row>
    <row r="59" spans="1:15" x14ac:dyDescent="0.25">
      <c r="A59" s="183" t="str">
        <f t="shared" si="3"/>
        <v/>
      </c>
      <c r="B59" s="184" t="str">
        <f>IFERROR(IF(VLOOKUP($A59,TableHandbook[],2,FALSE)=0,"",VLOOKUP($A59,TableHandbook[],2,FALSE)),"")</f>
        <v/>
      </c>
      <c r="C59" s="184" t="str">
        <f>IFERROR(IF(VLOOKUP($A59,TableHandbook[],3,FALSE)=0,"",VLOOKUP($A59,TableHandbook[],3,FALSE)),"")</f>
        <v/>
      </c>
      <c r="D59" s="185" t="str">
        <f>IFERROR(IF(VLOOKUP($A59,TableHandbook[],4,FALSE)=0,"",VLOOKUP($A59,TableHandbook[],4,FALSE)),"")</f>
        <v/>
      </c>
      <c r="E59" s="186"/>
      <c r="F59" s="131" t="str">
        <f>IFERROR(IF(VLOOKUP($A59,TableHandbook[],6,FALSE)=0,"",VLOOKUP($A59,TableHandbook[],6,FALSE)),"")</f>
        <v/>
      </c>
      <c r="G59" s="186" t="str">
        <f>IFERROR(IF(VLOOKUP($A59,TableHandbook[],5,FALSE)=0,"",VLOOKUP($A59,TableHandbook[],5,FALSE)),"")</f>
        <v/>
      </c>
      <c r="H59" s="187" t="str">
        <f>IFERROR(VLOOKUP($A59,TableHandbook[],H$2,FALSE),"")</f>
        <v/>
      </c>
      <c r="I59" s="188" t="str">
        <f>IFERROR(VLOOKUP($A59,TableHandbook[],I$2,FALSE),"")</f>
        <v/>
      </c>
      <c r="J59" s="188" t="str">
        <f>IFERROR(VLOOKUP($A59,TableHandbook[],J$2,FALSE),"")</f>
        <v/>
      </c>
      <c r="K59" s="189" t="str">
        <f>IFERROR(VLOOKUP($A59,TableHandbook[],K$2,FALSE),"")</f>
        <v/>
      </c>
      <c r="L59" s="22"/>
      <c r="M59" s="135">
        <v>12</v>
      </c>
    </row>
    <row r="60" spans="1:15" x14ac:dyDescent="0.25">
      <c r="A60" s="183" t="str">
        <f t="shared" si="3"/>
        <v/>
      </c>
      <c r="B60" s="184" t="str">
        <f>IFERROR(IF(VLOOKUP($A60,TableHandbook[],2,FALSE)=0,"",VLOOKUP($A60,TableHandbook[],2,FALSE)),"")</f>
        <v/>
      </c>
      <c r="C60" s="184" t="str">
        <f>IFERROR(IF(VLOOKUP($A60,TableHandbook[],3,FALSE)=0,"",VLOOKUP($A60,TableHandbook[],3,FALSE)),"")</f>
        <v/>
      </c>
      <c r="D60" s="185" t="str">
        <f>IFERROR(IF(VLOOKUP($A60,TableHandbook[],4,FALSE)=0,"",VLOOKUP($A60,TableHandbook[],4,FALSE)),"")</f>
        <v/>
      </c>
      <c r="E60" s="186"/>
      <c r="F60" s="131" t="str">
        <f>IFERROR(IF(VLOOKUP($A60,TableHandbook[],6,FALSE)=0,"",VLOOKUP($A60,TableHandbook[],6,FALSE)),"")</f>
        <v/>
      </c>
      <c r="G60" s="186" t="str">
        <f>IFERROR(IF(VLOOKUP($A60,TableHandbook[],5,FALSE)=0,"",VLOOKUP($A60,TableHandbook[],5,FALSE)),"")</f>
        <v/>
      </c>
      <c r="H60" s="187" t="str">
        <f>IFERROR(VLOOKUP($A60,TableHandbook[],H$2,FALSE),"")</f>
        <v/>
      </c>
      <c r="I60" s="188" t="str">
        <f>IFERROR(VLOOKUP($A60,TableHandbook[],I$2,FALSE),"")</f>
        <v/>
      </c>
      <c r="J60" s="188" t="str">
        <f>IFERROR(VLOOKUP($A60,TableHandbook[],J$2,FALSE),"")</f>
        <v/>
      </c>
      <c r="K60" s="189" t="str">
        <f>IFERROR(VLOOKUP($A60,TableHandbook[],K$2,FALSE),"")</f>
        <v/>
      </c>
      <c r="L60" s="22"/>
      <c r="M60" s="135">
        <v>13</v>
      </c>
    </row>
    <row r="61" spans="1:15" x14ac:dyDescent="0.25">
      <c r="A61" s="183" t="str">
        <f t="shared" si="3"/>
        <v/>
      </c>
      <c r="B61" s="184" t="str">
        <f>IFERROR(IF(VLOOKUP($A61,TableHandbook[],2,FALSE)=0,"",VLOOKUP($A61,TableHandbook[],2,FALSE)),"")</f>
        <v/>
      </c>
      <c r="C61" s="184" t="str">
        <f>IFERROR(IF(VLOOKUP($A61,TableHandbook[],3,FALSE)=0,"",VLOOKUP($A61,TableHandbook[],3,FALSE)),"")</f>
        <v/>
      </c>
      <c r="D61" s="185" t="str">
        <f>IFERROR(IF(VLOOKUP($A61,TableHandbook[],4,FALSE)=0,"",VLOOKUP($A61,TableHandbook[],4,FALSE)),"")</f>
        <v/>
      </c>
      <c r="E61" s="186"/>
      <c r="F61" s="131" t="str">
        <f>IFERROR(IF(VLOOKUP($A61,TableHandbook[],6,FALSE)=0,"",VLOOKUP($A61,TableHandbook[],6,FALSE)),"")</f>
        <v/>
      </c>
      <c r="G61" s="186" t="str">
        <f>IFERROR(IF(VLOOKUP($A61,TableHandbook[],5,FALSE)=0,"",VLOOKUP($A61,TableHandbook[],5,FALSE)),"")</f>
        <v/>
      </c>
      <c r="H61" s="187" t="str">
        <f>IFERROR(VLOOKUP($A61,TableHandbook[],H$2,FALSE),"")</f>
        <v/>
      </c>
      <c r="I61" s="188" t="str">
        <f>IFERROR(VLOOKUP($A61,TableHandbook[],I$2,FALSE),"")</f>
        <v/>
      </c>
      <c r="J61" s="188" t="str">
        <f>IFERROR(VLOOKUP($A61,TableHandbook[],J$2,FALSE),"")</f>
        <v/>
      </c>
      <c r="K61" s="189" t="str">
        <f>IFERROR(VLOOKUP($A61,TableHandbook[],K$2,FALSE),"")</f>
        <v/>
      </c>
      <c r="L61" s="22"/>
      <c r="M61" s="135">
        <v>14</v>
      </c>
    </row>
    <row r="62" spans="1:15" ht="19.5" customHeight="1" x14ac:dyDescent="0.25">
      <c r="A62" s="190"/>
      <c r="B62" s="190"/>
      <c r="C62" s="190"/>
      <c r="D62" s="190"/>
      <c r="E62" s="190"/>
      <c r="F62" s="190"/>
      <c r="G62" s="190"/>
      <c r="H62" s="190"/>
      <c r="I62" s="190"/>
      <c r="J62" s="190"/>
      <c r="K62" s="190"/>
      <c r="L62" s="190"/>
      <c r="M62" s="135"/>
    </row>
    <row r="63" spans="1:15" ht="32.25" customHeight="1" x14ac:dyDescent="0.25">
      <c r="A63" s="191" t="s">
        <v>30</v>
      </c>
      <c r="B63" s="191"/>
      <c r="C63" s="191"/>
      <c r="D63" s="191"/>
      <c r="E63" s="191"/>
      <c r="F63" s="191"/>
      <c r="G63" s="191"/>
      <c r="H63" s="191"/>
      <c r="I63" s="191"/>
      <c r="J63" s="191"/>
      <c r="K63" s="191"/>
      <c r="L63" s="191"/>
    </row>
    <row r="64" spans="1:15" s="193" customFormat="1" ht="24.95" customHeight="1" x14ac:dyDescent="0.3">
      <c r="A64" s="13" t="s">
        <v>31</v>
      </c>
      <c r="B64" s="13"/>
      <c r="C64" s="13"/>
      <c r="D64" s="14"/>
      <c r="E64" s="36"/>
      <c r="F64" s="14"/>
      <c r="G64" s="14"/>
      <c r="H64" s="14"/>
      <c r="I64" s="14"/>
      <c r="J64" s="14"/>
      <c r="K64" s="14"/>
      <c r="L64" s="14"/>
      <c r="M64" s="192"/>
      <c r="N64" s="192"/>
      <c r="O64" s="192"/>
    </row>
    <row r="65" spans="1:12" ht="15" customHeight="1" x14ac:dyDescent="0.25">
      <c r="A65" s="194" t="s">
        <v>32</v>
      </c>
      <c r="B65" s="194"/>
      <c r="C65" s="194"/>
      <c r="D65" s="194"/>
      <c r="E65" s="195"/>
      <c r="F65" s="157"/>
      <c r="G65" s="196"/>
      <c r="H65" s="196"/>
      <c r="I65" s="196"/>
      <c r="J65" s="196"/>
      <c r="K65" s="196"/>
      <c r="L65" s="196" t="s">
        <v>33</v>
      </c>
    </row>
  </sheetData>
  <sheetProtection algorithmName="SHA-512" hashValue="qgjkmlcG37v8YPVRIdX3MGqxr4D1AVZejYwrhA3oxWhwwXAFuLmg7gf+vgJS6lgDBbgwQazpPu8QpKhCrNYRDA==" saltValue="di/mpFn+BkFTADApEYrO3Q==" spinCount="100000" sheet="1" objects="1" scenarios="1" formatCells="0"/>
  <mergeCells count="2">
    <mergeCell ref="A3:D3"/>
    <mergeCell ref="A63:L63"/>
  </mergeCells>
  <conditionalFormatting sqref="A10:L20 A22:L32 A34:L44 A21:B21 D21:G21 L21 A33:B33 D33:G33 L33">
    <cfRule type="expression" dxfId="31" priority="6">
      <formula>$A10="Spec"</formula>
    </cfRule>
  </conditionalFormatting>
  <conditionalFormatting sqref="A49:L61">
    <cfRule type="expression" dxfId="30" priority="3">
      <formula>$A49=""</formula>
    </cfRule>
    <cfRule type="expression" dxfId="29" priority="8">
      <formula>OR(LEFT($D49,3)="AND",LEFT($D49,5)="Study")</formula>
    </cfRule>
  </conditionalFormatting>
  <conditionalFormatting sqref="D5:D7">
    <cfRule type="containsText" dxfId="28" priority="11" operator="containsText" text="Choose">
      <formula>NOT(ISERROR(SEARCH("Choose",D5)))</formula>
    </cfRule>
  </conditionalFormatting>
  <conditionalFormatting sqref="D47:G48">
    <cfRule type="expression" dxfId="27" priority="4">
      <formula>$A47="Spec"</formula>
    </cfRule>
  </conditionalFormatting>
  <conditionalFormatting sqref="H10:K44">
    <cfRule type="expression" dxfId="26" priority="2">
      <formula>$E10=H$9</formula>
    </cfRule>
  </conditionalFormatting>
  <conditionalFormatting sqref="L47">
    <cfRule type="expression" dxfId="25" priority="1">
      <formula>$A47="Spec"</formula>
    </cfRule>
  </conditionalFormatting>
  <dataValidations count="1">
    <dataValidation type="list" allowBlank="1" showInputMessage="1" showErrorMessage="1" sqref="L27 L15 L39 L12 L18 L24 L30 L36 L42" xr:uid="{00000000-0002-0000-0000-000000000000}"/>
  </dataValidations>
  <hyperlinks>
    <hyperlink ref="A64:L64" r:id="rId1" display="If you have any queries about your course, please contact Curtin Connect." xr:uid="{00000000-0004-0000-0000-000000000000}"/>
  </hyperlinks>
  <printOptions horizontalCentered="1"/>
  <pageMargins left="0.31496062992125984" right="0.31496062992125984" top="0.39370078740157483" bottom="0.39370078740157483" header="0.19685039370078741" footer="0.19685039370078741"/>
  <pageSetup paperSize="9" scale="58" orientation="portrait" r:id="rId2"/>
  <rowBreaks count="1" manualBreakCount="1">
    <brk id="44" max="10" man="1"/>
  </rowBreaks>
  <ignoredErrors>
    <ignoredError sqref="M39" unlockedFormula="1"/>
  </ignoredErrors>
  <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CourseDetails!$A$9:$A$13</xm:f>
          </x14:formula1>
          <xm:sqref>D7</xm:sqref>
        </x14:dataValidation>
        <x14:dataValidation type="list" showInputMessage="1" showErrorMessage="1" xr:uid="{00000000-0002-0000-0000-000002000000}">
          <x14:formula1>
            <xm:f>CourseDetails!$A$16:$A$20</xm:f>
          </x14:formula1>
          <xm:sqref>D6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CEC6E1-3756-4E66-99EB-2FD273B1A1E3}">
  <dimension ref="A1:I50"/>
  <sheetViews>
    <sheetView workbookViewId="0">
      <selection activeCell="B33" sqref="B33"/>
    </sheetView>
  </sheetViews>
  <sheetFormatPr defaultRowHeight="15.75" x14ac:dyDescent="0.25"/>
  <cols>
    <col min="1" max="1" width="73.625" style="7" bestFit="1" customWidth="1"/>
    <col min="2" max="2" width="12" style="4" bestFit="1" customWidth="1"/>
    <col min="3" max="3" width="11.875" style="4" bestFit="1" customWidth="1"/>
    <col min="4" max="4" width="16.875" style="4" bestFit="1" customWidth="1"/>
    <col min="5" max="5" width="14.125" style="4" bestFit="1" customWidth="1"/>
    <col min="6" max="6" width="18.5" style="4" bestFit="1" customWidth="1"/>
    <col min="7" max="7" width="19.375" style="4" bestFit="1" customWidth="1"/>
    <col min="8" max="8" width="24.75" style="4" customWidth="1"/>
    <col min="9" max="9" width="10.75" bestFit="1" customWidth="1"/>
  </cols>
  <sheetData>
    <row r="1" spans="1:9" x14ac:dyDescent="0.25">
      <c r="A1" s="9" t="s">
        <v>10</v>
      </c>
      <c r="B1" s="10"/>
      <c r="C1" s="10"/>
      <c r="D1" s="10"/>
    </row>
    <row r="2" spans="1:9" x14ac:dyDescent="0.25">
      <c r="A2"/>
      <c r="B2"/>
      <c r="C2"/>
      <c r="D2"/>
      <c r="E2"/>
      <c r="F2"/>
      <c r="G2"/>
      <c r="H2"/>
    </row>
    <row r="3" spans="1:9" x14ac:dyDescent="0.25">
      <c r="A3" s="39" t="s">
        <v>43</v>
      </c>
      <c r="C3" s="28"/>
    </row>
    <row r="4" spans="1:9" x14ac:dyDescent="0.25">
      <c r="A4" s="4" t="s">
        <v>44</v>
      </c>
      <c r="B4" s="7" t="s">
        <v>0</v>
      </c>
      <c r="C4" s="4" t="s">
        <v>45</v>
      </c>
      <c r="D4" s="4" t="s">
        <v>46</v>
      </c>
      <c r="E4" s="4" t="s">
        <v>47</v>
      </c>
      <c r="F4" s="4" t="s">
        <v>48</v>
      </c>
      <c r="G4" s="4" t="s">
        <v>49</v>
      </c>
      <c r="H4" s="4" t="s">
        <v>50</v>
      </c>
    </row>
    <row r="5" spans="1:9" x14ac:dyDescent="0.25">
      <c r="A5" s="4" t="s">
        <v>10</v>
      </c>
      <c r="B5" s="57" t="s">
        <v>51</v>
      </c>
      <c r="C5" s="61" t="s">
        <v>337</v>
      </c>
      <c r="D5" s="62">
        <v>46023</v>
      </c>
      <c r="E5" s="61">
        <v>8</v>
      </c>
      <c r="F5" s="62">
        <v>46023</v>
      </c>
      <c r="G5" s="58" t="s">
        <v>53</v>
      </c>
      <c r="H5" s="58" t="s">
        <v>54</v>
      </c>
      <c r="I5" t="s">
        <v>336</v>
      </c>
    </row>
    <row r="6" spans="1:9" x14ac:dyDescent="0.25">
      <c r="A6" s="4" t="s">
        <v>56</v>
      </c>
      <c r="B6" s="57" t="s">
        <v>57</v>
      </c>
      <c r="C6" s="61" t="s">
        <v>337</v>
      </c>
      <c r="D6" s="62">
        <v>46023</v>
      </c>
      <c r="E6" s="61">
        <v>8</v>
      </c>
      <c r="F6" s="62">
        <v>46023</v>
      </c>
      <c r="G6" s="58" t="s">
        <v>53</v>
      </c>
      <c r="H6" s="58" t="s">
        <v>54</v>
      </c>
      <c r="I6" t="s">
        <v>336</v>
      </c>
    </row>
    <row r="8" spans="1:9" x14ac:dyDescent="0.25">
      <c r="A8" s="39" t="s">
        <v>62</v>
      </c>
    </row>
    <row r="9" spans="1:9" x14ac:dyDescent="0.25">
      <c r="A9" s="8" t="s">
        <v>15</v>
      </c>
      <c r="B9" s="11" t="s">
        <v>63</v>
      </c>
      <c r="C9" s="4" t="s">
        <v>64</v>
      </c>
      <c r="D9" s="4" t="s">
        <v>65</v>
      </c>
      <c r="E9" s="4" t="s">
        <v>66</v>
      </c>
    </row>
    <row r="10" spans="1:9" x14ac:dyDescent="0.25">
      <c r="A10" s="4" t="s">
        <v>67</v>
      </c>
      <c r="B10" s="28" t="s">
        <v>22</v>
      </c>
      <c r="C10" s="28" t="s">
        <v>23</v>
      </c>
      <c r="D10" s="28" t="s">
        <v>24</v>
      </c>
      <c r="E10" s="28" t="s">
        <v>25</v>
      </c>
    </row>
    <row r="11" spans="1:9" x14ac:dyDescent="0.25">
      <c r="A11" s="4" t="s">
        <v>74</v>
      </c>
      <c r="B11" s="28" t="s">
        <v>23</v>
      </c>
      <c r="C11" s="28" t="s">
        <v>24</v>
      </c>
      <c r="D11" s="28" t="s">
        <v>25</v>
      </c>
      <c r="E11" s="28" t="s">
        <v>22</v>
      </c>
    </row>
    <row r="12" spans="1:9" x14ac:dyDescent="0.25">
      <c r="A12" s="4" t="s">
        <v>77</v>
      </c>
      <c r="B12" s="28" t="s">
        <v>24</v>
      </c>
      <c r="C12" s="28" t="s">
        <v>25</v>
      </c>
      <c r="D12" s="28" t="s">
        <v>22</v>
      </c>
      <c r="E12" s="28" t="s">
        <v>23</v>
      </c>
    </row>
    <row r="13" spans="1:9" x14ac:dyDescent="0.25">
      <c r="A13" s="4" t="s">
        <v>78</v>
      </c>
      <c r="B13" s="28" t="s">
        <v>25</v>
      </c>
      <c r="C13" s="28" t="s">
        <v>22</v>
      </c>
      <c r="D13" s="28" t="s">
        <v>23</v>
      </c>
      <c r="E13" s="28" t="s">
        <v>24</v>
      </c>
    </row>
    <row r="14" spans="1:9" x14ac:dyDescent="0.25">
      <c r="A14" s="4"/>
    </row>
    <row r="15" spans="1:9" x14ac:dyDescent="0.25">
      <c r="A15" s="39" t="s">
        <v>81</v>
      </c>
      <c r="B15"/>
      <c r="C15"/>
      <c r="D15"/>
      <c r="E15"/>
      <c r="F15"/>
      <c r="G15"/>
    </row>
    <row r="16" spans="1:9" x14ac:dyDescent="0.25">
      <c r="A16" s="4" t="s">
        <v>12</v>
      </c>
      <c r="B16" s="7" t="s">
        <v>0</v>
      </c>
      <c r="C16" s="4" t="s">
        <v>45</v>
      </c>
      <c r="D16" s="4" t="s">
        <v>46</v>
      </c>
      <c r="E16" s="4" t="s">
        <v>47</v>
      </c>
      <c r="F16" s="4" t="s">
        <v>48</v>
      </c>
      <c r="G16" s="4" t="s">
        <v>49</v>
      </c>
      <c r="H16"/>
    </row>
    <row r="17" spans="1:8" x14ac:dyDescent="0.25">
      <c r="A17" s="4" t="s">
        <v>82</v>
      </c>
      <c r="B17" s="58" t="s">
        <v>83</v>
      </c>
      <c r="C17" s="61" t="s">
        <v>88</v>
      </c>
      <c r="D17" s="62">
        <v>46023</v>
      </c>
      <c r="E17" s="61">
        <v>2</v>
      </c>
      <c r="F17" s="62">
        <v>46023</v>
      </c>
      <c r="G17" s="59" t="s">
        <v>85</v>
      </c>
      <c r="H17"/>
    </row>
    <row r="18" spans="1:8" x14ac:dyDescent="0.25">
      <c r="A18" s="4" t="s">
        <v>86</v>
      </c>
      <c r="B18" s="58" t="s">
        <v>87</v>
      </c>
      <c r="C18" s="63" t="s">
        <v>88</v>
      </c>
      <c r="D18" s="64">
        <v>45658</v>
      </c>
      <c r="E18" s="63">
        <v>3</v>
      </c>
      <c r="F18" s="64">
        <v>45658</v>
      </c>
      <c r="G18" s="59" t="s">
        <v>85</v>
      </c>
      <c r="H18"/>
    </row>
    <row r="19" spans="1:8" x14ac:dyDescent="0.25">
      <c r="A19" s="46" t="s">
        <v>95</v>
      </c>
      <c r="B19" s="58" t="s">
        <v>96</v>
      </c>
      <c r="C19" s="63" t="s">
        <v>52</v>
      </c>
      <c r="D19" s="64">
        <v>45292</v>
      </c>
      <c r="E19" s="61" t="s">
        <v>359</v>
      </c>
      <c r="F19" s="62">
        <v>45931</v>
      </c>
      <c r="G19" s="59" t="s">
        <v>85</v>
      </c>
      <c r="H19"/>
    </row>
    <row r="20" spans="1:8" x14ac:dyDescent="0.25">
      <c r="A20" s="4" t="s">
        <v>99</v>
      </c>
      <c r="B20" s="58" t="s">
        <v>100</v>
      </c>
      <c r="C20" s="63" t="s">
        <v>84</v>
      </c>
      <c r="D20" s="64">
        <v>44743</v>
      </c>
      <c r="E20" s="63">
        <v>1</v>
      </c>
      <c r="F20" s="64">
        <v>44743</v>
      </c>
      <c r="G20" s="59" t="s">
        <v>85</v>
      </c>
      <c r="H20"/>
    </row>
    <row r="21" spans="1:8" x14ac:dyDescent="0.25">
      <c r="F21"/>
      <c r="G21"/>
      <c r="H21"/>
    </row>
    <row r="22" spans="1:8" x14ac:dyDescent="0.25">
      <c r="A22" t="s">
        <v>103</v>
      </c>
      <c r="B22"/>
      <c r="C22"/>
      <c r="D22"/>
      <c r="E22"/>
      <c r="F22"/>
      <c r="G22"/>
      <c r="H22"/>
    </row>
    <row r="23" spans="1:8" x14ac:dyDescent="0.25">
      <c r="A23" s="74" t="s">
        <v>358</v>
      </c>
      <c r="B23" s="60">
        <v>46031</v>
      </c>
      <c r="C23"/>
      <c r="D23"/>
      <c r="E23"/>
      <c r="F23"/>
      <c r="G23"/>
      <c r="H23"/>
    </row>
    <row r="24" spans="1:8" x14ac:dyDescent="0.25">
      <c r="A24" t="s">
        <v>334</v>
      </c>
      <c r="B24" s="60">
        <v>46031</v>
      </c>
      <c r="C24"/>
      <c r="D24"/>
      <c r="E24"/>
      <c r="F24"/>
      <c r="G24"/>
      <c r="H24"/>
    </row>
    <row r="25" spans="1:8" x14ac:dyDescent="0.25">
      <c r="A25" t="s">
        <v>335</v>
      </c>
      <c r="B25" s="60">
        <v>45904</v>
      </c>
      <c r="C25"/>
      <c r="D25"/>
      <c r="E25"/>
      <c r="F25"/>
      <c r="G25"/>
      <c r="H25"/>
    </row>
    <row r="26" spans="1:8" x14ac:dyDescent="0.25">
      <c r="A26" t="s">
        <v>105</v>
      </c>
      <c r="B26" s="60">
        <v>46031</v>
      </c>
      <c r="C26"/>
      <c r="D26"/>
      <c r="E26"/>
      <c r="F26"/>
      <c r="G26"/>
      <c r="H26"/>
    </row>
    <row r="27" spans="1:8" x14ac:dyDescent="0.25">
      <c r="A27" t="s">
        <v>106</v>
      </c>
      <c r="B27" s="60">
        <v>45986</v>
      </c>
      <c r="C27"/>
      <c r="D27"/>
      <c r="E27"/>
    </row>
    <row r="28" spans="1:8" x14ac:dyDescent="0.25">
      <c r="A28" t="s">
        <v>107</v>
      </c>
      <c r="B28" s="60">
        <v>46031</v>
      </c>
      <c r="C28"/>
      <c r="D28"/>
      <c r="E28"/>
    </row>
    <row r="29" spans="1:8" x14ac:dyDescent="0.25">
      <c r="A29" t="s">
        <v>108</v>
      </c>
      <c r="B29" s="60">
        <v>45986</v>
      </c>
      <c r="C29"/>
      <c r="D29"/>
      <c r="E29"/>
    </row>
    <row r="30" spans="1:8" x14ac:dyDescent="0.25">
      <c r="A30" t="s">
        <v>110</v>
      </c>
      <c r="B30" s="60">
        <v>45986</v>
      </c>
      <c r="C30" t="s">
        <v>386</v>
      </c>
    </row>
    <row r="31" spans="1:8" x14ac:dyDescent="0.25">
      <c r="A31" t="s">
        <v>114</v>
      </c>
      <c r="B31" s="60">
        <v>45986</v>
      </c>
      <c r="C31"/>
    </row>
    <row r="32" spans="1:8" x14ac:dyDescent="0.25">
      <c r="A32" t="s">
        <v>120</v>
      </c>
      <c r="B32" s="60">
        <v>45986</v>
      </c>
      <c r="C32"/>
    </row>
    <row r="33" spans="1:8" x14ac:dyDescent="0.25">
      <c r="A33"/>
      <c r="B33"/>
      <c r="C33"/>
    </row>
    <row r="34" spans="1:8" x14ac:dyDescent="0.25">
      <c r="A34"/>
      <c r="B34"/>
      <c r="C34"/>
    </row>
    <row r="35" spans="1:8" x14ac:dyDescent="0.25">
      <c r="A35"/>
      <c r="B35"/>
      <c r="C35"/>
    </row>
    <row r="36" spans="1:8" x14ac:dyDescent="0.25">
      <c r="A36"/>
      <c r="B36"/>
      <c r="C36"/>
    </row>
    <row r="37" spans="1:8" x14ac:dyDescent="0.25">
      <c r="A37"/>
      <c r="B37"/>
      <c r="C37"/>
      <c r="F37"/>
      <c r="G37"/>
      <c r="H37"/>
    </row>
    <row r="38" spans="1:8" x14ac:dyDescent="0.25">
      <c r="A38"/>
      <c r="B38"/>
      <c r="C38"/>
      <c r="D38"/>
      <c r="E38"/>
      <c r="F38"/>
      <c r="G38"/>
      <c r="H38"/>
    </row>
    <row r="39" spans="1:8" x14ac:dyDescent="0.25">
      <c r="A39"/>
      <c r="B39"/>
      <c r="C39"/>
      <c r="D39"/>
      <c r="E39"/>
      <c r="F39"/>
      <c r="G39"/>
      <c r="H39"/>
    </row>
    <row r="40" spans="1:8" x14ac:dyDescent="0.25">
      <c r="A40"/>
      <c r="B40"/>
      <c r="C40"/>
      <c r="D40"/>
      <c r="E40"/>
      <c r="F40"/>
      <c r="G40"/>
      <c r="H40"/>
    </row>
    <row r="41" spans="1:8" x14ac:dyDescent="0.25">
      <c r="A41"/>
      <c r="B41"/>
      <c r="C41"/>
      <c r="D41"/>
      <c r="E41"/>
      <c r="F41"/>
      <c r="G41"/>
      <c r="H41"/>
    </row>
    <row r="42" spans="1:8" x14ac:dyDescent="0.25">
      <c r="A42"/>
      <c r="B42"/>
      <c r="C42"/>
      <c r="D42"/>
      <c r="E42"/>
      <c r="F42"/>
      <c r="G42"/>
      <c r="H42"/>
    </row>
    <row r="43" spans="1:8" x14ac:dyDescent="0.25">
      <c r="A43"/>
      <c r="B43"/>
      <c r="C43"/>
      <c r="D43"/>
      <c r="E43"/>
      <c r="F43"/>
      <c r="G43"/>
      <c r="H43"/>
    </row>
    <row r="44" spans="1:8" x14ac:dyDescent="0.25">
      <c r="A44"/>
      <c r="B44"/>
      <c r="C44"/>
      <c r="D44"/>
      <c r="E44"/>
      <c r="F44"/>
      <c r="G44"/>
      <c r="H44"/>
    </row>
    <row r="45" spans="1:8" x14ac:dyDescent="0.25">
      <c r="A45"/>
      <c r="B45"/>
      <c r="C45"/>
      <c r="D45"/>
      <c r="E45"/>
      <c r="F45"/>
      <c r="G45"/>
      <c r="H45"/>
    </row>
    <row r="46" spans="1:8" x14ac:dyDescent="0.25">
      <c r="A46"/>
      <c r="B46"/>
      <c r="C46"/>
      <c r="D46"/>
      <c r="E46"/>
      <c r="F46"/>
      <c r="G46"/>
      <c r="H46"/>
    </row>
    <row r="47" spans="1:8" x14ac:dyDescent="0.25">
      <c r="A47"/>
      <c r="B47"/>
      <c r="C47"/>
      <c r="D47"/>
      <c r="E47"/>
      <c r="F47"/>
      <c r="G47"/>
      <c r="H47"/>
    </row>
    <row r="48" spans="1:8" x14ac:dyDescent="0.25">
      <c r="A48"/>
      <c r="B48"/>
      <c r="C48"/>
      <c r="D48"/>
      <c r="E48"/>
      <c r="F48"/>
      <c r="G48"/>
      <c r="H48"/>
    </row>
    <row r="49" customFormat="1" x14ac:dyDescent="0.25"/>
    <row r="50" customFormat="1" x14ac:dyDescent="0.25"/>
  </sheetData>
  <pageMargins left="0.7" right="0.7" top="0.75" bottom="0.75" header="0.3" footer="0.3"/>
  <tableParts count="3">
    <tablePart r:id="rId1"/>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J66"/>
  <sheetViews>
    <sheetView zoomScale="85" zoomScaleNormal="85" workbookViewId="0">
      <selection activeCell="B33" sqref="B33"/>
    </sheetView>
  </sheetViews>
  <sheetFormatPr defaultRowHeight="15.75" x14ac:dyDescent="0.25"/>
  <cols>
    <col min="1" max="1" width="13.25" style="4" bestFit="1" customWidth="1"/>
    <col min="2" max="2" width="5.875" bestFit="1" customWidth="1"/>
    <col min="3" max="3" width="5.25" bestFit="1" customWidth="1"/>
    <col min="4" max="4" width="15.125" bestFit="1" customWidth="1"/>
    <col min="5" max="5" width="5.25" bestFit="1" customWidth="1"/>
    <col min="6" max="6" width="15.375" bestFit="1" customWidth="1"/>
    <col min="7" max="7" width="5.5" bestFit="1" customWidth="1"/>
    <col min="8" max="8" width="15.375" bestFit="1" customWidth="1"/>
    <col min="9" max="9" width="5.25" bestFit="1" customWidth="1"/>
    <col min="10" max="10" width="15.375" bestFit="1" customWidth="1"/>
  </cols>
  <sheetData>
    <row r="2" spans="1:10" x14ac:dyDescent="0.25">
      <c r="A2"/>
      <c r="C2" s="18"/>
      <c r="D2" s="73" t="s">
        <v>387</v>
      </c>
      <c r="E2" s="2"/>
      <c r="F2" s="55"/>
      <c r="G2" s="2"/>
      <c r="H2" s="55"/>
      <c r="I2" s="2"/>
      <c r="J2" s="55"/>
    </row>
    <row r="3" spans="1:10" x14ac:dyDescent="0.25">
      <c r="A3" s="33" t="s">
        <v>34</v>
      </c>
      <c r="B3" s="1">
        <v>1</v>
      </c>
      <c r="C3" s="20"/>
      <c r="D3" s="5" t="s">
        <v>348</v>
      </c>
      <c r="E3" s="20"/>
      <c r="F3" s="6" t="s">
        <v>349</v>
      </c>
      <c r="G3" s="20"/>
      <c r="H3" s="5" t="s">
        <v>350</v>
      </c>
      <c r="I3" s="20"/>
      <c r="J3" s="6" t="s">
        <v>351</v>
      </c>
    </row>
    <row r="4" spans="1:10" x14ac:dyDescent="0.25">
      <c r="B4" s="12">
        <v>2</v>
      </c>
      <c r="C4" s="23" t="s">
        <v>35</v>
      </c>
      <c r="D4" s="16" t="s">
        <v>36</v>
      </c>
      <c r="E4" s="23" t="s">
        <v>37</v>
      </c>
      <c r="F4" s="16" t="s">
        <v>38</v>
      </c>
      <c r="G4" s="23" t="s">
        <v>39</v>
      </c>
      <c r="H4" s="16" t="s">
        <v>36</v>
      </c>
      <c r="I4" s="23" t="s">
        <v>40</v>
      </c>
      <c r="J4" s="16" t="s">
        <v>38</v>
      </c>
    </row>
    <row r="5" spans="1:10" x14ac:dyDescent="0.25">
      <c r="B5" s="12">
        <v>3</v>
      </c>
      <c r="C5" s="24" t="s">
        <v>35</v>
      </c>
      <c r="D5" s="17" t="s">
        <v>41</v>
      </c>
      <c r="E5" s="24" t="s">
        <v>37</v>
      </c>
      <c r="F5" s="17" t="s">
        <v>338</v>
      </c>
      <c r="G5" s="24" t="s">
        <v>39</v>
      </c>
      <c r="H5" s="17" t="s">
        <v>41</v>
      </c>
      <c r="I5" s="24" t="s">
        <v>40</v>
      </c>
      <c r="J5" s="17" t="s">
        <v>338</v>
      </c>
    </row>
    <row r="6" spans="1:10" x14ac:dyDescent="0.25">
      <c r="B6" s="12">
        <v>4</v>
      </c>
      <c r="C6" s="24" t="s">
        <v>37</v>
      </c>
      <c r="D6" s="17" t="s">
        <v>38</v>
      </c>
      <c r="E6" s="24" t="s">
        <v>39</v>
      </c>
      <c r="F6" s="17" t="s">
        <v>36</v>
      </c>
      <c r="G6" s="24" t="s">
        <v>40</v>
      </c>
      <c r="H6" s="17" t="s">
        <v>38</v>
      </c>
      <c r="I6" s="24" t="s">
        <v>35</v>
      </c>
      <c r="J6" s="17" t="s">
        <v>36</v>
      </c>
    </row>
    <row r="7" spans="1:10" x14ac:dyDescent="0.25">
      <c r="B7" s="12">
        <v>5</v>
      </c>
      <c r="C7" s="24" t="s">
        <v>37</v>
      </c>
      <c r="D7" s="17" t="s">
        <v>338</v>
      </c>
      <c r="E7" s="24" t="s">
        <v>39</v>
      </c>
      <c r="F7" s="17" t="s">
        <v>41</v>
      </c>
      <c r="G7" s="24" t="s">
        <v>40</v>
      </c>
      <c r="H7" s="17" t="s">
        <v>338</v>
      </c>
      <c r="I7" s="24" t="s">
        <v>35</v>
      </c>
      <c r="J7" s="17" t="s">
        <v>41</v>
      </c>
    </row>
    <row r="8" spans="1:10" x14ac:dyDescent="0.25">
      <c r="B8" s="12">
        <v>6</v>
      </c>
      <c r="C8" s="24" t="s">
        <v>39</v>
      </c>
      <c r="D8" s="17" t="s">
        <v>58</v>
      </c>
      <c r="E8" s="24" t="s">
        <v>40</v>
      </c>
      <c r="F8" s="17" t="s">
        <v>59</v>
      </c>
      <c r="G8" s="24" t="s">
        <v>35</v>
      </c>
      <c r="H8" s="17" t="s">
        <v>58</v>
      </c>
      <c r="I8" s="24" t="s">
        <v>37</v>
      </c>
      <c r="J8" s="17" t="s">
        <v>59</v>
      </c>
    </row>
    <row r="9" spans="1:10" x14ac:dyDescent="0.25">
      <c r="B9" s="12">
        <v>7</v>
      </c>
      <c r="C9" s="24" t="s">
        <v>39</v>
      </c>
      <c r="D9" s="17" t="s">
        <v>61</v>
      </c>
      <c r="E9" s="24" t="s">
        <v>40</v>
      </c>
      <c r="F9" s="17" t="s">
        <v>55</v>
      </c>
      <c r="G9" s="24" t="s">
        <v>35</v>
      </c>
      <c r="H9" s="17" t="s">
        <v>61</v>
      </c>
      <c r="I9" s="24" t="s">
        <v>37</v>
      </c>
      <c r="J9" s="17" t="s">
        <v>55</v>
      </c>
    </row>
    <row r="10" spans="1:10" x14ac:dyDescent="0.25">
      <c r="B10" s="12">
        <v>8</v>
      </c>
      <c r="C10" s="24" t="s">
        <v>40</v>
      </c>
      <c r="D10" s="17" t="s">
        <v>59</v>
      </c>
      <c r="E10" s="24" t="s">
        <v>35</v>
      </c>
      <c r="F10" s="17" t="s">
        <v>58</v>
      </c>
      <c r="G10" s="24" t="s">
        <v>37</v>
      </c>
      <c r="H10" s="17" t="s">
        <v>59</v>
      </c>
      <c r="I10" s="24" t="s">
        <v>39</v>
      </c>
      <c r="J10" s="17" t="s">
        <v>58</v>
      </c>
    </row>
    <row r="11" spans="1:10" x14ac:dyDescent="0.25">
      <c r="B11" s="12">
        <v>9</v>
      </c>
      <c r="C11" s="24" t="s">
        <v>40</v>
      </c>
      <c r="D11" s="17" t="s">
        <v>55</v>
      </c>
      <c r="E11" s="25" t="s">
        <v>35</v>
      </c>
      <c r="F11" s="17" t="s">
        <v>61</v>
      </c>
      <c r="G11" s="24" t="s">
        <v>37</v>
      </c>
      <c r="H11" s="17" t="s">
        <v>55</v>
      </c>
      <c r="I11" s="25" t="s">
        <v>39</v>
      </c>
      <c r="J11" s="17" t="s">
        <v>61</v>
      </c>
    </row>
    <row r="12" spans="1:10" x14ac:dyDescent="0.25">
      <c r="B12" s="12">
        <v>10</v>
      </c>
      <c r="C12" s="43" t="s">
        <v>68</v>
      </c>
      <c r="D12" s="16" t="s">
        <v>69</v>
      </c>
      <c r="E12" s="43" t="s">
        <v>70</v>
      </c>
      <c r="F12" s="16" t="s">
        <v>80</v>
      </c>
      <c r="G12" s="43" t="s">
        <v>72</v>
      </c>
      <c r="H12" s="16" t="s">
        <v>79</v>
      </c>
      <c r="I12" s="43" t="s">
        <v>73</v>
      </c>
      <c r="J12" s="16" t="s">
        <v>71</v>
      </c>
    </row>
    <row r="13" spans="1:10" x14ac:dyDescent="0.25">
      <c r="B13" s="12">
        <v>11</v>
      </c>
      <c r="C13" s="34" t="s">
        <v>68</v>
      </c>
      <c r="D13" s="17" t="s">
        <v>60</v>
      </c>
      <c r="E13" s="34" t="s">
        <v>70</v>
      </c>
      <c r="F13" s="17" t="s">
        <v>76</v>
      </c>
      <c r="G13" s="34" t="s">
        <v>72</v>
      </c>
      <c r="H13" s="17" t="s">
        <v>61</v>
      </c>
      <c r="I13" s="34" t="s">
        <v>73</v>
      </c>
      <c r="J13" s="17" t="s">
        <v>61</v>
      </c>
    </row>
    <row r="14" spans="1:10" x14ac:dyDescent="0.25">
      <c r="B14" s="12">
        <v>12</v>
      </c>
      <c r="C14" s="34" t="s">
        <v>70</v>
      </c>
      <c r="D14" s="17" t="s">
        <v>80</v>
      </c>
      <c r="E14" s="34" t="s">
        <v>72</v>
      </c>
      <c r="F14" s="17" t="s">
        <v>79</v>
      </c>
      <c r="G14" s="34" t="s">
        <v>73</v>
      </c>
      <c r="H14" s="17" t="s">
        <v>71</v>
      </c>
      <c r="I14" s="34" t="s">
        <v>68</v>
      </c>
      <c r="J14" s="17" t="s">
        <v>69</v>
      </c>
    </row>
    <row r="15" spans="1:10" x14ac:dyDescent="0.25">
      <c r="B15" s="12">
        <v>13</v>
      </c>
      <c r="C15" s="34" t="s">
        <v>70</v>
      </c>
      <c r="D15" s="17" t="s">
        <v>76</v>
      </c>
      <c r="E15" s="34" t="s">
        <v>72</v>
      </c>
      <c r="F15" s="17" t="s">
        <v>61</v>
      </c>
      <c r="G15" s="34" t="s">
        <v>73</v>
      </c>
      <c r="H15" s="17" t="s">
        <v>61</v>
      </c>
      <c r="I15" s="34" t="s">
        <v>68</v>
      </c>
      <c r="J15" s="17" t="s">
        <v>60</v>
      </c>
    </row>
    <row r="16" spans="1:10" x14ac:dyDescent="0.25">
      <c r="B16" s="12">
        <v>14</v>
      </c>
      <c r="C16" s="34" t="s">
        <v>72</v>
      </c>
      <c r="D16" s="17" t="s">
        <v>79</v>
      </c>
      <c r="E16" s="34" t="s">
        <v>73</v>
      </c>
      <c r="F16" s="17" t="s">
        <v>71</v>
      </c>
      <c r="G16" s="34" t="s">
        <v>68</v>
      </c>
      <c r="H16" s="17" t="s">
        <v>69</v>
      </c>
      <c r="I16" s="34" t="s">
        <v>70</v>
      </c>
      <c r="J16" s="17" t="s">
        <v>80</v>
      </c>
    </row>
    <row r="17" spans="1:10" x14ac:dyDescent="0.25">
      <c r="B17" s="12">
        <v>15</v>
      </c>
      <c r="C17" s="34" t="s">
        <v>72</v>
      </c>
      <c r="D17" s="17" t="s">
        <v>61</v>
      </c>
      <c r="E17" s="34" t="s">
        <v>73</v>
      </c>
      <c r="F17" s="17" t="s">
        <v>61</v>
      </c>
      <c r="G17" s="34" t="s">
        <v>68</v>
      </c>
      <c r="H17" s="17" t="s">
        <v>60</v>
      </c>
      <c r="I17" s="34" t="s">
        <v>70</v>
      </c>
      <c r="J17" s="17" t="s">
        <v>76</v>
      </c>
    </row>
    <row r="18" spans="1:10" x14ac:dyDescent="0.25">
      <c r="B18" s="12">
        <v>16</v>
      </c>
      <c r="C18" s="34" t="s">
        <v>73</v>
      </c>
      <c r="D18" s="17" t="s">
        <v>71</v>
      </c>
      <c r="E18" s="34" t="s">
        <v>68</v>
      </c>
      <c r="F18" s="17" t="s">
        <v>69</v>
      </c>
      <c r="G18" s="34" t="s">
        <v>70</v>
      </c>
      <c r="H18" s="17" t="s">
        <v>80</v>
      </c>
      <c r="I18" s="34" t="s">
        <v>72</v>
      </c>
      <c r="J18" s="17" t="s">
        <v>79</v>
      </c>
    </row>
    <row r="19" spans="1:10" x14ac:dyDescent="0.25">
      <c r="B19" s="12">
        <v>17</v>
      </c>
      <c r="C19" s="35" t="s">
        <v>73</v>
      </c>
      <c r="D19" s="17" t="s">
        <v>61</v>
      </c>
      <c r="E19" s="35" t="s">
        <v>68</v>
      </c>
      <c r="F19" s="17" t="s">
        <v>60</v>
      </c>
      <c r="G19" s="35" t="s">
        <v>70</v>
      </c>
      <c r="H19" s="17" t="s">
        <v>76</v>
      </c>
      <c r="I19" s="35" t="s">
        <v>72</v>
      </c>
      <c r="J19" s="17" t="s">
        <v>61</v>
      </c>
    </row>
    <row r="20" spans="1:10" x14ac:dyDescent="0.25">
      <c r="B20" s="12">
        <v>18</v>
      </c>
      <c r="C20" s="43" t="s">
        <v>89</v>
      </c>
      <c r="D20" s="16" t="s">
        <v>90</v>
      </c>
      <c r="E20" s="43" t="s">
        <v>91</v>
      </c>
      <c r="F20" s="16" t="s">
        <v>92</v>
      </c>
      <c r="G20" s="43" t="s">
        <v>93</v>
      </c>
      <c r="H20" s="16" t="s">
        <v>101</v>
      </c>
      <c r="I20" s="43" t="s">
        <v>94</v>
      </c>
      <c r="J20" s="16" t="s">
        <v>102</v>
      </c>
    </row>
    <row r="21" spans="1:10" x14ac:dyDescent="0.25">
      <c r="B21" s="12">
        <v>19</v>
      </c>
      <c r="C21" s="34" t="s">
        <v>89</v>
      </c>
      <c r="D21" s="17" t="s">
        <v>97</v>
      </c>
      <c r="E21" s="34" t="s">
        <v>91</v>
      </c>
      <c r="F21" s="17" t="s">
        <v>61</v>
      </c>
      <c r="G21" s="34" t="s">
        <v>93</v>
      </c>
      <c r="H21" s="17" t="s">
        <v>75</v>
      </c>
      <c r="I21" s="34" t="s">
        <v>94</v>
      </c>
      <c r="J21" s="17" t="s">
        <v>98</v>
      </c>
    </row>
    <row r="22" spans="1:10" x14ac:dyDescent="0.25">
      <c r="B22" s="12">
        <v>20</v>
      </c>
      <c r="C22" s="34" t="s">
        <v>91</v>
      </c>
      <c r="D22" s="17" t="s">
        <v>92</v>
      </c>
      <c r="E22" s="34" t="s">
        <v>93</v>
      </c>
      <c r="F22" s="17" t="s">
        <v>101</v>
      </c>
      <c r="G22" s="34" t="s">
        <v>94</v>
      </c>
      <c r="H22" s="17" t="s">
        <v>102</v>
      </c>
      <c r="I22" s="34" t="s">
        <v>89</v>
      </c>
      <c r="J22" s="17" t="s">
        <v>90</v>
      </c>
    </row>
    <row r="23" spans="1:10" x14ac:dyDescent="0.25">
      <c r="B23" s="12">
        <v>21</v>
      </c>
      <c r="C23" s="34" t="s">
        <v>91</v>
      </c>
      <c r="D23" s="17" t="s">
        <v>61</v>
      </c>
      <c r="E23" s="34" t="s">
        <v>93</v>
      </c>
      <c r="F23" s="17" t="s">
        <v>75</v>
      </c>
      <c r="G23" s="34" t="s">
        <v>94</v>
      </c>
      <c r="H23" s="17" t="s">
        <v>98</v>
      </c>
      <c r="I23" s="34" t="s">
        <v>89</v>
      </c>
      <c r="J23" s="17" t="s">
        <v>97</v>
      </c>
    </row>
    <row r="24" spans="1:10" x14ac:dyDescent="0.25">
      <c r="B24" s="12">
        <v>22</v>
      </c>
      <c r="C24" s="34" t="s">
        <v>93</v>
      </c>
      <c r="D24" s="17" t="s">
        <v>101</v>
      </c>
      <c r="E24" s="34" t="s">
        <v>94</v>
      </c>
      <c r="F24" s="17" t="s">
        <v>102</v>
      </c>
      <c r="G24" s="34" t="s">
        <v>89</v>
      </c>
      <c r="H24" s="17" t="s">
        <v>90</v>
      </c>
      <c r="I24" s="34" t="s">
        <v>91</v>
      </c>
      <c r="J24" s="17" t="s">
        <v>92</v>
      </c>
    </row>
    <row r="25" spans="1:10" x14ac:dyDescent="0.25">
      <c r="B25" s="12">
        <v>23</v>
      </c>
      <c r="C25" s="34" t="s">
        <v>93</v>
      </c>
      <c r="D25" s="17" t="s">
        <v>75</v>
      </c>
      <c r="E25" s="34" t="s">
        <v>94</v>
      </c>
      <c r="F25" s="17" t="s">
        <v>98</v>
      </c>
      <c r="G25" s="34" t="s">
        <v>89</v>
      </c>
      <c r="H25" s="17" t="s">
        <v>97</v>
      </c>
      <c r="I25" s="34" t="s">
        <v>91</v>
      </c>
      <c r="J25" s="17" t="s">
        <v>61</v>
      </c>
    </row>
    <row r="26" spans="1:10" x14ac:dyDescent="0.25">
      <c r="B26" s="12">
        <v>24</v>
      </c>
      <c r="C26" s="34" t="s">
        <v>94</v>
      </c>
      <c r="D26" s="17" t="s">
        <v>102</v>
      </c>
      <c r="E26" s="34" t="s">
        <v>89</v>
      </c>
      <c r="F26" s="17" t="s">
        <v>90</v>
      </c>
      <c r="G26" s="34" t="s">
        <v>91</v>
      </c>
      <c r="H26" s="17" t="s">
        <v>92</v>
      </c>
      <c r="I26" s="34" t="s">
        <v>93</v>
      </c>
      <c r="J26" s="17" t="s">
        <v>101</v>
      </c>
    </row>
    <row r="27" spans="1:10" x14ac:dyDescent="0.25">
      <c r="B27" s="12">
        <v>25</v>
      </c>
      <c r="C27" s="35" t="s">
        <v>94</v>
      </c>
      <c r="D27" s="17" t="s">
        <v>98</v>
      </c>
      <c r="E27" s="35" t="s">
        <v>89</v>
      </c>
      <c r="F27" s="44" t="s">
        <v>97</v>
      </c>
      <c r="G27" s="35" t="s">
        <v>91</v>
      </c>
      <c r="H27" s="17" t="s">
        <v>61</v>
      </c>
      <c r="I27" s="35" t="s">
        <v>93</v>
      </c>
      <c r="J27" s="44" t="s">
        <v>75</v>
      </c>
    </row>
    <row r="28" spans="1:10" x14ac:dyDescent="0.25">
      <c r="C28" s="19"/>
      <c r="D28" s="31" t="s">
        <v>104</v>
      </c>
      <c r="E28" s="19"/>
      <c r="F28" s="31" t="s">
        <v>104</v>
      </c>
      <c r="G28" s="19"/>
      <c r="H28" s="31" t="s">
        <v>104</v>
      </c>
      <c r="I28" s="19"/>
      <c r="J28" s="31" t="s">
        <v>104</v>
      </c>
    </row>
    <row r="29" spans="1:10" x14ac:dyDescent="0.25">
      <c r="A29"/>
    </row>
    <row r="30" spans="1:10" x14ac:dyDescent="0.25">
      <c r="A30"/>
    </row>
    <row r="31" spans="1:10" x14ac:dyDescent="0.25">
      <c r="A31"/>
    </row>
    <row r="32" spans="1:10" x14ac:dyDescent="0.25">
      <c r="A32"/>
    </row>
    <row r="33" spans="1:10" x14ac:dyDescent="0.25">
      <c r="A33" s="33" t="s">
        <v>109</v>
      </c>
      <c r="C33" s="86"/>
      <c r="D33" s="87" t="s">
        <v>83</v>
      </c>
      <c r="E33" s="86"/>
      <c r="F33" s="87" t="s">
        <v>87</v>
      </c>
      <c r="G33" s="88"/>
      <c r="H33" s="88" t="s">
        <v>96</v>
      </c>
      <c r="I33" s="86"/>
      <c r="J33" s="87" t="s">
        <v>100</v>
      </c>
    </row>
    <row r="34" spans="1:10" ht="15.75" customHeight="1" x14ac:dyDescent="0.25">
      <c r="A34"/>
      <c r="B34" s="12">
        <v>2</v>
      </c>
      <c r="C34" s="23" t="s">
        <v>111</v>
      </c>
      <c r="D34" s="41" t="s">
        <v>112</v>
      </c>
      <c r="E34" s="23" t="s">
        <v>111</v>
      </c>
      <c r="F34" s="41" t="s">
        <v>112</v>
      </c>
      <c r="G34" s="23" t="s">
        <v>111</v>
      </c>
      <c r="H34" s="16" t="s">
        <v>113</v>
      </c>
      <c r="I34" s="23" t="s">
        <v>111</v>
      </c>
      <c r="J34" s="16" t="s">
        <v>112</v>
      </c>
    </row>
    <row r="35" spans="1:10" x14ac:dyDescent="0.25">
      <c r="A35"/>
      <c r="B35" s="12">
        <v>3</v>
      </c>
      <c r="C35" s="24" t="s">
        <v>115</v>
      </c>
      <c r="D35" s="17" t="s">
        <v>340</v>
      </c>
      <c r="E35" s="24" t="s">
        <v>115</v>
      </c>
      <c r="F35" s="17" t="s">
        <v>117</v>
      </c>
      <c r="G35" s="24" t="s">
        <v>115</v>
      </c>
      <c r="H35" s="17" t="s">
        <v>118</v>
      </c>
      <c r="I35" s="24" t="s">
        <v>115</v>
      </c>
      <c r="J35" s="17" t="s">
        <v>119</v>
      </c>
    </row>
    <row r="36" spans="1:10" ht="15.75" customHeight="1" x14ac:dyDescent="0.25">
      <c r="A36"/>
      <c r="B36" s="12">
        <v>4</v>
      </c>
      <c r="C36" s="24" t="s">
        <v>121</v>
      </c>
      <c r="D36" s="17" t="s">
        <v>342</v>
      </c>
      <c r="E36" s="24" t="s">
        <v>121</v>
      </c>
      <c r="F36" s="17" t="s">
        <v>123</v>
      </c>
      <c r="G36" s="24" t="s">
        <v>121</v>
      </c>
      <c r="H36" s="17" t="s">
        <v>124</v>
      </c>
      <c r="I36" s="24" t="s">
        <v>121</v>
      </c>
      <c r="J36" s="17" t="s">
        <v>125</v>
      </c>
    </row>
    <row r="37" spans="1:10" ht="15.75" customHeight="1" x14ac:dyDescent="0.25">
      <c r="A37"/>
      <c r="B37" s="12">
        <v>5</v>
      </c>
      <c r="C37" s="24" t="s">
        <v>126</v>
      </c>
      <c r="D37" s="17" t="s">
        <v>344</v>
      </c>
      <c r="E37" s="24" t="s">
        <v>126</v>
      </c>
      <c r="F37" s="17" t="s">
        <v>128</v>
      </c>
      <c r="G37" s="24" t="s">
        <v>126</v>
      </c>
      <c r="H37" s="17" t="s">
        <v>129</v>
      </c>
      <c r="I37" s="24" t="s">
        <v>126</v>
      </c>
      <c r="J37" s="17" t="s">
        <v>130</v>
      </c>
    </row>
    <row r="38" spans="1:10" ht="16.5" customHeight="1" x14ac:dyDescent="0.25">
      <c r="A38"/>
      <c r="B38" s="12">
        <v>6</v>
      </c>
      <c r="C38" s="24" t="s">
        <v>131</v>
      </c>
      <c r="D38" s="17" t="s">
        <v>129</v>
      </c>
      <c r="E38" s="24" t="s">
        <v>131</v>
      </c>
      <c r="F38" s="17" t="s">
        <v>129</v>
      </c>
      <c r="G38" s="24" t="s">
        <v>131</v>
      </c>
      <c r="H38" s="42" t="s">
        <v>132</v>
      </c>
      <c r="I38" s="24" t="s">
        <v>131</v>
      </c>
      <c r="J38" s="17" t="s">
        <v>129</v>
      </c>
    </row>
    <row r="39" spans="1:10" x14ac:dyDescent="0.25">
      <c r="A39"/>
      <c r="B39" s="12">
        <v>7</v>
      </c>
      <c r="C39" s="24" t="s">
        <v>133</v>
      </c>
      <c r="D39" s="17" t="s">
        <v>134</v>
      </c>
      <c r="E39" s="24" t="s">
        <v>133</v>
      </c>
      <c r="F39" s="17" t="s">
        <v>135</v>
      </c>
      <c r="G39" s="24" t="s">
        <v>133</v>
      </c>
      <c r="H39" s="17" t="s">
        <v>136</v>
      </c>
      <c r="I39" s="24" t="s">
        <v>133</v>
      </c>
      <c r="J39" s="17" t="s">
        <v>137</v>
      </c>
    </row>
    <row r="40" spans="1:10" x14ac:dyDescent="0.25">
      <c r="A40"/>
      <c r="B40" s="12">
        <v>8</v>
      </c>
      <c r="C40" s="24" t="s">
        <v>138</v>
      </c>
      <c r="D40" s="17" t="s">
        <v>139</v>
      </c>
      <c r="E40" s="24" t="s">
        <v>138</v>
      </c>
      <c r="F40" s="42" t="s">
        <v>140</v>
      </c>
      <c r="G40" s="24" t="s">
        <v>138</v>
      </c>
      <c r="H40" s="17" t="s">
        <v>141</v>
      </c>
      <c r="I40" s="24" t="s">
        <v>138</v>
      </c>
      <c r="J40" s="17" t="s">
        <v>142</v>
      </c>
    </row>
    <row r="41" spans="1:10" x14ac:dyDescent="0.25">
      <c r="A41"/>
      <c r="B41" s="12">
        <v>9</v>
      </c>
      <c r="C41" s="24" t="s">
        <v>143</v>
      </c>
      <c r="D41" s="17" t="s">
        <v>144</v>
      </c>
      <c r="E41" s="24" t="s">
        <v>143</v>
      </c>
      <c r="F41" s="17" t="s">
        <v>145</v>
      </c>
      <c r="G41" s="24" t="s">
        <v>143</v>
      </c>
      <c r="H41" s="17" t="s">
        <v>129</v>
      </c>
      <c r="I41" s="24"/>
      <c r="J41" s="17" t="s">
        <v>144</v>
      </c>
    </row>
    <row r="42" spans="1:10" x14ac:dyDescent="0.25">
      <c r="A42"/>
      <c r="B42" s="12">
        <v>10</v>
      </c>
      <c r="C42" s="24"/>
      <c r="D42" s="17"/>
      <c r="E42" s="24"/>
      <c r="F42" s="17"/>
      <c r="G42" s="34" t="s">
        <v>146</v>
      </c>
      <c r="H42" s="17" t="s">
        <v>147</v>
      </c>
      <c r="I42" s="24"/>
      <c r="J42" s="17"/>
    </row>
    <row r="43" spans="1:10" x14ac:dyDescent="0.25">
      <c r="A43"/>
      <c r="B43" s="12">
        <v>11</v>
      </c>
      <c r="C43" s="24"/>
      <c r="D43" s="17"/>
      <c r="E43" s="24"/>
      <c r="F43" s="17"/>
      <c r="G43" s="34" t="s">
        <v>148</v>
      </c>
      <c r="H43" s="17" t="s">
        <v>149</v>
      </c>
      <c r="I43" s="24"/>
      <c r="J43" s="17"/>
    </row>
    <row r="44" spans="1:10" x14ac:dyDescent="0.25">
      <c r="A44"/>
      <c r="B44" s="12">
        <v>12</v>
      </c>
      <c r="C44" s="24"/>
      <c r="D44" s="17"/>
      <c r="E44" s="24"/>
      <c r="F44" s="17"/>
      <c r="G44" s="34" t="s">
        <v>150</v>
      </c>
      <c r="H44" s="17" t="s">
        <v>151</v>
      </c>
      <c r="I44" s="24"/>
      <c r="J44" s="17"/>
    </row>
    <row r="45" spans="1:10" x14ac:dyDescent="0.25">
      <c r="A45"/>
      <c r="B45" s="12">
        <v>13</v>
      </c>
      <c r="C45" s="24"/>
      <c r="D45" s="17"/>
      <c r="E45" s="24"/>
      <c r="F45" s="17"/>
      <c r="G45" s="34" t="s">
        <v>152</v>
      </c>
      <c r="H45" s="17" t="s">
        <v>144</v>
      </c>
      <c r="I45" s="24"/>
      <c r="J45" s="17"/>
    </row>
    <row r="46" spans="1:10" x14ac:dyDescent="0.25">
      <c r="A46"/>
      <c r="B46" s="12">
        <v>14</v>
      </c>
      <c r="C46" s="24"/>
      <c r="D46" s="17"/>
      <c r="E46" s="24"/>
      <c r="F46" s="17"/>
      <c r="G46" s="34" t="s">
        <v>154</v>
      </c>
      <c r="H46" s="17" t="s">
        <v>156</v>
      </c>
      <c r="I46" s="24"/>
      <c r="J46" s="17"/>
    </row>
    <row r="47" spans="1:10" x14ac:dyDescent="0.25">
      <c r="A47"/>
      <c r="B47" s="12">
        <v>15</v>
      </c>
      <c r="C47" s="24"/>
      <c r="D47" s="17"/>
      <c r="E47" s="24"/>
      <c r="F47" s="17"/>
      <c r="G47" s="34" t="s">
        <v>155</v>
      </c>
      <c r="H47" s="17"/>
      <c r="I47" s="24"/>
      <c r="J47" s="17"/>
    </row>
    <row r="48" spans="1:10" x14ac:dyDescent="0.25">
      <c r="A48"/>
      <c r="B48" s="12">
        <v>16</v>
      </c>
      <c r="C48" s="24"/>
      <c r="D48" s="30"/>
      <c r="E48" s="24"/>
      <c r="F48" s="17"/>
      <c r="G48" s="34" t="s">
        <v>157</v>
      </c>
      <c r="H48" s="17"/>
      <c r="I48" s="24"/>
      <c r="J48" s="17"/>
    </row>
    <row r="49" spans="1:10" x14ac:dyDescent="0.25">
      <c r="A49"/>
      <c r="B49" s="12">
        <v>17</v>
      </c>
      <c r="C49" s="25"/>
      <c r="D49" s="29"/>
      <c r="E49" s="25"/>
      <c r="F49" s="29"/>
      <c r="G49" s="35" t="s">
        <v>158</v>
      </c>
      <c r="H49" s="29"/>
      <c r="I49" s="25"/>
      <c r="J49" s="29"/>
    </row>
    <row r="53" spans="1:10" x14ac:dyDescent="0.25">
      <c r="A53"/>
    </row>
    <row r="54" spans="1:10" x14ac:dyDescent="0.25">
      <c r="A54"/>
    </row>
    <row r="55" spans="1:10" x14ac:dyDescent="0.25">
      <c r="A55"/>
    </row>
    <row r="56" spans="1:10" ht="24.75" customHeight="1" x14ac:dyDescent="0.25">
      <c r="A56"/>
    </row>
    <row r="57" spans="1:10" ht="22.5" customHeight="1" x14ac:dyDescent="0.25">
      <c r="A57"/>
    </row>
    <row r="58" spans="1:10" x14ac:dyDescent="0.25">
      <c r="A58"/>
    </row>
    <row r="59" spans="1:10" x14ac:dyDescent="0.25">
      <c r="A59"/>
    </row>
    <row r="60" spans="1:10" x14ac:dyDescent="0.25">
      <c r="A60"/>
    </row>
    <row r="61" spans="1:10" x14ac:dyDescent="0.25">
      <c r="A61"/>
    </row>
    <row r="62" spans="1:10" x14ac:dyDescent="0.25">
      <c r="A62"/>
    </row>
    <row r="63" spans="1:10" x14ac:dyDescent="0.25">
      <c r="A63"/>
    </row>
    <row r="64" spans="1:10" x14ac:dyDescent="0.25">
      <c r="A64"/>
    </row>
    <row r="65" spans="1:1" x14ac:dyDescent="0.25">
      <c r="A65"/>
    </row>
    <row r="66" spans="1:1" x14ac:dyDescent="0.25">
      <c r="A66"/>
    </row>
  </sheetData>
  <conditionalFormatting sqref="C4:J27">
    <cfRule type="cellIs" dxfId="24" priority="1" operator="equal">
      <formula>"Spec"</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67"/>
  <sheetViews>
    <sheetView zoomScale="85" zoomScaleNormal="85" workbookViewId="0">
      <pane ySplit="2" topLeftCell="A3" activePane="bottomLeft" state="frozen"/>
      <selection activeCell="B33" sqref="B33"/>
      <selection pane="bottomLeft" activeCell="B33" sqref="B33"/>
    </sheetView>
  </sheetViews>
  <sheetFormatPr defaultRowHeight="15.75" x14ac:dyDescent="0.25"/>
  <cols>
    <col min="1" max="1" width="13.875" bestFit="1" customWidth="1"/>
    <col min="2" max="2" width="6.25" style="2" customWidth="1"/>
    <col min="3" max="3" width="9.875" bestFit="1" customWidth="1"/>
    <col min="4" max="4" width="69.125" bestFit="1" customWidth="1"/>
    <col min="5" max="5" width="9.375" style="2" bestFit="1" customWidth="1"/>
    <col min="6" max="6" width="31.5" bestFit="1" customWidth="1"/>
    <col min="7" max="10" width="6.25" bestFit="1" customWidth="1"/>
    <col min="11" max="11" width="44" customWidth="1"/>
    <col min="12" max="12" width="6.25" style="2" bestFit="1" customWidth="1"/>
    <col min="13" max="13" width="6.25" style="2" customWidth="1"/>
    <col min="14" max="16" width="6.25" style="2" bestFit="1" customWidth="1"/>
    <col min="17" max="17" width="6.25" bestFit="1" customWidth="1"/>
    <col min="18" max="18" width="6" bestFit="1" customWidth="1"/>
    <col min="19" max="22" width="6.5" bestFit="1" customWidth="1"/>
  </cols>
  <sheetData>
    <row r="1" spans="1:18" x14ac:dyDescent="0.25">
      <c r="A1" s="15">
        <f>COLUMN()</f>
        <v>1</v>
      </c>
      <c r="B1" s="15">
        <f>COLUMN()</f>
        <v>2</v>
      </c>
      <c r="C1" s="15">
        <f>COLUMN()</f>
        <v>3</v>
      </c>
      <c r="D1" s="15">
        <f>COLUMN()</f>
        <v>4</v>
      </c>
      <c r="E1" s="15">
        <f>COLUMN()</f>
        <v>5</v>
      </c>
      <c r="F1" s="15">
        <f>COLUMN()</f>
        <v>6</v>
      </c>
      <c r="G1" s="15">
        <f>COLUMN()</f>
        <v>7</v>
      </c>
      <c r="H1" s="15">
        <f>COLUMN()</f>
        <v>8</v>
      </c>
      <c r="I1" s="15">
        <f>COLUMN()</f>
        <v>9</v>
      </c>
      <c r="J1" s="15">
        <f>COLUMN()</f>
        <v>10</v>
      </c>
      <c r="K1" s="15">
        <f>COLUMN()</f>
        <v>11</v>
      </c>
      <c r="L1" s="15">
        <f>COLUMN()</f>
        <v>12</v>
      </c>
      <c r="M1" s="15"/>
      <c r="N1" s="15">
        <f>COLUMN()</f>
        <v>14</v>
      </c>
      <c r="O1" s="15">
        <f>COLUMN()</f>
        <v>15</v>
      </c>
      <c r="P1" s="15">
        <f>COLUMN()</f>
        <v>16</v>
      </c>
      <c r="Q1" s="15">
        <f>COLUMN()</f>
        <v>17</v>
      </c>
    </row>
    <row r="2" spans="1:18" ht="74.25" x14ac:dyDescent="0.25">
      <c r="A2" s="47" t="s">
        <v>0</v>
      </c>
      <c r="B2" s="47" t="s">
        <v>1</v>
      </c>
      <c r="C2" s="47" t="s">
        <v>2</v>
      </c>
      <c r="D2" s="47" t="s">
        <v>160</v>
      </c>
      <c r="E2" s="47" t="s">
        <v>5</v>
      </c>
      <c r="F2" s="47" t="s">
        <v>382</v>
      </c>
      <c r="G2" s="48" t="s">
        <v>22</v>
      </c>
      <c r="H2" s="48" t="s">
        <v>23</v>
      </c>
      <c r="I2" s="48" t="s">
        <v>24</v>
      </c>
      <c r="J2" s="48" t="s">
        <v>25</v>
      </c>
      <c r="K2" s="47" t="s">
        <v>161</v>
      </c>
      <c r="L2" s="48" t="s">
        <v>51</v>
      </c>
      <c r="M2" s="48" t="s">
        <v>57</v>
      </c>
      <c r="N2" s="48" t="s">
        <v>83</v>
      </c>
      <c r="O2" s="48" t="s">
        <v>87</v>
      </c>
      <c r="P2" s="48" t="s">
        <v>96</v>
      </c>
      <c r="Q2" s="48" t="s">
        <v>100</v>
      </c>
      <c r="R2" s="3"/>
    </row>
    <row r="3" spans="1:18" x14ac:dyDescent="0.25">
      <c r="A3" s="4" t="s">
        <v>162</v>
      </c>
      <c r="B3" s="28"/>
      <c r="C3" s="28"/>
      <c r="D3" s="4" t="s">
        <v>163</v>
      </c>
      <c r="E3" s="28"/>
      <c r="F3" s="56"/>
      <c r="G3" s="49" t="str">
        <f>IFERROR(IF(VLOOKUP(TableHandbook[[#This Row],[UDC]],TableAvailabilities[],2,FALSE)&gt;0,"Y",""),"")</f>
        <v/>
      </c>
      <c r="H3" s="49" t="str">
        <f>IFERROR(IF(VLOOKUP(TableHandbook[[#This Row],[UDC]],TableAvailabilities[],3,FALSE)&gt;0,"Y",""),"")</f>
        <v/>
      </c>
      <c r="I3" s="49" t="str">
        <f>IFERROR(IF(VLOOKUP(TableHandbook[[#This Row],[UDC]],TableAvailabilities[],4,FALSE)&gt;0,"Y",""),"")</f>
        <v/>
      </c>
      <c r="J3" s="49" t="str">
        <f>IFERROR(IF(VLOOKUP(TableHandbook[[#This Row],[UDC]],TableAvailabilities[],5,FALSE)&gt;0,"Y",""),"")</f>
        <v/>
      </c>
      <c r="K3" s="53"/>
      <c r="L3" s="50" t="str">
        <f>IFERROR(VLOOKUP(TableHandbook[[#This Row],[UDC]],TableOBARCH[],7,FALSE),"")</f>
        <v/>
      </c>
      <c r="M3" s="50" t="str">
        <f>IFERROR(VLOOKUP(TableHandbook[[#This Row],[UDC]],TableOUARCH[],7,FALSE),"")</f>
        <v/>
      </c>
      <c r="N3" s="72" t="str">
        <f>IFERROR(VLOOKUP(TableHandbook[[#This Row],[UDC]],TableOSCUANGAD[],7,FALSE),"")</f>
        <v/>
      </c>
      <c r="O3" s="50" t="str">
        <f>IFERROR(VLOOKUP(TableHandbook[[#This Row],[UDC]],TableOSCUCONMS[],7,FALSE),"")</f>
        <v/>
      </c>
      <c r="P3" s="50" t="str">
        <f>IFERROR(VLOOKUP(TableHandbook[[#This Row],[UDC]],TableOSCUINARS[],7,FALSE),"")</f>
        <v/>
      </c>
      <c r="Q3" s="50" t="str">
        <f>IFERROR(VLOOKUP(TableHandbook[[#This Row],[UDC]],TableOSCUPLGEO[],7,FALSE),"")</f>
        <v/>
      </c>
      <c r="R3" s="3"/>
    </row>
    <row r="4" spans="1:18" x14ac:dyDescent="0.25">
      <c r="A4" s="4" t="s">
        <v>132</v>
      </c>
      <c r="B4" s="28"/>
      <c r="C4" s="28"/>
      <c r="D4" s="4" t="s">
        <v>164</v>
      </c>
      <c r="E4" s="28">
        <v>50</v>
      </c>
      <c r="F4" s="56"/>
      <c r="G4" s="49" t="str">
        <f>IFERROR(IF(VLOOKUP(TableHandbook[[#This Row],[UDC]],TableAvailabilities[],2,FALSE)&gt;0,"Y",""),"")</f>
        <v/>
      </c>
      <c r="H4" s="49" t="str">
        <f>IFERROR(IF(VLOOKUP(TableHandbook[[#This Row],[UDC]],TableAvailabilities[],3,FALSE)&gt;0,"Y",""),"")</f>
        <v/>
      </c>
      <c r="I4" s="49" t="str">
        <f>IFERROR(IF(VLOOKUP(TableHandbook[[#This Row],[UDC]],TableAvailabilities[],4,FALSE)&gt;0,"Y",""),"")</f>
        <v/>
      </c>
      <c r="J4" s="49" t="str">
        <f>IFERROR(IF(VLOOKUP(TableHandbook[[#This Row],[UDC]],TableAvailabilities[],5,FALSE)&gt;0,"Y",""),"")</f>
        <v/>
      </c>
      <c r="K4" s="53"/>
      <c r="L4" s="50" t="str">
        <f>IFERROR(VLOOKUP(TableHandbook[[#This Row],[UDC]],TableOBARCH[],7,FALSE),"")</f>
        <v/>
      </c>
      <c r="M4" s="50" t="str">
        <f>IFERROR(VLOOKUP(TableHandbook[[#This Row],[UDC]],TableOUARCH[],7,FALSE),"")</f>
        <v/>
      </c>
      <c r="N4" s="72" t="str">
        <f>IFERROR(VLOOKUP(TableHandbook[[#This Row],[UDC]],TableOSCUANGAD[],7,FALSE),"")</f>
        <v/>
      </c>
      <c r="O4" s="50" t="str">
        <f>IFERROR(VLOOKUP(TableHandbook[[#This Row],[UDC]],TableOSCUCONMS[],7,FALSE),"")</f>
        <v/>
      </c>
      <c r="P4" s="50" t="str">
        <f>IFERROR(VLOOKUP(TableHandbook[[#This Row],[UDC]],TableOSCUINARS[],7,FALSE),"")</f>
        <v/>
      </c>
      <c r="Q4" s="50" t="str">
        <f>IFERROR(VLOOKUP(TableHandbook[[#This Row],[UDC]],TableOSCUPLGEO[],7,FALSE),"")</f>
        <v/>
      </c>
    </row>
    <row r="5" spans="1:18" x14ac:dyDescent="0.25">
      <c r="A5" s="4" t="s">
        <v>112</v>
      </c>
      <c r="B5" s="28"/>
      <c r="C5" s="28"/>
      <c r="D5" s="4" t="s">
        <v>165</v>
      </c>
      <c r="E5" s="28">
        <v>75</v>
      </c>
      <c r="F5" s="56"/>
      <c r="G5" s="49" t="str">
        <f>IFERROR(IF(VLOOKUP(TableHandbook[[#This Row],[UDC]],TableAvailabilities[],2,FALSE)&gt;0,"Y",""),"")</f>
        <v/>
      </c>
      <c r="H5" s="49" t="str">
        <f>IFERROR(IF(VLOOKUP(TableHandbook[[#This Row],[UDC]],TableAvailabilities[],3,FALSE)&gt;0,"Y",""),"")</f>
        <v/>
      </c>
      <c r="I5" s="49" t="str">
        <f>IFERROR(IF(VLOOKUP(TableHandbook[[#This Row],[UDC]],TableAvailabilities[],4,FALSE)&gt;0,"Y",""),"")</f>
        <v/>
      </c>
      <c r="J5" s="49" t="str">
        <f>IFERROR(IF(VLOOKUP(TableHandbook[[#This Row],[UDC]],TableAvailabilities[],5,FALSE)&gt;0,"Y",""),"")</f>
        <v/>
      </c>
      <c r="K5" s="53"/>
      <c r="L5" s="50" t="str">
        <f>IFERROR(VLOOKUP(TableHandbook[[#This Row],[UDC]],TableOBARCH[],7,FALSE),"")</f>
        <v/>
      </c>
      <c r="M5" s="50" t="str">
        <f>IFERROR(VLOOKUP(TableHandbook[[#This Row],[UDC]],TableOUARCH[],7,FALSE),"")</f>
        <v/>
      </c>
      <c r="N5" s="72" t="str">
        <f>IFERROR(VLOOKUP(TableHandbook[[#This Row],[UDC]],TableOSCUANGAD[],7,FALSE),"")</f>
        <v/>
      </c>
      <c r="O5" s="50" t="str">
        <f>IFERROR(VLOOKUP(TableHandbook[[#This Row],[UDC]],TableOSCUCONMS[],7,FALSE),"")</f>
        <v/>
      </c>
      <c r="P5" s="50" t="str">
        <f>IFERROR(VLOOKUP(TableHandbook[[#This Row],[UDC]],TableOSCUINARS[],7,FALSE),"")</f>
        <v/>
      </c>
      <c r="Q5" s="50" t="str">
        <f>IFERROR(VLOOKUP(TableHandbook[[#This Row],[UDC]],TableOSCUPLGEO[],7,FALSE),"")</f>
        <v/>
      </c>
    </row>
    <row r="6" spans="1:18" x14ac:dyDescent="0.25">
      <c r="A6" s="4" t="s">
        <v>134</v>
      </c>
      <c r="B6" s="28"/>
      <c r="C6" s="28"/>
      <c r="D6" s="4" t="s">
        <v>166</v>
      </c>
      <c r="E6" s="28">
        <v>25</v>
      </c>
      <c r="F6" s="56"/>
      <c r="G6" s="49" t="str">
        <f>IFERROR(IF(VLOOKUP(TableHandbook[[#This Row],[UDC]],TableAvailabilities[],2,FALSE)&gt;0,"Y",""),"")</f>
        <v/>
      </c>
      <c r="H6" s="49" t="str">
        <f>IFERROR(IF(VLOOKUP(TableHandbook[[#This Row],[UDC]],TableAvailabilities[],3,FALSE)&gt;0,"Y",""),"")</f>
        <v/>
      </c>
      <c r="I6" s="49" t="str">
        <f>IFERROR(IF(VLOOKUP(TableHandbook[[#This Row],[UDC]],TableAvailabilities[],4,FALSE)&gt;0,"Y",""),"")</f>
        <v/>
      </c>
      <c r="J6" s="49" t="str">
        <f>IFERROR(IF(VLOOKUP(TableHandbook[[#This Row],[UDC]],TableAvailabilities[],5,FALSE)&gt;0,"Y",""),"")</f>
        <v/>
      </c>
      <c r="K6" s="53"/>
      <c r="L6" s="50" t="str">
        <f>IFERROR(VLOOKUP(TableHandbook[[#This Row],[UDC]],TableOBARCH[],7,FALSE),"")</f>
        <v/>
      </c>
      <c r="M6" s="50" t="str">
        <f>IFERROR(VLOOKUP(TableHandbook[[#This Row],[UDC]],TableOUARCH[],7,FALSE),"")</f>
        <v/>
      </c>
      <c r="N6" s="72" t="str">
        <f>IFERROR(VLOOKUP(TableHandbook[[#This Row],[UDC]],TableOSCUANGAD[],7,FALSE),"")</f>
        <v>AltCore</v>
      </c>
      <c r="O6" s="50" t="str">
        <f>IFERROR(VLOOKUP(TableHandbook[[#This Row],[UDC]],TableOSCUCONMS[],7,FALSE),"")</f>
        <v/>
      </c>
      <c r="P6" s="50" t="str">
        <f>IFERROR(VLOOKUP(TableHandbook[[#This Row],[UDC]],TableOSCUINARS[],7,FALSE),"")</f>
        <v/>
      </c>
      <c r="Q6" s="50" t="str">
        <f>IFERROR(VLOOKUP(TableHandbook[[#This Row],[UDC]],TableOSCUPLGEO[],7,FALSE),"")</f>
        <v/>
      </c>
    </row>
    <row r="7" spans="1:18" x14ac:dyDescent="0.25">
      <c r="A7" s="4" t="s">
        <v>135</v>
      </c>
      <c r="B7" s="28"/>
      <c r="C7" s="28"/>
      <c r="D7" s="4" t="s">
        <v>167</v>
      </c>
      <c r="E7" s="28">
        <v>25</v>
      </c>
      <c r="F7" s="56"/>
      <c r="G7" s="49" t="str">
        <f>IFERROR(IF(VLOOKUP(TableHandbook[[#This Row],[UDC]],TableAvailabilities[],2,FALSE)&gt;0,"Y",""),"")</f>
        <v/>
      </c>
      <c r="H7" s="49" t="str">
        <f>IFERROR(IF(VLOOKUP(TableHandbook[[#This Row],[UDC]],TableAvailabilities[],3,FALSE)&gt;0,"Y",""),"")</f>
        <v/>
      </c>
      <c r="I7" s="49" t="str">
        <f>IFERROR(IF(VLOOKUP(TableHandbook[[#This Row],[UDC]],TableAvailabilities[],4,FALSE)&gt;0,"Y",""),"")</f>
        <v/>
      </c>
      <c r="J7" s="49" t="str">
        <f>IFERROR(IF(VLOOKUP(TableHandbook[[#This Row],[UDC]],TableAvailabilities[],5,FALSE)&gt;0,"Y",""),"")</f>
        <v/>
      </c>
      <c r="K7" s="53"/>
      <c r="L7" s="50" t="str">
        <f>IFERROR(VLOOKUP(TableHandbook[[#This Row],[UDC]],TableOBARCH[],7,FALSE),"")</f>
        <v/>
      </c>
      <c r="M7" s="50" t="str">
        <f>IFERROR(VLOOKUP(TableHandbook[[#This Row],[UDC]],TableOUARCH[],7,FALSE),"")</f>
        <v/>
      </c>
      <c r="N7" s="72" t="str">
        <f>IFERROR(VLOOKUP(TableHandbook[[#This Row],[UDC]],TableOSCUANGAD[],7,FALSE),"")</f>
        <v/>
      </c>
      <c r="O7" s="50" t="str">
        <f>IFERROR(VLOOKUP(TableHandbook[[#This Row],[UDC]],TableOSCUCONMS[],7,FALSE),"")</f>
        <v>AltCore</v>
      </c>
      <c r="P7" s="50" t="str">
        <f>IFERROR(VLOOKUP(TableHandbook[[#This Row],[UDC]],TableOSCUINARS[],7,FALSE),"")</f>
        <v/>
      </c>
      <c r="Q7" s="50" t="str">
        <f>IFERROR(VLOOKUP(TableHandbook[[#This Row],[UDC]],TableOSCUPLGEO[],7,FALSE),"")</f>
        <v/>
      </c>
    </row>
    <row r="8" spans="1:18" x14ac:dyDescent="0.25">
      <c r="A8" s="4" t="s">
        <v>113</v>
      </c>
      <c r="B8" s="28"/>
      <c r="C8" s="28"/>
      <c r="D8" s="4" t="s">
        <v>168</v>
      </c>
      <c r="E8" s="28">
        <v>25</v>
      </c>
      <c r="F8" s="56"/>
      <c r="G8" s="49" t="str">
        <f>IFERROR(IF(VLOOKUP(TableHandbook[[#This Row],[UDC]],TableAvailabilities[],2,FALSE)&gt;0,"Y",""),"")</f>
        <v/>
      </c>
      <c r="H8" s="49" t="str">
        <f>IFERROR(IF(VLOOKUP(TableHandbook[[#This Row],[UDC]],TableAvailabilities[],3,FALSE)&gt;0,"Y",""),"")</f>
        <v/>
      </c>
      <c r="I8" s="49" t="str">
        <f>IFERROR(IF(VLOOKUP(TableHandbook[[#This Row],[UDC]],TableAvailabilities[],4,FALSE)&gt;0,"Y",""),"")</f>
        <v/>
      </c>
      <c r="J8" s="49" t="str">
        <f>IFERROR(IF(VLOOKUP(TableHandbook[[#This Row],[UDC]],TableAvailabilities[],5,FALSE)&gt;0,"Y",""),"")</f>
        <v/>
      </c>
      <c r="K8" s="53"/>
      <c r="L8" s="50" t="str">
        <f>IFERROR(VLOOKUP(TableHandbook[[#This Row],[UDC]],TableOBARCH[],7,FALSE),"")</f>
        <v/>
      </c>
      <c r="M8" s="50" t="str">
        <f>IFERROR(VLOOKUP(TableHandbook[[#This Row],[UDC]],TableOUARCH[],7,FALSE),"")</f>
        <v/>
      </c>
      <c r="N8" s="72" t="str">
        <f>IFERROR(VLOOKUP(TableHandbook[[#This Row],[UDC]],TableOSCUANGAD[],7,FALSE),"")</f>
        <v/>
      </c>
      <c r="O8" s="50" t="str">
        <f>IFERROR(VLOOKUP(TableHandbook[[#This Row],[UDC]],TableOSCUCONMS[],7,FALSE),"")</f>
        <v/>
      </c>
      <c r="P8" s="50" t="str">
        <f>IFERROR(VLOOKUP(TableHandbook[[#This Row],[UDC]],TableOSCUINARS[],7,FALSE),"")</f>
        <v>AltCore</v>
      </c>
      <c r="Q8" s="50" t="str">
        <f>IFERROR(VLOOKUP(TableHandbook[[#This Row],[UDC]],TableOSCUPLGEO[],7,FALSE),"")</f>
        <v/>
      </c>
    </row>
    <row r="9" spans="1:18" x14ac:dyDescent="0.25">
      <c r="A9" s="4" t="s">
        <v>137</v>
      </c>
      <c r="B9" s="28"/>
      <c r="C9" s="28"/>
      <c r="D9" s="4" t="s">
        <v>169</v>
      </c>
      <c r="E9" s="28">
        <v>25</v>
      </c>
      <c r="F9" s="56"/>
      <c r="G9" s="49" t="str">
        <f>IFERROR(IF(VLOOKUP(TableHandbook[[#This Row],[UDC]],TableAvailabilities[],2,FALSE)&gt;0,"Y",""),"")</f>
        <v/>
      </c>
      <c r="H9" s="49" t="str">
        <f>IFERROR(IF(VLOOKUP(TableHandbook[[#This Row],[UDC]],TableAvailabilities[],3,FALSE)&gt;0,"Y",""),"")</f>
        <v/>
      </c>
      <c r="I9" s="49" t="str">
        <f>IFERROR(IF(VLOOKUP(TableHandbook[[#This Row],[UDC]],TableAvailabilities[],4,FALSE)&gt;0,"Y",""),"")</f>
        <v/>
      </c>
      <c r="J9" s="49" t="str">
        <f>IFERROR(IF(VLOOKUP(TableHandbook[[#This Row],[UDC]],TableAvailabilities[],5,FALSE)&gt;0,"Y",""),"")</f>
        <v/>
      </c>
      <c r="K9" s="53"/>
      <c r="L9" s="50" t="str">
        <f>IFERROR(VLOOKUP(TableHandbook[[#This Row],[UDC]],TableOBARCH[],7,FALSE),"")</f>
        <v/>
      </c>
      <c r="M9" s="50" t="str">
        <f>IFERROR(VLOOKUP(TableHandbook[[#This Row],[UDC]],TableOUARCH[],7,FALSE),"")</f>
        <v/>
      </c>
      <c r="N9" s="72" t="str">
        <f>IFERROR(VLOOKUP(TableHandbook[[#This Row],[UDC]],TableOSCUANGAD[],7,FALSE),"")</f>
        <v/>
      </c>
      <c r="O9" s="50" t="str">
        <f>IFERROR(VLOOKUP(TableHandbook[[#This Row],[UDC]],TableOSCUCONMS[],7,FALSE),"")</f>
        <v/>
      </c>
      <c r="P9" s="50" t="str">
        <f>IFERROR(VLOOKUP(TableHandbook[[#This Row],[UDC]],TableOSCUINARS[],7,FALSE),"")</f>
        <v/>
      </c>
      <c r="Q9" s="50" t="str">
        <f>IFERROR(VLOOKUP(TableHandbook[[#This Row],[UDC]],TableOSCUPLGEO[],7,FALSE),"")</f>
        <v>AltCore</v>
      </c>
    </row>
    <row r="10" spans="1:18" x14ac:dyDescent="0.25">
      <c r="A10" s="4" t="s">
        <v>55</v>
      </c>
      <c r="B10" s="28">
        <v>2</v>
      </c>
      <c r="C10" s="28" t="s">
        <v>170</v>
      </c>
      <c r="D10" s="4" t="s">
        <v>171</v>
      </c>
      <c r="E10" s="28">
        <v>25</v>
      </c>
      <c r="F10" s="54" t="s">
        <v>172</v>
      </c>
      <c r="G10" s="49" t="str">
        <f>IFERROR(IF(VLOOKUP(TableHandbook[[#This Row],[UDC]],TableAvailabilities[],2,FALSE)&gt;0,"Y",""),"")</f>
        <v/>
      </c>
      <c r="H10" s="49" t="str">
        <f>IFERROR(IF(VLOOKUP(TableHandbook[[#This Row],[UDC]],TableAvailabilities[],3,FALSE)&gt;0,"Y",""),"")</f>
        <v>Y</v>
      </c>
      <c r="I10" s="49" t="str">
        <f>IFERROR(IF(VLOOKUP(TableHandbook[[#This Row],[UDC]],TableAvailabilities[],4,FALSE)&gt;0,"Y",""),"")</f>
        <v/>
      </c>
      <c r="J10" s="49" t="str">
        <f>IFERROR(IF(VLOOKUP(TableHandbook[[#This Row],[UDC]],TableAvailabilities[],5,FALSE)&gt;0,"Y",""),"")</f>
        <v>Y</v>
      </c>
      <c r="K10" s="53"/>
      <c r="L10" s="50" t="str">
        <f>IFERROR(VLOOKUP(TableHandbook[[#This Row],[UDC]],TableOBARCH[],7,FALSE),"")</f>
        <v>Core</v>
      </c>
      <c r="M10" s="50" t="str">
        <f>IFERROR(VLOOKUP(TableHandbook[[#This Row],[UDC]],TableOUARCH[],7,FALSE),"")</f>
        <v>Core</v>
      </c>
      <c r="N10" s="72" t="str">
        <f>IFERROR(VLOOKUP(TableHandbook[[#This Row],[UDC]],TableOSCUANGAD[],7,FALSE),"")</f>
        <v/>
      </c>
      <c r="O10" s="50" t="str">
        <f>IFERROR(VLOOKUP(TableHandbook[[#This Row],[UDC]],TableOSCUCONMS[],7,FALSE),"")</f>
        <v/>
      </c>
      <c r="P10" s="50" t="str">
        <f>IFERROR(VLOOKUP(TableHandbook[[#This Row],[UDC]],TableOSCUINARS[],7,FALSE),"")</f>
        <v/>
      </c>
      <c r="Q10" s="50" t="str">
        <f>IFERROR(VLOOKUP(TableHandbook[[#This Row],[UDC]],TableOSCUPLGEO[],7,FALSE),"")</f>
        <v/>
      </c>
    </row>
    <row r="11" spans="1:18" x14ac:dyDescent="0.25">
      <c r="A11" s="4" t="s">
        <v>36</v>
      </c>
      <c r="B11" s="28">
        <v>3</v>
      </c>
      <c r="C11" s="28" t="s">
        <v>173</v>
      </c>
      <c r="D11" s="4" t="s">
        <v>174</v>
      </c>
      <c r="E11" s="28">
        <v>25</v>
      </c>
      <c r="F11" s="54" t="s">
        <v>172</v>
      </c>
      <c r="G11" s="49" t="str">
        <f>IFERROR(IF(VLOOKUP(TableHandbook[[#This Row],[UDC]],TableAvailabilities[],2,FALSE)&gt;0,"Y",""),"")</f>
        <v>Y</v>
      </c>
      <c r="H11" s="49" t="str">
        <f>IFERROR(IF(VLOOKUP(TableHandbook[[#This Row],[UDC]],TableAvailabilities[],3,FALSE)&gt;0,"Y",""),"")</f>
        <v/>
      </c>
      <c r="I11" s="49" t="str">
        <f>IFERROR(IF(VLOOKUP(TableHandbook[[#This Row],[UDC]],TableAvailabilities[],4,FALSE)&gt;0,"Y",""),"")</f>
        <v>Y</v>
      </c>
      <c r="J11" s="49" t="str">
        <f>IFERROR(IF(VLOOKUP(TableHandbook[[#This Row],[UDC]],TableAvailabilities[],5,FALSE)&gt;0,"Y",""),"")</f>
        <v/>
      </c>
      <c r="K11" s="53"/>
      <c r="L11" s="50" t="str">
        <f>IFERROR(VLOOKUP(TableHandbook[[#This Row],[UDC]],TableOBARCH[],7,FALSE),"")</f>
        <v>Core</v>
      </c>
      <c r="M11" s="50" t="str">
        <f>IFERROR(VLOOKUP(TableHandbook[[#This Row],[UDC]],TableOUARCH[],7,FALSE),"")</f>
        <v>Core</v>
      </c>
      <c r="N11" s="72" t="str">
        <f>IFERROR(VLOOKUP(TableHandbook[[#This Row],[UDC]],TableOSCUANGAD[],7,FALSE),"")</f>
        <v/>
      </c>
      <c r="O11" s="50" t="str">
        <f>IFERROR(VLOOKUP(TableHandbook[[#This Row],[UDC]],TableOSCUCONMS[],7,FALSE),"")</f>
        <v/>
      </c>
      <c r="P11" s="50" t="str">
        <f>IFERROR(VLOOKUP(TableHandbook[[#This Row],[UDC]],TableOSCUINARS[],7,FALSE),"")</f>
        <v/>
      </c>
      <c r="Q11" s="50" t="str">
        <f>IFERROR(VLOOKUP(TableHandbook[[#This Row],[UDC]],TableOSCUPLGEO[],7,FALSE),"")</f>
        <v/>
      </c>
    </row>
    <row r="12" spans="1:18" x14ac:dyDescent="0.25">
      <c r="A12" s="4" t="s">
        <v>41</v>
      </c>
      <c r="B12" s="28">
        <v>3</v>
      </c>
      <c r="C12" s="28" t="s">
        <v>175</v>
      </c>
      <c r="D12" s="4" t="s">
        <v>176</v>
      </c>
      <c r="E12" s="28">
        <v>25</v>
      </c>
      <c r="F12" s="54" t="s">
        <v>172</v>
      </c>
      <c r="G12" s="49" t="str">
        <f>IFERROR(IF(VLOOKUP(TableHandbook[[#This Row],[UDC]],TableAvailabilities[],2,FALSE)&gt;0,"Y",""),"")</f>
        <v>Y</v>
      </c>
      <c r="H12" s="49" t="str">
        <f>IFERROR(IF(VLOOKUP(TableHandbook[[#This Row],[UDC]],TableAvailabilities[],3,FALSE)&gt;0,"Y",""),"")</f>
        <v/>
      </c>
      <c r="I12" s="49" t="str">
        <f>IFERROR(IF(VLOOKUP(TableHandbook[[#This Row],[UDC]],TableAvailabilities[],4,FALSE)&gt;0,"Y",""),"")</f>
        <v>Y</v>
      </c>
      <c r="J12" s="49" t="str">
        <f>IFERROR(IF(VLOOKUP(TableHandbook[[#This Row],[UDC]],TableAvailabilities[],5,FALSE)&gt;0,"Y",""),"")</f>
        <v/>
      </c>
      <c r="K12" s="53"/>
      <c r="L12" s="50" t="str">
        <f>IFERROR(VLOOKUP(TableHandbook[[#This Row],[UDC]],TableOBARCH[],7,FALSE),"")</f>
        <v>Core</v>
      </c>
      <c r="M12" s="50" t="str">
        <f>IFERROR(VLOOKUP(TableHandbook[[#This Row],[UDC]],TableOUARCH[],7,FALSE),"")</f>
        <v>Core</v>
      </c>
      <c r="N12" s="72" t="str">
        <f>IFERROR(VLOOKUP(TableHandbook[[#This Row],[UDC]],TableOSCUANGAD[],7,FALSE),"")</f>
        <v/>
      </c>
      <c r="O12" s="50" t="str">
        <f>IFERROR(VLOOKUP(TableHandbook[[#This Row],[UDC]],TableOSCUCONMS[],7,FALSE),"")</f>
        <v/>
      </c>
      <c r="P12" s="50" t="str">
        <f>IFERROR(VLOOKUP(TableHandbook[[#This Row],[UDC]],TableOSCUINARS[],7,FALSE),"")</f>
        <v/>
      </c>
      <c r="Q12" s="50" t="str">
        <f>IFERROR(VLOOKUP(TableHandbook[[#This Row],[UDC]],TableOSCUPLGEO[],7,FALSE),"")</f>
        <v/>
      </c>
    </row>
    <row r="13" spans="1:18" x14ac:dyDescent="0.25">
      <c r="A13" s="4" t="s">
        <v>38</v>
      </c>
      <c r="B13" s="28">
        <v>3</v>
      </c>
      <c r="C13" s="28" t="s">
        <v>177</v>
      </c>
      <c r="D13" s="4" t="s">
        <v>178</v>
      </c>
      <c r="E13" s="28">
        <v>25</v>
      </c>
      <c r="F13" s="54" t="s">
        <v>172</v>
      </c>
      <c r="G13" s="49" t="str">
        <f>IFERROR(IF(VLOOKUP(TableHandbook[[#This Row],[UDC]],TableAvailabilities[],2,FALSE)&gt;0,"Y",""),"")</f>
        <v/>
      </c>
      <c r="H13" s="49" t="str">
        <f>IFERROR(IF(VLOOKUP(TableHandbook[[#This Row],[UDC]],TableAvailabilities[],3,FALSE)&gt;0,"Y",""),"")</f>
        <v>Y</v>
      </c>
      <c r="I13" s="49" t="str">
        <f>IFERROR(IF(VLOOKUP(TableHandbook[[#This Row],[UDC]],TableAvailabilities[],4,FALSE)&gt;0,"Y",""),"")</f>
        <v/>
      </c>
      <c r="J13" s="49" t="str">
        <f>IFERROR(IF(VLOOKUP(TableHandbook[[#This Row],[UDC]],TableAvailabilities[],5,FALSE)&gt;0,"Y",""),"")</f>
        <v>Y</v>
      </c>
      <c r="K13" s="53"/>
      <c r="L13" s="50" t="str">
        <f>IFERROR(VLOOKUP(TableHandbook[[#This Row],[UDC]],TableOBARCH[],7,FALSE),"")</f>
        <v>Core</v>
      </c>
      <c r="M13" s="50" t="str">
        <f>IFERROR(VLOOKUP(TableHandbook[[#This Row],[UDC]],TableOUARCH[],7,FALSE),"")</f>
        <v>Core</v>
      </c>
      <c r="N13" s="72" t="str">
        <f>IFERROR(VLOOKUP(TableHandbook[[#This Row],[UDC]],TableOSCUANGAD[],7,FALSE),"")</f>
        <v/>
      </c>
      <c r="O13" s="50" t="str">
        <f>IFERROR(VLOOKUP(TableHandbook[[#This Row],[UDC]],TableOSCUCONMS[],7,FALSE),"")</f>
        <v/>
      </c>
      <c r="P13" s="50" t="str">
        <f>IFERROR(VLOOKUP(TableHandbook[[#This Row],[UDC]],TableOSCUINARS[],7,FALSE),"")</f>
        <v/>
      </c>
      <c r="Q13" s="50" t="str">
        <f>IFERROR(VLOOKUP(TableHandbook[[#This Row],[UDC]],TableOSCUPLGEO[],7,FALSE),"")</f>
        <v/>
      </c>
    </row>
    <row r="14" spans="1:18" x14ac:dyDescent="0.25">
      <c r="A14" s="4" t="s">
        <v>59</v>
      </c>
      <c r="B14" s="28">
        <v>3</v>
      </c>
      <c r="C14" s="28" t="s">
        <v>179</v>
      </c>
      <c r="D14" s="4" t="s">
        <v>180</v>
      </c>
      <c r="E14" s="28">
        <v>25</v>
      </c>
      <c r="F14" s="54" t="s">
        <v>181</v>
      </c>
      <c r="G14" s="49" t="str">
        <f>IFERROR(IF(VLOOKUP(TableHandbook[[#This Row],[UDC]],TableAvailabilities[],2,FALSE)&gt;0,"Y",""),"")</f>
        <v/>
      </c>
      <c r="H14" s="49" t="str">
        <f>IFERROR(IF(VLOOKUP(TableHandbook[[#This Row],[UDC]],TableAvailabilities[],3,FALSE)&gt;0,"Y",""),"")</f>
        <v>Y</v>
      </c>
      <c r="I14" s="49" t="str">
        <f>IFERROR(IF(VLOOKUP(TableHandbook[[#This Row],[UDC]],TableAvailabilities[],4,FALSE)&gt;0,"Y",""),"")</f>
        <v/>
      </c>
      <c r="J14" s="49" t="str">
        <f>IFERROR(IF(VLOOKUP(TableHandbook[[#This Row],[UDC]],TableAvailabilities[],5,FALSE)&gt;0,"Y",""),"")</f>
        <v>Y</v>
      </c>
      <c r="K14" s="53"/>
      <c r="L14" s="50" t="str">
        <f>IFERROR(VLOOKUP(TableHandbook[[#This Row],[UDC]],TableOBARCH[],7,FALSE),"")</f>
        <v>Core</v>
      </c>
      <c r="M14" s="50" t="str">
        <f>IFERROR(VLOOKUP(TableHandbook[[#This Row],[UDC]],TableOUARCH[],7,FALSE),"")</f>
        <v>Core</v>
      </c>
      <c r="N14" s="72" t="str">
        <f>IFERROR(VLOOKUP(TableHandbook[[#This Row],[UDC]],TableOSCUANGAD[],7,FALSE),"")</f>
        <v/>
      </c>
      <c r="O14" s="50" t="str">
        <f>IFERROR(VLOOKUP(TableHandbook[[#This Row],[UDC]],TableOSCUCONMS[],7,FALSE),"")</f>
        <v/>
      </c>
      <c r="P14" s="50" t="str">
        <f>IFERROR(VLOOKUP(TableHandbook[[#This Row],[UDC]],TableOSCUINARS[],7,FALSE),"")</f>
        <v/>
      </c>
      <c r="Q14" s="50" t="str">
        <f>IFERROR(VLOOKUP(TableHandbook[[#This Row],[UDC]],TableOSCUPLGEO[],7,FALSE),"")</f>
        <v/>
      </c>
    </row>
    <row r="15" spans="1:18" x14ac:dyDescent="0.25">
      <c r="A15" s="4" t="s">
        <v>58</v>
      </c>
      <c r="B15" s="28">
        <v>2</v>
      </c>
      <c r="C15" s="28" t="s">
        <v>182</v>
      </c>
      <c r="D15" s="4" t="s">
        <v>183</v>
      </c>
      <c r="E15" s="28">
        <v>25</v>
      </c>
      <c r="F15" s="54" t="s">
        <v>172</v>
      </c>
      <c r="G15" s="49" t="str">
        <f>IFERROR(IF(VLOOKUP(TableHandbook[[#This Row],[UDC]],TableAvailabilities[],2,FALSE)&gt;0,"Y",""),"")</f>
        <v>Y</v>
      </c>
      <c r="H15" s="49" t="str">
        <f>IFERROR(IF(VLOOKUP(TableHandbook[[#This Row],[UDC]],TableAvailabilities[],3,FALSE)&gt;0,"Y",""),"")</f>
        <v/>
      </c>
      <c r="I15" s="49" t="str">
        <f>IFERROR(IF(VLOOKUP(TableHandbook[[#This Row],[UDC]],TableAvailabilities[],4,FALSE)&gt;0,"Y",""),"")</f>
        <v>Y</v>
      </c>
      <c r="J15" s="49" t="str">
        <f>IFERROR(IF(VLOOKUP(TableHandbook[[#This Row],[UDC]],TableAvailabilities[],5,FALSE)&gt;0,"Y",""),"")</f>
        <v/>
      </c>
      <c r="K15" s="53"/>
      <c r="L15" s="50" t="str">
        <f>IFERROR(VLOOKUP(TableHandbook[[#This Row],[UDC]],TableOBARCH[],7,FALSE),"")</f>
        <v>Core</v>
      </c>
      <c r="M15" s="50" t="str">
        <f>IFERROR(VLOOKUP(TableHandbook[[#This Row],[UDC]],TableOUARCH[],7,FALSE),"")</f>
        <v>Core</v>
      </c>
      <c r="N15" s="72" t="str">
        <f>IFERROR(VLOOKUP(TableHandbook[[#This Row],[UDC]],TableOSCUANGAD[],7,FALSE),"")</f>
        <v/>
      </c>
      <c r="O15" s="50" t="str">
        <f>IFERROR(VLOOKUP(TableHandbook[[#This Row],[UDC]],TableOSCUCONMS[],7,FALSE),"")</f>
        <v/>
      </c>
      <c r="P15" s="50" t="str">
        <f>IFERROR(VLOOKUP(TableHandbook[[#This Row],[UDC]],TableOSCUINARS[],7,FALSE),"")</f>
        <v/>
      </c>
      <c r="Q15" s="50" t="str">
        <f>IFERROR(VLOOKUP(TableHandbook[[#This Row],[UDC]],TableOSCUPLGEO[],7,FALSE),"")</f>
        <v/>
      </c>
    </row>
    <row r="16" spans="1:18" x14ac:dyDescent="0.25">
      <c r="A16" s="4" t="s">
        <v>60</v>
      </c>
      <c r="B16" s="28">
        <v>2</v>
      </c>
      <c r="C16" s="28" t="s">
        <v>184</v>
      </c>
      <c r="D16" s="4" t="s">
        <v>185</v>
      </c>
      <c r="E16" s="28">
        <v>25</v>
      </c>
      <c r="F16" s="54" t="s">
        <v>170</v>
      </c>
      <c r="G16" s="49" t="str">
        <f>IFERROR(IF(VLOOKUP(TableHandbook[[#This Row],[UDC]],TableAvailabilities[],2,FALSE)&gt;0,"Y",""),"")</f>
        <v>Y</v>
      </c>
      <c r="H16" s="49" t="str">
        <f>IFERROR(IF(VLOOKUP(TableHandbook[[#This Row],[UDC]],TableAvailabilities[],3,FALSE)&gt;0,"Y",""),"")</f>
        <v/>
      </c>
      <c r="I16" s="49" t="str">
        <f>IFERROR(IF(VLOOKUP(TableHandbook[[#This Row],[UDC]],TableAvailabilities[],4,FALSE)&gt;0,"Y",""),"")</f>
        <v/>
      </c>
      <c r="J16" s="49" t="str">
        <f>IFERROR(IF(VLOOKUP(TableHandbook[[#This Row],[UDC]],TableAvailabilities[],5,FALSE)&gt;0,"Y",""),"")</f>
        <v/>
      </c>
      <c r="K16" s="53"/>
      <c r="L16" s="50" t="str">
        <f>IFERROR(VLOOKUP(TableHandbook[[#This Row],[UDC]],TableOBARCH[],7,FALSE),"")</f>
        <v>Core</v>
      </c>
      <c r="M16" s="50" t="str">
        <f>IFERROR(VLOOKUP(TableHandbook[[#This Row],[UDC]],TableOUARCH[],7,FALSE),"")</f>
        <v>Core</v>
      </c>
      <c r="N16" s="72" t="str">
        <f>IFERROR(VLOOKUP(TableHandbook[[#This Row],[UDC]],TableOSCUANGAD[],7,FALSE),"")</f>
        <v/>
      </c>
      <c r="O16" s="50" t="str">
        <f>IFERROR(VLOOKUP(TableHandbook[[#This Row],[UDC]],TableOSCUCONMS[],7,FALSE),"")</f>
        <v/>
      </c>
      <c r="P16" s="50" t="str">
        <f>IFERROR(VLOOKUP(TableHandbook[[#This Row],[UDC]],TableOSCUINARS[],7,FALSE),"")</f>
        <v/>
      </c>
      <c r="Q16" s="50" t="str">
        <f>IFERROR(VLOOKUP(TableHandbook[[#This Row],[UDC]],TableOSCUPLGEO[],7,FALSE),"")</f>
        <v/>
      </c>
    </row>
    <row r="17" spans="1:17" x14ac:dyDescent="0.25">
      <c r="A17" s="4" t="s">
        <v>76</v>
      </c>
      <c r="B17" s="28">
        <v>4</v>
      </c>
      <c r="C17" s="28" t="s">
        <v>186</v>
      </c>
      <c r="D17" s="4" t="s">
        <v>187</v>
      </c>
      <c r="E17" s="28">
        <v>25</v>
      </c>
      <c r="F17" s="54" t="s">
        <v>188</v>
      </c>
      <c r="G17" s="49" t="str">
        <f>IFERROR(IF(VLOOKUP(TableHandbook[[#This Row],[UDC]],TableAvailabilities[],2,FALSE)&gt;0,"Y",""),"")</f>
        <v/>
      </c>
      <c r="H17" s="49" t="str">
        <f>IFERROR(IF(VLOOKUP(TableHandbook[[#This Row],[UDC]],TableAvailabilities[],3,FALSE)&gt;0,"Y",""),"")</f>
        <v>Y</v>
      </c>
      <c r="I17" s="49" t="str">
        <f>IFERROR(IF(VLOOKUP(TableHandbook[[#This Row],[UDC]],TableAvailabilities[],4,FALSE)&gt;0,"Y",""),"")</f>
        <v/>
      </c>
      <c r="J17" s="49" t="str">
        <f>IFERROR(IF(VLOOKUP(TableHandbook[[#This Row],[UDC]],TableAvailabilities[],5,FALSE)&gt;0,"Y",""),"")</f>
        <v/>
      </c>
      <c r="K17" s="53"/>
      <c r="L17" s="50" t="str">
        <f>IFERROR(VLOOKUP(TableHandbook[[#This Row],[UDC]],TableOBARCH[],7,FALSE),"")</f>
        <v>Core</v>
      </c>
      <c r="M17" s="50" t="str">
        <f>IFERROR(VLOOKUP(TableHandbook[[#This Row],[UDC]],TableOUARCH[],7,FALSE),"")</f>
        <v>Core</v>
      </c>
      <c r="N17" s="72" t="str">
        <f>IFERROR(VLOOKUP(TableHandbook[[#This Row],[UDC]],TableOSCUANGAD[],7,FALSE),"")</f>
        <v/>
      </c>
      <c r="O17" s="50" t="str">
        <f>IFERROR(VLOOKUP(TableHandbook[[#This Row],[UDC]],TableOSCUCONMS[],7,FALSE),"")</f>
        <v/>
      </c>
      <c r="P17" s="50" t="str">
        <f>IFERROR(VLOOKUP(TableHandbook[[#This Row],[UDC]],TableOSCUINARS[],7,FALSE),"")</f>
        <v/>
      </c>
      <c r="Q17" s="50" t="str">
        <f>IFERROR(VLOOKUP(TableHandbook[[#This Row],[UDC]],TableOSCUPLGEO[],7,FALSE),"")</f>
        <v/>
      </c>
    </row>
    <row r="18" spans="1:17" x14ac:dyDescent="0.25">
      <c r="A18" s="4" t="s">
        <v>80</v>
      </c>
      <c r="B18" s="28">
        <v>3</v>
      </c>
      <c r="C18" s="28" t="s">
        <v>189</v>
      </c>
      <c r="D18" s="4" t="s">
        <v>190</v>
      </c>
      <c r="E18" s="28">
        <v>25</v>
      </c>
      <c r="F18" s="54" t="s">
        <v>191</v>
      </c>
      <c r="G18" s="49" t="str">
        <f>IFERROR(IF(VLOOKUP(TableHandbook[[#This Row],[UDC]],TableAvailabilities[],2,FALSE)&gt;0,"Y",""),"")</f>
        <v/>
      </c>
      <c r="H18" s="49" t="str">
        <f>IFERROR(IF(VLOOKUP(TableHandbook[[#This Row],[UDC]],TableAvailabilities[],3,FALSE)&gt;0,"Y",""),"")</f>
        <v>Y</v>
      </c>
      <c r="I18" s="49" t="str">
        <f>IFERROR(IF(VLOOKUP(TableHandbook[[#This Row],[UDC]],TableAvailabilities[],4,FALSE)&gt;0,"Y",""),"")</f>
        <v/>
      </c>
      <c r="J18" s="49" t="str">
        <f>IFERROR(IF(VLOOKUP(TableHandbook[[#This Row],[UDC]],TableAvailabilities[],5,FALSE)&gt;0,"Y",""),"")</f>
        <v/>
      </c>
      <c r="K18" s="53"/>
      <c r="L18" s="50" t="str">
        <f>IFERROR(VLOOKUP(TableHandbook[[#This Row],[UDC]],TableOBARCH[],7,FALSE),"")</f>
        <v>Core</v>
      </c>
      <c r="M18" s="50" t="str">
        <f>IFERROR(VLOOKUP(TableHandbook[[#This Row],[UDC]],TableOUARCH[],7,FALSE),"")</f>
        <v>Core</v>
      </c>
      <c r="N18" s="72" t="str">
        <f>IFERROR(VLOOKUP(TableHandbook[[#This Row],[UDC]],TableOSCUANGAD[],7,FALSE),"")</f>
        <v/>
      </c>
      <c r="O18" s="50" t="str">
        <f>IFERROR(VLOOKUP(TableHandbook[[#This Row],[UDC]],TableOSCUCONMS[],7,FALSE),"")</f>
        <v/>
      </c>
      <c r="P18" s="50" t="str">
        <f>IFERROR(VLOOKUP(TableHandbook[[#This Row],[UDC]],TableOSCUINARS[],7,FALSE),"")</f>
        <v/>
      </c>
      <c r="Q18" s="50" t="str">
        <f>IFERROR(VLOOKUP(TableHandbook[[#This Row],[UDC]],TableOSCUPLGEO[],7,FALSE),"")</f>
        <v/>
      </c>
    </row>
    <row r="19" spans="1:17" x14ac:dyDescent="0.25">
      <c r="A19" s="4" t="s">
        <v>71</v>
      </c>
      <c r="B19" s="28">
        <v>3</v>
      </c>
      <c r="C19" s="28" t="s">
        <v>192</v>
      </c>
      <c r="D19" s="4" t="s">
        <v>193</v>
      </c>
      <c r="E19" s="28">
        <v>25</v>
      </c>
      <c r="F19" s="54" t="s">
        <v>191</v>
      </c>
      <c r="G19" s="49" t="str">
        <f>IFERROR(IF(VLOOKUP(TableHandbook[[#This Row],[UDC]],TableAvailabilities[],2,FALSE)&gt;0,"Y",""),"")</f>
        <v/>
      </c>
      <c r="H19" s="49" t="str">
        <f>IFERROR(IF(VLOOKUP(TableHandbook[[#This Row],[UDC]],TableAvailabilities[],3,FALSE)&gt;0,"Y",""),"")</f>
        <v/>
      </c>
      <c r="I19" s="49" t="str">
        <f>IFERROR(IF(VLOOKUP(TableHandbook[[#This Row],[UDC]],TableAvailabilities[],4,FALSE)&gt;0,"Y",""),"")</f>
        <v/>
      </c>
      <c r="J19" s="49" t="str">
        <f>IFERROR(IF(VLOOKUP(TableHandbook[[#This Row],[UDC]],TableAvailabilities[],5,FALSE)&gt;0,"Y",""),"")</f>
        <v>Y</v>
      </c>
      <c r="K19" s="53"/>
      <c r="L19" s="50" t="str">
        <f>IFERROR(VLOOKUP(TableHandbook[[#This Row],[UDC]],TableOBARCH[],7,FALSE),"")</f>
        <v>Core</v>
      </c>
      <c r="M19" s="50" t="str">
        <f>IFERROR(VLOOKUP(TableHandbook[[#This Row],[UDC]],TableOUARCH[],7,FALSE),"")</f>
        <v>Core</v>
      </c>
      <c r="N19" s="72" t="str">
        <f>IFERROR(VLOOKUP(TableHandbook[[#This Row],[UDC]],TableOSCUANGAD[],7,FALSE),"")</f>
        <v/>
      </c>
      <c r="O19" s="50" t="str">
        <f>IFERROR(VLOOKUP(TableHandbook[[#This Row],[UDC]],TableOSCUCONMS[],7,FALSE),"")</f>
        <v/>
      </c>
      <c r="P19" s="50" t="str">
        <f>IFERROR(VLOOKUP(TableHandbook[[#This Row],[UDC]],TableOSCUINARS[],7,FALSE),"")</f>
        <v/>
      </c>
      <c r="Q19" s="50" t="str">
        <f>IFERROR(VLOOKUP(TableHandbook[[#This Row],[UDC]],TableOSCUPLGEO[],7,FALSE),"")</f>
        <v/>
      </c>
    </row>
    <row r="20" spans="1:17" x14ac:dyDescent="0.25">
      <c r="A20" s="4" t="s">
        <v>79</v>
      </c>
      <c r="B20" s="28">
        <v>3</v>
      </c>
      <c r="C20" s="28" t="s">
        <v>194</v>
      </c>
      <c r="D20" s="4" t="s">
        <v>195</v>
      </c>
      <c r="E20" s="28">
        <v>25</v>
      </c>
      <c r="F20" s="54" t="s">
        <v>191</v>
      </c>
      <c r="G20" s="49" t="str">
        <f>IFERROR(IF(VLOOKUP(TableHandbook[[#This Row],[UDC]],TableAvailabilities[],2,FALSE)&gt;0,"Y",""),"")</f>
        <v/>
      </c>
      <c r="H20" s="49" t="str">
        <f>IFERROR(IF(VLOOKUP(TableHandbook[[#This Row],[UDC]],TableAvailabilities[],3,FALSE)&gt;0,"Y",""),"")</f>
        <v/>
      </c>
      <c r="I20" s="49" t="str">
        <f>IFERROR(IF(VLOOKUP(TableHandbook[[#This Row],[UDC]],TableAvailabilities[],4,FALSE)&gt;0,"Y",""),"")</f>
        <v>Y</v>
      </c>
      <c r="J20" s="49" t="str">
        <f>IFERROR(IF(VLOOKUP(TableHandbook[[#This Row],[UDC]],TableAvailabilities[],5,FALSE)&gt;0,"Y",""),"")</f>
        <v/>
      </c>
      <c r="K20" s="53"/>
      <c r="L20" s="50" t="str">
        <f>IFERROR(VLOOKUP(TableHandbook[[#This Row],[UDC]],TableOBARCH[],7,FALSE),"")</f>
        <v>Core</v>
      </c>
      <c r="M20" s="50" t="str">
        <f>IFERROR(VLOOKUP(TableHandbook[[#This Row],[UDC]],TableOUARCH[],7,FALSE),"")</f>
        <v>Core</v>
      </c>
      <c r="N20" s="72" t="str">
        <f>IFERROR(VLOOKUP(TableHandbook[[#This Row],[UDC]],TableOSCUANGAD[],7,FALSE),"")</f>
        <v/>
      </c>
      <c r="O20" s="50" t="str">
        <f>IFERROR(VLOOKUP(TableHandbook[[#This Row],[UDC]],TableOSCUCONMS[],7,FALSE),"")</f>
        <v/>
      </c>
      <c r="P20" s="50" t="str">
        <f>IFERROR(VLOOKUP(TableHandbook[[#This Row],[UDC]],TableOSCUINARS[],7,FALSE),"")</f>
        <v/>
      </c>
      <c r="Q20" s="50" t="str">
        <f>IFERROR(VLOOKUP(TableHandbook[[#This Row],[UDC]],TableOSCUPLGEO[],7,FALSE),"")</f>
        <v/>
      </c>
    </row>
    <row r="21" spans="1:17" x14ac:dyDescent="0.25">
      <c r="A21" s="4" t="s">
        <v>69</v>
      </c>
      <c r="B21" s="28">
        <v>3</v>
      </c>
      <c r="C21" s="28" t="s">
        <v>196</v>
      </c>
      <c r="D21" s="4" t="s">
        <v>197</v>
      </c>
      <c r="E21" s="28">
        <v>25</v>
      </c>
      <c r="F21" s="54" t="s">
        <v>191</v>
      </c>
      <c r="G21" s="49" t="str">
        <f>IFERROR(IF(VLOOKUP(TableHandbook[[#This Row],[UDC]],TableAvailabilities[],2,FALSE)&gt;0,"Y",""),"")</f>
        <v>Y</v>
      </c>
      <c r="H21" s="49" t="str">
        <f>IFERROR(IF(VLOOKUP(TableHandbook[[#This Row],[UDC]],TableAvailabilities[],3,FALSE)&gt;0,"Y",""),"")</f>
        <v/>
      </c>
      <c r="I21" s="49" t="str">
        <f>IFERROR(IF(VLOOKUP(TableHandbook[[#This Row],[UDC]],TableAvailabilities[],4,FALSE)&gt;0,"Y",""),"")</f>
        <v/>
      </c>
      <c r="J21" s="49" t="str">
        <f>IFERROR(IF(VLOOKUP(TableHandbook[[#This Row],[UDC]],TableAvailabilities[],5,FALSE)&gt;0,"Y",""),"")</f>
        <v/>
      </c>
      <c r="K21" s="53"/>
      <c r="L21" s="50" t="str">
        <f>IFERROR(VLOOKUP(TableHandbook[[#This Row],[UDC]],TableOBARCH[],7,FALSE),"")</f>
        <v>Core</v>
      </c>
      <c r="M21" s="50" t="str">
        <f>IFERROR(VLOOKUP(TableHandbook[[#This Row],[UDC]],TableOUARCH[],7,FALSE),"")</f>
        <v>Core</v>
      </c>
      <c r="N21" s="72" t="str">
        <f>IFERROR(VLOOKUP(TableHandbook[[#This Row],[UDC]],TableOSCUANGAD[],7,FALSE),"")</f>
        <v/>
      </c>
      <c r="O21" s="50" t="str">
        <f>IFERROR(VLOOKUP(TableHandbook[[#This Row],[UDC]],TableOSCUCONMS[],7,FALSE),"")</f>
        <v/>
      </c>
      <c r="P21" s="50" t="str">
        <f>IFERROR(VLOOKUP(TableHandbook[[#This Row],[UDC]],TableOSCUINARS[],7,FALSE),"")</f>
        <v/>
      </c>
      <c r="Q21" s="50" t="str">
        <f>IFERROR(VLOOKUP(TableHandbook[[#This Row],[UDC]],TableOSCUPLGEO[],7,FALSE),"")</f>
        <v/>
      </c>
    </row>
    <row r="22" spans="1:17" x14ac:dyDescent="0.25">
      <c r="A22" s="4" t="s">
        <v>92</v>
      </c>
      <c r="B22" s="28">
        <v>4</v>
      </c>
      <c r="C22" s="28" t="s">
        <v>198</v>
      </c>
      <c r="D22" s="4" t="s">
        <v>199</v>
      </c>
      <c r="E22" s="28">
        <v>25</v>
      </c>
      <c r="F22" s="54" t="s">
        <v>200</v>
      </c>
      <c r="G22" s="49" t="str">
        <f>IFERROR(IF(VLOOKUP(TableHandbook[[#This Row],[UDC]],TableAvailabilities[],2,FALSE)&gt;0,"Y",""),"")</f>
        <v/>
      </c>
      <c r="H22" s="49" t="str">
        <f>IFERROR(IF(VLOOKUP(TableHandbook[[#This Row],[UDC]],TableAvailabilities[],3,FALSE)&gt;0,"Y",""),"")</f>
        <v>Y</v>
      </c>
      <c r="I22" s="49" t="str">
        <f>IFERROR(IF(VLOOKUP(TableHandbook[[#This Row],[UDC]],TableAvailabilities[],4,FALSE)&gt;0,"Y",""),"")</f>
        <v/>
      </c>
      <c r="J22" s="49" t="str">
        <f>IFERROR(IF(VLOOKUP(TableHandbook[[#This Row],[UDC]],TableAvailabilities[],5,FALSE)&gt;0,"Y",""),"")</f>
        <v/>
      </c>
      <c r="K22" s="53"/>
      <c r="L22" s="50" t="str">
        <f>IFERROR(VLOOKUP(TableHandbook[[#This Row],[UDC]],TableOBARCH[],7,FALSE),"")</f>
        <v>Core</v>
      </c>
      <c r="M22" s="50" t="str">
        <f>IFERROR(VLOOKUP(TableHandbook[[#This Row],[UDC]],TableOUARCH[],7,FALSE),"")</f>
        <v>Core</v>
      </c>
      <c r="N22" s="72" t="str">
        <f>IFERROR(VLOOKUP(TableHandbook[[#This Row],[UDC]],TableOSCUANGAD[],7,FALSE),"")</f>
        <v/>
      </c>
      <c r="O22" s="50" t="str">
        <f>IFERROR(VLOOKUP(TableHandbook[[#This Row],[UDC]],TableOSCUCONMS[],7,FALSE),"")</f>
        <v/>
      </c>
      <c r="P22" s="50" t="str">
        <f>IFERROR(VLOOKUP(TableHandbook[[#This Row],[UDC]],TableOSCUINARS[],7,FALSE),"")</f>
        <v/>
      </c>
      <c r="Q22" s="50" t="str">
        <f>IFERROR(VLOOKUP(TableHandbook[[#This Row],[UDC]],TableOSCUPLGEO[],7,FALSE),"")</f>
        <v/>
      </c>
    </row>
    <row r="23" spans="1:17" x14ac:dyDescent="0.25">
      <c r="A23" s="4" t="s">
        <v>75</v>
      </c>
      <c r="B23" s="28">
        <v>1</v>
      </c>
      <c r="C23" s="28" t="s">
        <v>201</v>
      </c>
      <c r="D23" s="4" t="s">
        <v>202</v>
      </c>
      <c r="E23" s="28">
        <v>25</v>
      </c>
      <c r="F23" s="54" t="s">
        <v>203</v>
      </c>
      <c r="G23" s="49" t="str">
        <f>IFERROR(IF(VLOOKUP(TableHandbook[[#This Row],[UDC]],TableAvailabilities[],2,FALSE)&gt;0,"Y",""),"")</f>
        <v>Y</v>
      </c>
      <c r="H23" s="49" t="str">
        <f>IFERROR(IF(VLOOKUP(TableHandbook[[#This Row],[UDC]],TableAvailabilities[],3,FALSE)&gt;0,"Y",""),"")</f>
        <v/>
      </c>
      <c r="I23" s="49" t="str">
        <f>IFERROR(IF(VLOOKUP(TableHandbook[[#This Row],[UDC]],TableAvailabilities[],4,FALSE)&gt;0,"Y",""),"")</f>
        <v>Y</v>
      </c>
      <c r="J23" s="49" t="str">
        <f>IFERROR(IF(VLOOKUP(TableHandbook[[#This Row],[UDC]],TableAvailabilities[],5,FALSE)&gt;0,"Y",""),"")</f>
        <v/>
      </c>
      <c r="K23" s="53"/>
      <c r="L23" s="50" t="str">
        <f>IFERROR(VLOOKUP(TableHandbook[[#This Row],[UDC]],TableOBARCH[],7,FALSE),"")</f>
        <v>Core</v>
      </c>
      <c r="M23" s="50" t="str">
        <f>IFERROR(VLOOKUP(TableHandbook[[#This Row],[UDC]],TableOUARCH[],7,FALSE),"")</f>
        <v>Core</v>
      </c>
      <c r="N23" s="72" t="str">
        <f>IFERROR(VLOOKUP(TableHandbook[[#This Row],[UDC]],TableOSCUANGAD[],7,FALSE),"")</f>
        <v/>
      </c>
      <c r="O23" s="50" t="str">
        <f>IFERROR(VLOOKUP(TableHandbook[[#This Row],[UDC]],TableOSCUCONMS[],7,FALSE),"")</f>
        <v/>
      </c>
      <c r="P23" s="50" t="str">
        <f>IFERROR(VLOOKUP(TableHandbook[[#This Row],[UDC]],TableOSCUINARS[],7,FALSE),"")</f>
        <v/>
      </c>
      <c r="Q23" s="50" t="str">
        <f>IFERROR(VLOOKUP(TableHandbook[[#This Row],[UDC]],TableOSCUPLGEO[],7,FALSE),"")</f>
        <v/>
      </c>
    </row>
    <row r="24" spans="1:17" x14ac:dyDescent="0.25">
      <c r="A24" s="4" t="s">
        <v>97</v>
      </c>
      <c r="B24" s="28">
        <v>5</v>
      </c>
      <c r="C24" s="28" t="s">
        <v>204</v>
      </c>
      <c r="D24" s="4" t="s">
        <v>205</v>
      </c>
      <c r="E24" s="28">
        <v>25</v>
      </c>
      <c r="F24" s="54" t="s">
        <v>206</v>
      </c>
      <c r="G24" s="49" t="str">
        <f>IFERROR(IF(VLOOKUP(TableHandbook[[#This Row],[UDC]],TableAvailabilities[],2,FALSE)&gt;0,"Y",""),"")</f>
        <v>Y</v>
      </c>
      <c r="H24" s="49" t="str">
        <f>IFERROR(IF(VLOOKUP(TableHandbook[[#This Row],[UDC]],TableAvailabilities[],3,FALSE)&gt;0,"Y",""),"")</f>
        <v/>
      </c>
      <c r="I24" s="49" t="str">
        <f>IFERROR(IF(VLOOKUP(TableHandbook[[#This Row],[UDC]],TableAvailabilities[],4,FALSE)&gt;0,"Y",""),"")</f>
        <v/>
      </c>
      <c r="J24" s="49" t="str">
        <f>IFERROR(IF(VLOOKUP(TableHandbook[[#This Row],[UDC]],TableAvailabilities[],5,FALSE)&gt;0,"Y",""),"")</f>
        <v/>
      </c>
      <c r="K24" s="53"/>
      <c r="L24" s="50" t="str">
        <f>IFERROR(VLOOKUP(TableHandbook[[#This Row],[UDC]],TableOBARCH[],7,FALSE),"")</f>
        <v>Core</v>
      </c>
      <c r="M24" s="50" t="str">
        <f>IFERROR(VLOOKUP(TableHandbook[[#This Row],[UDC]],TableOUARCH[],7,FALSE),"")</f>
        <v>Core</v>
      </c>
      <c r="N24" s="72" t="str">
        <f>IFERROR(VLOOKUP(TableHandbook[[#This Row],[UDC]],TableOSCUANGAD[],7,FALSE),"")</f>
        <v/>
      </c>
      <c r="O24" s="50" t="str">
        <f>IFERROR(VLOOKUP(TableHandbook[[#This Row],[UDC]],TableOSCUCONMS[],7,FALSE),"")</f>
        <v/>
      </c>
      <c r="P24" s="50" t="str">
        <f>IFERROR(VLOOKUP(TableHandbook[[#This Row],[UDC]],TableOSCUINARS[],7,FALSE),"")</f>
        <v/>
      </c>
      <c r="Q24" s="50" t="str">
        <f>IFERROR(VLOOKUP(TableHandbook[[#This Row],[UDC]],TableOSCUPLGEO[],7,FALSE),"")</f>
        <v/>
      </c>
    </row>
    <row r="25" spans="1:17" x14ac:dyDescent="0.25">
      <c r="A25" s="4" t="s">
        <v>98</v>
      </c>
      <c r="B25" s="28">
        <v>2</v>
      </c>
      <c r="C25" s="28" t="s">
        <v>207</v>
      </c>
      <c r="D25" s="4" t="s">
        <v>208</v>
      </c>
      <c r="E25" s="28">
        <v>25</v>
      </c>
      <c r="F25" s="54" t="s">
        <v>209</v>
      </c>
      <c r="G25" s="49" t="str">
        <f>IFERROR(IF(VLOOKUP(TableHandbook[[#This Row],[UDC]],TableAvailabilities[],2,FALSE)&gt;0,"Y",""),"")</f>
        <v/>
      </c>
      <c r="H25" s="49" t="str">
        <f>IFERROR(IF(VLOOKUP(TableHandbook[[#This Row],[UDC]],TableAvailabilities[],3,FALSE)&gt;0,"Y",""),"")</f>
        <v>Y</v>
      </c>
      <c r="I25" s="49" t="str">
        <f>IFERROR(IF(VLOOKUP(TableHandbook[[#This Row],[UDC]],TableAvailabilities[],4,FALSE)&gt;0,"Y",""),"")</f>
        <v/>
      </c>
      <c r="J25" s="49" t="str">
        <f>IFERROR(IF(VLOOKUP(TableHandbook[[#This Row],[UDC]],TableAvailabilities[],5,FALSE)&gt;0,"Y",""),"")</f>
        <v>Y</v>
      </c>
      <c r="K25" s="53"/>
      <c r="L25" s="50" t="str">
        <f>IFERROR(VLOOKUP(TableHandbook[[#This Row],[UDC]],TableOBARCH[],7,FALSE),"")</f>
        <v>Core</v>
      </c>
      <c r="M25" s="50" t="str">
        <f>IFERROR(VLOOKUP(TableHandbook[[#This Row],[UDC]],TableOUARCH[],7,FALSE),"")</f>
        <v>Core</v>
      </c>
      <c r="N25" s="72" t="str">
        <f>IFERROR(VLOOKUP(TableHandbook[[#This Row],[UDC]],TableOSCUANGAD[],7,FALSE),"")</f>
        <v/>
      </c>
      <c r="O25" s="50" t="str">
        <f>IFERROR(VLOOKUP(TableHandbook[[#This Row],[UDC]],TableOSCUCONMS[],7,FALSE),"")</f>
        <v/>
      </c>
      <c r="P25" s="50" t="str">
        <f>IFERROR(VLOOKUP(TableHandbook[[#This Row],[UDC]],TableOSCUINARS[],7,FALSE),"")</f>
        <v/>
      </c>
      <c r="Q25" s="50" t="str">
        <f>IFERROR(VLOOKUP(TableHandbook[[#This Row],[UDC]],TableOSCUPLGEO[],7,FALSE),"")</f>
        <v/>
      </c>
    </row>
    <row r="26" spans="1:17" x14ac:dyDescent="0.25">
      <c r="A26" s="4" t="s">
        <v>102</v>
      </c>
      <c r="B26" s="28">
        <v>3</v>
      </c>
      <c r="C26" s="28" t="s">
        <v>210</v>
      </c>
      <c r="D26" s="4" t="s">
        <v>211</v>
      </c>
      <c r="E26" s="28">
        <v>25</v>
      </c>
      <c r="F26" s="54" t="s">
        <v>212</v>
      </c>
      <c r="G26" s="49" t="str">
        <f>IFERROR(IF(VLOOKUP(TableHandbook[[#This Row],[UDC]],TableAvailabilities[],2,FALSE)&gt;0,"Y",""),"")</f>
        <v/>
      </c>
      <c r="H26" s="49" t="str">
        <f>IFERROR(IF(VLOOKUP(TableHandbook[[#This Row],[UDC]],TableAvailabilities[],3,FALSE)&gt;0,"Y",""),"")</f>
        <v>Y</v>
      </c>
      <c r="I26" s="49" t="str">
        <f>IFERROR(IF(VLOOKUP(TableHandbook[[#This Row],[UDC]],TableAvailabilities[],4,FALSE)&gt;0,"Y",""),"")</f>
        <v/>
      </c>
      <c r="J26" s="49" t="str">
        <f>IFERROR(IF(VLOOKUP(TableHandbook[[#This Row],[UDC]],TableAvailabilities[],5,FALSE)&gt;0,"Y",""),"")</f>
        <v>Y</v>
      </c>
      <c r="K26" s="53"/>
      <c r="L26" s="50" t="str">
        <f>IFERROR(VLOOKUP(TableHandbook[[#This Row],[UDC]],TableOBARCH[],7,FALSE),"")</f>
        <v>Core</v>
      </c>
      <c r="M26" s="50" t="str">
        <f>IFERROR(VLOOKUP(TableHandbook[[#This Row],[UDC]],TableOUARCH[],7,FALSE),"")</f>
        <v>Core</v>
      </c>
      <c r="N26" s="72" t="str">
        <f>IFERROR(VLOOKUP(TableHandbook[[#This Row],[UDC]],TableOSCUANGAD[],7,FALSE),"")</f>
        <v/>
      </c>
      <c r="O26" s="50" t="str">
        <f>IFERROR(VLOOKUP(TableHandbook[[#This Row],[UDC]],TableOSCUCONMS[],7,FALSE),"")</f>
        <v/>
      </c>
      <c r="P26" s="50" t="str">
        <f>IFERROR(VLOOKUP(TableHandbook[[#This Row],[UDC]],TableOSCUINARS[],7,FALSE),"")</f>
        <v/>
      </c>
      <c r="Q26" s="50" t="str">
        <f>IFERROR(VLOOKUP(TableHandbook[[#This Row],[UDC]],TableOSCUPLGEO[],7,FALSE),"")</f>
        <v/>
      </c>
    </row>
    <row r="27" spans="1:17" x14ac:dyDescent="0.25">
      <c r="A27" s="4" t="s">
        <v>101</v>
      </c>
      <c r="B27" s="28">
        <v>3</v>
      </c>
      <c r="C27" s="28" t="s">
        <v>213</v>
      </c>
      <c r="D27" s="4" t="s">
        <v>214</v>
      </c>
      <c r="E27" s="28">
        <v>25</v>
      </c>
      <c r="F27" s="54" t="s">
        <v>212</v>
      </c>
      <c r="G27" s="49" t="str">
        <f>IFERROR(IF(VLOOKUP(TableHandbook[[#This Row],[UDC]],TableAvailabilities[],2,FALSE)&gt;0,"Y",""),"")</f>
        <v>Y</v>
      </c>
      <c r="H27" s="49" t="str">
        <f>IFERROR(IF(VLOOKUP(TableHandbook[[#This Row],[UDC]],TableAvailabilities[],3,FALSE)&gt;0,"Y",""),"")</f>
        <v/>
      </c>
      <c r="I27" s="49" t="str">
        <f>IFERROR(IF(VLOOKUP(TableHandbook[[#This Row],[UDC]],TableAvailabilities[],4,FALSE)&gt;0,"Y",""),"")</f>
        <v>Y</v>
      </c>
      <c r="J27" s="49" t="str">
        <f>IFERROR(IF(VLOOKUP(TableHandbook[[#This Row],[UDC]],TableAvailabilities[],5,FALSE)&gt;0,"Y",""),"")</f>
        <v/>
      </c>
      <c r="K27" s="53"/>
      <c r="L27" s="50" t="str">
        <f>IFERROR(VLOOKUP(TableHandbook[[#This Row],[UDC]],TableOBARCH[],7,FALSE),"")</f>
        <v>Core</v>
      </c>
      <c r="M27" s="50" t="str">
        <f>IFERROR(VLOOKUP(TableHandbook[[#This Row],[UDC]],TableOUARCH[],7,FALSE),"")</f>
        <v>Core</v>
      </c>
      <c r="N27" s="72" t="str">
        <f>IFERROR(VLOOKUP(TableHandbook[[#This Row],[UDC]],TableOSCUANGAD[],7,FALSE),"")</f>
        <v/>
      </c>
      <c r="O27" s="50" t="str">
        <f>IFERROR(VLOOKUP(TableHandbook[[#This Row],[UDC]],TableOSCUCONMS[],7,FALSE),"")</f>
        <v/>
      </c>
      <c r="P27" s="50" t="str">
        <f>IFERROR(VLOOKUP(TableHandbook[[#This Row],[UDC]],TableOSCUINARS[],7,FALSE),"")</f>
        <v/>
      </c>
      <c r="Q27" s="50" t="str">
        <f>IFERROR(VLOOKUP(TableHandbook[[#This Row],[UDC]],TableOSCUPLGEO[],7,FALSE),"")</f>
        <v/>
      </c>
    </row>
    <row r="28" spans="1:17" x14ac:dyDescent="0.25">
      <c r="A28" s="4" t="s">
        <v>90</v>
      </c>
      <c r="B28" s="28">
        <v>3</v>
      </c>
      <c r="C28" s="28" t="s">
        <v>215</v>
      </c>
      <c r="D28" s="4" t="s">
        <v>216</v>
      </c>
      <c r="E28" s="28">
        <v>25</v>
      </c>
      <c r="F28" s="54" t="s">
        <v>212</v>
      </c>
      <c r="G28" s="49" t="str">
        <f>IFERROR(IF(VLOOKUP(TableHandbook[[#This Row],[UDC]],TableAvailabilities[],2,FALSE)&gt;0,"Y",""),"")</f>
        <v>Y</v>
      </c>
      <c r="H28" s="49" t="str">
        <f>IFERROR(IF(VLOOKUP(TableHandbook[[#This Row],[UDC]],TableAvailabilities[],3,FALSE)&gt;0,"Y",""),"")</f>
        <v/>
      </c>
      <c r="I28" s="49" t="str">
        <f>IFERROR(IF(VLOOKUP(TableHandbook[[#This Row],[UDC]],TableAvailabilities[],4,FALSE)&gt;0,"Y",""),"")</f>
        <v/>
      </c>
      <c r="J28" s="49" t="str">
        <f>IFERROR(IF(VLOOKUP(TableHandbook[[#This Row],[UDC]],TableAvailabilities[],5,FALSE)&gt;0,"Y",""),"")</f>
        <v/>
      </c>
      <c r="K28" s="53"/>
      <c r="L28" s="50" t="str">
        <f>IFERROR(VLOOKUP(TableHandbook[[#This Row],[UDC]],TableOBARCH[],7,FALSE),"")</f>
        <v>Core</v>
      </c>
      <c r="M28" s="50" t="str">
        <f>IFERROR(VLOOKUP(TableHandbook[[#This Row],[UDC]],TableOUARCH[],7,FALSE),"")</f>
        <v>Core</v>
      </c>
      <c r="N28" s="72" t="str">
        <f>IFERROR(VLOOKUP(TableHandbook[[#This Row],[UDC]],TableOSCUANGAD[],7,FALSE),"")</f>
        <v/>
      </c>
      <c r="O28" s="50" t="str">
        <f>IFERROR(VLOOKUP(TableHandbook[[#This Row],[UDC]],TableOSCUCONMS[],7,FALSE),"")</f>
        <v/>
      </c>
      <c r="P28" s="50" t="str">
        <f>IFERROR(VLOOKUP(TableHandbook[[#This Row],[UDC]],TableOSCUINARS[],7,FALSE),"")</f>
        <v/>
      </c>
      <c r="Q28" s="50" t="str">
        <f>IFERROR(VLOOKUP(TableHandbook[[#This Row],[UDC]],TableOSCUPLGEO[],7,FALSE),"")</f>
        <v/>
      </c>
    </row>
    <row r="29" spans="1:17" x14ac:dyDescent="0.25">
      <c r="A29" s="4" t="s">
        <v>117</v>
      </c>
      <c r="B29" s="28">
        <v>2</v>
      </c>
      <c r="C29" s="28" t="s">
        <v>217</v>
      </c>
      <c r="D29" s="4" t="s">
        <v>218</v>
      </c>
      <c r="E29" s="28">
        <v>25</v>
      </c>
      <c r="F29" s="54" t="s">
        <v>172</v>
      </c>
      <c r="G29" s="49" t="str">
        <f>IFERROR(IF(VLOOKUP(TableHandbook[[#This Row],[UDC]],TableAvailabilities[],2,FALSE)&gt;0,"Y",""),"")</f>
        <v>Y</v>
      </c>
      <c r="H29" s="49" t="str">
        <f>IFERROR(IF(VLOOKUP(TableHandbook[[#This Row],[UDC]],TableAvailabilities[],3,FALSE)&gt;0,"Y",""),"")</f>
        <v/>
      </c>
      <c r="I29" s="49" t="str">
        <f>IFERROR(IF(VLOOKUP(TableHandbook[[#This Row],[UDC]],TableAvailabilities[],4,FALSE)&gt;0,"Y",""),"")</f>
        <v>Y</v>
      </c>
      <c r="J29" s="49" t="str">
        <f>IFERROR(IF(VLOOKUP(TableHandbook[[#This Row],[UDC]],TableAvailabilities[],5,FALSE)&gt;0,"Y",""),"")</f>
        <v/>
      </c>
      <c r="K29" s="53"/>
      <c r="L29" s="50" t="str">
        <f>IFERROR(VLOOKUP(TableHandbook[[#This Row],[UDC]],TableOBARCH[],7,FALSE),"")</f>
        <v/>
      </c>
      <c r="M29" s="50" t="str">
        <f>IFERROR(VLOOKUP(TableHandbook[[#This Row],[UDC]],TableOUARCH[],7,FALSE),"")</f>
        <v/>
      </c>
      <c r="N29" s="72" t="str">
        <f>IFERROR(VLOOKUP(TableHandbook[[#This Row],[UDC]],TableOSCUANGAD[],7,FALSE),"")</f>
        <v/>
      </c>
      <c r="O29" s="50" t="str">
        <f>IFERROR(VLOOKUP(TableHandbook[[#This Row],[UDC]],TableOSCUCONMS[],7,FALSE),"")</f>
        <v>Core</v>
      </c>
      <c r="P29" s="50" t="str">
        <f>IFERROR(VLOOKUP(TableHandbook[[#This Row],[UDC]],TableOSCUINARS[],7,FALSE),"")</f>
        <v/>
      </c>
      <c r="Q29" s="50" t="str">
        <f>IFERROR(VLOOKUP(TableHandbook[[#This Row],[UDC]],TableOSCUPLGEO[],7,FALSE),"")</f>
        <v/>
      </c>
    </row>
    <row r="30" spans="1:17" x14ac:dyDescent="0.25">
      <c r="A30" s="4" t="s">
        <v>123</v>
      </c>
      <c r="B30" s="28">
        <v>3</v>
      </c>
      <c r="C30" s="28" t="s">
        <v>219</v>
      </c>
      <c r="D30" s="4" t="s">
        <v>220</v>
      </c>
      <c r="E30" s="28">
        <v>25</v>
      </c>
      <c r="F30" s="54" t="s">
        <v>217</v>
      </c>
      <c r="G30" s="49" t="str">
        <f>IFERROR(IF(VLOOKUP(TableHandbook[[#This Row],[UDC]],TableAvailabilities[],2,FALSE)&gt;0,"Y",""),"")</f>
        <v>Y</v>
      </c>
      <c r="H30" s="49" t="str">
        <f>IFERROR(IF(VLOOKUP(TableHandbook[[#This Row],[UDC]],TableAvailabilities[],3,FALSE)&gt;0,"Y",""),"")</f>
        <v/>
      </c>
      <c r="I30" s="49" t="str">
        <f>IFERROR(IF(VLOOKUP(TableHandbook[[#This Row],[UDC]],TableAvailabilities[],4,FALSE)&gt;0,"Y",""),"")</f>
        <v>Y</v>
      </c>
      <c r="J30" s="49" t="str">
        <f>IFERROR(IF(VLOOKUP(TableHandbook[[#This Row],[UDC]],TableAvailabilities[],5,FALSE)&gt;0,"Y",""),"")</f>
        <v/>
      </c>
      <c r="K30" s="53"/>
      <c r="L30" s="50" t="str">
        <f>IFERROR(VLOOKUP(TableHandbook[[#This Row],[UDC]],TableOBARCH[],7,FALSE),"")</f>
        <v/>
      </c>
      <c r="M30" s="50" t="str">
        <f>IFERROR(VLOOKUP(TableHandbook[[#This Row],[UDC]],TableOUARCH[],7,FALSE),"")</f>
        <v/>
      </c>
      <c r="N30" s="72" t="str">
        <f>IFERROR(VLOOKUP(TableHandbook[[#This Row],[UDC]],TableOSCUANGAD[],7,FALSE),"")</f>
        <v/>
      </c>
      <c r="O30" s="50" t="str">
        <f>IFERROR(VLOOKUP(TableHandbook[[#This Row],[UDC]],TableOSCUCONMS[],7,FALSE),"")</f>
        <v>Core</v>
      </c>
      <c r="P30" s="50" t="str">
        <f>IFERROR(VLOOKUP(TableHandbook[[#This Row],[UDC]],TableOSCUINARS[],7,FALSE),"")</f>
        <v/>
      </c>
      <c r="Q30" s="50" t="str">
        <f>IFERROR(VLOOKUP(TableHandbook[[#This Row],[UDC]],TableOSCUPLGEO[],7,FALSE),"")</f>
        <v/>
      </c>
    </row>
    <row r="31" spans="1:17" x14ac:dyDescent="0.25">
      <c r="A31" s="4" t="s">
        <v>389</v>
      </c>
      <c r="B31" s="28">
        <v>3</v>
      </c>
      <c r="C31" s="28" t="s">
        <v>222</v>
      </c>
      <c r="D31" s="4" t="s">
        <v>223</v>
      </c>
      <c r="E31" s="28">
        <v>25</v>
      </c>
      <c r="F31" s="54" t="s">
        <v>172</v>
      </c>
      <c r="G31" s="49" t="str">
        <f>IFERROR(IF(VLOOKUP(TableHandbook[[#This Row],[UDC]],TableAvailabilities[],2,FALSE)&gt;0,"Y",""),"")</f>
        <v/>
      </c>
      <c r="H31" s="49" t="str">
        <f>IFERROR(IF(VLOOKUP(TableHandbook[[#This Row],[UDC]],TableAvailabilities[],3,FALSE)&gt;0,"Y",""),"")</f>
        <v/>
      </c>
      <c r="I31" s="49" t="str">
        <f>IFERROR(IF(VLOOKUP(TableHandbook[[#This Row],[UDC]],TableAvailabilities[],4,FALSE)&gt;0,"Y",""),"")</f>
        <v/>
      </c>
      <c r="J31" s="49" t="str">
        <f>IFERROR(IF(VLOOKUP(TableHandbook[[#This Row],[UDC]],TableAvailabilities[],5,FALSE)&gt;0,"Y",""),"")</f>
        <v/>
      </c>
      <c r="K31" s="53" t="s">
        <v>390</v>
      </c>
      <c r="L31" s="50" t="str">
        <f>IFERROR(VLOOKUP(TableHandbook[[#This Row],[UDC]],TableOBARCH[],7,FALSE),"")</f>
        <v/>
      </c>
      <c r="M31" s="50" t="str">
        <f>IFERROR(VLOOKUP(TableHandbook[[#This Row],[UDC]],TableOUARCH[],7,FALSE),"")</f>
        <v/>
      </c>
      <c r="N31" s="72" t="str">
        <f>IFERROR(VLOOKUP(TableHandbook[[#This Row],[UDC]],TableOSCUANGAD[],7,FALSE),"")</f>
        <v/>
      </c>
      <c r="O31" s="50" t="str">
        <f>IFERROR(VLOOKUP(TableHandbook[[#This Row],[UDC]],TableOSCUCONMS[],7,FALSE),"")</f>
        <v/>
      </c>
      <c r="P31" s="50" t="str">
        <f>IFERROR(VLOOKUP(TableHandbook[[#This Row],[UDC]],TableOSCUINARS[],7,FALSE),"")</f>
        <v/>
      </c>
      <c r="Q31" s="50" t="str">
        <f>IFERROR(VLOOKUP(TableHandbook[[#This Row],[UDC]],TableOSCUPLGEO[],7,FALSE),"")</f>
        <v/>
      </c>
    </row>
    <row r="32" spans="1:17" x14ac:dyDescent="0.25">
      <c r="A32" s="4" t="s">
        <v>145</v>
      </c>
      <c r="B32" s="28">
        <v>1</v>
      </c>
      <c r="C32" s="28" t="s">
        <v>224</v>
      </c>
      <c r="D32" s="4" t="s">
        <v>225</v>
      </c>
      <c r="E32" s="28">
        <v>25</v>
      </c>
      <c r="F32" s="54" t="s">
        <v>219</v>
      </c>
      <c r="G32" s="49" t="str">
        <f>IFERROR(IF(VLOOKUP(TableHandbook[[#This Row],[UDC]],TableAvailabilities[],2,FALSE)&gt;0,"Y",""),"")</f>
        <v/>
      </c>
      <c r="H32" s="49" t="str">
        <f>IFERROR(IF(VLOOKUP(TableHandbook[[#This Row],[UDC]],TableAvailabilities[],3,FALSE)&gt;0,"Y",""),"")</f>
        <v>Y</v>
      </c>
      <c r="I32" s="49" t="str">
        <f>IFERROR(IF(VLOOKUP(TableHandbook[[#This Row],[UDC]],TableAvailabilities[],4,FALSE)&gt;0,"Y",""),"")</f>
        <v/>
      </c>
      <c r="J32" s="49" t="str">
        <f>IFERROR(IF(VLOOKUP(TableHandbook[[#This Row],[UDC]],TableAvailabilities[],5,FALSE)&gt;0,"Y",""),"")</f>
        <v/>
      </c>
      <c r="K32" s="53"/>
      <c r="L32" s="50" t="str">
        <f>IFERROR(VLOOKUP(TableHandbook[[#This Row],[UDC]],TableOBARCH[],7,FALSE),"")</f>
        <v/>
      </c>
      <c r="M32" s="50" t="str">
        <f>IFERROR(VLOOKUP(TableHandbook[[#This Row],[UDC]],TableOUARCH[],7,FALSE),"")</f>
        <v/>
      </c>
      <c r="N32" s="72" t="str">
        <f>IFERROR(VLOOKUP(TableHandbook[[#This Row],[UDC]],TableOSCUANGAD[],7,FALSE),"")</f>
        <v/>
      </c>
      <c r="O32" s="50" t="str">
        <f>IFERROR(VLOOKUP(TableHandbook[[#This Row],[UDC]],TableOSCUCONMS[],7,FALSE),"")</f>
        <v>AltCore</v>
      </c>
      <c r="P32" s="50" t="str">
        <f>IFERROR(VLOOKUP(TableHandbook[[#This Row],[UDC]],TableOSCUINARS[],7,FALSE),"")</f>
        <v/>
      </c>
      <c r="Q32" s="50" t="str">
        <f>IFERROR(VLOOKUP(TableHandbook[[#This Row],[UDC]],TableOSCUPLGEO[],7,FALSE),"")</f>
        <v/>
      </c>
    </row>
    <row r="33" spans="1:17" x14ac:dyDescent="0.25">
      <c r="A33" s="4" t="s">
        <v>128</v>
      </c>
      <c r="B33" s="28">
        <v>3</v>
      </c>
      <c r="C33" s="28" t="s">
        <v>226</v>
      </c>
      <c r="D33" s="4" t="s">
        <v>227</v>
      </c>
      <c r="E33" s="28">
        <v>25</v>
      </c>
      <c r="F33" s="54" t="s">
        <v>188</v>
      </c>
      <c r="G33" s="49" t="str">
        <f>IFERROR(IF(VLOOKUP(TableHandbook[[#This Row],[UDC]],TableAvailabilities[],2,FALSE)&gt;0,"Y",""),"")</f>
        <v/>
      </c>
      <c r="H33" s="49" t="str">
        <f>IFERROR(IF(VLOOKUP(TableHandbook[[#This Row],[UDC]],TableAvailabilities[],3,FALSE)&gt;0,"Y",""),"")</f>
        <v/>
      </c>
      <c r="I33" s="49" t="str">
        <f>IFERROR(IF(VLOOKUP(TableHandbook[[#This Row],[UDC]],TableAvailabilities[],4,FALSE)&gt;0,"Y",""),"")</f>
        <v>Y</v>
      </c>
      <c r="J33" s="49" t="str">
        <f>IFERROR(IF(VLOOKUP(TableHandbook[[#This Row],[UDC]],TableAvailabilities[],5,FALSE)&gt;0,"Y",""),"")</f>
        <v/>
      </c>
      <c r="K33" s="53"/>
      <c r="L33" s="50" t="str">
        <f>IFERROR(VLOOKUP(TableHandbook[[#This Row],[UDC]],TableOBARCH[],7,FALSE),"")</f>
        <v/>
      </c>
      <c r="M33" s="50" t="str">
        <f>IFERROR(VLOOKUP(TableHandbook[[#This Row],[UDC]],TableOUARCH[],7,FALSE),"")</f>
        <v/>
      </c>
      <c r="N33" s="72" t="str">
        <f>IFERROR(VLOOKUP(TableHandbook[[#This Row],[UDC]],TableOSCUANGAD[],7,FALSE),"")</f>
        <v/>
      </c>
      <c r="O33" s="50" t="str">
        <f>IFERROR(VLOOKUP(TableHandbook[[#This Row],[UDC]],TableOSCUCONMS[],7,FALSE),"")</f>
        <v>Core</v>
      </c>
      <c r="P33" s="50" t="str">
        <f>IFERROR(VLOOKUP(TableHandbook[[#This Row],[UDC]],TableOSCUINARS[],7,FALSE),"")</f>
        <v/>
      </c>
      <c r="Q33" s="50" t="str">
        <f>IFERROR(VLOOKUP(TableHandbook[[#This Row],[UDC]],TableOSCUPLGEO[],7,FALSE),"")</f>
        <v/>
      </c>
    </row>
    <row r="34" spans="1:17" x14ac:dyDescent="0.25">
      <c r="A34" s="4" t="s">
        <v>140</v>
      </c>
      <c r="B34" s="28">
        <v>3</v>
      </c>
      <c r="C34" s="28" t="s">
        <v>228</v>
      </c>
      <c r="D34" s="4" t="s">
        <v>229</v>
      </c>
      <c r="E34" s="28">
        <v>25</v>
      </c>
      <c r="F34" s="54" t="s">
        <v>219</v>
      </c>
      <c r="G34" s="49" t="str">
        <f>IFERROR(IF(VLOOKUP(TableHandbook[[#This Row],[UDC]],TableAvailabilities[],2,FALSE)&gt;0,"Y",""),"")</f>
        <v/>
      </c>
      <c r="H34" s="49" t="str">
        <f>IFERROR(IF(VLOOKUP(TableHandbook[[#This Row],[UDC]],TableAvailabilities[],3,FALSE)&gt;0,"Y",""),"")</f>
        <v/>
      </c>
      <c r="I34" s="49" t="str">
        <f>IFERROR(IF(VLOOKUP(TableHandbook[[#This Row],[UDC]],TableAvailabilities[],4,FALSE)&gt;0,"Y",""),"")</f>
        <v>Y</v>
      </c>
      <c r="J34" s="49" t="str">
        <f>IFERROR(IF(VLOOKUP(TableHandbook[[#This Row],[UDC]],TableAvailabilities[],5,FALSE)&gt;0,"Y",""),"")</f>
        <v/>
      </c>
      <c r="K34" s="53"/>
      <c r="L34" s="50" t="str">
        <f>IFERROR(VLOOKUP(TableHandbook[[#This Row],[UDC]],TableOBARCH[],7,FALSE),"")</f>
        <v/>
      </c>
      <c r="M34" s="50" t="str">
        <f>IFERROR(VLOOKUP(TableHandbook[[#This Row],[UDC]],TableOUARCH[],7,FALSE),"")</f>
        <v/>
      </c>
      <c r="N34" s="72" t="str">
        <f>IFERROR(VLOOKUP(TableHandbook[[#This Row],[UDC]],TableOSCUANGAD[],7,FALSE),"")</f>
        <v/>
      </c>
      <c r="O34" s="50" t="str">
        <f>IFERROR(VLOOKUP(TableHandbook[[#This Row],[UDC]],TableOSCUCONMS[],7,FALSE),"")</f>
        <v>AltCore</v>
      </c>
      <c r="P34" s="50" t="str">
        <f>IFERROR(VLOOKUP(TableHandbook[[#This Row],[UDC]],TableOSCUINARS[],7,FALSE),"")</f>
        <v/>
      </c>
      <c r="Q34" s="50" t="str">
        <f>IFERROR(VLOOKUP(TableHandbook[[#This Row],[UDC]],TableOSCUPLGEO[],7,FALSE),"")</f>
        <v/>
      </c>
    </row>
    <row r="35" spans="1:17" x14ac:dyDescent="0.25">
      <c r="A35" s="4" t="s">
        <v>353</v>
      </c>
      <c r="B35" s="28">
        <v>1</v>
      </c>
      <c r="C35" s="28" t="s">
        <v>230</v>
      </c>
      <c r="D35" s="4" t="s">
        <v>231</v>
      </c>
      <c r="E35" s="28">
        <v>25</v>
      </c>
      <c r="F35" s="56" t="s">
        <v>172</v>
      </c>
      <c r="G35" s="49" t="str">
        <f>IFERROR(IF(VLOOKUP(TableHandbook[[#This Row],[UDC]],TableAvailabilities[],2,FALSE)&gt;0,"Y",""),"")</f>
        <v/>
      </c>
      <c r="H35" s="49" t="str">
        <f>IFERROR(IF(VLOOKUP(TableHandbook[[#This Row],[UDC]],TableAvailabilities[],3,FALSE)&gt;0,"Y",""),"")</f>
        <v/>
      </c>
      <c r="I35" s="49" t="str">
        <f>IFERROR(IF(VLOOKUP(TableHandbook[[#This Row],[UDC]],TableAvailabilities[],4,FALSE)&gt;0,"Y",""),"")</f>
        <v/>
      </c>
      <c r="J35" s="49" t="str">
        <f>IFERROR(IF(VLOOKUP(TableHandbook[[#This Row],[UDC]],TableAvailabilities[],5,FALSE)&gt;0,"Y",""),"")</f>
        <v/>
      </c>
      <c r="K35" s="53" t="s">
        <v>354</v>
      </c>
      <c r="L35" s="50" t="str">
        <f>IFERROR(VLOOKUP(TableHandbook[[#This Row],[UDC]],TableOBARCH[],7,FALSE),"")</f>
        <v/>
      </c>
      <c r="M35" s="50" t="str">
        <f>IFERROR(VLOOKUP(TableHandbook[[#This Row],[UDC]],TableOUARCH[],7,FALSE),"")</f>
        <v/>
      </c>
      <c r="N35" s="72" t="str">
        <f>IFERROR(VLOOKUP(TableHandbook[[#This Row],[UDC]],TableOSCUANGAD[],7,FALSE),"")</f>
        <v/>
      </c>
      <c r="O35" s="50" t="str">
        <f>IFERROR(VLOOKUP(TableHandbook[[#This Row],[UDC]],TableOSCUCONMS[],7,FALSE),"")</f>
        <v/>
      </c>
      <c r="P35" s="50" t="str">
        <f>IFERROR(VLOOKUP(TableHandbook[[#This Row],[UDC]],TableOSCUINARS[],7,FALSE),"")</f>
        <v/>
      </c>
      <c r="Q35" s="50" t="str">
        <f>IFERROR(VLOOKUP(TableHandbook[[#This Row],[UDC]],TableOSCUPLGEO[],7,FALSE),"")</f>
        <v/>
      </c>
    </row>
    <row r="36" spans="1:17" x14ac:dyDescent="0.25">
      <c r="A36" s="77" t="s">
        <v>338</v>
      </c>
      <c r="B36" s="28">
        <v>1</v>
      </c>
      <c r="C36" s="28" t="s">
        <v>338</v>
      </c>
      <c r="D36" s="4" t="s">
        <v>352</v>
      </c>
      <c r="E36" s="28">
        <v>25</v>
      </c>
      <c r="F36" s="54" t="s">
        <v>172</v>
      </c>
      <c r="G36" s="49" t="str">
        <f>IFERROR(IF(VLOOKUP(TableHandbook[[#This Row],[UDC]],TableAvailabilities[],2,FALSE)&gt;0,"Y",""),"")</f>
        <v>Y</v>
      </c>
      <c r="H36" s="49" t="str">
        <f>IFERROR(IF(VLOOKUP(TableHandbook[[#This Row],[UDC]],TableAvailabilities[],3,FALSE)&gt;0,"Y",""),"")</f>
        <v>Y</v>
      </c>
      <c r="I36" s="49" t="str">
        <f>IFERROR(IF(VLOOKUP(TableHandbook[[#This Row],[UDC]],TableAvailabilities[],4,FALSE)&gt;0,"Y",""),"")</f>
        <v>Y</v>
      </c>
      <c r="J36" s="49" t="str">
        <f>IFERROR(IF(VLOOKUP(TableHandbook[[#This Row],[UDC]],TableAvailabilities[],5,FALSE)&gt;0,"Y",""),"")</f>
        <v>Y</v>
      </c>
      <c r="K36" s="53"/>
      <c r="L36" s="50" t="str">
        <f>IFERROR(VLOOKUP(TableHandbook[[#This Row],[UDC]],TableOBARCH[],7,FALSE),"")</f>
        <v>Core</v>
      </c>
      <c r="M36" s="50" t="str">
        <f>IFERROR(VLOOKUP(TableHandbook[[#This Row],[UDC]],TableOUARCH[],7,FALSE),"")</f>
        <v>Core</v>
      </c>
      <c r="N36" s="72" t="str">
        <f>IFERROR(VLOOKUP(TableHandbook[[#This Row],[UDC]],TableOSCUANGAD[],7,FALSE),"")</f>
        <v/>
      </c>
      <c r="O36" s="50" t="str">
        <f>IFERROR(VLOOKUP(TableHandbook[[#This Row],[UDC]],TableOSCUCONMS[],7,FALSE),"")</f>
        <v/>
      </c>
      <c r="P36" s="50" t="str">
        <f>IFERROR(VLOOKUP(TableHandbook[[#This Row],[UDC]],TableOSCUINARS[],7,FALSE),"")</f>
        <v/>
      </c>
      <c r="Q36" s="50" t="str">
        <f>IFERROR(VLOOKUP(TableHandbook[[#This Row],[UDC]],TableOSCUPLGEO[],7,FALSE),"")</f>
        <v/>
      </c>
    </row>
    <row r="37" spans="1:17" x14ac:dyDescent="0.25">
      <c r="A37" s="4" t="s">
        <v>142</v>
      </c>
      <c r="B37" s="28">
        <v>2</v>
      </c>
      <c r="C37" s="28" t="s">
        <v>232</v>
      </c>
      <c r="D37" s="4" t="s">
        <v>233</v>
      </c>
      <c r="E37" s="28">
        <v>25</v>
      </c>
      <c r="F37" s="54" t="s">
        <v>172</v>
      </c>
      <c r="G37" s="49" t="str">
        <f>IFERROR(IF(VLOOKUP(TableHandbook[[#This Row],[UDC]],TableAvailabilities[],2,FALSE)&gt;0,"Y",""),"")</f>
        <v>Y</v>
      </c>
      <c r="H37" s="49" t="str">
        <f>IFERROR(IF(VLOOKUP(TableHandbook[[#This Row],[UDC]],TableAvailabilities[],3,FALSE)&gt;0,"Y",""),"")</f>
        <v/>
      </c>
      <c r="I37" s="49" t="str">
        <f>IFERROR(IF(VLOOKUP(TableHandbook[[#This Row],[UDC]],TableAvailabilities[],4,FALSE)&gt;0,"Y",""),"")</f>
        <v/>
      </c>
      <c r="J37" s="49" t="str">
        <f>IFERROR(IF(VLOOKUP(TableHandbook[[#This Row],[UDC]],TableAvailabilities[],5,FALSE)&gt;0,"Y",""),"")</f>
        <v/>
      </c>
      <c r="K37" s="53"/>
      <c r="L37" s="50" t="str">
        <f>IFERROR(VLOOKUP(TableHandbook[[#This Row],[UDC]],TableOBARCH[],7,FALSE),"")</f>
        <v/>
      </c>
      <c r="M37" s="50" t="str">
        <f>IFERROR(VLOOKUP(TableHandbook[[#This Row],[UDC]],TableOUARCH[],7,FALSE),"")</f>
        <v/>
      </c>
      <c r="N37" s="72" t="str">
        <f>IFERROR(VLOOKUP(TableHandbook[[#This Row],[UDC]],TableOSCUANGAD[],7,FALSE),"")</f>
        <v/>
      </c>
      <c r="O37" s="50" t="str">
        <f>IFERROR(VLOOKUP(TableHandbook[[#This Row],[UDC]],TableOSCUCONMS[],7,FALSE),"")</f>
        <v/>
      </c>
      <c r="P37" s="50" t="str">
        <f>IFERROR(VLOOKUP(TableHandbook[[#This Row],[UDC]],TableOSCUINARS[],7,FALSE),"")</f>
        <v/>
      </c>
      <c r="Q37" s="50" t="str">
        <f>IFERROR(VLOOKUP(TableHandbook[[#This Row],[UDC]],TableOSCUPLGEO[],7,FALSE),"")</f>
        <v>AltCore</v>
      </c>
    </row>
    <row r="38" spans="1:17" x14ac:dyDescent="0.25">
      <c r="A38" s="4" t="s">
        <v>388</v>
      </c>
      <c r="B38" s="28">
        <v>1</v>
      </c>
      <c r="C38" s="28" t="s">
        <v>234</v>
      </c>
      <c r="D38" s="4" t="s">
        <v>235</v>
      </c>
      <c r="E38" s="28">
        <v>25</v>
      </c>
      <c r="F38" s="54" t="s">
        <v>172</v>
      </c>
      <c r="G38" s="49" t="str">
        <f>IFERROR(IF(VLOOKUP(TableHandbook[[#This Row],[UDC]],TableAvailabilities[],2,FALSE)&gt;0,"Y",""),"")</f>
        <v/>
      </c>
      <c r="H38" s="49" t="str">
        <f>IFERROR(IF(VLOOKUP(TableHandbook[[#This Row],[UDC]],TableAvailabilities[],3,FALSE)&gt;0,"Y",""),"")</f>
        <v/>
      </c>
      <c r="I38" s="49" t="str">
        <f>IFERROR(IF(VLOOKUP(TableHandbook[[#This Row],[UDC]],TableAvailabilities[],4,FALSE)&gt;0,"Y",""),"")</f>
        <v/>
      </c>
      <c r="J38" s="49" t="str">
        <f>IFERROR(IF(VLOOKUP(TableHandbook[[#This Row],[UDC]],TableAvailabilities[],5,FALSE)&gt;0,"Y",""),"")</f>
        <v/>
      </c>
      <c r="K38" s="53" t="s">
        <v>354</v>
      </c>
      <c r="L38" s="50" t="str">
        <f>IFERROR(VLOOKUP(TableHandbook[[#This Row],[UDC]],TableOBARCH[],7,FALSE),"")</f>
        <v/>
      </c>
      <c r="M38" s="50" t="str">
        <f>IFERROR(VLOOKUP(TableHandbook[[#This Row],[UDC]],TableOUARCH[],7,FALSE),"")</f>
        <v/>
      </c>
      <c r="N38" s="72" t="str">
        <f>IFERROR(VLOOKUP(TableHandbook[[#This Row],[UDC]],TableOSCUANGAD[],7,FALSE),"")</f>
        <v/>
      </c>
      <c r="O38" s="50" t="str">
        <f>IFERROR(VLOOKUP(TableHandbook[[#This Row],[UDC]],TableOSCUCONMS[],7,FALSE),"")</f>
        <v/>
      </c>
      <c r="P38" s="50" t="str">
        <f>IFERROR(VLOOKUP(TableHandbook[[#This Row],[UDC]],TableOSCUINARS[],7,FALSE),"")</f>
        <v/>
      </c>
      <c r="Q38" s="50" t="str">
        <f>IFERROR(VLOOKUP(TableHandbook[[#This Row],[UDC]],TableOSCUPLGEO[],7,FALSE),"")</f>
        <v/>
      </c>
    </row>
    <row r="39" spans="1:17" x14ac:dyDescent="0.25">
      <c r="A39" s="4" t="s">
        <v>340</v>
      </c>
      <c r="B39" s="28">
        <v>1</v>
      </c>
      <c r="C39" s="28" t="s">
        <v>340</v>
      </c>
      <c r="D39" s="4" t="s">
        <v>355</v>
      </c>
      <c r="E39" s="28">
        <v>25</v>
      </c>
      <c r="F39" s="54" t="s">
        <v>172</v>
      </c>
      <c r="G39" s="49" t="str">
        <f>IFERROR(IF(VLOOKUP(TableHandbook[[#This Row],[UDC]],TableAvailabilities[],2,FALSE)&gt;0,"Y",""),"")</f>
        <v/>
      </c>
      <c r="H39" s="49" t="str">
        <f>IFERROR(IF(VLOOKUP(TableHandbook[[#This Row],[UDC]],TableAvailabilities[],3,FALSE)&gt;0,"Y",""),"")</f>
        <v>Y</v>
      </c>
      <c r="I39" s="49" t="str">
        <f>IFERROR(IF(VLOOKUP(TableHandbook[[#This Row],[UDC]],TableAvailabilities[],4,FALSE)&gt;0,"Y",""),"")</f>
        <v/>
      </c>
      <c r="J39" s="49" t="str">
        <f>IFERROR(IF(VLOOKUP(TableHandbook[[#This Row],[UDC]],TableAvailabilities[],5,FALSE)&gt;0,"Y",""),"")</f>
        <v>Y</v>
      </c>
      <c r="K39" s="53"/>
      <c r="L39" s="50" t="str">
        <f>IFERROR(VLOOKUP(TableHandbook[[#This Row],[UDC]],TableOBARCH[],7,FALSE),"")</f>
        <v/>
      </c>
      <c r="M39" s="50" t="str">
        <f>IFERROR(VLOOKUP(TableHandbook[[#This Row],[UDC]],TableOUARCH[],7,FALSE),"")</f>
        <v/>
      </c>
      <c r="N39" s="72" t="str">
        <f>IFERROR(VLOOKUP(TableHandbook[[#This Row],[UDC]],TableOSCUANGAD[],7,FALSE),"")</f>
        <v>Core</v>
      </c>
      <c r="O39" s="50" t="str">
        <f>IFERROR(VLOOKUP(TableHandbook[[#This Row],[UDC]],TableOSCUCONMS[],7,FALSE),"")</f>
        <v/>
      </c>
      <c r="P39" s="50" t="str">
        <f>IFERROR(VLOOKUP(TableHandbook[[#This Row],[UDC]],TableOSCUINARS[],7,FALSE),"")</f>
        <v/>
      </c>
      <c r="Q39" s="50" t="str">
        <f>IFERROR(VLOOKUP(TableHandbook[[#This Row],[UDC]],TableOSCUPLGEO[],7,FALSE),"")</f>
        <v/>
      </c>
    </row>
    <row r="40" spans="1:17" x14ac:dyDescent="0.25">
      <c r="A40" s="4" t="s">
        <v>342</v>
      </c>
      <c r="B40" s="28">
        <v>1</v>
      </c>
      <c r="C40" s="28" t="s">
        <v>342</v>
      </c>
      <c r="D40" s="4" t="s">
        <v>356</v>
      </c>
      <c r="E40" s="28">
        <v>25</v>
      </c>
      <c r="F40" s="54" t="s">
        <v>172</v>
      </c>
      <c r="G40" s="49" t="str">
        <f>IFERROR(IF(VLOOKUP(TableHandbook[[#This Row],[UDC]],TableAvailabilities[],2,FALSE)&gt;0,"Y",""),"")</f>
        <v>Y</v>
      </c>
      <c r="H40" s="49" t="str">
        <f>IFERROR(IF(VLOOKUP(TableHandbook[[#This Row],[UDC]],TableAvailabilities[],3,FALSE)&gt;0,"Y",""),"")</f>
        <v/>
      </c>
      <c r="I40" s="49" t="str">
        <f>IFERROR(IF(VLOOKUP(TableHandbook[[#This Row],[UDC]],TableAvailabilities[],4,FALSE)&gt;0,"Y",""),"")</f>
        <v>Y</v>
      </c>
      <c r="J40" s="49" t="str">
        <f>IFERROR(IF(VLOOKUP(TableHandbook[[#This Row],[UDC]],TableAvailabilities[],5,FALSE)&gt;0,"Y",""),"")</f>
        <v/>
      </c>
      <c r="K40" s="53"/>
      <c r="L40" s="50" t="str">
        <f>IFERROR(VLOOKUP(TableHandbook[[#This Row],[UDC]],TableOBARCH[],7,FALSE),"")</f>
        <v/>
      </c>
      <c r="M40" s="50" t="str">
        <f>IFERROR(VLOOKUP(TableHandbook[[#This Row],[UDC]],TableOUARCH[],7,FALSE),"")</f>
        <v/>
      </c>
      <c r="N40" s="72" t="str">
        <f>IFERROR(VLOOKUP(TableHandbook[[#This Row],[UDC]],TableOSCUANGAD[],7,FALSE),"")</f>
        <v>Core</v>
      </c>
      <c r="O40" s="50" t="str">
        <f>IFERROR(VLOOKUP(TableHandbook[[#This Row],[UDC]],TableOSCUCONMS[],7,FALSE),"")</f>
        <v/>
      </c>
      <c r="P40" s="50" t="str">
        <f>IFERROR(VLOOKUP(TableHandbook[[#This Row],[UDC]],TableOSCUINARS[],7,FALSE),"")</f>
        <v/>
      </c>
      <c r="Q40" s="50" t="str">
        <f>IFERROR(VLOOKUP(TableHandbook[[#This Row],[UDC]],TableOSCUPLGEO[],7,FALSE),"")</f>
        <v/>
      </c>
    </row>
    <row r="41" spans="1:17" x14ac:dyDescent="0.25">
      <c r="A41" s="4" t="s">
        <v>379</v>
      </c>
      <c r="B41" s="28">
        <v>1</v>
      </c>
      <c r="C41" s="28" t="s">
        <v>236</v>
      </c>
      <c r="D41" s="4" t="s">
        <v>237</v>
      </c>
      <c r="E41" s="28">
        <v>25</v>
      </c>
      <c r="F41" s="56" t="s">
        <v>238</v>
      </c>
      <c r="G41" s="49" t="str">
        <f>IFERROR(IF(VLOOKUP(TableHandbook[[#This Row],[UDC]],TableAvailabilities[],2,FALSE)&gt;0,"Y",""),"")</f>
        <v/>
      </c>
      <c r="H41" s="49" t="str">
        <f>IFERROR(IF(VLOOKUP(TableHandbook[[#This Row],[UDC]],TableAvailabilities[],3,FALSE)&gt;0,"Y",""),"")</f>
        <v/>
      </c>
      <c r="I41" s="49" t="str">
        <f>IFERROR(IF(VLOOKUP(TableHandbook[[#This Row],[UDC]],TableAvailabilities[],4,FALSE)&gt;0,"Y",""),"")</f>
        <v/>
      </c>
      <c r="J41" s="49" t="str">
        <f>IFERROR(IF(VLOOKUP(TableHandbook[[#This Row],[UDC]],TableAvailabilities[],5,FALSE)&gt;0,"Y",""),"")</f>
        <v/>
      </c>
      <c r="K41" s="53" t="s">
        <v>354</v>
      </c>
      <c r="L41" s="50" t="str">
        <f>IFERROR(VLOOKUP(TableHandbook[[#This Row],[UDC]],TableOBARCH[],7,FALSE),"")</f>
        <v/>
      </c>
      <c r="M41" s="50" t="str">
        <f>IFERROR(VLOOKUP(TableHandbook[[#This Row],[UDC]],TableOUARCH[],7,FALSE),"")</f>
        <v/>
      </c>
      <c r="N41" s="72" t="str">
        <f>IFERROR(VLOOKUP(TableHandbook[[#This Row],[UDC]],TableOSCUANGAD[],7,FALSE),"")</f>
        <v/>
      </c>
      <c r="O41" s="50" t="str">
        <f>IFERROR(VLOOKUP(TableHandbook[[#This Row],[UDC]],TableOSCUCONMS[],7,FALSE),"")</f>
        <v/>
      </c>
      <c r="P41" s="50" t="str">
        <f>IFERROR(VLOOKUP(TableHandbook[[#This Row],[UDC]],TableOSCUINARS[],7,FALSE),"")</f>
        <v/>
      </c>
      <c r="Q41" s="50" t="str">
        <f>IFERROR(VLOOKUP(TableHandbook[[#This Row],[UDC]],TableOSCUPLGEO[],7,FALSE),"")</f>
        <v/>
      </c>
    </row>
    <row r="42" spans="1:17" x14ac:dyDescent="0.25">
      <c r="A42" s="4" t="s">
        <v>380</v>
      </c>
      <c r="B42" s="28">
        <v>1</v>
      </c>
      <c r="C42" s="28" t="s">
        <v>239</v>
      </c>
      <c r="D42" s="4" t="s">
        <v>240</v>
      </c>
      <c r="E42" s="28">
        <v>25</v>
      </c>
      <c r="F42" s="56" t="s">
        <v>172</v>
      </c>
      <c r="G42" s="49" t="str">
        <f>IFERROR(IF(VLOOKUP(TableHandbook[[#This Row],[UDC]],TableAvailabilities[],2,FALSE)&gt;0,"Y",""),"")</f>
        <v/>
      </c>
      <c r="H42" s="49" t="str">
        <f>IFERROR(IF(VLOOKUP(TableHandbook[[#This Row],[UDC]],TableAvailabilities[],3,FALSE)&gt;0,"Y",""),"")</f>
        <v/>
      </c>
      <c r="I42" s="49" t="str">
        <f>IFERROR(IF(VLOOKUP(TableHandbook[[#This Row],[UDC]],TableAvailabilities[],4,FALSE)&gt;0,"Y",""),"")</f>
        <v/>
      </c>
      <c r="J42" s="49" t="str">
        <f>IFERROR(IF(VLOOKUP(TableHandbook[[#This Row],[UDC]],TableAvailabilities[],5,FALSE)&gt;0,"Y",""),"")</f>
        <v/>
      </c>
      <c r="K42" s="53" t="s">
        <v>354</v>
      </c>
      <c r="L42" s="50" t="str">
        <f>IFERROR(VLOOKUP(TableHandbook[[#This Row],[UDC]],TableOBARCH[],7,FALSE),"")</f>
        <v/>
      </c>
      <c r="M42" s="50" t="str">
        <f>IFERROR(VLOOKUP(TableHandbook[[#This Row],[UDC]],TableOUARCH[],7,FALSE),"")</f>
        <v/>
      </c>
      <c r="N42" s="72" t="str">
        <f>IFERROR(VLOOKUP(TableHandbook[[#This Row],[UDC]],TableOSCUANGAD[],7,FALSE),"")</f>
        <v/>
      </c>
      <c r="O42" s="50" t="str">
        <f>IFERROR(VLOOKUP(TableHandbook[[#This Row],[UDC]],TableOSCUCONMS[],7,FALSE),"")</f>
        <v/>
      </c>
      <c r="P42" s="50" t="str">
        <f>IFERROR(VLOOKUP(TableHandbook[[#This Row],[UDC]],TableOSCUINARS[],7,FALSE),"")</f>
        <v/>
      </c>
      <c r="Q42" s="50" t="str">
        <f>IFERROR(VLOOKUP(TableHandbook[[#This Row],[UDC]],TableOSCUPLGEO[],7,FALSE),"")</f>
        <v/>
      </c>
    </row>
    <row r="43" spans="1:17" x14ac:dyDescent="0.25">
      <c r="A43" s="4" t="s">
        <v>344</v>
      </c>
      <c r="B43" s="28">
        <v>1</v>
      </c>
      <c r="C43" s="28" t="s">
        <v>344</v>
      </c>
      <c r="D43" s="4" t="s">
        <v>357</v>
      </c>
      <c r="E43" s="28">
        <v>25</v>
      </c>
      <c r="F43" s="54" t="s">
        <v>383</v>
      </c>
      <c r="G43" s="49" t="str">
        <f>IFERROR(IF(VLOOKUP(TableHandbook[[#This Row],[UDC]],TableAvailabilities[],2,FALSE)&gt;0,"Y",""),"")</f>
        <v/>
      </c>
      <c r="H43" s="49" t="str">
        <f>IFERROR(IF(VLOOKUP(TableHandbook[[#This Row],[UDC]],TableAvailabilities[],3,FALSE)&gt;0,"Y",""),"")</f>
        <v>Y</v>
      </c>
      <c r="I43" s="49" t="str">
        <f>IFERROR(IF(VLOOKUP(TableHandbook[[#This Row],[UDC]],TableAvailabilities[],4,FALSE)&gt;0,"Y",""),"")</f>
        <v/>
      </c>
      <c r="J43" s="49" t="str">
        <f>IFERROR(IF(VLOOKUP(TableHandbook[[#This Row],[UDC]],TableAvailabilities[],5,FALSE)&gt;0,"Y",""),"")</f>
        <v>Y</v>
      </c>
      <c r="K43" s="53"/>
      <c r="L43" s="50" t="str">
        <f>IFERROR(VLOOKUP(TableHandbook[[#This Row],[UDC]],TableOBARCH[],7,FALSE),"")</f>
        <v/>
      </c>
      <c r="M43" s="50" t="str">
        <f>IFERROR(VLOOKUP(TableHandbook[[#This Row],[UDC]],TableOUARCH[],7,FALSE),"")</f>
        <v/>
      </c>
      <c r="N43" s="72" t="str">
        <f>IFERROR(VLOOKUP(TableHandbook[[#This Row],[UDC]],TableOSCUANGAD[],7,FALSE),"")</f>
        <v>Core</v>
      </c>
      <c r="O43" s="50" t="str">
        <f>IFERROR(VLOOKUP(TableHandbook[[#This Row],[UDC]],TableOSCUCONMS[],7,FALSE),"")</f>
        <v/>
      </c>
      <c r="P43" s="50" t="str">
        <f>IFERROR(VLOOKUP(TableHandbook[[#This Row],[UDC]],TableOSCUINARS[],7,FALSE),"")</f>
        <v/>
      </c>
      <c r="Q43" s="50" t="str">
        <f>IFERROR(VLOOKUP(TableHandbook[[#This Row],[UDC]],TableOSCUPLGEO[],7,FALSE),"")</f>
        <v/>
      </c>
    </row>
    <row r="44" spans="1:17" x14ac:dyDescent="0.25">
      <c r="A44" s="4" t="s">
        <v>373</v>
      </c>
      <c r="B44" s="28">
        <v>2</v>
      </c>
      <c r="C44" s="28" t="s">
        <v>241</v>
      </c>
      <c r="D44" s="4" t="s">
        <v>242</v>
      </c>
      <c r="E44" s="28">
        <v>25</v>
      </c>
      <c r="F44" s="56" t="s">
        <v>243</v>
      </c>
      <c r="G44" s="49" t="str">
        <f>IFERROR(IF(VLOOKUP(TableHandbook[[#This Row],[UDC]],TableAvailabilities[],2,FALSE)&gt;0,"Y",""),"")</f>
        <v/>
      </c>
      <c r="H44" s="49" t="str">
        <f>IFERROR(IF(VLOOKUP(TableHandbook[[#This Row],[UDC]],TableAvailabilities[],3,FALSE)&gt;0,"Y",""),"")</f>
        <v/>
      </c>
      <c r="I44" s="49" t="str">
        <f>IFERROR(IF(VLOOKUP(TableHandbook[[#This Row],[UDC]],TableAvailabilities[],4,FALSE)&gt;0,"Y",""),"")</f>
        <v/>
      </c>
      <c r="J44" s="49" t="str">
        <f>IFERROR(IF(VLOOKUP(TableHandbook[[#This Row],[UDC]],TableAvailabilities[],5,FALSE)&gt;0,"Y",""),"")</f>
        <v/>
      </c>
      <c r="K44" s="53" t="s">
        <v>374</v>
      </c>
      <c r="L44" s="50" t="str">
        <f>IFERROR(VLOOKUP(TableHandbook[[#This Row],[UDC]],TableOBARCH[],7,FALSE),"")</f>
        <v/>
      </c>
      <c r="M44" s="50" t="str">
        <f>IFERROR(VLOOKUP(TableHandbook[[#This Row],[UDC]],TableOUARCH[],7,FALSE),"")</f>
        <v/>
      </c>
      <c r="N44" s="72" t="str">
        <f>IFERROR(VLOOKUP(TableHandbook[[#This Row],[UDC]],TableOSCUANGAD[],7,FALSE),"")</f>
        <v/>
      </c>
      <c r="O44" s="50" t="str">
        <f>IFERROR(VLOOKUP(TableHandbook[[#This Row],[UDC]],TableOSCUCONMS[],7,FALSE),"")</f>
        <v/>
      </c>
      <c r="P44" s="50" t="str">
        <f>IFERROR(VLOOKUP(TableHandbook[[#This Row],[UDC]],TableOSCUINARS[],7,FALSE),"")</f>
        <v/>
      </c>
      <c r="Q44" s="50" t="str">
        <f>IFERROR(VLOOKUP(TableHandbook[[#This Row],[UDC]],TableOSCUPLGEO[],7,FALSE),"")</f>
        <v/>
      </c>
    </row>
    <row r="45" spans="1:17" x14ac:dyDescent="0.25">
      <c r="A45" s="78" t="s">
        <v>139</v>
      </c>
      <c r="B45" s="79">
        <v>3</v>
      </c>
      <c r="C45" s="79" t="s">
        <v>241</v>
      </c>
      <c r="D45" s="78" t="s">
        <v>371</v>
      </c>
      <c r="E45" s="79">
        <v>25</v>
      </c>
      <c r="F45" s="54" t="s">
        <v>203</v>
      </c>
      <c r="G45" s="80" t="str">
        <f>IFERROR(IF(VLOOKUP(TableHandbook[[#This Row],[UDC]],TableAvailabilities[],2,FALSE)&gt;0,"Y",""),"")</f>
        <v>Y</v>
      </c>
      <c r="H45" s="80" t="str">
        <f>IFERROR(IF(VLOOKUP(TableHandbook[[#This Row],[UDC]],TableAvailabilities[],3,FALSE)&gt;0,"Y",""),"")</f>
        <v/>
      </c>
      <c r="I45" s="80" t="str">
        <f>IFERROR(IF(VLOOKUP(TableHandbook[[#This Row],[UDC]],TableAvailabilities[],4,FALSE)&gt;0,"Y",""),"")</f>
        <v>Y</v>
      </c>
      <c r="J45" s="80" t="str">
        <f>IFERROR(IF(VLOOKUP(TableHandbook[[#This Row],[UDC]],TableAvailabilities[],5,FALSE)&gt;0,"Y",""),"")</f>
        <v/>
      </c>
      <c r="K45" s="81" t="s">
        <v>375</v>
      </c>
      <c r="L45" s="82" t="str">
        <f>IFERROR(VLOOKUP(TableHandbook[[#This Row],[UDC]],TableOBARCH[],7,FALSE),"")</f>
        <v/>
      </c>
      <c r="M45" s="50" t="str">
        <f>IFERROR(VLOOKUP(TableHandbook[[#This Row],[UDC]],TableOUARCH[],7,FALSE),"")</f>
        <v/>
      </c>
      <c r="N45" s="83" t="str">
        <f>IFERROR(VLOOKUP(TableHandbook[[#This Row],[UDC]],TableOSCUANGAD[],7,FALSE),"")</f>
        <v>AltCore</v>
      </c>
      <c r="O45" s="82" t="str">
        <f>IFERROR(VLOOKUP(TableHandbook[[#This Row],[UDC]],TableOSCUCONMS[],7,FALSE),"")</f>
        <v/>
      </c>
      <c r="P45" s="82" t="str">
        <f>IFERROR(VLOOKUP(TableHandbook[[#This Row],[UDC]],TableOSCUINARS[],7,FALSE),"")</f>
        <v/>
      </c>
      <c r="Q45" s="82" t="str">
        <f>IFERROR(VLOOKUP(TableHandbook[[#This Row],[UDC]],TableOSCUPLGEO[],7,FALSE),"")</f>
        <v/>
      </c>
    </row>
    <row r="46" spans="1:17" x14ac:dyDescent="0.25">
      <c r="A46" s="4" t="s">
        <v>118</v>
      </c>
      <c r="B46" s="28">
        <v>4</v>
      </c>
      <c r="C46" s="28" t="s">
        <v>244</v>
      </c>
      <c r="D46" s="4" t="s">
        <v>245</v>
      </c>
      <c r="E46" s="28">
        <v>25</v>
      </c>
      <c r="F46" s="54" t="s">
        <v>172</v>
      </c>
      <c r="G46" s="49" t="str">
        <f>IFERROR(IF(VLOOKUP(TableHandbook[[#This Row],[UDC]],TableAvailabilities[],2,FALSE)&gt;0,"Y",""),"")</f>
        <v>Y</v>
      </c>
      <c r="H46" s="49" t="str">
        <f>IFERROR(IF(VLOOKUP(TableHandbook[[#This Row],[UDC]],TableAvailabilities[],3,FALSE)&gt;0,"Y",""),"")</f>
        <v/>
      </c>
      <c r="I46" s="49" t="str">
        <f>IFERROR(IF(VLOOKUP(TableHandbook[[#This Row],[UDC]],TableAvailabilities[],4,FALSE)&gt;0,"Y",""),"")</f>
        <v/>
      </c>
      <c r="J46" s="49" t="str">
        <f>IFERROR(IF(VLOOKUP(TableHandbook[[#This Row],[UDC]],TableAvailabilities[],5,FALSE)&gt;0,"Y",""),"")</f>
        <v/>
      </c>
      <c r="K46" s="53"/>
      <c r="L46" s="50" t="str">
        <f>IFERROR(VLOOKUP(TableHandbook[[#This Row],[UDC]],TableOBARCH[],7,FALSE),"")</f>
        <v/>
      </c>
      <c r="M46" s="50" t="str">
        <f>IFERROR(VLOOKUP(TableHandbook[[#This Row],[UDC]],TableOUARCH[],7,FALSE),"")</f>
        <v/>
      </c>
      <c r="N46" s="72" t="str">
        <f>IFERROR(VLOOKUP(TableHandbook[[#This Row],[UDC]],TableOSCUANGAD[],7,FALSE),"")</f>
        <v/>
      </c>
      <c r="O46" s="50" t="str">
        <f>IFERROR(VLOOKUP(TableHandbook[[#This Row],[UDC]],TableOSCUCONMS[],7,FALSE),"")</f>
        <v/>
      </c>
      <c r="P46" s="50" t="str">
        <f>IFERROR(VLOOKUP(TableHandbook[[#This Row],[UDC]],TableOSCUINARS[],7,FALSE),"")</f>
        <v>AltCore</v>
      </c>
      <c r="Q46" s="50" t="str">
        <f>IFERROR(VLOOKUP(TableHandbook[[#This Row],[UDC]],TableOSCUPLGEO[],7,FALSE),"")</f>
        <v/>
      </c>
    </row>
    <row r="47" spans="1:17" x14ac:dyDescent="0.25">
      <c r="A47" s="4" t="s">
        <v>124</v>
      </c>
      <c r="B47" s="28">
        <v>1</v>
      </c>
      <c r="C47" s="28" t="s">
        <v>246</v>
      </c>
      <c r="D47" s="4" t="s">
        <v>247</v>
      </c>
      <c r="E47" s="28">
        <v>25</v>
      </c>
      <c r="F47" s="54" t="s">
        <v>172</v>
      </c>
      <c r="G47" s="49" t="str">
        <f>IFERROR(IF(VLOOKUP(TableHandbook[[#This Row],[UDC]],TableAvailabilities[],2,FALSE)&gt;0,"Y",""),"")</f>
        <v/>
      </c>
      <c r="H47" s="49" t="str">
        <f>IFERROR(IF(VLOOKUP(TableHandbook[[#This Row],[UDC]],TableAvailabilities[],3,FALSE)&gt;0,"Y",""),"")</f>
        <v/>
      </c>
      <c r="I47" s="49" t="str">
        <f>IFERROR(IF(VLOOKUP(TableHandbook[[#This Row],[UDC]],TableAvailabilities[],4,FALSE)&gt;0,"Y",""),"")</f>
        <v>Y</v>
      </c>
      <c r="J47" s="49" t="str">
        <f>IFERROR(IF(VLOOKUP(TableHandbook[[#This Row],[UDC]],TableAvailabilities[],5,FALSE)&gt;0,"Y",""),"")</f>
        <v/>
      </c>
      <c r="K47" s="53"/>
      <c r="L47" s="50" t="str">
        <f>IFERROR(VLOOKUP(TableHandbook[[#This Row],[UDC]],TableOBARCH[],7,FALSE),"")</f>
        <v/>
      </c>
      <c r="M47" s="50" t="str">
        <f>IFERROR(VLOOKUP(TableHandbook[[#This Row],[UDC]],TableOUARCH[],7,FALSE),"")</f>
        <v/>
      </c>
      <c r="N47" s="72" t="str">
        <f>IFERROR(VLOOKUP(TableHandbook[[#This Row],[UDC]],TableOSCUANGAD[],7,FALSE),"")</f>
        <v/>
      </c>
      <c r="O47" s="50" t="str">
        <f>IFERROR(VLOOKUP(TableHandbook[[#This Row],[UDC]],TableOSCUCONMS[],7,FALSE),"")</f>
        <v/>
      </c>
      <c r="P47" s="50" t="str">
        <f>IFERROR(VLOOKUP(TableHandbook[[#This Row],[UDC]],TableOSCUINARS[],7,FALSE),"")</f>
        <v>AltCore</v>
      </c>
      <c r="Q47" s="50" t="str">
        <f>IFERROR(VLOOKUP(TableHandbook[[#This Row],[UDC]],TableOSCUPLGEO[],7,FALSE),"")</f>
        <v/>
      </c>
    </row>
    <row r="48" spans="1:17" x14ac:dyDescent="0.25">
      <c r="A48" s="4" t="s">
        <v>149</v>
      </c>
      <c r="B48" s="28">
        <v>4</v>
      </c>
      <c r="C48" s="28" t="s">
        <v>248</v>
      </c>
      <c r="D48" s="4" t="s">
        <v>249</v>
      </c>
      <c r="E48" s="28">
        <v>25</v>
      </c>
      <c r="F48" s="54" t="s">
        <v>384</v>
      </c>
      <c r="G48" s="49" t="str">
        <f>IFERROR(IF(VLOOKUP(TableHandbook[[#This Row],[UDC]],TableAvailabilities[],2,FALSE)&gt;0,"Y",""),"")</f>
        <v/>
      </c>
      <c r="H48" s="49" t="str">
        <f>IFERROR(IF(VLOOKUP(TableHandbook[[#This Row],[UDC]],TableAvailabilities[],3,FALSE)&gt;0,"Y",""),"")</f>
        <v/>
      </c>
      <c r="I48" s="49" t="str">
        <f>IFERROR(IF(VLOOKUP(TableHandbook[[#This Row],[UDC]],TableAvailabilities[],4,FALSE)&gt;0,"Y",""),"")</f>
        <v>Y</v>
      </c>
      <c r="J48" s="49" t="str">
        <f>IFERROR(IF(VLOOKUP(TableHandbook[[#This Row],[UDC]],TableAvailabilities[],5,FALSE)&gt;0,"Y",""),"")</f>
        <v/>
      </c>
      <c r="K48" s="53"/>
      <c r="L48" s="50" t="str">
        <f>IFERROR(VLOOKUP(TableHandbook[[#This Row],[UDC]],TableOBARCH[],7,FALSE),"")</f>
        <v/>
      </c>
      <c r="M48" s="50" t="str">
        <f>IFERROR(VLOOKUP(TableHandbook[[#This Row],[UDC]],TableOUARCH[],7,FALSE),"")</f>
        <v/>
      </c>
      <c r="N48" s="72" t="str">
        <f>IFERROR(VLOOKUP(TableHandbook[[#This Row],[UDC]],TableOSCUANGAD[],7,FALSE),"")</f>
        <v/>
      </c>
      <c r="O48" s="50" t="str">
        <f>IFERROR(VLOOKUP(TableHandbook[[#This Row],[UDC]],TableOSCUCONMS[],7,FALSE),"")</f>
        <v/>
      </c>
      <c r="P48" s="50" t="str">
        <f>IFERROR(VLOOKUP(TableHandbook[[#This Row],[UDC]],TableOSCUINARS[],7,FALSE),"")</f>
        <v>Option</v>
      </c>
      <c r="Q48" s="50" t="str">
        <f>IFERROR(VLOOKUP(TableHandbook[[#This Row],[UDC]],TableOSCUPLGEO[],7,FALSE),"")</f>
        <v/>
      </c>
    </row>
    <row r="49" spans="1:17" x14ac:dyDescent="0.25">
      <c r="A49" s="4" t="s">
        <v>136</v>
      </c>
      <c r="B49" s="28">
        <v>1</v>
      </c>
      <c r="C49" s="28" t="s">
        <v>250</v>
      </c>
      <c r="D49" s="4" t="s">
        <v>251</v>
      </c>
      <c r="E49" s="28">
        <v>25</v>
      </c>
      <c r="F49" s="54" t="s">
        <v>188</v>
      </c>
      <c r="G49" s="49" t="str">
        <f>IFERROR(IF(VLOOKUP(TableHandbook[[#This Row],[UDC]],TableAvailabilities[],2,FALSE)&gt;0,"Y",""),"")</f>
        <v/>
      </c>
      <c r="H49" s="49" t="str">
        <f>IFERROR(IF(VLOOKUP(TableHandbook[[#This Row],[UDC]],TableAvailabilities[],3,FALSE)&gt;0,"Y",""),"")</f>
        <v>Y</v>
      </c>
      <c r="I49" s="49" t="str">
        <f>IFERROR(IF(VLOOKUP(TableHandbook[[#This Row],[UDC]],TableAvailabilities[],4,FALSE)&gt;0,"Y",""),"")</f>
        <v/>
      </c>
      <c r="J49" s="49" t="str">
        <f>IFERROR(IF(VLOOKUP(TableHandbook[[#This Row],[UDC]],TableAvailabilities[],5,FALSE)&gt;0,"Y",""),"")</f>
        <v/>
      </c>
      <c r="K49" s="53"/>
      <c r="L49" s="50" t="str">
        <f>IFERROR(VLOOKUP(TableHandbook[[#This Row],[UDC]],TableOBARCH[],7,FALSE),"")</f>
        <v/>
      </c>
      <c r="M49" s="50" t="str">
        <f>IFERROR(VLOOKUP(TableHandbook[[#This Row],[UDC]],TableOUARCH[],7,FALSE),"")</f>
        <v/>
      </c>
      <c r="N49" s="72" t="str">
        <f>IFERROR(VLOOKUP(TableHandbook[[#This Row],[UDC]],TableOSCUANGAD[],7,FALSE),"")</f>
        <v/>
      </c>
      <c r="O49" s="50" t="str">
        <f>IFERROR(VLOOKUP(TableHandbook[[#This Row],[UDC]],TableOSCUCONMS[],7,FALSE),"")</f>
        <v/>
      </c>
      <c r="P49" s="50" t="str">
        <f>IFERROR(VLOOKUP(TableHandbook[[#This Row],[UDC]],TableOSCUINARS[],7,FALSE),"")</f>
        <v>Core</v>
      </c>
      <c r="Q49" s="50" t="str">
        <f>IFERROR(VLOOKUP(TableHandbook[[#This Row],[UDC]],TableOSCUPLGEO[],7,FALSE),"")</f>
        <v/>
      </c>
    </row>
    <row r="50" spans="1:17" x14ac:dyDescent="0.25">
      <c r="A50" s="4" t="s">
        <v>151</v>
      </c>
      <c r="B50" s="28">
        <v>1</v>
      </c>
      <c r="C50" s="28" t="s">
        <v>252</v>
      </c>
      <c r="D50" s="4" t="s">
        <v>253</v>
      </c>
      <c r="E50" s="28">
        <v>25</v>
      </c>
      <c r="F50" s="54" t="s">
        <v>188</v>
      </c>
      <c r="G50" s="49" t="str">
        <f>IFERROR(IF(VLOOKUP(TableHandbook[[#This Row],[UDC]],TableAvailabilities[],2,FALSE)&gt;0,"Y",""),"")</f>
        <v/>
      </c>
      <c r="H50" s="49" t="str">
        <f>IFERROR(IF(VLOOKUP(TableHandbook[[#This Row],[UDC]],TableAvailabilities[],3,FALSE)&gt;0,"Y",""),"")</f>
        <v/>
      </c>
      <c r="I50" s="49" t="str">
        <f>IFERROR(IF(VLOOKUP(TableHandbook[[#This Row],[UDC]],TableAvailabilities[],4,FALSE)&gt;0,"Y",""),"")</f>
        <v>Y</v>
      </c>
      <c r="J50" s="49" t="str">
        <f>IFERROR(IF(VLOOKUP(TableHandbook[[#This Row],[UDC]],TableAvailabilities[],5,FALSE)&gt;0,"Y",""),"")</f>
        <v/>
      </c>
      <c r="K50" s="53"/>
      <c r="L50" s="50" t="str">
        <f>IFERROR(VLOOKUP(TableHandbook[[#This Row],[UDC]],TableOBARCH[],7,FALSE),"")</f>
        <v/>
      </c>
      <c r="M50" s="50" t="str">
        <f>IFERROR(VLOOKUP(TableHandbook[[#This Row],[UDC]],TableOUARCH[],7,FALSE),"")</f>
        <v/>
      </c>
      <c r="N50" s="72" t="str">
        <f>IFERROR(VLOOKUP(TableHandbook[[#This Row],[UDC]],TableOSCUANGAD[],7,FALSE),"")</f>
        <v/>
      </c>
      <c r="O50" s="50" t="str">
        <f>IFERROR(VLOOKUP(TableHandbook[[#This Row],[UDC]],TableOSCUCONMS[],7,FALSE),"")</f>
        <v/>
      </c>
      <c r="P50" s="50" t="str">
        <f>IFERROR(VLOOKUP(TableHandbook[[#This Row],[UDC]],TableOSCUINARS[],7,FALSE),"")</f>
        <v>Option</v>
      </c>
      <c r="Q50" s="50" t="str">
        <f>IFERROR(VLOOKUP(TableHandbook[[#This Row],[UDC]],TableOSCUPLGEO[],7,FALSE),"")</f>
        <v/>
      </c>
    </row>
    <row r="51" spans="1:17" x14ac:dyDescent="0.25">
      <c r="A51" s="4" t="s">
        <v>141</v>
      </c>
      <c r="B51" s="28">
        <v>1</v>
      </c>
      <c r="C51" s="28" t="s">
        <v>254</v>
      </c>
      <c r="D51" s="4" t="s">
        <v>255</v>
      </c>
      <c r="E51" s="28">
        <v>25</v>
      </c>
      <c r="F51" s="54" t="s">
        <v>209</v>
      </c>
      <c r="G51" s="49" t="str">
        <f>IFERROR(IF(VLOOKUP(TableHandbook[[#This Row],[UDC]],TableAvailabilities[],2,FALSE)&gt;0,"Y",""),"")</f>
        <v>Y</v>
      </c>
      <c r="H51" s="49" t="str">
        <f>IFERROR(IF(VLOOKUP(TableHandbook[[#This Row],[UDC]],TableAvailabilities[],3,FALSE)&gt;0,"Y",""),"")</f>
        <v/>
      </c>
      <c r="I51" s="49" t="str">
        <f>IFERROR(IF(VLOOKUP(TableHandbook[[#This Row],[UDC]],TableAvailabilities[],4,FALSE)&gt;0,"Y",""),"")</f>
        <v/>
      </c>
      <c r="J51" s="49" t="str">
        <f>IFERROR(IF(VLOOKUP(TableHandbook[[#This Row],[UDC]],TableAvailabilities[],5,FALSE)&gt;0,"Y",""),"")</f>
        <v/>
      </c>
      <c r="K51" s="53"/>
      <c r="L51" s="50" t="str">
        <f>IFERROR(VLOOKUP(TableHandbook[[#This Row],[UDC]],TableOBARCH[],7,FALSE),"")</f>
        <v/>
      </c>
      <c r="M51" s="50" t="str">
        <f>IFERROR(VLOOKUP(TableHandbook[[#This Row],[UDC]],TableOUARCH[],7,FALSE),"")</f>
        <v/>
      </c>
      <c r="N51" s="72" t="str">
        <f>IFERROR(VLOOKUP(TableHandbook[[#This Row],[UDC]],TableOSCUANGAD[],7,FALSE),"")</f>
        <v/>
      </c>
      <c r="O51" s="50" t="str">
        <f>IFERROR(VLOOKUP(TableHandbook[[#This Row],[UDC]],TableOSCUCONMS[],7,FALSE),"")</f>
        <v/>
      </c>
      <c r="P51" s="50" t="str">
        <f>IFERROR(VLOOKUP(TableHandbook[[#This Row],[UDC]],TableOSCUINARS[],7,FALSE),"")</f>
        <v>Core</v>
      </c>
      <c r="Q51" s="50" t="str">
        <f>IFERROR(VLOOKUP(TableHandbook[[#This Row],[UDC]],TableOSCUPLGEO[],7,FALSE),"")</f>
        <v/>
      </c>
    </row>
    <row r="52" spans="1:17" x14ac:dyDescent="0.25">
      <c r="A52" s="4" t="s">
        <v>147</v>
      </c>
      <c r="B52" s="28">
        <v>0</v>
      </c>
      <c r="C52" s="28"/>
      <c r="D52" s="4" t="s">
        <v>256</v>
      </c>
      <c r="E52" s="28">
        <v>25</v>
      </c>
      <c r="F52" s="56"/>
      <c r="G52" s="49" t="str">
        <f>IFERROR(IF(VLOOKUP(TableHandbook[[#This Row],[UDC]],TableAvailabilities[],2,FALSE)&gt;0,"Y",""),"")</f>
        <v/>
      </c>
      <c r="H52" s="49" t="str">
        <f>IFERROR(IF(VLOOKUP(TableHandbook[[#This Row],[UDC]],TableAvailabilities[],3,FALSE)&gt;0,"Y",""),"")</f>
        <v/>
      </c>
      <c r="I52" s="49" t="str">
        <f>IFERROR(IF(VLOOKUP(TableHandbook[[#This Row],[UDC]],TableAvailabilities[],4,FALSE)&gt;0,"Y",""),"")</f>
        <v/>
      </c>
      <c r="J52" s="49" t="str">
        <f>IFERROR(IF(VLOOKUP(TableHandbook[[#This Row],[UDC]],TableAvailabilities[],5,FALSE)&gt;0,"Y",""),"")</f>
        <v/>
      </c>
      <c r="K52" s="53"/>
      <c r="L52" s="50" t="str">
        <f>IFERROR(VLOOKUP(TableHandbook[[#This Row],[UDC]],TableOBARCH[],7,FALSE),"")</f>
        <v/>
      </c>
      <c r="M52" s="50" t="str">
        <f>IFERROR(VLOOKUP(TableHandbook[[#This Row],[UDC]],TableOUARCH[],7,FALSE),"")</f>
        <v/>
      </c>
      <c r="N52" s="72" t="str">
        <f>IFERROR(VLOOKUP(TableHandbook[[#This Row],[UDC]],TableOSCUANGAD[],7,FALSE),"")</f>
        <v/>
      </c>
      <c r="O52" s="50" t="str">
        <f>IFERROR(VLOOKUP(TableHandbook[[#This Row],[UDC]],TableOSCUCONMS[],7,FALSE),"")</f>
        <v/>
      </c>
      <c r="P52" s="50" t="str">
        <f>IFERROR(VLOOKUP(TableHandbook[[#This Row],[UDC]],TableOSCUINARS[],7,FALSE),"")</f>
        <v>Option</v>
      </c>
      <c r="Q52" s="50" t="str">
        <f>IFERROR(VLOOKUP(TableHandbook[[#This Row],[UDC]],TableOSCUPLGEO[],7,FALSE),"")</f>
        <v/>
      </c>
    </row>
    <row r="53" spans="1:17" x14ac:dyDescent="0.25">
      <c r="A53" s="4" t="s">
        <v>376</v>
      </c>
      <c r="B53" s="28">
        <v>1</v>
      </c>
      <c r="C53" s="28"/>
      <c r="D53" s="4" t="s">
        <v>82</v>
      </c>
      <c r="E53" s="28">
        <v>100</v>
      </c>
      <c r="F53" s="56"/>
      <c r="G53" s="49" t="str">
        <f>IFERROR(IF(VLOOKUP(TableHandbook[[#This Row],[UDC]],TableAvailabilities[],2,FALSE)&gt;0,"Y",""),"")</f>
        <v/>
      </c>
      <c r="H53" s="49" t="str">
        <f>IFERROR(IF(VLOOKUP(TableHandbook[[#This Row],[UDC]],TableAvailabilities[],3,FALSE)&gt;0,"Y",""),"")</f>
        <v/>
      </c>
      <c r="I53" s="49" t="str">
        <f>IFERROR(IF(VLOOKUP(TableHandbook[[#This Row],[UDC]],TableAvailabilities[],4,FALSE)&gt;0,"Y",""),"")</f>
        <v/>
      </c>
      <c r="J53" s="49" t="str">
        <f>IFERROR(IF(VLOOKUP(TableHandbook[[#This Row],[UDC]],TableAvailabilities[],5,FALSE)&gt;0,"Y",""),"")</f>
        <v/>
      </c>
      <c r="K53" s="53" t="s">
        <v>374</v>
      </c>
      <c r="L53" s="50" t="str">
        <f>IFERROR(VLOOKUP(TableHandbook[[#This Row],[UDC]],TableOBARCH[],7,FALSE),"")</f>
        <v/>
      </c>
      <c r="M53" s="50" t="str">
        <f>IFERROR(VLOOKUP(TableHandbook[[#This Row],[UDC]],TableOUARCH[],7,FALSE),"")</f>
        <v/>
      </c>
      <c r="N53" s="72" t="str">
        <f>IFERROR(VLOOKUP(TableHandbook[[#This Row],[UDC]],TableOSCUANGAD[],7,FALSE),"")</f>
        <v/>
      </c>
      <c r="O53" s="50" t="str">
        <f>IFERROR(VLOOKUP(TableHandbook[[#This Row],[UDC]],TableOSCUCONMS[],7,FALSE),"")</f>
        <v/>
      </c>
      <c r="P53" s="50" t="str">
        <f>IFERROR(VLOOKUP(TableHandbook[[#This Row],[UDC]],TableOSCUINARS[],7,FALSE),"")</f>
        <v/>
      </c>
      <c r="Q53" s="50" t="str">
        <f>IFERROR(VLOOKUP(TableHandbook[[#This Row],[UDC]],TableOSCUPLGEO[],7,FALSE),"")</f>
        <v/>
      </c>
    </row>
    <row r="54" spans="1:17" x14ac:dyDescent="0.25">
      <c r="A54" s="78" t="s">
        <v>83</v>
      </c>
      <c r="B54" s="79">
        <v>2</v>
      </c>
      <c r="C54" s="79"/>
      <c r="D54" s="78" t="s">
        <v>82</v>
      </c>
      <c r="E54" s="79">
        <v>100</v>
      </c>
      <c r="F54" s="56"/>
      <c r="G54" s="80" t="str">
        <f>IFERROR(IF(VLOOKUP(TableHandbook[[#This Row],[UDC]],TableAvailabilities[],2,FALSE)&gt;0,"Y",""),"")</f>
        <v/>
      </c>
      <c r="H54" s="80" t="str">
        <f>IFERROR(IF(VLOOKUP(TableHandbook[[#This Row],[UDC]],TableAvailabilities[],3,FALSE)&gt;0,"Y",""),"")</f>
        <v/>
      </c>
      <c r="I54" s="80" t="str">
        <f>IFERROR(IF(VLOOKUP(TableHandbook[[#This Row],[UDC]],TableAvailabilities[],4,FALSE)&gt;0,"Y",""),"")</f>
        <v/>
      </c>
      <c r="J54" s="80" t="str">
        <f>IFERROR(IF(VLOOKUP(TableHandbook[[#This Row],[UDC]],TableAvailabilities[],5,FALSE)&gt;0,"Y",""),"")</f>
        <v/>
      </c>
      <c r="K54" s="81" t="s">
        <v>375</v>
      </c>
      <c r="L54" s="82" t="str">
        <f>IFERROR(VLOOKUP(TableHandbook[[#This Row],[UDC]],TableOBARCH[],7,FALSE),"")</f>
        <v>AltCore</v>
      </c>
      <c r="M54" s="50" t="str">
        <f>IFERROR(VLOOKUP(TableHandbook[[#This Row],[UDC]],TableOUARCH[],7,FALSE),"")</f>
        <v>AltCore</v>
      </c>
      <c r="N54" s="83" t="str">
        <f>IFERROR(VLOOKUP(TableHandbook[[#This Row],[UDC]],TableOSCUANGAD[],7,FALSE),"")</f>
        <v/>
      </c>
      <c r="O54" s="82" t="str">
        <f>IFERROR(VLOOKUP(TableHandbook[[#This Row],[UDC]],TableOSCUCONMS[],7,FALSE),"")</f>
        <v/>
      </c>
      <c r="P54" s="82" t="str">
        <f>IFERROR(VLOOKUP(TableHandbook[[#This Row],[UDC]],TableOSCUINARS[],7,FALSE),"")</f>
        <v/>
      </c>
      <c r="Q54" s="82" t="str">
        <f>IFERROR(VLOOKUP(TableHandbook[[#This Row],[UDC]],TableOSCUPLGEO[],7,FALSE),"")</f>
        <v/>
      </c>
    </row>
    <row r="55" spans="1:17" x14ac:dyDescent="0.25">
      <c r="A55" s="4" t="s">
        <v>377</v>
      </c>
      <c r="B55" s="28">
        <v>1</v>
      </c>
      <c r="C55" s="28"/>
      <c r="D55" s="4" t="s">
        <v>86</v>
      </c>
      <c r="E55" s="28">
        <v>100</v>
      </c>
      <c r="F55" s="56"/>
      <c r="G55" s="49" t="str">
        <f>IFERROR(IF(VLOOKUP(TableHandbook[[#This Row],[UDC]],TableAvailabilities[],2,FALSE)&gt;0,"Y",""),"")</f>
        <v/>
      </c>
      <c r="H55" s="49" t="str">
        <f>IFERROR(IF(VLOOKUP(TableHandbook[[#This Row],[UDC]],TableAvailabilities[],3,FALSE)&gt;0,"Y",""),"")</f>
        <v/>
      </c>
      <c r="I55" s="49" t="str">
        <f>IFERROR(IF(VLOOKUP(TableHandbook[[#This Row],[UDC]],TableAvailabilities[],4,FALSE)&gt;0,"Y",""),"")</f>
        <v/>
      </c>
      <c r="J55" s="49" t="str">
        <f>IFERROR(IF(VLOOKUP(TableHandbook[[#This Row],[UDC]],TableAvailabilities[],5,FALSE)&gt;0,"Y",""),"")</f>
        <v/>
      </c>
      <c r="K55" s="53" t="s">
        <v>374</v>
      </c>
      <c r="L55" s="50" t="str">
        <f>IFERROR(VLOOKUP(TableHandbook[[#This Row],[UDC]],TableOBARCH[],7,FALSE),"")</f>
        <v/>
      </c>
      <c r="M55" s="50" t="str">
        <f>IFERROR(VLOOKUP(TableHandbook[[#This Row],[UDC]],TableOUARCH[],7,FALSE),"")</f>
        <v/>
      </c>
      <c r="N55" s="72" t="str">
        <f>IFERROR(VLOOKUP(TableHandbook[[#This Row],[UDC]],TableOSCUANGAD[],7,FALSE),"")</f>
        <v/>
      </c>
      <c r="O55" s="50" t="str">
        <f>IFERROR(VLOOKUP(TableHandbook[[#This Row],[UDC]],TableOSCUCONMS[],7,FALSE),"")</f>
        <v/>
      </c>
      <c r="P55" s="50" t="str">
        <f>IFERROR(VLOOKUP(TableHandbook[[#This Row],[UDC]],TableOSCUINARS[],7,FALSE),"")</f>
        <v/>
      </c>
      <c r="Q55" s="50" t="str">
        <f>IFERROR(VLOOKUP(TableHandbook[[#This Row],[UDC]],TableOSCUPLGEO[],7,FALSE),"")</f>
        <v/>
      </c>
    </row>
    <row r="56" spans="1:17" x14ac:dyDescent="0.25">
      <c r="A56" s="78" t="s">
        <v>87</v>
      </c>
      <c r="B56" s="79">
        <v>2</v>
      </c>
      <c r="C56" s="79"/>
      <c r="D56" s="78" t="s">
        <v>86</v>
      </c>
      <c r="E56" s="79">
        <v>100</v>
      </c>
      <c r="F56" s="56"/>
      <c r="G56" s="80" t="str">
        <f>IFERROR(IF(VLOOKUP(TableHandbook[[#This Row],[UDC]],TableAvailabilities[],2,FALSE)&gt;0,"Y",""),"")</f>
        <v/>
      </c>
      <c r="H56" s="80" t="str">
        <f>IFERROR(IF(VLOOKUP(TableHandbook[[#This Row],[UDC]],TableAvailabilities[],3,FALSE)&gt;0,"Y",""),"")</f>
        <v/>
      </c>
      <c r="I56" s="80" t="str">
        <f>IFERROR(IF(VLOOKUP(TableHandbook[[#This Row],[UDC]],TableAvailabilities[],4,FALSE)&gt;0,"Y",""),"")</f>
        <v/>
      </c>
      <c r="J56" s="80" t="str">
        <f>IFERROR(IF(VLOOKUP(TableHandbook[[#This Row],[UDC]],TableAvailabilities[],5,FALSE)&gt;0,"Y",""),"")</f>
        <v/>
      </c>
      <c r="K56" s="81" t="s">
        <v>375</v>
      </c>
      <c r="L56" s="82" t="str">
        <f>IFERROR(VLOOKUP(TableHandbook[[#This Row],[UDC]],TableOBARCH[],7,FALSE),"")</f>
        <v>AltCore</v>
      </c>
      <c r="M56" s="50" t="str">
        <f>IFERROR(VLOOKUP(TableHandbook[[#This Row],[UDC]],TableOUARCH[],7,FALSE),"")</f>
        <v>AltCore</v>
      </c>
      <c r="N56" s="83" t="str">
        <f>IFERROR(VLOOKUP(TableHandbook[[#This Row],[UDC]],TableOSCUANGAD[],7,FALSE),"")</f>
        <v/>
      </c>
      <c r="O56" s="82" t="str">
        <f>IFERROR(VLOOKUP(TableHandbook[[#This Row],[UDC]],TableOSCUCONMS[],7,FALSE),"")</f>
        <v/>
      </c>
      <c r="P56" s="82" t="str">
        <f>IFERROR(VLOOKUP(TableHandbook[[#This Row],[UDC]],TableOSCUINARS[],7,FALSE),"")</f>
        <v/>
      </c>
      <c r="Q56" s="82" t="str">
        <f>IFERROR(VLOOKUP(TableHandbook[[#This Row],[UDC]],TableOSCUPLGEO[],7,FALSE),"")</f>
        <v/>
      </c>
    </row>
    <row r="57" spans="1:17" x14ac:dyDescent="0.25">
      <c r="A57" s="4" t="s">
        <v>96</v>
      </c>
      <c r="B57" s="28">
        <v>3</v>
      </c>
      <c r="C57" s="28"/>
      <c r="D57" s="4" t="s">
        <v>95</v>
      </c>
      <c r="E57" s="28">
        <v>100</v>
      </c>
      <c r="F57" s="56"/>
      <c r="G57" s="49" t="str">
        <f>IFERROR(IF(VLOOKUP(TableHandbook[[#This Row],[UDC]],TableAvailabilities[],2,FALSE)&gt;0,"Y",""),"")</f>
        <v/>
      </c>
      <c r="H57" s="49" t="str">
        <f>IFERROR(IF(VLOOKUP(TableHandbook[[#This Row],[UDC]],TableAvailabilities[],3,FALSE)&gt;0,"Y",""),"")</f>
        <v/>
      </c>
      <c r="I57" s="49" t="str">
        <f>IFERROR(IF(VLOOKUP(TableHandbook[[#This Row],[UDC]],TableAvailabilities[],4,FALSE)&gt;0,"Y",""),"")</f>
        <v/>
      </c>
      <c r="J57" s="49" t="str">
        <f>IFERROR(IF(VLOOKUP(TableHandbook[[#This Row],[UDC]],TableAvailabilities[],5,FALSE)&gt;0,"Y",""),"")</f>
        <v/>
      </c>
      <c r="K57" s="53"/>
      <c r="L57" s="50" t="str">
        <f>IFERROR(VLOOKUP(TableHandbook[[#This Row],[UDC]],TableOBARCH[],7,FALSE),"")</f>
        <v>AltCore</v>
      </c>
      <c r="M57" s="50" t="str">
        <f>IFERROR(VLOOKUP(TableHandbook[[#This Row],[UDC]],TableOUARCH[],7,FALSE),"")</f>
        <v>AltCore</v>
      </c>
      <c r="N57" s="72" t="str">
        <f>IFERROR(VLOOKUP(TableHandbook[[#This Row],[UDC]],TableOSCUANGAD[],7,FALSE),"")</f>
        <v/>
      </c>
      <c r="O57" s="50" t="str">
        <f>IFERROR(VLOOKUP(TableHandbook[[#This Row],[UDC]],TableOSCUCONMS[],7,FALSE),"")</f>
        <v/>
      </c>
      <c r="P57" s="50" t="str">
        <f>IFERROR(VLOOKUP(TableHandbook[[#This Row],[UDC]],TableOSCUINARS[],7,FALSE),"")</f>
        <v/>
      </c>
      <c r="Q57" s="50" t="str">
        <f>IFERROR(VLOOKUP(TableHandbook[[#This Row],[UDC]],TableOSCUPLGEO[],7,FALSE),"")</f>
        <v/>
      </c>
    </row>
    <row r="58" spans="1:17" x14ac:dyDescent="0.25">
      <c r="A58" s="4" t="s">
        <v>100</v>
      </c>
      <c r="B58" s="28">
        <v>1</v>
      </c>
      <c r="C58" s="28"/>
      <c r="D58" s="4" t="s">
        <v>99</v>
      </c>
      <c r="E58" s="28">
        <v>100</v>
      </c>
      <c r="F58" s="56"/>
      <c r="G58" s="49" t="str">
        <f>IFERROR(IF(VLOOKUP(TableHandbook[[#This Row],[UDC]],TableAvailabilities[],2,FALSE)&gt;0,"Y",""),"")</f>
        <v/>
      </c>
      <c r="H58" s="49" t="str">
        <f>IFERROR(IF(VLOOKUP(TableHandbook[[#This Row],[UDC]],TableAvailabilities[],3,FALSE)&gt;0,"Y",""),"")</f>
        <v/>
      </c>
      <c r="I58" s="49" t="str">
        <f>IFERROR(IF(VLOOKUP(TableHandbook[[#This Row],[UDC]],TableAvailabilities[],4,FALSE)&gt;0,"Y",""),"")</f>
        <v/>
      </c>
      <c r="J58" s="49" t="str">
        <f>IFERROR(IF(VLOOKUP(TableHandbook[[#This Row],[UDC]],TableAvailabilities[],5,FALSE)&gt;0,"Y",""),"")</f>
        <v/>
      </c>
      <c r="K58" s="53"/>
      <c r="L58" s="50" t="str">
        <f>IFERROR(VLOOKUP(TableHandbook[[#This Row],[UDC]],TableOBARCH[],7,FALSE),"")</f>
        <v>AltCore</v>
      </c>
      <c r="M58" s="50" t="str">
        <f>IFERROR(VLOOKUP(TableHandbook[[#This Row],[UDC]],TableOUARCH[],7,FALSE),"")</f>
        <v>AltCore</v>
      </c>
      <c r="N58" s="72" t="str">
        <f>IFERROR(VLOOKUP(TableHandbook[[#This Row],[UDC]],TableOSCUANGAD[],7,FALSE),"")</f>
        <v/>
      </c>
      <c r="O58" s="50" t="str">
        <f>IFERROR(VLOOKUP(TableHandbook[[#This Row],[UDC]],TableOSCUCONMS[],7,FALSE),"")</f>
        <v/>
      </c>
      <c r="P58" s="50" t="str">
        <f>IFERROR(VLOOKUP(TableHandbook[[#This Row],[UDC]],TableOSCUINARS[],7,FALSE),"")</f>
        <v/>
      </c>
      <c r="Q58" s="50" t="str">
        <f>IFERROR(VLOOKUP(TableHandbook[[#This Row],[UDC]],TableOSCUPLGEO[],7,FALSE),"")</f>
        <v/>
      </c>
    </row>
    <row r="59" spans="1:17" x14ac:dyDescent="0.25">
      <c r="A59" s="4" t="s">
        <v>130</v>
      </c>
      <c r="B59" s="28">
        <v>3</v>
      </c>
      <c r="C59" s="28" t="s">
        <v>257</v>
      </c>
      <c r="D59" s="4" t="s">
        <v>258</v>
      </c>
      <c r="E59" s="28">
        <v>25</v>
      </c>
      <c r="F59" s="54" t="s">
        <v>172</v>
      </c>
      <c r="G59" s="49" t="str">
        <f>IFERROR(IF(VLOOKUP(TableHandbook[[#This Row],[UDC]],TableAvailabilities[],2,FALSE)&gt;0,"Y",""),"")</f>
        <v/>
      </c>
      <c r="H59" s="49" t="str">
        <f>IFERROR(IF(VLOOKUP(TableHandbook[[#This Row],[UDC]],TableAvailabilities[],3,FALSE)&gt;0,"Y",""),"")</f>
        <v/>
      </c>
      <c r="I59" s="49" t="str">
        <f>IFERROR(IF(VLOOKUP(TableHandbook[[#This Row],[UDC]],TableAvailabilities[],4,FALSE)&gt;0,"Y",""),"")</f>
        <v>Y</v>
      </c>
      <c r="J59" s="49" t="str">
        <f>IFERROR(IF(VLOOKUP(TableHandbook[[#This Row],[UDC]],TableAvailabilities[],5,FALSE)&gt;0,"Y",""),"")</f>
        <v/>
      </c>
      <c r="K59" s="53"/>
      <c r="L59" s="50" t="str">
        <f>IFERROR(VLOOKUP(TableHandbook[[#This Row],[UDC]],TableOBARCH[],7,FALSE),"")</f>
        <v/>
      </c>
      <c r="M59" s="50" t="str">
        <f>IFERROR(VLOOKUP(TableHandbook[[#This Row],[UDC]],TableOUARCH[],7,FALSE),"")</f>
        <v/>
      </c>
      <c r="N59" s="72" t="str">
        <f>IFERROR(VLOOKUP(TableHandbook[[#This Row],[UDC]],TableOSCUANGAD[],7,FALSE),"")</f>
        <v/>
      </c>
      <c r="O59" s="50" t="str">
        <f>IFERROR(VLOOKUP(TableHandbook[[#This Row],[UDC]],TableOSCUCONMS[],7,FALSE),"")</f>
        <v/>
      </c>
      <c r="P59" s="50" t="str">
        <f>IFERROR(VLOOKUP(TableHandbook[[#This Row],[UDC]],TableOSCUINARS[],7,FALSE),"")</f>
        <v/>
      </c>
      <c r="Q59" s="50" t="str">
        <f>IFERROR(VLOOKUP(TableHandbook[[#This Row],[UDC]],TableOSCUPLGEO[],7,FALSE),"")</f>
        <v>Core</v>
      </c>
    </row>
    <row r="60" spans="1:17" x14ac:dyDescent="0.25">
      <c r="A60" s="4" t="s">
        <v>61</v>
      </c>
      <c r="B60" s="28"/>
      <c r="C60" s="28"/>
      <c r="D60" s="4" t="s">
        <v>259</v>
      </c>
      <c r="E60" s="28">
        <v>25</v>
      </c>
      <c r="F60" s="56" t="s">
        <v>260</v>
      </c>
      <c r="G60" s="49" t="str">
        <f>IFERROR(IF(VLOOKUP(TableHandbook[[#This Row],[UDC]],TableAvailabilities[],2,FALSE)&gt;0,"Y",""),"")</f>
        <v/>
      </c>
      <c r="H60" s="49" t="str">
        <f>IFERROR(IF(VLOOKUP(TableHandbook[[#This Row],[UDC]],TableAvailabilities[],3,FALSE)&gt;0,"Y",""),"")</f>
        <v/>
      </c>
      <c r="I60" s="49" t="str">
        <f>IFERROR(IF(VLOOKUP(TableHandbook[[#This Row],[UDC]],TableAvailabilities[],4,FALSE)&gt;0,"Y",""),"")</f>
        <v/>
      </c>
      <c r="J60" s="49" t="str">
        <f>IFERROR(IF(VLOOKUP(TableHandbook[[#This Row],[UDC]],TableAvailabilities[],5,FALSE)&gt;0,"Y",""),"")</f>
        <v/>
      </c>
      <c r="K60" s="53"/>
      <c r="L60" s="50" t="str">
        <f>IFERROR(VLOOKUP(TableHandbook[[#This Row],[UDC]],TableOBARCH[],7,FALSE),"")</f>
        <v/>
      </c>
      <c r="M60" s="50" t="str">
        <f>IFERROR(VLOOKUP(TableHandbook[[#This Row],[UDC]],TableOUARCH[],7,FALSE),"")</f>
        <v/>
      </c>
      <c r="N60" s="72" t="str">
        <f>IFERROR(VLOOKUP(TableHandbook[[#This Row],[UDC]],TableOSCUANGAD[],7,FALSE),"")</f>
        <v/>
      </c>
      <c r="O60" s="50" t="str">
        <f>IFERROR(VLOOKUP(TableHandbook[[#This Row],[UDC]],TableOSCUCONMS[],7,FALSE),"")</f>
        <v/>
      </c>
      <c r="P60" s="50" t="str">
        <f>IFERROR(VLOOKUP(TableHandbook[[#This Row],[UDC]],TableOSCUINARS[],7,FALSE),"")</f>
        <v/>
      </c>
      <c r="Q60" s="50" t="str">
        <f>IFERROR(VLOOKUP(TableHandbook[[#This Row],[UDC]],TableOSCUPLGEO[],7,FALSE),"")</f>
        <v/>
      </c>
    </row>
    <row r="61" spans="1:17" x14ac:dyDescent="0.25">
      <c r="A61" s="4" t="s">
        <v>261</v>
      </c>
      <c r="B61" s="28">
        <v>0</v>
      </c>
      <c r="C61" s="28"/>
      <c r="D61" s="4" t="s">
        <v>262</v>
      </c>
      <c r="E61" s="28">
        <v>100</v>
      </c>
      <c r="F61" s="56" t="s">
        <v>162</v>
      </c>
      <c r="G61" s="49" t="str">
        <f>IFERROR(IF(VLOOKUP(TableHandbook[[#This Row],[UDC]],TableAvailabilities[],2,FALSE)&gt;0,"Y",""),"")</f>
        <v/>
      </c>
      <c r="H61" s="49" t="str">
        <f>IFERROR(IF(VLOOKUP(TableHandbook[[#This Row],[UDC]],TableAvailabilities[],3,FALSE)&gt;0,"Y",""),"")</f>
        <v/>
      </c>
      <c r="I61" s="49" t="str">
        <f>IFERROR(IF(VLOOKUP(TableHandbook[[#This Row],[UDC]],TableAvailabilities[],4,FALSE)&gt;0,"Y",""),"")</f>
        <v/>
      </c>
      <c r="J61" s="49" t="str">
        <f>IFERROR(IF(VLOOKUP(TableHandbook[[#This Row],[UDC]],TableAvailabilities[],5,FALSE)&gt;0,"Y",""),"")</f>
        <v/>
      </c>
      <c r="K61" s="53"/>
      <c r="L61" s="50" t="str">
        <f>IFERROR(VLOOKUP(TableHandbook[[#This Row],[UDC]],TableOBARCH[],7,FALSE),"")</f>
        <v>Core</v>
      </c>
      <c r="M61" s="50" t="str">
        <f>IFERROR(VLOOKUP(TableHandbook[[#This Row],[UDC]],TableOUARCH[],7,FALSE),"")</f>
        <v>AltCore</v>
      </c>
      <c r="N61" s="72" t="str">
        <f>IFERROR(VLOOKUP(TableHandbook[[#This Row],[UDC]],TableOSCUANGAD[],7,FALSE),"")</f>
        <v/>
      </c>
      <c r="O61" s="50" t="str">
        <f>IFERROR(VLOOKUP(TableHandbook[[#This Row],[UDC]],TableOSCUCONMS[],7,FALSE),"")</f>
        <v/>
      </c>
      <c r="P61" s="50" t="str">
        <f>IFERROR(VLOOKUP(TableHandbook[[#This Row],[UDC]],TableOSCUINARS[],7,FALSE),"")</f>
        <v/>
      </c>
      <c r="Q61" s="50" t="str">
        <f>IFERROR(VLOOKUP(TableHandbook[[#This Row],[UDC]],TableOSCUPLGEO[],7,FALSE),"")</f>
        <v/>
      </c>
    </row>
    <row r="62" spans="1:17" x14ac:dyDescent="0.25">
      <c r="A62" s="4" t="s">
        <v>119</v>
      </c>
      <c r="B62" s="28">
        <v>1</v>
      </c>
      <c r="C62" s="28" t="s">
        <v>263</v>
      </c>
      <c r="D62" s="4" t="s">
        <v>264</v>
      </c>
      <c r="E62" s="28">
        <v>25</v>
      </c>
      <c r="F62" s="54" t="s">
        <v>172</v>
      </c>
      <c r="G62" s="49" t="str">
        <f>IFERROR(IF(VLOOKUP(TableHandbook[[#This Row],[UDC]],TableAvailabilities[],2,FALSE)&gt;0,"Y",""),"")</f>
        <v>Y</v>
      </c>
      <c r="H62" s="49" t="str">
        <f>IFERROR(IF(VLOOKUP(TableHandbook[[#This Row],[UDC]],TableAvailabilities[],3,FALSE)&gt;0,"Y",""),"")</f>
        <v/>
      </c>
      <c r="I62" s="49" t="str">
        <f>IFERROR(IF(VLOOKUP(TableHandbook[[#This Row],[UDC]],TableAvailabilities[],4,FALSE)&gt;0,"Y",""),"")</f>
        <v>Y</v>
      </c>
      <c r="J62" s="49" t="str">
        <f>IFERROR(IF(VLOOKUP(TableHandbook[[#This Row],[UDC]],TableAvailabilities[],5,FALSE)&gt;0,"Y",""),"")</f>
        <v/>
      </c>
      <c r="K62" s="53"/>
      <c r="L62" s="50" t="str">
        <f>IFERROR(VLOOKUP(TableHandbook[[#This Row],[UDC]],TableOBARCH[],7,FALSE),"")</f>
        <v/>
      </c>
      <c r="M62" s="50" t="str">
        <f>IFERROR(VLOOKUP(TableHandbook[[#This Row],[UDC]],TableOUARCH[],7,FALSE),"")</f>
        <v/>
      </c>
      <c r="N62" s="72" t="str">
        <f>IFERROR(VLOOKUP(TableHandbook[[#This Row],[UDC]],TableOSCUANGAD[],7,FALSE),"")</f>
        <v/>
      </c>
      <c r="O62" s="50" t="str">
        <f>IFERROR(VLOOKUP(TableHandbook[[#This Row],[UDC]],TableOSCUCONMS[],7,FALSE),"")</f>
        <v/>
      </c>
      <c r="P62" s="50" t="str">
        <f>IFERROR(VLOOKUP(TableHandbook[[#This Row],[UDC]],TableOSCUINARS[],7,FALSE),"")</f>
        <v/>
      </c>
      <c r="Q62" s="50" t="str">
        <f>IFERROR(VLOOKUP(TableHandbook[[#This Row],[UDC]],TableOSCUPLGEO[],7,FALSE),"")</f>
        <v>Core</v>
      </c>
    </row>
    <row r="63" spans="1:17" x14ac:dyDescent="0.25">
      <c r="A63" s="4" t="s">
        <v>125</v>
      </c>
      <c r="B63" s="28">
        <v>1</v>
      </c>
      <c r="C63" s="28" t="s">
        <v>265</v>
      </c>
      <c r="D63" s="4" t="s">
        <v>266</v>
      </c>
      <c r="E63" s="28">
        <v>25</v>
      </c>
      <c r="F63" s="54" t="s">
        <v>172</v>
      </c>
      <c r="G63" s="49" t="str">
        <f>IFERROR(IF(VLOOKUP(TableHandbook[[#This Row],[UDC]],TableAvailabilities[],2,FALSE)&gt;0,"Y",""),"")</f>
        <v/>
      </c>
      <c r="H63" s="49" t="str">
        <f>IFERROR(IF(VLOOKUP(TableHandbook[[#This Row],[UDC]],TableAvailabilities[],3,FALSE)&gt;0,"Y",""),"")</f>
        <v>Y</v>
      </c>
      <c r="I63" s="49" t="str">
        <f>IFERROR(IF(VLOOKUP(TableHandbook[[#This Row],[UDC]],TableAvailabilities[],4,FALSE)&gt;0,"Y",""),"")</f>
        <v/>
      </c>
      <c r="J63" s="49" t="str">
        <f>IFERROR(IF(VLOOKUP(TableHandbook[[#This Row],[UDC]],TableAvailabilities[],5,FALSE)&gt;0,"Y",""),"")</f>
        <v>Y</v>
      </c>
      <c r="K63" s="53"/>
      <c r="L63" s="50" t="str">
        <f>IFERROR(VLOOKUP(TableHandbook[[#This Row],[UDC]],TableOBARCH[],7,FALSE),"")</f>
        <v/>
      </c>
      <c r="M63" s="50" t="str">
        <f>IFERROR(VLOOKUP(TableHandbook[[#This Row],[UDC]],TableOUARCH[],7,FALSE),"")</f>
        <v/>
      </c>
      <c r="N63" s="72" t="str">
        <f>IFERROR(VLOOKUP(TableHandbook[[#This Row],[UDC]],TableOSCUANGAD[],7,FALSE),"")</f>
        <v/>
      </c>
      <c r="O63" s="50" t="str">
        <f>IFERROR(VLOOKUP(TableHandbook[[#This Row],[UDC]],TableOSCUCONMS[],7,FALSE),"")</f>
        <v/>
      </c>
      <c r="P63" s="50" t="str">
        <f>IFERROR(VLOOKUP(TableHandbook[[#This Row],[UDC]],TableOSCUINARS[],7,FALSE),"")</f>
        <v/>
      </c>
      <c r="Q63" s="50" t="str">
        <f>IFERROR(VLOOKUP(TableHandbook[[#This Row],[UDC]],TableOSCUPLGEO[],7,FALSE),"")</f>
        <v>Core</v>
      </c>
    </row>
    <row r="64" spans="1:17" x14ac:dyDescent="0.25">
      <c r="A64" s="4" t="s">
        <v>372</v>
      </c>
      <c r="B64" s="28">
        <v>3</v>
      </c>
      <c r="C64" s="28" t="s">
        <v>153</v>
      </c>
      <c r="D64" s="4" t="s">
        <v>267</v>
      </c>
      <c r="E64" s="28">
        <v>25</v>
      </c>
      <c r="F64" s="56" t="s">
        <v>172</v>
      </c>
      <c r="G64" s="49" t="str">
        <f>IFERROR(IF(VLOOKUP(TableHandbook[[#This Row],[UDC]],TableAvailabilities[],2,FALSE)&gt;0,"Y",""),"")</f>
        <v/>
      </c>
      <c r="H64" s="49" t="str">
        <f>IFERROR(IF(VLOOKUP(TableHandbook[[#This Row],[UDC]],TableAvailabilities[],3,FALSE)&gt;0,"Y",""),"")</f>
        <v/>
      </c>
      <c r="I64" s="49" t="str">
        <f>IFERROR(IF(VLOOKUP(TableHandbook[[#This Row],[UDC]],TableAvailabilities[],4,FALSE)&gt;0,"Y",""),"")</f>
        <v/>
      </c>
      <c r="J64" s="49" t="str">
        <f>IFERROR(IF(VLOOKUP(TableHandbook[[#This Row],[UDC]],TableAvailabilities[],5,FALSE)&gt;0,"Y",""),"")</f>
        <v/>
      </c>
      <c r="K64" s="53" t="s">
        <v>385</v>
      </c>
      <c r="L64" s="50" t="str">
        <f>IFERROR(VLOOKUP(TableHandbook[[#This Row],[UDC]],TableOBARCH[],7,FALSE),"")</f>
        <v/>
      </c>
      <c r="M64" s="50" t="str">
        <f>IFERROR(VLOOKUP(TableHandbook[[#This Row],[UDC]],TableOUARCH[],7,FALSE),"")</f>
        <v/>
      </c>
      <c r="N64" s="72" t="str">
        <f>IFERROR(VLOOKUP(TableHandbook[[#This Row],[UDC]],TableOSCUANGAD[],7,FALSE),"")</f>
        <v/>
      </c>
      <c r="O64" s="50" t="str">
        <f>IFERROR(VLOOKUP(TableHandbook[[#This Row],[UDC]],TableOSCUCONMS[],7,FALSE),"")</f>
        <v/>
      </c>
      <c r="P64" s="50" t="str">
        <f>IFERROR(VLOOKUP(TableHandbook[[#This Row],[UDC]],TableOSCUINARS[],7,FALSE),"")</f>
        <v/>
      </c>
      <c r="Q64" s="50" t="str">
        <f>IFERROR(VLOOKUP(TableHandbook[[#This Row],[UDC]],TableOSCUPLGEO[],7,FALSE),"")</f>
        <v/>
      </c>
    </row>
    <row r="65" spans="1:17" x14ac:dyDescent="0.25">
      <c r="A65" s="4" t="s">
        <v>144</v>
      </c>
      <c r="B65" s="28">
        <v>1</v>
      </c>
      <c r="C65" s="28" t="s">
        <v>271</v>
      </c>
      <c r="D65" s="4" t="s">
        <v>272</v>
      </c>
      <c r="E65" s="28">
        <v>25</v>
      </c>
      <c r="F65" s="54" t="s">
        <v>270</v>
      </c>
      <c r="G65" s="49" t="str">
        <f>IFERROR(IF(VLOOKUP(TableHandbook[[#This Row],[UDC]],TableAvailabilities[],2,FALSE)&gt;0,"Y",""),"")</f>
        <v/>
      </c>
      <c r="H65" s="49" t="str">
        <f>IFERROR(IF(VLOOKUP(TableHandbook[[#This Row],[UDC]],TableAvailabilities[],3,FALSE)&gt;0,"Y",""),"")</f>
        <v/>
      </c>
      <c r="I65" s="49" t="str">
        <f>IFERROR(IF(VLOOKUP(TableHandbook[[#This Row],[UDC]],TableAvailabilities[],4,FALSE)&gt;0,"Y",""),"")</f>
        <v/>
      </c>
      <c r="J65" s="49" t="str">
        <f>IFERROR(IF(VLOOKUP(TableHandbook[[#This Row],[UDC]],TableAvailabilities[],5,FALSE)&gt;0,"Y",""),"")</f>
        <v/>
      </c>
      <c r="K65" s="53"/>
      <c r="L65" s="50" t="str">
        <f>IFERROR(VLOOKUP(TableHandbook[[#This Row],[UDC]],TableOBARCH[],7,FALSE),"")</f>
        <v/>
      </c>
      <c r="M65" s="50" t="str">
        <f>IFERROR(VLOOKUP(TableHandbook[[#This Row],[UDC]],TableOUARCH[],7,FALSE),"")</f>
        <v/>
      </c>
      <c r="N65" s="72" t="str">
        <f>IFERROR(VLOOKUP(TableHandbook[[#This Row],[UDC]],TableOSCUANGAD[],7,FALSE),"")</f>
        <v>AltCore</v>
      </c>
      <c r="O65" s="50" t="str">
        <f>IFERROR(VLOOKUP(TableHandbook[[#This Row],[UDC]],TableOSCUCONMS[],7,FALSE),"")</f>
        <v/>
      </c>
      <c r="P65" s="50" t="str">
        <f>IFERROR(VLOOKUP(TableHandbook[[#This Row],[UDC]],TableOSCUINARS[],7,FALSE),"")</f>
        <v>Option</v>
      </c>
      <c r="Q65" s="50" t="str">
        <f>IFERROR(VLOOKUP(TableHandbook[[#This Row],[UDC]],TableOSCUPLGEO[],7,FALSE),"")</f>
        <v>AltCore</v>
      </c>
    </row>
    <row r="66" spans="1:17" x14ac:dyDescent="0.25">
      <c r="A66" s="4" t="s">
        <v>156</v>
      </c>
      <c r="B66" s="28">
        <v>1</v>
      </c>
      <c r="C66" s="28" t="s">
        <v>156</v>
      </c>
      <c r="D66" s="4" t="s">
        <v>273</v>
      </c>
      <c r="E66" s="28">
        <v>25</v>
      </c>
      <c r="F66" s="54" t="s">
        <v>270</v>
      </c>
      <c r="G66" s="49" t="str">
        <f>IFERROR(IF(VLOOKUP(TableHandbook[[#This Row],[UDC]],TableAvailabilities[],2,FALSE)&gt;0,"Y",""),"")</f>
        <v/>
      </c>
      <c r="H66" s="49" t="str">
        <f>IFERROR(IF(VLOOKUP(TableHandbook[[#This Row],[UDC]],TableAvailabilities[],3,FALSE)&gt;0,"Y",""),"")</f>
        <v/>
      </c>
      <c r="I66" s="49" t="str">
        <f>IFERROR(IF(VLOOKUP(TableHandbook[[#This Row],[UDC]],TableAvailabilities[],4,FALSE)&gt;0,"Y",""),"")</f>
        <v/>
      </c>
      <c r="J66" s="49" t="str">
        <f>IFERROR(IF(VLOOKUP(TableHandbook[[#This Row],[UDC]],TableAvailabilities[],5,FALSE)&gt;0,"Y",""),"")</f>
        <v/>
      </c>
      <c r="K66" s="53" t="s">
        <v>268</v>
      </c>
      <c r="L66" s="50" t="str">
        <f>IFERROR(VLOOKUP(TableHandbook[[#This Row],[UDC]],TableOBARCH[],7,FALSE),"")</f>
        <v/>
      </c>
      <c r="M66" s="50" t="str">
        <f>IFERROR(VLOOKUP(TableHandbook[[#This Row],[UDC]],TableOUARCH[],7,FALSE),"")</f>
        <v/>
      </c>
      <c r="N66" s="72" t="str">
        <f>IFERROR(VLOOKUP(TableHandbook[[#This Row],[UDC]],TableOSCUANGAD[],7,FALSE),"")</f>
        <v/>
      </c>
      <c r="O66" s="50" t="str">
        <f>IFERROR(VLOOKUP(TableHandbook[[#This Row],[UDC]],TableOSCUCONMS[],7,FALSE),"")</f>
        <v/>
      </c>
      <c r="P66" s="50" t="str">
        <f>IFERROR(VLOOKUP(TableHandbook[[#This Row],[UDC]],TableOSCUINARS[],7,FALSE),"")</f>
        <v>Option</v>
      </c>
      <c r="Q66" s="50" t="str">
        <f>IFERROR(VLOOKUP(TableHandbook[[#This Row],[UDC]],TableOSCUPLGEO[],7,FALSE),"")</f>
        <v/>
      </c>
    </row>
    <row r="67" spans="1:17" x14ac:dyDescent="0.25">
      <c r="A67" s="4" t="s">
        <v>381</v>
      </c>
      <c r="B67" s="28">
        <v>1</v>
      </c>
      <c r="C67" s="28" t="s">
        <v>275</v>
      </c>
      <c r="D67" s="4" t="s">
        <v>273</v>
      </c>
      <c r="E67" s="28">
        <v>25</v>
      </c>
      <c r="F67" s="56" t="s">
        <v>270</v>
      </c>
      <c r="G67" s="49" t="str">
        <f>IFERROR(IF(VLOOKUP(TableHandbook[[#This Row],[UDC]],TableAvailabilities[],2,FALSE)&gt;0,"Y",""),"")</f>
        <v/>
      </c>
      <c r="H67" s="49" t="str">
        <f>IFERROR(IF(VLOOKUP(TableHandbook[[#This Row],[UDC]],TableAvailabilities[],3,FALSE)&gt;0,"Y",""),"")</f>
        <v/>
      </c>
      <c r="I67" s="49" t="str">
        <f>IFERROR(IF(VLOOKUP(TableHandbook[[#This Row],[UDC]],TableAvailabilities[],4,FALSE)&gt;0,"Y",""),"")</f>
        <v/>
      </c>
      <c r="J67" s="49" t="str">
        <f>IFERROR(IF(VLOOKUP(TableHandbook[[#This Row],[UDC]],TableAvailabilities[],5,FALSE)&gt;0,"Y",""),"")</f>
        <v/>
      </c>
      <c r="K67" s="53" t="s">
        <v>385</v>
      </c>
      <c r="L67" s="50" t="str">
        <f>IFERROR(VLOOKUP(TableHandbook[[#This Row],[UDC]],TableOBARCH[],7,FALSE),"")</f>
        <v/>
      </c>
      <c r="M67" s="50" t="str">
        <f>IFERROR(VLOOKUP(TableHandbook[[#This Row],[UDC]],TableOUARCH[],7,FALSE),"")</f>
        <v/>
      </c>
      <c r="N67" s="72" t="str">
        <f>IFERROR(VLOOKUP(TableHandbook[[#This Row],[UDC]],TableOSCUANGAD[],7,FALSE),"")</f>
        <v/>
      </c>
      <c r="O67" s="50" t="str">
        <f>IFERROR(VLOOKUP(TableHandbook[[#This Row],[UDC]],TableOSCUCONMS[],7,FALSE),"")</f>
        <v/>
      </c>
      <c r="P67" s="50" t="str">
        <f>IFERROR(VLOOKUP(TableHandbook[[#This Row],[UDC]],TableOSCUINARS[],7,FALSE),"")</f>
        <v/>
      </c>
      <c r="Q67" s="50" t="str">
        <f>IFERROR(VLOOKUP(TableHandbook[[#This Row],[UDC]],TableOSCUPLGEO[],7,FALSE),"")</f>
        <v/>
      </c>
    </row>
  </sheetData>
  <sortState xmlns:xlrd2="http://schemas.microsoft.com/office/spreadsheetml/2017/richdata2" ref="A21:D29">
    <sortCondition ref="A21"/>
  </sortState>
  <conditionalFormatting sqref="A3:A67">
    <cfRule type="duplicateValues" dxfId="23" priority="61"/>
  </conditionalFormatting>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93"/>
  <sheetViews>
    <sheetView zoomScale="70" zoomScaleNormal="70" workbookViewId="0">
      <selection activeCell="B33" sqref="B33"/>
    </sheetView>
  </sheetViews>
  <sheetFormatPr defaultRowHeight="15.75" x14ac:dyDescent="0.25"/>
  <cols>
    <col min="1" max="1" width="13.5" bestFit="1" customWidth="1"/>
    <col min="2" max="2" width="8.125" style="2" bestFit="1" customWidth="1"/>
    <col min="3" max="3" width="12.5" bestFit="1" customWidth="1"/>
    <col min="4" max="4" width="63" customWidth="1"/>
    <col min="5" max="5" width="9.75" style="2" bestFit="1" customWidth="1"/>
    <col min="6" max="6" width="6.875" bestFit="1" customWidth="1"/>
    <col min="7" max="7" width="18.375" bestFit="1" customWidth="1"/>
    <col min="8" max="8" width="12.625" bestFit="1" customWidth="1"/>
    <col min="9" max="9" width="14.625" bestFit="1" customWidth="1"/>
    <col min="10" max="10" width="20.5" bestFit="1" customWidth="1"/>
    <col min="11" max="11" width="7.125" bestFit="1" customWidth="1"/>
    <col min="12" max="12" width="63.375" customWidth="1"/>
    <col min="13" max="13" width="14.75" bestFit="1" customWidth="1"/>
    <col min="14" max="14" width="12.5" bestFit="1" customWidth="1"/>
    <col min="15" max="15" width="10.875" bestFit="1" customWidth="1"/>
    <col min="16" max="16" width="10.125" bestFit="1" customWidth="1"/>
    <col min="17" max="17" width="13.125" bestFit="1" customWidth="1"/>
    <col min="18" max="18" width="11.5" bestFit="1" customWidth="1"/>
  </cols>
  <sheetData>
    <row r="1" spans="1:18" ht="18.75" x14ac:dyDescent="0.3">
      <c r="A1" s="51" t="s">
        <v>276</v>
      </c>
      <c r="B1"/>
      <c r="E1"/>
      <c r="F1" s="26"/>
      <c r="G1" s="66" t="s">
        <v>277</v>
      </c>
      <c r="H1" s="76">
        <v>46031</v>
      </c>
      <c r="I1" s="65"/>
      <c r="J1" s="65" t="s">
        <v>51</v>
      </c>
      <c r="K1" s="68">
        <v>4</v>
      </c>
      <c r="L1" s="65" t="s">
        <v>10</v>
      </c>
      <c r="M1" s="65"/>
      <c r="N1" s="69">
        <v>46023</v>
      </c>
      <c r="O1" s="67"/>
      <c r="P1" s="52">
        <v>45658</v>
      </c>
    </row>
    <row r="2" spans="1:18" x14ac:dyDescent="0.25">
      <c r="A2" t="s">
        <v>0</v>
      </c>
      <c r="B2" s="2" t="s">
        <v>278</v>
      </c>
      <c r="C2" t="s">
        <v>18</v>
      </c>
      <c r="D2" t="s">
        <v>3</v>
      </c>
      <c r="E2" s="27" t="s">
        <v>279</v>
      </c>
      <c r="F2" t="s">
        <v>280</v>
      </c>
      <c r="G2" t="s">
        <v>281</v>
      </c>
      <c r="H2" s="2" t="s">
        <v>282</v>
      </c>
      <c r="I2" t="s">
        <v>19</v>
      </c>
      <c r="J2" t="s">
        <v>283</v>
      </c>
      <c r="K2" t="s">
        <v>1</v>
      </c>
      <c r="L2" t="s">
        <v>284</v>
      </c>
      <c r="M2" t="s">
        <v>49</v>
      </c>
      <c r="N2" t="s">
        <v>285</v>
      </c>
      <c r="O2" s="38" t="s">
        <v>286</v>
      </c>
      <c r="Q2" t="s">
        <v>287</v>
      </c>
      <c r="R2" t="s">
        <v>288</v>
      </c>
    </row>
    <row r="3" spans="1:18" x14ac:dyDescent="0.25">
      <c r="A3" t="str">
        <f>TableOBARCH[[#This Row],[Study Package Code]]</f>
        <v>Specialisation</v>
      </c>
      <c r="B3" s="2">
        <f>TableOBARCH[[#This Row],[Ver]]</f>
        <v>0</v>
      </c>
      <c r="C3" s="2" t="str">
        <f>IF(TableOBARCH[[#This Row],[Ver]]&gt;0,_xlfn.TEXTBEFORE(TableOBARCH[[#This Row],[Structure Line]]," "),"")</f>
        <v/>
      </c>
      <c r="D3" t="str">
        <f>IF(TableOBARCH[[#This Row],[OUA Code]]&lt;&gt;"",_xlfn.TEXTAFTER(TableOBARCH[[#This Row],[Structure Line]]," "),TableOBARCH[[#This Row],[Structure Line]])</f>
        <v>Choose your Specialisation</v>
      </c>
      <c r="E3" s="27">
        <f>TableOBARCH[[#This Row],[Credit Points]]</f>
        <v>100</v>
      </c>
      <c r="F3" s="32">
        <v>1</v>
      </c>
      <c r="G3" s="32" t="s">
        <v>291</v>
      </c>
      <c r="H3" s="75">
        <v>0</v>
      </c>
      <c r="I3" s="32" t="s">
        <v>290</v>
      </c>
      <c r="J3" s="32" t="s">
        <v>261</v>
      </c>
      <c r="K3" s="32">
        <v>0</v>
      </c>
      <c r="L3" s="32" t="s">
        <v>262</v>
      </c>
      <c r="M3" s="32">
        <v>100</v>
      </c>
      <c r="N3" s="40"/>
      <c r="O3" s="40"/>
      <c r="Q3" t="s">
        <v>261</v>
      </c>
      <c r="R3">
        <v>0</v>
      </c>
    </row>
    <row r="4" spans="1:18" x14ac:dyDescent="0.25">
      <c r="A4" t="str">
        <f>TableOBARCH[[#This Row],[Study Package Code]]</f>
        <v>ENST1002</v>
      </c>
      <c r="B4" s="2">
        <f>TableOBARCH[[#This Row],[Ver]]</f>
        <v>1</v>
      </c>
      <c r="C4" s="2" t="str">
        <f>IF(TableOBARCH[[#This Row],[Ver]]&gt;0,_xlfn.TEXTBEFORE(TableOBARCH[[#This Row],[Structure Line]]," "),"")</f>
        <v>ENST1002</v>
      </c>
      <c r="D4" t="str">
        <f>IF(TableOBARCH[[#This Row],[OUA Code]]&lt;&gt;"",_xlfn.TEXTAFTER(TableOBARCH[[#This Row],[Structure Line]]," "),TableOBARCH[[#This Row],[Structure Line]])</f>
        <v>Sustainability Communication and Action</v>
      </c>
      <c r="E4" s="27">
        <f>TableOBARCH[[#This Row],[Credit Points]]</f>
        <v>25</v>
      </c>
      <c r="F4" s="32">
        <v>2</v>
      </c>
      <c r="G4" s="32" t="s">
        <v>291</v>
      </c>
      <c r="H4" s="75">
        <v>1</v>
      </c>
      <c r="I4" s="37" t="s">
        <v>292</v>
      </c>
      <c r="J4" s="32" t="s">
        <v>338</v>
      </c>
      <c r="K4" s="32">
        <v>1</v>
      </c>
      <c r="L4" s="32" t="s">
        <v>339</v>
      </c>
      <c r="M4" s="32">
        <v>25</v>
      </c>
      <c r="N4" s="40">
        <v>46023</v>
      </c>
      <c r="O4" s="40"/>
      <c r="Q4" t="s">
        <v>42</v>
      </c>
      <c r="R4">
        <v>1</v>
      </c>
    </row>
    <row r="5" spans="1:18" x14ac:dyDescent="0.25">
      <c r="A5" t="str">
        <f>TableOBARCH[[#This Row],[Study Package Code]]</f>
        <v>ARCH1020</v>
      </c>
      <c r="B5" s="2">
        <f>TableOBARCH[[#This Row],[Ver]]</f>
        <v>3</v>
      </c>
      <c r="C5" s="2" t="str">
        <f>IF(TableOBARCH[[#This Row],[Ver]]&gt;0,_xlfn.TEXTBEFORE(TableOBARCH[[#This Row],[Structure Line]]," "),"")</f>
        <v>BAS115</v>
      </c>
      <c r="D5" t="str">
        <f>IF(TableOBARCH[[#This Row],[OUA Code]]&lt;&gt;"",_xlfn.TEXTAFTER(TableOBARCH[[#This Row],[Structure Line]]," "),TableOBARCH[[#This Row],[Structure Line]])</f>
        <v>Architecture and Interior Architecture Methods 1A - Analogue Literacy</v>
      </c>
      <c r="E5" s="27">
        <f>TableOBARCH[[#This Row],[Credit Points]]</f>
        <v>25</v>
      </c>
      <c r="F5" s="32">
        <v>3</v>
      </c>
      <c r="G5" s="32" t="s">
        <v>291</v>
      </c>
      <c r="H5" s="75">
        <v>1</v>
      </c>
      <c r="I5" s="37" t="s">
        <v>292</v>
      </c>
      <c r="J5" s="32" t="s">
        <v>41</v>
      </c>
      <c r="K5" s="32">
        <v>3</v>
      </c>
      <c r="L5" s="32" t="s">
        <v>293</v>
      </c>
      <c r="M5" s="32">
        <v>25</v>
      </c>
      <c r="N5" s="40">
        <v>44562</v>
      </c>
      <c r="O5" s="40"/>
      <c r="Q5" t="s">
        <v>41</v>
      </c>
      <c r="R5">
        <v>3</v>
      </c>
    </row>
    <row r="6" spans="1:18" x14ac:dyDescent="0.25">
      <c r="A6" t="str">
        <f>TableOBARCH[[#This Row],[Study Package Code]]</f>
        <v>ARCH1009</v>
      </c>
      <c r="B6" s="2">
        <f>TableOBARCH[[#This Row],[Ver]]</f>
        <v>2</v>
      </c>
      <c r="C6" s="2" t="str">
        <f>IF(TableOBARCH[[#This Row],[Ver]]&gt;0,_xlfn.TEXTBEFORE(TableOBARCH[[#This Row],[Structure Line]]," "),"")</f>
        <v>BAS120</v>
      </c>
      <c r="D6" t="str">
        <f>IF(TableOBARCH[[#This Row],[OUA Code]]&lt;&gt;"",_xlfn.TEXTAFTER(TableOBARCH[[#This Row],[Structure Line]]," "),TableOBARCH[[#This Row],[Structure Line]])</f>
        <v>Sustainability and Structures in Architecture</v>
      </c>
      <c r="E6" s="27">
        <f>TableOBARCH[[#This Row],[Credit Points]]</f>
        <v>25</v>
      </c>
      <c r="F6" s="32">
        <v>4</v>
      </c>
      <c r="G6" s="32" t="s">
        <v>291</v>
      </c>
      <c r="H6" s="75">
        <v>1</v>
      </c>
      <c r="I6" s="37" t="s">
        <v>292</v>
      </c>
      <c r="J6" s="32" t="s">
        <v>55</v>
      </c>
      <c r="K6" s="32">
        <v>2</v>
      </c>
      <c r="L6" s="32" t="s">
        <v>294</v>
      </c>
      <c r="M6" s="32">
        <v>25</v>
      </c>
      <c r="N6" s="40">
        <v>44562</v>
      </c>
      <c r="O6" s="40"/>
      <c r="Q6" t="s">
        <v>55</v>
      </c>
      <c r="R6">
        <v>2</v>
      </c>
    </row>
    <row r="7" spans="1:18" x14ac:dyDescent="0.25">
      <c r="A7" t="str">
        <f>TableOBARCH[[#This Row],[Study Package Code]]</f>
        <v>ARCH1010</v>
      </c>
      <c r="B7" s="2">
        <f>TableOBARCH[[#This Row],[Ver]]</f>
        <v>3</v>
      </c>
      <c r="C7" s="2" t="str">
        <f>IF(TableOBARCH[[#This Row],[Ver]]&gt;0,_xlfn.TEXTBEFORE(TableOBARCH[[#This Row],[Structure Line]]," "),"")</f>
        <v>BAS130</v>
      </c>
      <c r="D7" t="str">
        <f>IF(TableOBARCH[[#This Row],[OUA Code]]&lt;&gt;"",_xlfn.TEXTAFTER(TableOBARCH[[#This Row],[Structure Line]]," "),TableOBARCH[[#This Row],[Structure Line]])</f>
        <v>Reading Architecture Globally</v>
      </c>
      <c r="E7" s="27">
        <f>TableOBARCH[[#This Row],[Credit Points]]</f>
        <v>25</v>
      </c>
      <c r="F7" s="32">
        <v>5</v>
      </c>
      <c r="G7" s="32" t="s">
        <v>291</v>
      </c>
      <c r="H7" s="75">
        <v>1</v>
      </c>
      <c r="I7" s="37" t="s">
        <v>295</v>
      </c>
      <c r="J7" s="32" t="s">
        <v>36</v>
      </c>
      <c r="K7" s="32">
        <v>3</v>
      </c>
      <c r="L7" s="32" t="s">
        <v>296</v>
      </c>
      <c r="M7" s="32">
        <v>25</v>
      </c>
      <c r="N7" s="40">
        <v>44562</v>
      </c>
      <c r="O7" s="40"/>
      <c r="Q7" t="s">
        <v>36</v>
      </c>
      <c r="R7">
        <v>3</v>
      </c>
    </row>
    <row r="8" spans="1:18" x14ac:dyDescent="0.25">
      <c r="A8" t="str">
        <f>TableOBARCH[[#This Row],[Study Package Code]]</f>
        <v>ARCH1024</v>
      </c>
      <c r="B8" s="2">
        <f>TableOBARCH[[#This Row],[Ver]]</f>
        <v>3</v>
      </c>
      <c r="C8" s="2" t="str">
        <f>IF(TableOBARCH[[#This Row],[Ver]]&gt;0,_xlfn.TEXTBEFORE(TableOBARCH[[#This Row],[Structure Line]]," "),"")</f>
        <v>BAS140</v>
      </c>
      <c r="D8" t="str">
        <f>IF(TableOBARCH[[#This Row],[OUA Code]]&lt;&gt;"",_xlfn.TEXTAFTER(TableOBARCH[[#This Row],[Structure Line]]," "),TableOBARCH[[#This Row],[Structure Line]])</f>
        <v>Architecture and Interior Architecture Design Studio 1 - Small Structures</v>
      </c>
      <c r="E8" s="27">
        <f>TableOBARCH[[#This Row],[Credit Points]]</f>
        <v>25</v>
      </c>
      <c r="F8" s="32">
        <v>6</v>
      </c>
      <c r="G8" s="32" t="s">
        <v>291</v>
      </c>
      <c r="H8" s="75">
        <v>1</v>
      </c>
      <c r="I8" s="37" t="s">
        <v>295</v>
      </c>
      <c r="J8" s="32" t="s">
        <v>59</v>
      </c>
      <c r="K8" s="32">
        <v>3</v>
      </c>
      <c r="L8" s="32" t="s">
        <v>297</v>
      </c>
      <c r="M8" s="32">
        <v>25</v>
      </c>
      <c r="N8" s="40">
        <v>44562</v>
      </c>
      <c r="O8" s="40"/>
      <c r="Q8" t="s">
        <v>59</v>
      </c>
      <c r="R8">
        <v>3</v>
      </c>
    </row>
    <row r="9" spans="1:18" x14ac:dyDescent="0.25">
      <c r="A9" t="str">
        <f>TableOBARCH[[#This Row],[Study Package Code]]</f>
        <v>ARCH1021</v>
      </c>
      <c r="B9" s="2">
        <f>TableOBARCH[[#This Row],[Ver]]</f>
        <v>3</v>
      </c>
      <c r="C9" s="2" t="str">
        <f>IF(TableOBARCH[[#This Row],[Ver]]&gt;0,_xlfn.TEXTBEFORE(TableOBARCH[[#This Row],[Structure Line]]," "),"")</f>
        <v>BAS145</v>
      </c>
      <c r="D9" t="str">
        <f>IF(TableOBARCH[[#This Row],[OUA Code]]&lt;&gt;"",_xlfn.TEXTAFTER(TableOBARCH[[#This Row],[Structure Line]]," "),TableOBARCH[[#This Row],[Structure Line]])</f>
        <v>Architecture and Interior Architecture Methods 1B - Digital Literacy</v>
      </c>
      <c r="E9" s="27">
        <f>TableOBARCH[[#This Row],[Credit Points]]</f>
        <v>25</v>
      </c>
      <c r="F9" s="32">
        <v>7</v>
      </c>
      <c r="G9" s="32" t="s">
        <v>291</v>
      </c>
      <c r="H9" s="75">
        <v>1</v>
      </c>
      <c r="I9" s="37" t="s">
        <v>295</v>
      </c>
      <c r="J9" s="32" t="s">
        <v>38</v>
      </c>
      <c r="K9" s="32">
        <v>3</v>
      </c>
      <c r="L9" s="32" t="s">
        <v>298</v>
      </c>
      <c r="M9" s="32">
        <v>25</v>
      </c>
      <c r="N9" s="40">
        <v>44562</v>
      </c>
      <c r="O9" s="40"/>
      <c r="Q9" t="s">
        <v>38</v>
      </c>
      <c r="R9">
        <v>3</v>
      </c>
    </row>
    <row r="10" spans="1:18" x14ac:dyDescent="0.25">
      <c r="A10" t="str">
        <f>TableOBARCH[[#This Row],[Study Package Code]]</f>
        <v>ARCH1026</v>
      </c>
      <c r="B10" s="2">
        <f>TableOBARCH[[#This Row],[Ver]]</f>
        <v>2</v>
      </c>
      <c r="C10" s="2" t="str">
        <f>IF(TableOBARCH[[#This Row],[Ver]]&gt;0,_xlfn.TEXTBEFORE(TableOBARCH[[#This Row],[Structure Line]]," "),"")</f>
        <v>BAS150</v>
      </c>
      <c r="D10" t="str">
        <f>IF(TableOBARCH[[#This Row],[OUA Code]]&lt;&gt;"",_xlfn.TEXTAFTER(TableOBARCH[[#This Row],[Structure Line]]," "),TableOBARCH[[#This Row],[Structure Line]])</f>
        <v>Architectural Science in Context</v>
      </c>
      <c r="E10" s="27">
        <f>TableOBARCH[[#This Row],[Credit Points]]</f>
        <v>25</v>
      </c>
      <c r="F10" s="32">
        <v>8</v>
      </c>
      <c r="G10" s="32" t="s">
        <v>291</v>
      </c>
      <c r="H10" s="75">
        <v>1</v>
      </c>
      <c r="I10" s="37" t="s">
        <v>295</v>
      </c>
      <c r="J10" s="32" t="s">
        <v>58</v>
      </c>
      <c r="K10" s="32">
        <v>2</v>
      </c>
      <c r="L10" s="32" t="s">
        <v>299</v>
      </c>
      <c r="M10" s="32">
        <v>25</v>
      </c>
      <c r="N10" s="40">
        <v>44562</v>
      </c>
      <c r="O10" s="40"/>
      <c r="Q10" t="s">
        <v>58</v>
      </c>
      <c r="R10">
        <v>2</v>
      </c>
    </row>
    <row r="11" spans="1:18" x14ac:dyDescent="0.25">
      <c r="A11" t="str">
        <f>TableOBARCH[[#This Row],[Study Package Code]]</f>
        <v>ARCH2029</v>
      </c>
      <c r="B11" s="2">
        <f>TableOBARCH[[#This Row],[Ver]]</f>
        <v>3</v>
      </c>
      <c r="C11" s="2" t="str">
        <f>IF(TableOBARCH[[#This Row],[Ver]]&gt;0,_xlfn.TEXTBEFORE(TableOBARCH[[#This Row],[Structure Line]]," "),"")</f>
        <v>BAS200</v>
      </c>
      <c r="D11" t="str">
        <f>IF(TableOBARCH[[#This Row],[OUA Code]]&lt;&gt;"",_xlfn.TEXTAFTER(TableOBARCH[[#This Row],[Structure Line]]," "),TableOBARCH[[#This Row],[Structure Line]])</f>
        <v>Architecture and Interior Architecture Design Studio 2A - Residential Typology and Grammar</v>
      </c>
      <c r="E11" s="27">
        <f>TableOBARCH[[#This Row],[Credit Points]]</f>
        <v>25</v>
      </c>
      <c r="F11" s="32">
        <v>9</v>
      </c>
      <c r="G11" s="32" t="s">
        <v>291</v>
      </c>
      <c r="H11" s="75">
        <v>2</v>
      </c>
      <c r="I11" s="37" t="s">
        <v>292</v>
      </c>
      <c r="J11" s="32" t="s">
        <v>79</v>
      </c>
      <c r="K11" s="32">
        <v>3</v>
      </c>
      <c r="L11" s="32" t="s">
        <v>300</v>
      </c>
      <c r="M11" s="32">
        <v>25</v>
      </c>
      <c r="N11" s="40">
        <v>44562</v>
      </c>
      <c r="O11" s="40"/>
      <c r="Q11" t="s">
        <v>79</v>
      </c>
      <c r="R11">
        <v>3</v>
      </c>
    </row>
    <row r="12" spans="1:18" x14ac:dyDescent="0.25">
      <c r="A12" t="str">
        <f>TableOBARCH[[#This Row],[Study Package Code]]</f>
        <v>ARCH2031</v>
      </c>
      <c r="B12" s="2">
        <f>TableOBARCH[[#This Row],[Ver]]</f>
        <v>3</v>
      </c>
      <c r="C12" s="2" t="str">
        <f>IF(TableOBARCH[[#This Row],[Ver]]&gt;0,_xlfn.TEXTBEFORE(TableOBARCH[[#This Row],[Structure Line]]," "),"")</f>
        <v>BAS205</v>
      </c>
      <c r="D12" t="str">
        <f>IF(TableOBARCH[[#This Row],[OUA Code]]&lt;&gt;"",_xlfn.TEXTAFTER(TableOBARCH[[#This Row],[Structure Line]]," "),TableOBARCH[[#This Row],[Structure Line]])</f>
        <v>Architecture Methods 2A - Digital Fabrication</v>
      </c>
      <c r="E12" s="27">
        <f>TableOBARCH[[#This Row],[Credit Points]]</f>
        <v>25</v>
      </c>
      <c r="F12" s="32">
        <v>10</v>
      </c>
      <c r="G12" s="32" t="s">
        <v>291</v>
      </c>
      <c r="H12" s="75">
        <v>2</v>
      </c>
      <c r="I12" s="37" t="s">
        <v>292</v>
      </c>
      <c r="J12" s="32" t="s">
        <v>69</v>
      </c>
      <c r="K12" s="32">
        <v>3</v>
      </c>
      <c r="L12" s="32" t="s">
        <v>301</v>
      </c>
      <c r="M12" s="32">
        <v>25</v>
      </c>
      <c r="N12" s="40">
        <v>44562</v>
      </c>
      <c r="O12" s="40"/>
      <c r="Q12" t="s">
        <v>69</v>
      </c>
      <c r="R12">
        <v>3</v>
      </c>
    </row>
    <row r="13" spans="1:18" x14ac:dyDescent="0.25">
      <c r="A13" t="str">
        <f>TableOBARCH[[#This Row],[Study Package Code]]</f>
        <v>ARCH2016</v>
      </c>
      <c r="B13" s="2">
        <f>TableOBARCH[[#This Row],[Ver]]</f>
        <v>2</v>
      </c>
      <c r="C13" s="2" t="str">
        <f>IF(TableOBARCH[[#This Row],[Ver]]&gt;0,_xlfn.TEXTBEFORE(TableOBARCH[[#This Row],[Structure Line]]," "),"")</f>
        <v>BAS240</v>
      </c>
      <c r="D13" t="str">
        <f>IF(TableOBARCH[[#This Row],[OUA Code]]&lt;&gt;"",_xlfn.TEXTAFTER(TableOBARCH[[#This Row],[Structure Line]]," "),TableOBARCH[[#This Row],[Structure Line]])</f>
        <v>Architectural Documentation and Detailing</v>
      </c>
      <c r="E13" s="27">
        <f>TableOBARCH[[#This Row],[Credit Points]]</f>
        <v>25</v>
      </c>
      <c r="F13" s="32">
        <v>11</v>
      </c>
      <c r="G13" s="32" t="s">
        <v>291</v>
      </c>
      <c r="H13" s="75">
        <v>2</v>
      </c>
      <c r="I13" s="37" t="s">
        <v>292</v>
      </c>
      <c r="J13" s="32" t="s">
        <v>60</v>
      </c>
      <c r="K13" s="32">
        <v>2</v>
      </c>
      <c r="L13" s="32" t="s">
        <v>302</v>
      </c>
      <c r="M13" s="32">
        <v>25</v>
      </c>
      <c r="N13" s="40">
        <v>44562</v>
      </c>
      <c r="O13" s="40"/>
      <c r="Q13" t="s">
        <v>60</v>
      </c>
      <c r="R13">
        <v>2</v>
      </c>
    </row>
    <row r="14" spans="1:18" x14ac:dyDescent="0.25">
      <c r="A14" t="str">
        <f>TableOBARCH[[#This Row],[Study Package Code]]</f>
        <v>ARCH2026</v>
      </c>
      <c r="B14" s="2">
        <f>TableOBARCH[[#This Row],[Ver]]</f>
        <v>3</v>
      </c>
      <c r="C14" s="2" t="str">
        <f>IF(TableOBARCH[[#This Row],[Ver]]&gt;0,_xlfn.TEXTBEFORE(TableOBARCH[[#This Row],[Structure Line]]," "),"")</f>
        <v>BAS230</v>
      </c>
      <c r="D14" t="str">
        <f>IF(TableOBARCH[[#This Row],[OUA Code]]&lt;&gt;"",_xlfn.TEXTAFTER(TableOBARCH[[#This Row],[Structure Line]]," "),TableOBARCH[[#This Row],[Structure Line]])</f>
        <v>Architecture Design Studio 2B - Regional Studio</v>
      </c>
      <c r="E14" s="27">
        <f>TableOBARCH[[#This Row],[Credit Points]]</f>
        <v>25</v>
      </c>
      <c r="F14" s="32">
        <v>12</v>
      </c>
      <c r="G14" s="32" t="s">
        <v>291</v>
      </c>
      <c r="H14" s="75">
        <v>2</v>
      </c>
      <c r="I14" s="37" t="s">
        <v>295</v>
      </c>
      <c r="J14" s="32" t="s">
        <v>80</v>
      </c>
      <c r="K14" s="32">
        <v>3</v>
      </c>
      <c r="L14" s="32" t="s">
        <v>303</v>
      </c>
      <c r="M14" s="32">
        <v>25</v>
      </c>
      <c r="N14" s="40">
        <v>44562</v>
      </c>
      <c r="O14" s="40"/>
      <c r="Q14" t="s">
        <v>80</v>
      </c>
      <c r="R14">
        <v>3</v>
      </c>
    </row>
    <row r="15" spans="1:18" x14ac:dyDescent="0.25">
      <c r="A15" t="str">
        <f>TableOBARCH[[#This Row],[Study Package Code]]</f>
        <v>ARCH2027</v>
      </c>
      <c r="B15" s="2">
        <f>TableOBARCH[[#This Row],[Ver]]</f>
        <v>3</v>
      </c>
      <c r="C15" s="2" t="str">
        <f>IF(TableOBARCH[[#This Row],[Ver]]&gt;0,_xlfn.TEXTBEFORE(TableOBARCH[[#This Row],[Structure Line]]," "),"")</f>
        <v>BAS235</v>
      </c>
      <c r="D15" t="str">
        <f>IF(TableOBARCH[[#This Row],[OUA Code]]&lt;&gt;"",_xlfn.TEXTAFTER(TableOBARCH[[#This Row],[Structure Line]]," "),TableOBARCH[[#This Row],[Structure Line]])</f>
        <v>Architecture Methods 2B - Information Visualisation</v>
      </c>
      <c r="E15" s="27">
        <f>TableOBARCH[[#This Row],[Credit Points]]</f>
        <v>25</v>
      </c>
      <c r="F15" s="32">
        <v>13</v>
      </c>
      <c r="G15" s="32" t="s">
        <v>291</v>
      </c>
      <c r="H15" s="75">
        <v>2</v>
      </c>
      <c r="I15" s="37" t="s">
        <v>295</v>
      </c>
      <c r="J15" s="32" t="s">
        <v>71</v>
      </c>
      <c r="K15" s="32">
        <v>3</v>
      </c>
      <c r="L15" s="32" t="s">
        <v>304</v>
      </c>
      <c r="M15" s="32">
        <v>25</v>
      </c>
      <c r="N15" s="40">
        <v>44562</v>
      </c>
      <c r="O15" s="40"/>
      <c r="Q15" t="s">
        <v>71</v>
      </c>
      <c r="R15">
        <v>3</v>
      </c>
    </row>
    <row r="16" spans="1:18" x14ac:dyDescent="0.25">
      <c r="A16" t="str">
        <f>TableOBARCH[[#This Row],[Study Package Code]]</f>
        <v>ARCH2017</v>
      </c>
      <c r="B16" s="2">
        <f>TableOBARCH[[#This Row],[Ver]]</f>
        <v>4</v>
      </c>
      <c r="C16" s="2" t="str">
        <f>IF(TableOBARCH[[#This Row],[Ver]]&gt;0,_xlfn.TEXTBEFORE(TableOBARCH[[#This Row],[Structure Line]]," "),"")</f>
        <v>BAS250</v>
      </c>
      <c r="D16" t="str">
        <f>IF(TableOBARCH[[#This Row],[OUA Code]]&lt;&gt;"",_xlfn.TEXTAFTER(TableOBARCH[[#This Row],[Structure Line]]," "),TableOBARCH[[#This Row],[Structure Line]])</f>
        <v>Architecture History and Identity</v>
      </c>
      <c r="E16" s="27">
        <f>TableOBARCH[[#This Row],[Credit Points]]</f>
        <v>25</v>
      </c>
      <c r="F16" s="32">
        <v>14</v>
      </c>
      <c r="G16" s="32" t="s">
        <v>291</v>
      </c>
      <c r="H16" s="75">
        <v>2</v>
      </c>
      <c r="I16" s="37" t="s">
        <v>295</v>
      </c>
      <c r="J16" s="32" t="s">
        <v>76</v>
      </c>
      <c r="K16" s="32">
        <v>4</v>
      </c>
      <c r="L16" s="32" t="s">
        <v>305</v>
      </c>
      <c r="M16" s="32">
        <v>25</v>
      </c>
      <c r="N16" s="40">
        <v>44743</v>
      </c>
      <c r="O16" s="40"/>
      <c r="Q16" t="s">
        <v>76</v>
      </c>
      <c r="R16">
        <v>4</v>
      </c>
    </row>
    <row r="17" spans="1:18" x14ac:dyDescent="0.25">
      <c r="A17" t="str">
        <f>TableOBARCH[[#This Row],[Study Package Code]]</f>
        <v>ARCH3030</v>
      </c>
      <c r="B17" s="2">
        <f>TableOBARCH[[#This Row],[Ver]]</f>
        <v>3</v>
      </c>
      <c r="C17" s="2" t="str">
        <f>IF(TableOBARCH[[#This Row],[Ver]]&gt;0,_xlfn.TEXTBEFORE(TableOBARCH[[#This Row],[Structure Line]]," "),"")</f>
        <v>BAS300</v>
      </c>
      <c r="D17" t="str">
        <f>IF(TableOBARCH[[#This Row],[OUA Code]]&lt;&gt;"",_xlfn.TEXTAFTER(TableOBARCH[[#This Row],[Structure Line]]," "),TableOBARCH[[#This Row],[Structure Line]])</f>
        <v>Architecture Design Studio 3A - Multi Residential</v>
      </c>
      <c r="E17" s="27">
        <f>TableOBARCH[[#This Row],[Credit Points]]</f>
        <v>25</v>
      </c>
      <c r="F17" s="32">
        <v>15</v>
      </c>
      <c r="G17" s="32" t="s">
        <v>291</v>
      </c>
      <c r="H17" s="75">
        <v>3</v>
      </c>
      <c r="I17" s="37" t="s">
        <v>292</v>
      </c>
      <c r="J17" s="32" t="s">
        <v>101</v>
      </c>
      <c r="K17" s="32">
        <v>3</v>
      </c>
      <c r="L17" s="32" t="s">
        <v>306</v>
      </c>
      <c r="M17" s="32">
        <v>25</v>
      </c>
      <c r="N17" s="40">
        <v>44562</v>
      </c>
      <c r="O17" s="40"/>
      <c r="Q17" t="s">
        <v>101</v>
      </c>
      <c r="R17">
        <v>3</v>
      </c>
    </row>
    <row r="18" spans="1:18" x14ac:dyDescent="0.25">
      <c r="A18" t="str">
        <f>TableOBARCH[[#This Row],[Study Package Code]]</f>
        <v>ARCH3031</v>
      </c>
      <c r="B18" s="2">
        <f>TableOBARCH[[#This Row],[Ver]]</f>
        <v>3</v>
      </c>
      <c r="C18" s="2" t="str">
        <f>IF(TableOBARCH[[#This Row],[Ver]]&gt;0,_xlfn.TEXTBEFORE(TableOBARCH[[#This Row],[Structure Line]]," "),"")</f>
        <v>BAS305</v>
      </c>
      <c r="D18" t="str">
        <f>IF(TableOBARCH[[#This Row],[OUA Code]]&lt;&gt;"",_xlfn.TEXTAFTER(TableOBARCH[[#This Row],[Structure Line]]," "),TableOBARCH[[#This Row],[Structure Line]])</f>
        <v>Architecture Methods 3A - Digital Futures</v>
      </c>
      <c r="E18" s="27">
        <f>TableOBARCH[[#This Row],[Credit Points]]</f>
        <v>25</v>
      </c>
      <c r="F18" s="32">
        <v>16</v>
      </c>
      <c r="G18" s="32" t="s">
        <v>291</v>
      </c>
      <c r="H18" s="75">
        <v>3</v>
      </c>
      <c r="I18" s="37" t="s">
        <v>292</v>
      </c>
      <c r="J18" s="32" t="s">
        <v>90</v>
      </c>
      <c r="K18" s="32">
        <v>3</v>
      </c>
      <c r="L18" s="32" t="s">
        <v>307</v>
      </c>
      <c r="M18" s="32">
        <v>25</v>
      </c>
      <c r="N18" s="40">
        <v>44562</v>
      </c>
      <c r="O18" s="40"/>
      <c r="Q18" t="s">
        <v>90</v>
      </c>
      <c r="R18">
        <v>3</v>
      </c>
    </row>
    <row r="19" spans="1:18" x14ac:dyDescent="0.25">
      <c r="A19" t="str">
        <f>TableOBARCH[[#This Row],[Study Package Code]]</f>
        <v>ARCH3015</v>
      </c>
      <c r="B19" s="2">
        <f>TableOBARCH[[#This Row],[Ver]]</f>
        <v>4</v>
      </c>
      <c r="C19" s="2" t="str">
        <f>IF(TableOBARCH[[#This Row],[Ver]]&gt;0,_xlfn.TEXTBEFORE(TableOBARCH[[#This Row],[Structure Line]]," "),"")</f>
        <v>BAS310</v>
      </c>
      <c r="D19" t="str">
        <f>IF(TableOBARCH[[#This Row],[OUA Code]]&lt;&gt;"",_xlfn.TEXTAFTER(TableOBARCH[[#This Row],[Structure Line]]," "),TableOBARCH[[#This Row],[Structure Line]])</f>
        <v>Environmental and Building Systems in Architecture</v>
      </c>
      <c r="E19" s="27">
        <f>TableOBARCH[[#This Row],[Credit Points]]</f>
        <v>25</v>
      </c>
      <c r="F19" s="32">
        <v>17</v>
      </c>
      <c r="G19" s="32" t="s">
        <v>291</v>
      </c>
      <c r="H19" s="75">
        <v>3</v>
      </c>
      <c r="I19" s="37" t="s">
        <v>292</v>
      </c>
      <c r="J19" s="32" t="s">
        <v>92</v>
      </c>
      <c r="K19" s="32">
        <v>4</v>
      </c>
      <c r="L19" s="32" t="s">
        <v>308</v>
      </c>
      <c r="M19" s="32">
        <v>25</v>
      </c>
      <c r="N19" s="40">
        <v>44562</v>
      </c>
      <c r="O19" s="40"/>
      <c r="Q19" t="s">
        <v>92</v>
      </c>
      <c r="R19">
        <v>4</v>
      </c>
    </row>
    <row r="20" spans="1:18" x14ac:dyDescent="0.25">
      <c r="A20" t="str">
        <f>TableOBARCH[[#This Row],[Study Package Code]]</f>
        <v>ARCH3019</v>
      </c>
      <c r="B20" s="2">
        <f>TableOBARCH[[#This Row],[Ver]]</f>
        <v>2</v>
      </c>
      <c r="C20" s="2" t="str">
        <f>IF(TableOBARCH[[#This Row],[Ver]]&gt;0,_xlfn.TEXTBEFORE(TableOBARCH[[#This Row],[Structure Line]]," "),"")</f>
        <v>BAS350</v>
      </c>
      <c r="D20" t="str">
        <f>IF(TableOBARCH[[#This Row],[OUA Code]]&lt;&gt;"",_xlfn.TEXTAFTER(TableOBARCH[[#This Row],[Structure Line]]," "),TableOBARCH[[#This Row],[Structure Line]])</f>
        <v>Twentieth and Twenty-First Century Architectural Theories</v>
      </c>
      <c r="E20" s="27">
        <f>TableOBARCH[[#This Row],[Credit Points]]</f>
        <v>25</v>
      </c>
      <c r="F20" s="32">
        <v>18</v>
      </c>
      <c r="G20" s="32" t="s">
        <v>291</v>
      </c>
      <c r="H20" s="75">
        <v>3</v>
      </c>
      <c r="I20" s="37" t="s">
        <v>292</v>
      </c>
      <c r="J20" s="32" t="s">
        <v>98</v>
      </c>
      <c r="K20" s="32">
        <v>2</v>
      </c>
      <c r="L20" s="32" t="s">
        <v>309</v>
      </c>
      <c r="M20" s="32">
        <v>25</v>
      </c>
      <c r="N20" s="40">
        <v>44562</v>
      </c>
      <c r="O20" s="40"/>
      <c r="Q20" t="s">
        <v>98</v>
      </c>
      <c r="R20">
        <v>2</v>
      </c>
    </row>
    <row r="21" spans="1:18" x14ac:dyDescent="0.25">
      <c r="A21" t="str">
        <f>TableOBARCH[[#This Row],[Study Package Code]]</f>
        <v>ARCH3028</v>
      </c>
      <c r="B21" s="2">
        <f>TableOBARCH[[#This Row],[Ver]]</f>
        <v>3</v>
      </c>
      <c r="C21" s="2" t="str">
        <f>IF(TableOBARCH[[#This Row],[Ver]]&gt;0,_xlfn.TEXTBEFORE(TableOBARCH[[#This Row],[Structure Line]]," "),"")</f>
        <v>BAS330</v>
      </c>
      <c r="D21" t="str">
        <f>IF(TableOBARCH[[#This Row],[OUA Code]]&lt;&gt;"",_xlfn.TEXTAFTER(TableOBARCH[[#This Row],[Structure Line]]," "),TableOBARCH[[#This Row],[Structure Line]])</f>
        <v>Architecture Design Studio 3B - Civic</v>
      </c>
      <c r="E21" s="27">
        <f>TableOBARCH[[#This Row],[Credit Points]]</f>
        <v>25</v>
      </c>
      <c r="F21" s="32">
        <v>19</v>
      </c>
      <c r="G21" s="32" t="s">
        <v>291</v>
      </c>
      <c r="H21" s="75">
        <v>3</v>
      </c>
      <c r="I21" s="37" t="s">
        <v>295</v>
      </c>
      <c r="J21" s="32" t="s">
        <v>102</v>
      </c>
      <c r="K21" s="32">
        <v>3</v>
      </c>
      <c r="L21" s="32" t="s">
        <v>310</v>
      </c>
      <c r="M21" s="32">
        <v>25</v>
      </c>
      <c r="N21" s="40">
        <v>44562</v>
      </c>
      <c r="O21" s="40"/>
      <c r="Q21" t="s">
        <v>102</v>
      </c>
      <c r="R21">
        <v>3</v>
      </c>
    </row>
    <row r="22" spans="1:18" x14ac:dyDescent="0.25">
      <c r="A22" t="str">
        <f>TableOBARCH[[#This Row],[Study Package Code]]</f>
        <v>ARCH3018</v>
      </c>
      <c r="B22" s="2">
        <f>TableOBARCH[[#This Row],[Ver]]</f>
        <v>5</v>
      </c>
      <c r="C22" s="2" t="str">
        <f>IF(TableOBARCH[[#This Row],[Ver]]&gt;0,_xlfn.TEXTBEFORE(TableOBARCH[[#This Row],[Structure Line]]," "),"")</f>
        <v>BAS340</v>
      </c>
      <c r="D22" t="str">
        <f>IF(TableOBARCH[[#This Row],[OUA Code]]&lt;&gt;"",_xlfn.TEXTAFTER(TableOBARCH[[#This Row],[Structure Line]]," "),TableOBARCH[[#This Row],[Structure Line]])</f>
        <v>Advanced Construction and Sustainability</v>
      </c>
      <c r="E22" s="27">
        <f>TableOBARCH[[#This Row],[Credit Points]]</f>
        <v>25</v>
      </c>
      <c r="F22" s="32">
        <v>20</v>
      </c>
      <c r="G22" s="32" t="s">
        <v>291</v>
      </c>
      <c r="H22" s="75">
        <v>3</v>
      </c>
      <c r="I22" s="37" t="s">
        <v>295</v>
      </c>
      <c r="J22" s="32" t="s">
        <v>97</v>
      </c>
      <c r="K22" s="32">
        <v>5</v>
      </c>
      <c r="L22" s="32" t="s">
        <v>311</v>
      </c>
      <c r="M22" s="32">
        <v>25</v>
      </c>
      <c r="N22" s="40">
        <v>45658</v>
      </c>
      <c r="O22" s="40"/>
      <c r="Q22" t="s">
        <v>97</v>
      </c>
      <c r="R22">
        <v>5</v>
      </c>
    </row>
    <row r="23" spans="1:18" x14ac:dyDescent="0.25">
      <c r="A23" t="str">
        <f>TableOBARCH[[#This Row],[Study Package Code]]</f>
        <v>ARCH3016</v>
      </c>
      <c r="B23" s="2">
        <f>TableOBARCH[[#This Row],[Ver]]</f>
        <v>1</v>
      </c>
      <c r="C23" s="2" t="str">
        <f>IF(TableOBARCH[[#This Row],[Ver]]&gt;0,_xlfn.TEXTBEFORE(TableOBARCH[[#This Row],[Structure Line]]," "),"")</f>
        <v>BAS320</v>
      </c>
      <c r="D23" t="str">
        <f>IF(TableOBARCH[[#This Row],[OUA Code]]&lt;&gt;"",_xlfn.TEXTAFTER(TableOBARCH[[#This Row],[Structure Line]]," "),TableOBARCH[[#This Row],[Structure Line]])</f>
        <v>Urban Contexts</v>
      </c>
      <c r="E23" s="27">
        <f>TableOBARCH[[#This Row],[Credit Points]]</f>
        <v>25</v>
      </c>
      <c r="F23" s="32">
        <v>21</v>
      </c>
      <c r="G23" s="32" t="s">
        <v>291</v>
      </c>
      <c r="H23" s="75">
        <v>3</v>
      </c>
      <c r="I23" s="37" t="s">
        <v>295</v>
      </c>
      <c r="J23" s="32" t="s">
        <v>75</v>
      </c>
      <c r="K23" s="32">
        <v>1</v>
      </c>
      <c r="L23" s="32" t="s">
        <v>312</v>
      </c>
      <c r="M23" s="32">
        <v>25</v>
      </c>
      <c r="N23" s="40">
        <v>42005</v>
      </c>
      <c r="O23" s="40"/>
      <c r="Q23" t="s">
        <v>75</v>
      </c>
      <c r="R23">
        <v>1</v>
      </c>
    </row>
    <row r="24" spans="1:18" x14ac:dyDescent="0.25">
      <c r="A24" t="str">
        <f>TableOBARCH[[#This Row],[Study Package Code]]</f>
        <v>OSCU-ANGAD</v>
      </c>
      <c r="B24" s="2">
        <f>TableOBARCH[[#This Row],[Ver]]</f>
        <v>2</v>
      </c>
      <c r="C24" s="2"/>
      <c r="D24" t="str">
        <f>IF(TableOBARCH[[#This Row],[OUA Code]]&lt;&gt;"",_xlfn.TEXTAFTER(TableOBARCH[[#This Row],[Structure Line]]," "),TableOBARCH[[#This Row],[Structure Line]])</f>
        <v>Animation and Game Architecture Design Specialisation (OpenUnis)</v>
      </c>
      <c r="E24" s="27">
        <f>TableOBARCH[[#This Row],[Credit Points]]</f>
        <v>100</v>
      </c>
      <c r="F24" s="32">
        <v>1</v>
      </c>
      <c r="G24" s="32" t="s">
        <v>289</v>
      </c>
      <c r="H24" s="75">
        <v>0</v>
      </c>
      <c r="I24" s="32" t="s">
        <v>290</v>
      </c>
      <c r="J24" s="32" t="s">
        <v>83</v>
      </c>
      <c r="K24" s="32">
        <v>2</v>
      </c>
      <c r="L24" s="32" t="s">
        <v>82</v>
      </c>
      <c r="M24" s="32">
        <v>100</v>
      </c>
      <c r="N24" s="40">
        <v>46023</v>
      </c>
      <c r="O24" s="40"/>
      <c r="Q24" t="s">
        <v>83</v>
      </c>
      <c r="R24">
        <v>1</v>
      </c>
    </row>
    <row r="25" spans="1:18" x14ac:dyDescent="0.25">
      <c r="A25" t="str">
        <f>TableOBARCH[[#This Row],[Study Package Code]]</f>
        <v>OSCU-CONMS</v>
      </c>
      <c r="B25" s="2">
        <f>TableOBARCH[[#This Row],[Ver]]</f>
        <v>2</v>
      </c>
      <c r="C25" s="2"/>
      <c r="D25" t="str">
        <f>IF(TableOBARCH[[#This Row],[OUA Code]]&lt;&gt;"",_xlfn.TEXTAFTER(TableOBARCH[[#This Row],[Structure Line]]," "),TableOBARCH[[#This Row],[Structure Line]])</f>
        <v>Construction Management Specialisation (OpenUnis)</v>
      </c>
      <c r="E25" s="27">
        <f>TableOBARCH[[#This Row],[Credit Points]]</f>
        <v>100</v>
      </c>
      <c r="F25" s="32">
        <v>1</v>
      </c>
      <c r="G25" s="32" t="s">
        <v>289</v>
      </c>
      <c r="H25" s="75">
        <v>0</v>
      </c>
      <c r="I25" s="32" t="s">
        <v>290</v>
      </c>
      <c r="J25" s="32" t="s">
        <v>87</v>
      </c>
      <c r="K25" s="32">
        <v>2</v>
      </c>
      <c r="L25" s="32" t="s">
        <v>86</v>
      </c>
      <c r="M25" s="32">
        <v>100</v>
      </c>
      <c r="N25" s="40">
        <v>45658</v>
      </c>
      <c r="O25" s="40"/>
      <c r="Q25" t="s">
        <v>87</v>
      </c>
      <c r="R25">
        <v>1</v>
      </c>
    </row>
    <row r="26" spans="1:18" x14ac:dyDescent="0.25">
      <c r="A26" t="str">
        <f>TableOBARCH[[#This Row],[Study Package Code]]</f>
        <v>OSCU-INARS</v>
      </c>
      <c r="B26" s="2">
        <f>TableOBARCH[[#This Row],[Ver]]</f>
        <v>3</v>
      </c>
      <c r="C26" s="2"/>
      <c r="D26" t="str">
        <f>IF(TableOBARCH[[#This Row],[OUA Code]]&lt;&gt;"",_xlfn.TEXTAFTER(TableOBARCH[[#This Row],[Structure Line]]," "),TableOBARCH[[#This Row],[Structure Line]])</f>
        <v>Interior Architecture Specialisation (OpenUnis)</v>
      </c>
      <c r="E26" s="27">
        <f>TableOBARCH[[#This Row],[Credit Points]]</f>
        <v>100</v>
      </c>
      <c r="F26" s="32">
        <v>1</v>
      </c>
      <c r="G26" s="32" t="s">
        <v>289</v>
      </c>
      <c r="H26" s="75">
        <v>0</v>
      </c>
      <c r="I26" s="32" t="s">
        <v>290</v>
      </c>
      <c r="J26" s="32" t="s">
        <v>96</v>
      </c>
      <c r="K26" s="32">
        <v>3</v>
      </c>
      <c r="L26" s="32" t="s">
        <v>95</v>
      </c>
      <c r="M26" s="32">
        <v>100</v>
      </c>
      <c r="N26" s="40">
        <v>45292</v>
      </c>
      <c r="O26" s="40"/>
      <c r="Q26" t="s">
        <v>96</v>
      </c>
      <c r="R26">
        <v>3</v>
      </c>
    </row>
    <row r="27" spans="1:18" x14ac:dyDescent="0.25">
      <c r="A27" t="str">
        <f>TableOBARCH[[#This Row],[Study Package Code]]</f>
        <v>OSCU-PLGEO</v>
      </c>
      <c r="B27" s="2">
        <f>TableOBARCH[[#This Row],[Ver]]</f>
        <v>1</v>
      </c>
      <c r="C27" s="2"/>
      <c r="D27" t="str">
        <f>IF(TableOBARCH[[#This Row],[OUA Code]]&lt;&gt;"",_xlfn.TEXTAFTER(TableOBARCH[[#This Row],[Structure Line]]," "),TableOBARCH[[#This Row],[Structure Line]])</f>
        <v>Planning and Geography Specialisation (OpenUnis)</v>
      </c>
      <c r="E27" s="27">
        <f>TableOBARCH[[#This Row],[Credit Points]]</f>
        <v>100</v>
      </c>
      <c r="F27" s="32">
        <v>1</v>
      </c>
      <c r="G27" s="32" t="s">
        <v>289</v>
      </c>
      <c r="H27" s="75">
        <v>0</v>
      </c>
      <c r="I27" s="32" t="s">
        <v>290</v>
      </c>
      <c r="J27" s="32" t="s">
        <v>100</v>
      </c>
      <c r="K27" s="32">
        <v>1</v>
      </c>
      <c r="L27" s="32" t="s">
        <v>99</v>
      </c>
      <c r="M27" s="32">
        <v>100</v>
      </c>
      <c r="N27" s="40">
        <v>44743</v>
      </c>
      <c r="O27" s="40"/>
      <c r="Q27" t="s">
        <v>100</v>
      </c>
      <c r="R27">
        <v>1</v>
      </c>
    </row>
    <row r="28" spans="1:18" x14ac:dyDescent="0.25">
      <c r="B28"/>
      <c r="E28"/>
      <c r="F28" s="26"/>
      <c r="G28" s="66" t="s">
        <v>277</v>
      </c>
      <c r="H28" s="76">
        <v>46031</v>
      </c>
      <c r="I28" s="65"/>
      <c r="J28" s="65" t="s">
        <v>57</v>
      </c>
      <c r="K28" s="68">
        <v>4</v>
      </c>
      <c r="L28" s="65" t="s">
        <v>10</v>
      </c>
      <c r="M28" s="65"/>
      <c r="N28" s="69">
        <v>46023</v>
      </c>
      <c r="O28" s="67"/>
    </row>
    <row r="29" spans="1:18" x14ac:dyDescent="0.25">
      <c r="A29" t="s">
        <v>0</v>
      </c>
      <c r="B29" s="2" t="s">
        <v>278</v>
      </c>
      <c r="C29" t="s">
        <v>18</v>
      </c>
      <c r="D29" t="s">
        <v>3</v>
      </c>
      <c r="E29" s="27" t="s">
        <v>279</v>
      </c>
      <c r="F29" t="s">
        <v>280</v>
      </c>
      <c r="G29" t="s">
        <v>281</v>
      </c>
      <c r="H29" s="2" t="s">
        <v>282</v>
      </c>
      <c r="I29" t="s">
        <v>19</v>
      </c>
      <c r="J29" t="s">
        <v>283</v>
      </c>
      <c r="K29" t="s">
        <v>1</v>
      </c>
      <c r="L29" t="s">
        <v>284</v>
      </c>
      <c r="M29" t="s">
        <v>49</v>
      </c>
      <c r="N29" t="s">
        <v>285</v>
      </c>
      <c r="O29" s="38" t="s">
        <v>286</v>
      </c>
      <c r="Q29" t="s">
        <v>287</v>
      </c>
      <c r="R29" t="s">
        <v>288</v>
      </c>
    </row>
    <row r="30" spans="1:18" x14ac:dyDescent="0.25">
      <c r="A30" t="str">
        <f>TableOUARCH[[#This Row],[Study Package Code]]</f>
        <v>Specialisation</v>
      </c>
      <c r="B30" s="2">
        <f>TableOUARCH[[#This Row],[Ver]]</f>
        <v>0</v>
      </c>
      <c r="C30" s="2" t="str">
        <f>IF(TableOUARCH[[#This Row],[Ver]]&gt;0,_xlfn.TEXTBEFORE(TableOUARCH[[#This Row],[Structure Line]]," "),"")</f>
        <v/>
      </c>
      <c r="D30" t="str">
        <f>IF(TableOUARCH[[#This Row],[OUA Code]]&lt;&gt;"",_xlfn.TEXTAFTER(TableOUARCH[[#This Row],[Structure Line]]," "),TableOUARCH[[#This Row],[Structure Line]])</f>
        <v>Choose your Specialisation</v>
      </c>
      <c r="E30" s="27">
        <f>TableOUARCH[[#This Row],[Credit Points]]</f>
        <v>100</v>
      </c>
      <c r="F30" s="32">
        <v>1</v>
      </c>
      <c r="G30" s="32" t="s">
        <v>289</v>
      </c>
      <c r="H30" s="75">
        <v>0</v>
      </c>
      <c r="I30" s="32" t="s">
        <v>290</v>
      </c>
      <c r="J30" s="32" t="s">
        <v>261</v>
      </c>
      <c r="K30" s="32">
        <v>0</v>
      </c>
      <c r="L30" s="32" t="s">
        <v>262</v>
      </c>
      <c r="M30" s="32">
        <v>100</v>
      </c>
      <c r="N30" s="40"/>
      <c r="O30" s="40"/>
    </row>
    <row r="31" spans="1:18" x14ac:dyDescent="0.25">
      <c r="A31" t="str">
        <f>TableOUARCH[[#This Row],[Study Package Code]]</f>
        <v>ENST1002</v>
      </c>
      <c r="B31" s="2">
        <f>TableOUARCH[[#This Row],[Ver]]</f>
        <v>1</v>
      </c>
      <c r="C31" s="2" t="str">
        <f>IF(TableOUARCH[[#This Row],[Ver]]&gt;0,_xlfn.TEXTBEFORE(TableOUARCH[[#This Row],[Structure Line]]," "),"")</f>
        <v>ENST1002</v>
      </c>
      <c r="D31" t="str">
        <f>IF(TableOUARCH[[#This Row],[OUA Code]]&lt;&gt;"",_xlfn.TEXTAFTER(TableOUARCH[[#This Row],[Structure Line]]," "),TableOUARCH[[#This Row],[Structure Line]])</f>
        <v>Sustainability Communication and Action</v>
      </c>
      <c r="E31" s="27">
        <f>TableOUARCH[[#This Row],[Credit Points]]</f>
        <v>25</v>
      </c>
      <c r="F31" s="32">
        <v>2</v>
      </c>
      <c r="G31" s="32" t="s">
        <v>291</v>
      </c>
      <c r="H31" s="75">
        <v>1</v>
      </c>
      <c r="I31" s="32" t="s">
        <v>290</v>
      </c>
      <c r="J31" s="32" t="s">
        <v>338</v>
      </c>
      <c r="K31" s="32">
        <v>1</v>
      </c>
      <c r="L31" s="32" t="s">
        <v>339</v>
      </c>
      <c r="M31" s="32">
        <v>25</v>
      </c>
      <c r="N31" s="40">
        <v>46023</v>
      </c>
      <c r="O31" s="40"/>
    </row>
    <row r="32" spans="1:18" x14ac:dyDescent="0.25">
      <c r="A32" t="str">
        <f>TableOUARCH[[#This Row],[Study Package Code]]</f>
        <v>ARCH1020</v>
      </c>
      <c r="B32" s="2">
        <f>TableOUARCH[[#This Row],[Ver]]</f>
        <v>3</v>
      </c>
      <c r="C32" s="2" t="str">
        <f>IF(TableOUARCH[[#This Row],[Ver]]&gt;0,_xlfn.TEXTBEFORE(TableOUARCH[[#This Row],[Structure Line]]," "),"")</f>
        <v>BAS115</v>
      </c>
      <c r="D32" t="str">
        <f>IF(TableOUARCH[[#This Row],[OUA Code]]&lt;&gt;"",_xlfn.TEXTAFTER(TableOUARCH[[#This Row],[Structure Line]]," "),TableOUARCH[[#This Row],[Structure Line]])</f>
        <v>Architecture and Interior Architecture Methods 1A - Analogue Literacy</v>
      </c>
      <c r="E32" s="27">
        <f>TableOUARCH[[#This Row],[Credit Points]]</f>
        <v>25</v>
      </c>
      <c r="F32" s="32">
        <v>3</v>
      </c>
      <c r="G32" s="32" t="s">
        <v>291</v>
      </c>
      <c r="H32" s="75">
        <v>1</v>
      </c>
      <c r="I32" s="32" t="s">
        <v>290</v>
      </c>
      <c r="J32" s="32" t="s">
        <v>41</v>
      </c>
      <c r="K32" s="32">
        <v>3</v>
      </c>
      <c r="L32" s="32" t="s">
        <v>293</v>
      </c>
      <c r="M32" s="32">
        <v>25</v>
      </c>
      <c r="N32" s="40">
        <v>44562</v>
      </c>
      <c r="O32" s="40"/>
    </row>
    <row r="33" spans="1:15" x14ac:dyDescent="0.25">
      <c r="A33" t="str">
        <f>TableOUARCH[[#This Row],[Study Package Code]]</f>
        <v>ARCH1009</v>
      </c>
      <c r="B33" s="2">
        <f>TableOUARCH[[#This Row],[Ver]]</f>
        <v>2</v>
      </c>
      <c r="C33" s="2" t="str">
        <f>IF(TableOUARCH[[#This Row],[Ver]]&gt;0,_xlfn.TEXTBEFORE(TableOUARCH[[#This Row],[Structure Line]]," "),"")</f>
        <v>BAS120</v>
      </c>
      <c r="D33" t="str">
        <f>IF(TableOUARCH[[#This Row],[OUA Code]]&lt;&gt;"",_xlfn.TEXTAFTER(TableOUARCH[[#This Row],[Structure Line]]," "),TableOUARCH[[#This Row],[Structure Line]])</f>
        <v>Sustainability and Structures in Architecture</v>
      </c>
      <c r="E33" s="27">
        <f>TableOUARCH[[#This Row],[Credit Points]]</f>
        <v>25</v>
      </c>
      <c r="F33" s="32">
        <v>4</v>
      </c>
      <c r="G33" s="32" t="s">
        <v>291</v>
      </c>
      <c r="H33" s="75">
        <v>1</v>
      </c>
      <c r="I33" s="32" t="s">
        <v>290</v>
      </c>
      <c r="J33" s="32" t="s">
        <v>55</v>
      </c>
      <c r="K33" s="32">
        <v>2</v>
      </c>
      <c r="L33" s="32" t="s">
        <v>294</v>
      </c>
      <c r="M33" s="32">
        <v>25</v>
      </c>
      <c r="N33" s="40">
        <v>44562</v>
      </c>
      <c r="O33" s="40"/>
    </row>
    <row r="34" spans="1:15" x14ac:dyDescent="0.25">
      <c r="A34" t="str">
        <f>TableOUARCH[[#This Row],[Study Package Code]]</f>
        <v>ARCH1010</v>
      </c>
      <c r="B34" s="2">
        <f>TableOUARCH[[#This Row],[Ver]]</f>
        <v>3</v>
      </c>
      <c r="C34" s="2" t="str">
        <f>IF(TableOUARCH[[#This Row],[Ver]]&gt;0,_xlfn.TEXTBEFORE(TableOUARCH[[#This Row],[Structure Line]]," "),"")</f>
        <v>BAS130</v>
      </c>
      <c r="D34" t="str">
        <f>IF(TableOUARCH[[#This Row],[OUA Code]]&lt;&gt;"",_xlfn.TEXTAFTER(TableOUARCH[[#This Row],[Structure Line]]," "),TableOUARCH[[#This Row],[Structure Line]])</f>
        <v>Reading Architecture Globally</v>
      </c>
      <c r="E34" s="27">
        <f>TableOUARCH[[#This Row],[Credit Points]]</f>
        <v>25</v>
      </c>
      <c r="F34" s="32">
        <v>5</v>
      </c>
      <c r="G34" s="32" t="s">
        <v>291</v>
      </c>
      <c r="H34" s="75">
        <v>1</v>
      </c>
      <c r="I34" s="32" t="s">
        <v>290</v>
      </c>
      <c r="J34" s="32" t="s">
        <v>36</v>
      </c>
      <c r="K34" s="32">
        <v>3</v>
      </c>
      <c r="L34" s="32" t="s">
        <v>296</v>
      </c>
      <c r="M34" s="32">
        <v>25</v>
      </c>
      <c r="N34" s="40">
        <v>44562</v>
      </c>
      <c r="O34" s="40"/>
    </row>
    <row r="35" spans="1:15" x14ac:dyDescent="0.25">
      <c r="A35" t="str">
        <f>TableOUARCH[[#This Row],[Study Package Code]]</f>
        <v>ARCH1024</v>
      </c>
      <c r="B35" s="2">
        <f>TableOUARCH[[#This Row],[Ver]]</f>
        <v>3</v>
      </c>
      <c r="C35" s="2" t="str">
        <f>IF(TableOUARCH[[#This Row],[Ver]]&gt;0,_xlfn.TEXTBEFORE(TableOUARCH[[#This Row],[Structure Line]]," "),"")</f>
        <v>BAS140</v>
      </c>
      <c r="D35" t="str">
        <f>IF(TableOUARCH[[#This Row],[OUA Code]]&lt;&gt;"",_xlfn.TEXTAFTER(TableOUARCH[[#This Row],[Structure Line]]," "),TableOUARCH[[#This Row],[Structure Line]])</f>
        <v>Architecture and Interior Architecture Design Studio 1 - Small Structures</v>
      </c>
      <c r="E35" s="27">
        <f>TableOUARCH[[#This Row],[Credit Points]]</f>
        <v>25</v>
      </c>
      <c r="F35" s="32">
        <v>6</v>
      </c>
      <c r="G35" s="32" t="s">
        <v>291</v>
      </c>
      <c r="H35" s="75">
        <v>1</v>
      </c>
      <c r="I35" s="32" t="s">
        <v>290</v>
      </c>
      <c r="J35" s="32" t="s">
        <v>59</v>
      </c>
      <c r="K35" s="32">
        <v>3</v>
      </c>
      <c r="L35" s="32" t="s">
        <v>297</v>
      </c>
      <c r="M35" s="32">
        <v>25</v>
      </c>
      <c r="N35" s="40">
        <v>44562</v>
      </c>
      <c r="O35" s="40"/>
    </row>
    <row r="36" spans="1:15" x14ac:dyDescent="0.25">
      <c r="A36" t="str">
        <f>TableOUARCH[[#This Row],[Study Package Code]]</f>
        <v>ARCH1021</v>
      </c>
      <c r="B36" s="2">
        <f>TableOUARCH[[#This Row],[Ver]]</f>
        <v>3</v>
      </c>
      <c r="C36" s="2" t="str">
        <f>IF(TableOUARCH[[#This Row],[Ver]]&gt;0,_xlfn.TEXTBEFORE(TableOUARCH[[#This Row],[Structure Line]]," "),"")</f>
        <v>BAS145</v>
      </c>
      <c r="D36" t="str">
        <f>IF(TableOUARCH[[#This Row],[OUA Code]]&lt;&gt;"",_xlfn.TEXTAFTER(TableOUARCH[[#This Row],[Structure Line]]," "),TableOUARCH[[#This Row],[Structure Line]])</f>
        <v>Architecture and Interior Architecture Methods 1B - Digital Literacy</v>
      </c>
      <c r="E36" s="27">
        <f>TableOUARCH[[#This Row],[Credit Points]]</f>
        <v>25</v>
      </c>
      <c r="F36" s="32">
        <v>7</v>
      </c>
      <c r="G36" s="32" t="s">
        <v>291</v>
      </c>
      <c r="H36" s="75">
        <v>1</v>
      </c>
      <c r="I36" s="32" t="s">
        <v>290</v>
      </c>
      <c r="J36" s="32" t="s">
        <v>38</v>
      </c>
      <c r="K36" s="32">
        <v>3</v>
      </c>
      <c r="L36" s="32" t="s">
        <v>298</v>
      </c>
      <c r="M36" s="32">
        <v>25</v>
      </c>
      <c r="N36" s="40">
        <v>44562</v>
      </c>
      <c r="O36" s="40"/>
    </row>
    <row r="37" spans="1:15" x14ac:dyDescent="0.25">
      <c r="A37" t="str">
        <f>TableOUARCH[[#This Row],[Study Package Code]]</f>
        <v>ARCH1026</v>
      </c>
      <c r="B37" s="2">
        <f>TableOUARCH[[#This Row],[Ver]]</f>
        <v>2</v>
      </c>
      <c r="C37" s="2" t="str">
        <f>IF(TableOUARCH[[#This Row],[Ver]]&gt;0,_xlfn.TEXTBEFORE(TableOUARCH[[#This Row],[Structure Line]]," "),"")</f>
        <v>BAS150</v>
      </c>
      <c r="D37" t="str">
        <f>IF(TableOUARCH[[#This Row],[OUA Code]]&lt;&gt;"",_xlfn.TEXTAFTER(TableOUARCH[[#This Row],[Structure Line]]," "),TableOUARCH[[#This Row],[Structure Line]])</f>
        <v>Architectural Science in Context</v>
      </c>
      <c r="E37" s="27">
        <f>TableOUARCH[[#This Row],[Credit Points]]</f>
        <v>25</v>
      </c>
      <c r="F37" s="32">
        <v>8</v>
      </c>
      <c r="G37" s="32" t="s">
        <v>291</v>
      </c>
      <c r="H37" s="75">
        <v>1</v>
      </c>
      <c r="I37" s="32" t="s">
        <v>290</v>
      </c>
      <c r="J37" s="32" t="s">
        <v>58</v>
      </c>
      <c r="K37" s="32">
        <v>2</v>
      </c>
      <c r="L37" s="32" t="s">
        <v>299</v>
      </c>
      <c r="M37" s="32">
        <v>25</v>
      </c>
      <c r="N37" s="40">
        <v>44562</v>
      </c>
      <c r="O37" s="40"/>
    </row>
    <row r="38" spans="1:15" x14ac:dyDescent="0.25">
      <c r="A38" t="str">
        <f>TableOUARCH[[#This Row],[Study Package Code]]</f>
        <v>ARCH2029</v>
      </c>
      <c r="B38" s="2">
        <f>TableOUARCH[[#This Row],[Ver]]</f>
        <v>3</v>
      </c>
      <c r="C38" s="2" t="str">
        <f>IF(TableOUARCH[[#This Row],[Ver]]&gt;0,_xlfn.TEXTBEFORE(TableOUARCH[[#This Row],[Structure Line]]," "),"")</f>
        <v>BAS200</v>
      </c>
      <c r="D38" t="str">
        <f>IF(TableOUARCH[[#This Row],[OUA Code]]&lt;&gt;"",_xlfn.TEXTAFTER(TableOUARCH[[#This Row],[Structure Line]]," "),TableOUARCH[[#This Row],[Structure Line]])</f>
        <v>Architecture and Interior Architecture Design Studio 2A - Residential Typology and Grammar</v>
      </c>
      <c r="E38" s="27">
        <f>TableOUARCH[[#This Row],[Credit Points]]</f>
        <v>25</v>
      </c>
      <c r="F38" s="32">
        <v>9</v>
      </c>
      <c r="G38" s="32" t="s">
        <v>291</v>
      </c>
      <c r="H38" s="75">
        <v>2</v>
      </c>
      <c r="I38" s="32" t="s">
        <v>290</v>
      </c>
      <c r="J38" s="32" t="s">
        <v>79</v>
      </c>
      <c r="K38" s="32">
        <v>3</v>
      </c>
      <c r="L38" s="32" t="s">
        <v>300</v>
      </c>
      <c r="M38" s="32">
        <v>25</v>
      </c>
      <c r="N38" s="40">
        <v>44562</v>
      </c>
      <c r="O38" s="40"/>
    </row>
    <row r="39" spans="1:15" x14ac:dyDescent="0.25">
      <c r="A39" t="str">
        <f>TableOUARCH[[#This Row],[Study Package Code]]</f>
        <v>ARCH2031</v>
      </c>
      <c r="B39" s="2">
        <f>TableOUARCH[[#This Row],[Ver]]</f>
        <v>3</v>
      </c>
      <c r="C39" s="2" t="str">
        <f>IF(TableOUARCH[[#This Row],[Ver]]&gt;0,_xlfn.TEXTBEFORE(TableOUARCH[[#This Row],[Structure Line]]," "),"")</f>
        <v>BAS205</v>
      </c>
      <c r="D39" t="str">
        <f>IF(TableOUARCH[[#This Row],[OUA Code]]&lt;&gt;"",_xlfn.TEXTAFTER(TableOUARCH[[#This Row],[Structure Line]]," "),TableOUARCH[[#This Row],[Structure Line]])</f>
        <v>Architecture Methods 2A - Digital Fabrication</v>
      </c>
      <c r="E39" s="27">
        <f>TableOUARCH[[#This Row],[Credit Points]]</f>
        <v>25</v>
      </c>
      <c r="F39" s="32">
        <v>10</v>
      </c>
      <c r="G39" s="32" t="s">
        <v>291</v>
      </c>
      <c r="H39" s="75">
        <v>2</v>
      </c>
      <c r="I39" s="32" t="s">
        <v>290</v>
      </c>
      <c r="J39" s="32" t="s">
        <v>69</v>
      </c>
      <c r="K39" s="32">
        <v>3</v>
      </c>
      <c r="L39" s="32" t="s">
        <v>301</v>
      </c>
      <c r="M39" s="32">
        <v>25</v>
      </c>
      <c r="N39" s="40">
        <v>44562</v>
      </c>
      <c r="O39" s="40"/>
    </row>
    <row r="40" spans="1:15" x14ac:dyDescent="0.25">
      <c r="A40" t="str">
        <f>TableOUARCH[[#This Row],[Study Package Code]]</f>
        <v>ARCH2016</v>
      </c>
      <c r="B40" s="2">
        <f>TableOUARCH[[#This Row],[Ver]]</f>
        <v>2</v>
      </c>
      <c r="C40" s="2" t="str">
        <f>IF(TableOUARCH[[#This Row],[Ver]]&gt;0,_xlfn.TEXTBEFORE(TableOUARCH[[#This Row],[Structure Line]]," "),"")</f>
        <v>BAS240</v>
      </c>
      <c r="D40" t="str">
        <f>IF(TableOUARCH[[#This Row],[OUA Code]]&lt;&gt;"",_xlfn.TEXTAFTER(TableOUARCH[[#This Row],[Structure Line]]," "),TableOUARCH[[#This Row],[Structure Line]])</f>
        <v>Architectural Documentation and Detailing</v>
      </c>
      <c r="E40" s="27">
        <f>TableOUARCH[[#This Row],[Credit Points]]</f>
        <v>25</v>
      </c>
      <c r="F40" s="32">
        <v>11</v>
      </c>
      <c r="G40" s="32" t="s">
        <v>291</v>
      </c>
      <c r="H40" s="75">
        <v>2</v>
      </c>
      <c r="I40" s="32" t="s">
        <v>290</v>
      </c>
      <c r="J40" s="32" t="s">
        <v>60</v>
      </c>
      <c r="K40" s="32">
        <v>2</v>
      </c>
      <c r="L40" s="32" t="s">
        <v>302</v>
      </c>
      <c r="M40" s="32">
        <v>25</v>
      </c>
      <c r="N40" s="40">
        <v>44562</v>
      </c>
      <c r="O40" s="40"/>
    </row>
    <row r="41" spans="1:15" x14ac:dyDescent="0.25">
      <c r="A41" t="str">
        <f>TableOUARCH[[#This Row],[Study Package Code]]</f>
        <v>ARCH2026</v>
      </c>
      <c r="B41" s="2">
        <f>TableOUARCH[[#This Row],[Ver]]</f>
        <v>3</v>
      </c>
      <c r="C41" s="2" t="str">
        <f>IF(TableOUARCH[[#This Row],[Ver]]&gt;0,_xlfn.TEXTBEFORE(TableOUARCH[[#This Row],[Structure Line]]," "),"")</f>
        <v>BAS230</v>
      </c>
      <c r="D41" t="str">
        <f>IF(TableOUARCH[[#This Row],[OUA Code]]&lt;&gt;"",_xlfn.TEXTAFTER(TableOUARCH[[#This Row],[Structure Line]]," "),TableOUARCH[[#This Row],[Structure Line]])</f>
        <v>Architecture Design Studio 2B - Regional Studio</v>
      </c>
      <c r="E41" s="27">
        <f>TableOUARCH[[#This Row],[Credit Points]]</f>
        <v>25</v>
      </c>
      <c r="F41" s="32">
        <v>12</v>
      </c>
      <c r="G41" s="32" t="s">
        <v>291</v>
      </c>
      <c r="H41" s="75">
        <v>2</v>
      </c>
      <c r="I41" s="32" t="s">
        <v>290</v>
      </c>
      <c r="J41" s="32" t="s">
        <v>80</v>
      </c>
      <c r="K41" s="32">
        <v>3</v>
      </c>
      <c r="L41" s="32" t="s">
        <v>303</v>
      </c>
      <c r="M41" s="32">
        <v>25</v>
      </c>
      <c r="N41" s="40">
        <v>44562</v>
      </c>
      <c r="O41" s="40"/>
    </row>
    <row r="42" spans="1:15" x14ac:dyDescent="0.25">
      <c r="A42" t="str">
        <f>TableOUARCH[[#This Row],[Study Package Code]]</f>
        <v>ARCH2027</v>
      </c>
      <c r="B42" s="2">
        <f>TableOUARCH[[#This Row],[Ver]]</f>
        <v>3</v>
      </c>
      <c r="C42" s="2" t="str">
        <f>IF(TableOUARCH[[#This Row],[Ver]]&gt;0,_xlfn.TEXTBEFORE(TableOUARCH[[#This Row],[Structure Line]]," "),"")</f>
        <v>BAS235</v>
      </c>
      <c r="D42" t="str">
        <f>IF(TableOUARCH[[#This Row],[OUA Code]]&lt;&gt;"",_xlfn.TEXTAFTER(TableOUARCH[[#This Row],[Structure Line]]," "),TableOUARCH[[#This Row],[Structure Line]])</f>
        <v>Architecture Methods 2B - Information Visualisation</v>
      </c>
      <c r="E42" s="27">
        <f>TableOUARCH[[#This Row],[Credit Points]]</f>
        <v>25</v>
      </c>
      <c r="F42" s="32">
        <v>13</v>
      </c>
      <c r="G42" s="32" t="s">
        <v>291</v>
      </c>
      <c r="H42" s="75">
        <v>2</v>
      </c>
      <c r="I42" s="32" t="s">
        <v>290</v>
      </c>
      <c r="J42" s="32" t="s">
        <v>71</v>
      </c>
      <c r="K42" s="32">
        <v>3</v>
      </c>
      <c r="L42" s="32" t="s">
        <v>304</v>
      </c>
      <c r="M42" s="32">
        <v>25</v>
      </c>
      <c r="N42" s="40">
        <v>44562</v>
      </c>
      <c r="O42" s="40"/>
    </row>
    <row r="43" spans="1:15" x14ac:dyDescent="0.25">
      <c r="A43" t="str">
        <f>TableOUARCH[[#This Row],[Study Package Code]]</f>
        <v>ARCH2017</v>
      </c>
      <c r="B43" s="2">
        <f>TableOUARCH[[#This Row],[Ver]]</f>
        <v>4</v>
      </c>
      <c r="C43" s="2" t="str">
        <f>IF(TableOUARCH[[#This Row],[Ver]]&gt;0,_xlfn.TEXTBEFORE(TableOUARCH[[#This Row],[Structure Line]]," "),"")</f>
        <v>BAS250</v>
      </c>
      <c r="D43" t="str">
        <f>IF(TableOUARCH[[#This Row],[OUA Code]]&lt;&gt;"",_xlfn.TEXTAFTER(TableOUARCH[[#This Row],[Structure Line]]," "),TableOUARCH[[#This Row],[Structure Line]])</f>
        <v>Architecture History and Identity</v>
      </c>
      <c r="E43" s="27">
        <f>TableOUARCH[[#This Row],[Credit Points]]</f>
        <v>25</v>
      </c>
      <c r="F43" s="32">
        <v>14</v>
      </c>
      <c r="G43" s="32" t="s">
        <v>291</v>
      </c>
      <c r="H43" s="75">
        <v>2</v>
      </c>
      <c r="I43" s="32" t="s">
        <v>290</v>
      </c>
      <c r="J43" s="32" t="s">
        <v>76</v>
      </c>
      <c r="K43" s="32">
        <v>4</v>
      </c>
      <c r="L43" s="32" t="s">
        <v>305</v>
      </c>
      <c r="M43" s="32">
        <v>25</v>
      </c>
      <c r="N43" s="40">
        <v>44743</v>
      </c>
      <c r="O43" s="40"/>
    </row>
    <row r="44" spans="1:15" x14ac:dyDescent="0.25">
      <c r="A44" t="str">
        <f>TableOUARCH[[#This Row],[Study Package Code]]</f>
        <v>ARCH3030</v>
      </c>
      <c r="B44" s="2">
        <f>TableOUARCH[[#This Row],[Ver]]</f>
        <v>3</v>
      </c>
      <c r="C44" s="2" t="str">
        <f>IF(TableOUARCH[[#This Row],[Ver]]&gt;0,_xlfn.TEXTBEFORE(TableOUARCH[[#This Row],[Structure Line]]," "),"")</f>
        <v>BAS300</v>
      </c>
      <c r="D44" t="str">
        <f>IF(TableOUARCH[[#This Row],[OUA Code]]&lt;&gt;"",_xlfn.TEXTAFTER(TableOUARCH[[#This Row],[Structure Line]]," "),TableOUARCH[[#This Row],[Structure Line]])</f>
        <v>Architecture Design Studio 3A - Multi Residential</v>
      </c>
      <c r="E44" s="27">
        <f>TableOUARCH[[#This Row],[Credit Points]]</f>
        <v>25</v>
      </c>
      <c r="F44" s="32">
        <v>15</v>
      </c>
      <c r="G44" s="32" t="s">
        <v>291</v>
      </c>
      <c r="H44" s="75">
        <v>3</v>
      </c>
      <c r="I44" s="32" t="s">
        <v>290</v>
      </c>
      <c r="J44" s="32" t="s">
        <v>101</v>
      </c>
      <c r="K44" s="32">
        <v>3</v>
      </c>
      <c r="L44" s="32" t="s">
        <v>306</v>
      </c>
      <c r="M44" s="32">
        <v>25</v>
      </c>
      <c r="N44" s="40">
        <v>44562</v>
      </c>
      <c r="O44" s="40"/>
    </row>
    <row r="45" spans="1:15" x14ac:dyDescent="0.25">
      <c r="A45" t="str">
        <f>TableOUARCH[[#This Row],[Study Package Code]]</f>
        <v>ARCH3031</v>
      </c>
      <c r="B45" s="2">
        <f>TableOUARCH[[#This Row],[Ver]]</f>
        <v>3</v>
      </c>
      <c r="C45" s="2" t="str">
        <f>IF(TableOUARCH[[#This Row],[Ver]]&gt;0,_xlfn.TEXTBEFORE(TableOUARCH[[#This Row],[Structure Line]]," "),"")</f>
        <v>BAS305</v>
      </c>
      <c r="D45" t="str">
        <f>IF(TableOUARCH[[#This Row],[OUA Code]]&lt;&gt;"",_xlfn.TEXTAFTER(TableOUARCH[[#This Row],[Structure Line]]," "),TableOUARCH[[#This Row],[Structure Line]])</f>
        <v>Architecture Methods 3A - Digital Futures</v>
      </c>
      <c r="E45" s="27">
        <f>TableOUARCH[[#This Row],[Credit Points]]</f>
        <v>25</v>
      </c>
      <c r="F45" s="32">
        <v>16</v>
      </c>
      <c r="G45" s="32" t="s">
        <v>291</v>
      </c>
      <c r="H45" s="75">
        <v>3</v>
      </c>
      <c r="I45" s="32" t="s">
        <v>290</v>
      </c>
      <c r="J45" s="32" t="s">
        <v>90</v>
      </c>
      <c r="K45" s="32">
        <v>3</v>
      </c>
      <c r="L45" s="32" t="s">
        <v>307</v>
      </c>
      <c r="M45" s="32">
        <v>25</v>
      </c>
      <c r="N45" s="40">
        <v>44562</v>
      </c>
      <c r="O45" s="40"/>
    </row>
    <row r="46" spans="1:15" x14ac:dyDescent="0.25">
      <c r="A46" t="str">
        <f>TableOUARCH[[#This Row],[Study Package Code]]</f>
        <v>ARCH3015</v>
      </c>
      <c r="B46" s="2">
        <f>TableOUARCH[[#This Row],[Ver]]</f>
        <v>4</v>
      </c>
      <c r="C46" s="2" t="str">
        <f>IF(TableOUARCH[[#This Row],[Ver]]&gt;0,_xlfn.TEXTBEFORE(TableOUARCH[[#This Row],[Structure Line]]," "),"")</f>
        <v>BAS310</v>
      </c>
      <c r="D46" t="str">
        <f>IF(TableOUARCH[[#This Row],[OUA Code]]&lt;&gt;"",_xlfn.TEXTAFTER(TableOUARCH[[#This Row],[Structure Line]]," "),TableOUARCH[[#This Row],[Structure Line]])</f>
        <v>Environmental and Building Systems in Architecture</v>
      </c>
      <c r="E46" s="27">
        <f>TableOUARCH[[#This Row],[Credit Points]]</f>
        <v>25</v>
      </c>
      <c r="F46" s="32">
        <v>17</v>
      </c>
      <c r="G46" s="32" t="s">
        <v>291</v>
      </c>
      <c r="H46" s="75">
        <v>3</v>
      </c>
      <c r="I46" s="32" t="s">
        <v>290</v>
      </c>
      <c r="J46" s="32" t="s">
        <v>92</v>
      </c>
      <c r="K46" s="32">
        <v>4</v>
      </c>
      <c r="L46" s="32" t="s">
        <v>308</v>
      </c>
      <c r="M46" s="32">
        <v>25</v>
      </c>
      <c r="N46" s="40">
        <v>44562</v>
      </c>
      <c r="O46" s="40"/>
    </row>
    <row r="47" spans="1:15" x14ac:dyDescent="0.25">
      <c r="A47" t="str">
        <f>TableOUARCH[[#This Row],[Study Package Code]]</f>
        <v>ARCH3019</v>
      </c>
      <c r="B47" s="2">
        <f>TableOUARCH[[#This Row],[Ver]]</f>
        <v>2</v>
      </c>
      <c r="C47" s="2" t="str">
        <f>IF(TableOUARCH[[#This Row],[Ver]]&gt;0,_xlfn.TEXTBEFORE(TableOUARCH[[#This Row],[Structure Line]]," "),"")</f>
        <v>BAS350</v>
      </c>
      <c r="D47" t="str">
        <f>IF(TableOUARCH[[#This Row],[OUA Code]]&lt;&gt;"",_xlfn.TEXTAFTER(TableOUARCH[[#This Row],[Structure Line]]," "),TableOUARCH[[#This Row],[Structure Line]])</f>
        <v>Twentieth and Twenty-First Century Architectural Theories</v>
      </c>
      <c r="E47" s="27">
        <f>TableOUARCH[[#This Row],[Credit Points]]</f>
        <v>25</v>
      </c>
      <c r="F47" s="32">
        <v>18</v>
      </c>
      <c r="G47" s="32" t="s">
        <v>291</v>
      </c>
      <c r="H47" s="75">
        <v>3</v>
      </c>
      <c r="I47" s="32" t="s">
        <v>290</v>
      </c>
      <c r="J47" s="32" t="s">
        <v>98</v>
      </c>
      <c r="K47" s="32">
        <v>2</v>
      </c>
      <c r="L47" s="32" t="s">
        <v>309</v>
      </c>
      <c r="M47" s="32">
        <v>25</v>
      </c>
      <c r="N47" s="40">
        <v>44562</v>
      </c>
      <c r="O47" s="40"/>
    </row>
    <row r="48" spans="1:15" x14ac:dyDescent="0.25">
      <c r="A48" t="str">
        <f>TableOUARCH[[#This Row],[Study Package Code]]</f>
        <v>ARCH3028</v>
      </c>
      <c r="B48" s="2">
        <f>TableOUARCH[[#This Row],[Ver]]</f>
        <v>3</v>
      </c>
      <c r="C48" s="2" t="str">
        <f>IF(TableOUARCH[[#This Row],[Ver]]&gt;0,_xlfn.TEXTBEFORE(TableOUARCH[[#This Row],[Structure Line]]," "),"")</f>
        <v>BAS330</v>
      </c>
      <c r="D48" t="str">
        <f>IF(TableOUARCH[[#This Row],[OUA Code]]&lt;&gt;"",_xlfn.TEXTAFTER(TableOUARCH[[#This Row],[Structure Line]]," "),TableOUARCH[[#This Row],[Structure Line]])</f>
        <v>Architecture Design Studio 3B - Civic</v>
      </c>
      <c r="E48" s="27">
        <f>TableOUARCH[[#This Row],[Credit Points]]</f>
        <v>25</v>
      </c>
      <c r="F48" s="32">
        <v>19</v>
      </c>
      <c r="G48" s="32" t="s">
        <v>291</v>
      </c>
      <c r="H48" s="75">
        <v>3</v>
      </c>
      <c r="I48" s="32" t="s">
        <v>290</v>
      </c>
      <c r="J48" s="32" t="s">
        <v>102</v>
      </c>
      <c r="K48" s="32">
        <v>3</v>
      </c>
      <c r="L48" s="32" t="s">
        <v>310</v>
      </c>
      <c r="M48" s="32">
        <v>25</v>
      </c>
      <c r="N48" s="40">
        <v>44562</v>
      </c>
      <c r="O48" s="40"/>
    </row>
    <row r="49" spans="1:18" x14ac:dyDescent="0.25">
      <c r="A49" t="str">
        <f>TableOUARCH[[#This Row],[Study Package Code]]</f>
        <v>ARCH3018</v>
      </c>
      <c r="B49" s="2">
        <f>TableOUARCH[[#This Row],[Ver]]</f>
        <v>5</v>
      </c>
      <c r="C49" s="2" t="str">
        <f>IF(TableOUARCH[[#This Row],[Ver]]&gt;0,_xlfn.TEXTBEFORE(TableOUARCH[[#This Row],[Structure Line]]," "),"")</f>
        <v>BAS340</v>
      </c>
      <c r="D49" t="str">
        <f>IF(TableOUARCH[[#This Row],[OUA Code]]&lt;&gt;"",_xlfn.TEXTAFTER(TableOUARCH[[#This Row],[Structure Line]]," "),TableOUARCH[[#This Row],[Structure Line]])</f>
        <v>Advanced Construction and Sustainability</v>
      </c>
      <c r="E49" s="27">
        <f>TableOUARCH[[#This Row],[Credit Points]]</f>
        <v>25</v>
      </c>
      <c r="F49" s="32">
        <v>20</v>
      </c>
      <c r="G49" s="32" t="s">
        <v>291</v>
      </c>
      <c r="H49" s="75">
        <v>3</v>
      </c>
      <c r="I49" s="32" t="s">
        <v>290</v>
      </c>
      <c r="J49" s="32" t="s">
        <v>97</v>
      </c>
      <c r="K49" s="32">
        <v>5</v>
      </c>
      <c r="L49" s="32" t="s">
        <v>311</v>
      </c>
      <c r="M49" s="32">
        <v>25</v>
      </c>
      <c r="N49" s="40">
        <v>45658</v>
      </c>
      <c r="O49" s="40"/>
    </row>
    <row r="50" spans="1:18" x14ac:dyDescent="0.25">
      <c r="A50" t="str">
        <f>TableOUARCH[[#This Row],[Study Package Code]]</f>
        <v>ARCH3016</v>
      </c>
      <c r="B50" s="2">
        <f>TableOUARCH[[#This Row],[Ver]]</f>
        <v>1</v>
      </c>
      <c r="C50" s="2" t="str">
        <f>IF(TableOUARCH[[#This Row],[Ver]]&gt;0,_xlfn.TEXTBEFORE(TableOUARCH[[#This Row],[Structure Line]]," "),"")</f>
        <v>BAS320</v>
      </c>
      <c r="D50" t="str">
        <f>IF(TableOUARCH[[#This Row],[OUA Code]]&lt;&gt;"",_xlfn.TEXTAFTER(TableOUARCH[[#This Row],[Structure Line]]," "),TableOUARCH[[#This Row],[Structure Line]])</f>
        <v>Urban Contexts</v>
      </c>
      <c r="E50" s="27">
        <f>TableOUARCH[[#This Row],[Credit Points]]</f>
        <v>25</v>
      </c>
      <c r="F50" s="32">
        <v>21</v>
      </c>
      <c r="G50" s="32" t="s">
        <v>291</v>
      </c>
      <c r="H50" s="75">
        <v>3</v>
      </c>
      <c r="I50" s="32" t="s">
        <v>290</v>
      </c>
      <c r="J50" s="32" t="s">
        <v>75</v>
      </c>
      <c r="K50" s="32">
        <v>1</v>
      </c>
      <c r="L50" s="32" t="s">
        <v>312</v>
      </c>
      <c r="M50" s="32">
        <v>25</v>
      </c>
      <c r="N50" s="40">
        <v>42005</v>
      </c>
      <c r="O50" s="40"/>
    </row>
    <row r="51" spans="1:18" x14ac:dyDescent="0.25">
      <c r="A51" t="str">
        <f>TableOUARCH[[#This Row],[Study Package Code]]</f>
        <v>OSCU-ANGAD</v>
      </c>
      <c r="B51" s="2">
        <f>TableOUARCH[[#This Row],[Ver]]</f>
        <v>2</v>
      </c>
      <c r="C51" s="2"/>
      <c r="D51" t="str">
        <f>IF(TableOUARCH[[#This Row],[OUA Code]]&lt;&gt;"",_xlfn.TEXTAFTER(TableOUARCH[[#This Row],[Structure Line]]," "),TableOUARCH[[#This Row],[Structure Line]])</f>
        <v>Animation and Game Architecture Design Specialisation (OpenUnis)</v>
      </c>
      <c r="E51" s="27">
        <f>TableOUARCH[[#This Row],[Credit Points]]</f>
        <v>100</v>
      </c>
      <c r="F51" s="32">
        <v>1</v>
      </c>
      <c r="G51" s="32" t="s">
        <v>289</v>
      </c>
      <c r="H51" s="75">
        <v>0</v>
      </c>
      <c r="I51" s="32" t="s">
        <v>290</v>
      </c>
      <c r="J51" s="32" t="s">
        <v>83</v>
      </c>
      <c r="K51" s="32">
        <v>2</v>
      </c>
      <c r="L51" s="32" t="s">
        <v>82</v>
      </c>
      <c r="M51" s="32">
        <v>100</v>
      </c>
      <c r="N51" s="40">
        <v>46023</v>
      </c>
      <c r="O51" s="40"/>
    </row>
    <row r="52" spans="1:18" x14ac:dyDescent="0.25">
      <c r="A52" t="str">
        <f>TableOUARCH[[#This Row],[Study Package Code]]</f>
        <v>OSCU-CONMS</v>
      </c>
      <c r="B52" s="2">
        <f>TableOUARCH[[#This Row],[Ver]]</f>
        <v>2</v>
      </c>
      <c r="C52" s="2"/>
      <c r="D52" t="str">
        <f>IF(TableOUARCH[[#This Row],[OUA Code]]&lt;&gt;"",_xlfn.TEXTAFTER(TableOUARCH[[#This Row],[Structure Line]]," "),TableOUARCH[[#This Row],[Structure Line]])</f>
        <v>Construction Management Specialisation (OpenUnis)</v>
      </c>
      <c r="E52" s="27">
        <f>TableOUARCH[[#This Row],[Credit Points]]</f>
        <v>100</v>
      </c>
      <c r="F52" s="32">
        <v>1</v>
      </c>
      <c r="G52" s="32" t="s">
        <v>289</v>
      </c>
      <c r="H52" s="75">
        <v>0</v>
      </c>
      <c r="I52" s="32" t="s">
        <v>290</v>
      </c>
      <c r="J52" s="32" t="s">
        <v>87</v>
      </c>
      <c r="K52" s="32">
        <v>2</v>
      </c>
      <c r="L52" s="32" t="s">
        <v>86</v>
      </c>
      <c r="M52" s="32">
        <v>100</v>
      </c>
      <c r="N52" s="40">
        <v>45658</v>
      </c>
      <c r="O52" s="40"/>
    </row>
    <row r="53" spans="1:18" x14ac:dyDescent="0.25">
      <c r="A53" t="str">
        <f>TableOUARCH[[#This Row],[Study Package Code]]</f>
        <v>OSCU-INARS</v>
      </c>
      <c r="B53" s="2">
        <f>TableOUARCH[[#This Row],[Ver]]</f>
        <v>3</v>
      </c>
      <c r="C53" s="2"/>
      <c r="D53" t="str">
        <f>IF(TableOUARCH[[#This Row],[OUA Code]]&lt;&gt;"",_xlfn.TEXTAFTER(TableOUARCH[[#This Row],[Structure Line]]," "),TableOUARCH[[#This Row],[Structure Line]])</f>
        <v>Interior Architecture Specialisation (OpenUnis)</v>
      </c>
      <c r="E53" s="27">
        <f>TableOUARCH[[#This Row],[Credit Points]]</f>
        <v>100</v>
      </c>
      <c r="F53" s="32">
        <v>1</v>
      </c>
      <c r="G53" s="32" t="s">
        <v>289</v>
      </c>
      <c r="H53" s="75">
        <v>0</v>
      </c>
      <c r="I53" s="32" t="s">
        <v>290</v>
      </c>
      <c r="J53" s="32" t="s">
        <v>96</v>
      </c>
      <c r="K53" s="32">
        <v>3</v>
      </c>
      <c r="L53" s="32" t="s">
        <v>95</v>
      </c>
      <c r="M53" s="32">
        <v>100</v>
      </c>
      <c r="N53" s="40">
        <v>45292</v>
      </c>
      <c r="O53" s="40"/>
    </row>
    <row r="54" spans="1:18" x14ac:dyDescent="0.25">
      <c r="A54" t="str">
        <f>TableOUARCH[[#This Row],[Study Package Code]]</f>
        <v>OSCU-PLGEO</v>
      </c>
      <c r="B54" s="2">
        <f>TableOUARCH[[#This Row],[Ver]]</f>
        <v>1</v>
      </c>
      <c r="C54" s="2"/>
      <c r="D54" t="str">
        <f>IF(TableOUARCH[[#This Row],[OUA Code]]&lt;&gt;"",_xlfn.TEXTAFTER(TableOUARCH[[#This Row],[Structure Line]]," "),TableOUARCH[[#This Row],[Structure Line]])</f>
        <v>Planning and Geography Specialisation (OpenUnis)</v>
      </c>
      <c r="E54" s="27">
        <f>TableOUARCH[[#This Row],[Credit Points]]</f>
        <v>100</v>
      </c>
      <c r="F54" s="32">
        <v>1</v>
      </c>
      <c r="G54" s="32" t="s">
        <v>289</v>
      </c>
      <c r="H54" s="75">
        <v>0</v>
      </c>
      <c r="I54" s="32" t="s">
        <v>290</v>
      </c>
      <c r="J54" s="32" t="s">
        <v>100</v>
      </c>
      <c r="K54" s="32">
        <v>1</v>
      </c>
      <c r="L54" s="32" t="s">
        <v>99</v>
      </c>
      <c r="M54" s="32">
        <v>100</v>
      </c>
      <c r="N54" s="40">
        <v>44743</v>
      </c>
      <c r="O54" s="40"/>
    </row>
    <row r="55" spans="1:18" x14ac:dyDescent="0.25">
      <c r="C55" s="2"/>
      <c r="F55" s="32"/>
      <c r="G55" s="32"/>
      <c r="H55" s="75"/>
      <c r="I55" s="32"/>
      <c r="J55" s="32"/>
      <c r="K55" s="32"/>
      <c r="L55" s="32"/>
      <c r="M55" s="32"/>
      <c r="N55" s="40"/>
      <c r="O55" s="40"/>
    </row>
    <row r="56" spans="1:18" x14ac:dyDescent="0.25">
      <c r="B56"/>
      <c r="E56"/>
      <c r="F56" s="26"/>
      <c r="G56" s="66" t="s">
        <v>277</v>
      </c>
      <c r="H56" s="76">
        <v>46031</v>
      </c>
      <c r="I56" s="65"/>
      <c r="J56" s="65" t="s">
        <v>83</v>
      </c>
      <c r="K56" s="68">
        <v>2</v>
      </c>
      <c r="L56" s="65" t="s">
        <v>82</v>
      </c>
      <c r="M56" s="65"/>
      <c r="N56" s="69">
        <v>46023</v>
      </c>
      <c r="O56" s="67"/>
    </row>
    <row r="57" spans="1:18" x14ac:dyDescent="0.25">
      <c r="A57" t="s">
        <v>0</v>
      </c>
      <c r="B57" s="2" t="s">
        <v>278</v>
      </c>
      <c r="C57" t="s">
        <v>18</v>
      </c>
      <c r="D57" t="s">
        <v>3</v>
      </c>
      <c r="E57" s="27" t="s">
        <v>279</v>
      </c>
      <c r="F57" t="s">
        <v>280</v>
      </c>
      <c r="G57" t="s">
        <v>281</v>
      </c>
      <c r="H57" s="2" t="s">
        <v>282</v>
      </c>
      <c r="I57" t="s">
        <v>19</v>
      </c>
      <c r="J57" t="s">
        <v>283</v>
      </c>
      <c r="K57" t="s">
        <v>1</v>
      </c>
      <c r="L57" t="s">
        <v>284</v>
      </c>
      <c r="M57" t="s">
        <v>49</v>
      </c>
      <c r="N57" t="s">
        <v>285</v>
      </c>
      <c r="O57" s="38" t="s">
        <v>286</v>
      </c>
      <c r="Q57" t="s">
        <v>287</v>
      </c>
      <c r="R57" t="s">
        <v>288</v>
      </c>
    </row>
    <row r="58" spans="1:18" x14ac:dyDescent="0.25">
      <c r="A58" t="str">
        <f>TableOSCUANGAD[[#This Row],[Study Package Code]]</f>
        <v>GRDE1029</v>
      </c>
      <c r="B58" s="2">
        <f>TableOSCUANGAD[[#This Row],[Ver]]</f>
        <v>1</v>
      </c>
      <c r="C58" s="2" t="str">
        <f>IF(TableOSCUANGAD[[#This Row],[Ver]]&gt;0,_xlfn.TEXTBEFORE(TableOSCUANGAD[[#This Row],[Structure Line]]," "),"")</f>
        <v>GRDE1029</v>
      </c>
      <c r="D58" t="str">
        <f>IF(TableOSCUANGAD[[#This Row],[OUA Code]]&lt;&gt;"",_xlfn.TEXTAFTER(TableOSCUANGAD[[#This Row],[Structure Line]]," "),TableOSCUANGAD[[#This Row],[Structure Line]])</f>
        <v>Motion Design Studio</v>
      </c>
      <c r="E58" s="27">
        <f>TableOSCUANGAD[[#This Row],[Credit Points]]</f>
        <v>25</v>
      </c>
      <c r="F58" s="32">
        <v>1</v>
      </c>
      <c r="G58" s="32" t="s">
        <v>291</v>
      </c>
      <c r="H58" s="75">
        <v>1</v>
      </c>
      <c r="I58" s="32" t="s">
        <v>290</v>
      </c>
      <c r="J58" s="32" t="s">
        <v>340</v>
      </c>
      <c r="K58" s="32">
        <v>1</v>
      </c>
      <c r="L58" s="32" t="s">
        <v>341</v>
      </c>
      <c r="M58" s="32">
        <v>25</v>
      </c>
      <c r="N58" s="40">
        <v>46023</v>
      </c>
      <c r="O58" s="40"/>
      <c r="Q58" t="s">
        <v>116</v>
      </c>
      <c r="R58">
        <v>1</v>
      </c>
    </row>
    <row r="59" spans="1:18" x14ac:dyDescent="0.25">
      <c r="A59" t="str">
        <f>TableOSCUANGAD[[#This Row],[Study Package Code]]</f>
        <v>GRDE1031</v>
      </c>
      <c r="B59" s="2">
        <f>TableOSCUANGAD[[#This Row],[Ver]]</f>
        <v>1</v>
      </c>
      <c r="C59" s="2" t="str">
        <f>IF(TableOSCUANGAD[[#This Row],[Ver]]&gt;0,_xlfn.TEXTBEFORE(TableOSCUANGAD[[#This Row],[Structure Line]]," "),"")</f>
        <v>GRDE1031</v>
      </c>
      <c r="D59" t="str">
        <f>IF(TableOSCUANGAD[[#This Row],[OUA Code]]&lt;&gt;"",_xlfn.TEXTAFTER(TableOSCUANGAD[[#This Row],[Structure Line]]," "),TableOSCUANGAD[[#This Row],[Structure Line]])</f>
        <v>Introduction to 3D Modelling</v>
      </c>
      <c r="E59" s="27">
        <f>TableOSCUANGAD[[#This Row],[Credit Points]]</f>
        <v>25</v>
      </c>
      <c r="F59" s="32">
        <v>2</v>
      </c>
      <c r="G59" s="32" t="s">
        <v>291</v>
      </c>
      <c r="H59" s="75">
        <v>2</v>
      </c>
      <c r="I59" s="32" t="s">
        <v>290</v>
      </c>
      <c r="J59" s="32" t="s">
        <v>342</v>
      </c>
      <c r="K59" s="32">
        <v>1</v>
      </c>
      <c r="L59" s="32" t="s">
        <v>343</v>
      </c>
      <c r="M59" s="32">
        <v>25</v>
      </c>
      <c r="N59" s="40">
        <v>46023</v>
      </c>
      <c r="O59" s="40"/>
      <c r="Q59" t="s">
        <v>122</v>
      </c>
      <c r="R59">
        <v>1</v>
      </c>
    </row>
    <row r="60" spans="1:18" x14ac:dyDescent="0.25">
      <c r="A60" t="str">
        <f>TableOSCUANGAD[[#This Row],[Study Package Code]]</f>
        <v>GRDE2055</v>
      </c>
      <c r="B60" s="2">
        <f>TableOSCUANGAD[[#This Row],[Ver]]</f>
        <v>1</v>
      </c>
      <c r="C60" s="2" t="str">
        <f>IF(TableOSCUANGAD[[#This Row],[Ver]]&gt;0,_xlfn.TEXTBEFORE(TableOSCUANGAD[[#This Row],[Structure Line]]," "),"")</f>
        <v>GRDE2055</v>
      </c>
      <c r="D60" t="str">
        <f>IF(TableOSCUANGAD[[#This Row],[OUA Code]]&lt;&gt;"",_xlfn.TEXTAFTER(TableOSCUANGAD[[#This Row],[Structure Line]]," "),TableOSCUANGAD[[#This Row],[Structure Line]])</f>
        <v>3D Game and Level Design</v>
      </c>
      <c r="E60" s="27">
        <f>TableOSCUANGAD[[#This Row],[Credit Points]]</f>
        <v>25</v>
      </c>
      <c r="F60" s="32">
        <v>3</v>
      </c>
      <c r="G60" s="32" t="s">
        <v>291</v>
      </c>
      <c r="H60" s="75">
        <v>2</v>
      </c>
      <c r="I60" s="32" t="s">
        <v>290</v>
      </c>
      <c r="J60" s="32" t="s">
        <v>344</v>
      </c>
      <c r="K60" s="32">
        <v>1</v>
      </c>
      <c r="L60" s="32" t="s">
        <v>345</v>
      </c>
      <c r="M60" s="32">
        <v>25</v>
      </c>
      <c r="N60" s="40">
        <v>46023</v>
      </c>
      <c r="O60" s="40"/>
      <c r="Q60" t="s">
        <v>127</v>
      </c>
      <c r="R60">
        <v>1</v>
      </c>
    </row>
    <row r="61" spans="1:18" x14ac:dyDescent="0.25">
      <c r="A61" t="str">
        <f>TableOSCUANGAD[[#This Row],[Study Package Code]]</f>
        <v>AC-ANGAD</v>
      </c>
      <c r="B61" s="2">
        <f>TableOSCUANGAD[[#This Row],[Ver]]</f>
        <v>0</v>
      </c>
      <c r="C61" s="2" t="str">
        <f>IF(TableOSCUANGAD[[#This Row],[Ver]]&gt;0,_xlfn.TEXTBEFORE(TableOSCUANGAD[[#This Row],[Structure Line]]," "),"")</f>
        <v/>
      </c>
      <c r="D61" t="str">
        <f>IF(TableOSCUANGAD[[#This Row],[OUA Code]]&lt;&gt;"",_xlfn.TEXTAFTER(TableOSCUANGAD[[#This Row],[Structure Line]]," "),TableOSCUANGAD[[#This Row],[Structure Line]])</f>
        <v>Choose GRDE3033 or WORK3002</v>
      </c>
      <c r="E61" s="27">
        <f>TableOSCUANGAD[[#This Row],[Credit Points]]</f>
        <v>25</v>
      </c>
      <c r="F61" s="32">
        <v>4</v>
      </c>
      <c r="G61" s="32" t="s">
        <v>289</v>
      </c>
      <c r="H61" s="75">
        <v>3</v>
      </c>
      <c r="I61" s="32" t="s">
        <v>290</v>
      </c>
      <c r="J61" s="32" t="s">
        <v>134</v>
      </c>
      <c r="K61" s="32">
        <v>0</v>
      </c>
      <c r="L61" s="32" t="s">
        <v>313</v>
      </c>
      <c r="M61" s="32">
        <v>25</v>
      </c>
      <c r="N61" s="40"/>
      <c r="O61" s="40"/>
      <c r="Q61" t="s">
        <v>134</v>
      </c>
      <c r="R61">
        <v>0</v>
      </c>
    </row>
    <row r="62" spans="1:18" x14ac:dyDescent="0.25">
      <c r="A62" t="str">
        <f>TableOSCUANGAD[[#This Row],[Study Package Code]]</f>
        <v>GRDE3033</v>
      </c>
      <c r="B62" s="2">
        <f>TableOSCUANGAD[[#This Row],[Ver]]</f>
        <v>3</v>
      </c>
      <c r="C62" s="2" t="str">
        <f>IF(TableOSCUANGAD[[#This Row],[Ver]]&gt;0,_xlfn.TEXTBEFORE(TableOSCUANGAD[[#This Row],[Structure Line]]," "),"")</f>
        <v>DIG39</v>
      </c>
      <c r="D62" t="str">
        <f>IF(TableOSCUANGAD[[#This Row],[OUA Code]]&lt;&gt;"",_xlfn.TEXTAFTER(TableOSCUANGAD[[#This Row],[Structure Line]]," "),TableOSCUANGAD[[#This Row],[Structure Line]])</f>
        <v>Emerging Digital Experience Studio</v>
      </c>
      <c r="E62" s="27">
        <f>TableOSCUANGAD[[#This Row],[Credit Points]]</f>
        <v>25</v>
      </c>
      <c r="F62" s="32">
        <v>4</v>
      </c>
      <c r="G62" s="32" t="s">
        <v>289</v>
      </c>
      <c r="H62" s="75">
        <v>3</v>
      </c>
      <c r="I62" s="32" t="s">
        <v>290</v>
      </c>
      <c r="J62" s="32" t="s">
        <v>139</v>
      </c>
      <c r="K62" s="32">
        <v>3</v>
      </c>
      <c r="L62" s="32" t="s">
        <v>360</v>
      </c>
      <c r="M62" s="32">
        <v>25</v>
      </c>
      <c r="N62" s="40">
        <v>46023</v>
      </c>
      <c r="O62" s="40"/>
      <c r="Q62" t="s">
        <v>139</v>
      </c>
      <c r="R62">
        <v>2</v>
      </c>
    </row>
    <row r="63" spans="1:18" x14ac:dyDescent="0.25">
      <c r="A63" t="str">
        <f>TableOSCUANGAD[[#This Row],[Study Package Code]]</f>
        <v>WORK3002</v>
      </c>
      <c r="B63" s="2">
        <f>TableOSCUANGAD[[#This Row],[Ver]]</f>
        <v>1</v>
      </c>
      <c r="C63" s="2" t="str">
        <f>IF(TableOSCUANGAD[[#This Row],[Ver]]&gt;0,_xlfn.TEXTBEFORE(TableOSCUANGAD[[#This Row],[Structure Line]]," "),"")</f>
        <v>WBP300</v>
      </c>
      <c r="D63" t="str">
        <f>IF(TableOSCUANGAD[[#This Row],[OUA Code]]&lt;&gt;"",_xlfn.TEXTAFTER(TableOSCUANGAD[[#This Row],[Structure Line]]," "),TableOSCUANGAD[[#This Row],[Structure Line]])</f>
        <v>Work Based Project</v>
      </c>
      <c r="E63" s="27">
        <f>TableOSCUANGAD[[#This Row],[Credit Points]]</f>
        <v>25</v>
      </c>
      <c r="F63" s="32">
        <v>4</v>
      </c>
      <c r="G63" s="32" t="s">
        <v>289</v>
      </c>
      <c r="H63" s="75">
        <v>3</v>
      </c>
      <c r="I63" s="32" t="s">
        <v>290</v>
      </c>
      <c r="J63" s="32" t="s">
        <v>144</v>
      </c>
      <c r="K63" s="32">
        <v>1</v>
      </c>
      <c r="L63" s="32" t="s">
        <v>314</v>
      </c>
      <c r="M63" s="32">
        <v>25</v>
      </c>
      <c r="N63" s="40">
        <v>44287</v>
      </c>
      <c r="O63" s="40"/>
      <c r="Q63" t="s">
        <v>144</v>
      </c>
      <c r="R63">
        <v>1</v>
      </c>
    </row>
    <row r="64" spans="1:18" x14ac:dyDescent="0.25">
      <c r="B64"/>
      <c r="E64"/>
      <c r="F64" s="26"/>
      <c r="G64" s="66" t="s">
        <v>277</v>
      </c>
      <c r="H64" s="76">
        <v>45986</v>
      </c>
      <c r="I64" s="65"/>
      <c r="J64" s="65" t="s">
        <v>87</v>
      </c>
      <c r="K64" s="70">
        <v>2</v>
      </c>
      <c r="L64" s="65" t="s">
        <v>86</v>
      </c>
      <c r="M64" s="65"/>
      <c r="N64" s="71">
        <v>45658</v>
      </c>
      <c r="O64" s="67"/>
    </row>
    <row r="65" spans="1:18" x14ac:dyDescent="0.25">
      <c r="A65" t="s">
        <v>0</v>
      </c>
      <c r="B65" s="2" t="s">
        <v>278</v>
      </c>
      <c r="C65" t="s">
        <v>18</v>
      </c>
      <c r="D65" t="s">
        <v>3</v>
      </c>
      <c r="E65" s="27" t="s">
        <v>279</v>
      </c>
      <c r="F65" t="s">
        <v>280</v>
      </c>
      <c r="G65" t="s">
        <v>281</v>
      </c>
      <c r="H65" s="2" t="s">
        <v>282</v>
      </c>
      <c r="I65" t="s">
        <v>19</v>
      </c>
      <c r="J65" t="s">
        <v>283</v>
      </c>
      <c r="K65" t="s">
        <v>1</v>
      </c>
      <c r="L65" t="s">
        <v>284</v>
      </c>
      <c r="M65" t="s">
        <v>49</v>
      </c>
      <c r="N65" t="s">
        <v>285</v>
      </c>
      <c r="O65" s="38" t="s">
        <v>286</v>
      </c>
      <c r="Q65" t="s">
        <v>287</v>
      </c>
      <c r="R65" t="s">
        <v>288</v>
      </c>
    </row>
    <row r="66" spans="1:18" x14ac:dyDescent="0.25">
      <c r="A66" t="str">
        <f>TableOSCUCONMS[[#This Row],[Study Package Code]]</f>
        <v>BLDG1005</v>
      </c>
      <c r="B66" s="2">
        <f>TableOSCUCONMS[[#This Row],[Ver]]</f>
        <v>2</v>
      </c>
      <c r="C66" s="2" t="str">
        <f>IF(TableOSCUCONMS[[#This Row],[Ver]]&gt;0,_xlfn.TEXTBEFORE(TableOSCUCONMS[[#This Row],[Structure Line]]," "),"")</f>
        <v>CME101</v>
      </c>
      <c r="D66" t="str">
        <f>IF(TableOSCUCONMS[[#This Row],[OUA Code]]&lt;&gt;"",_xlfn.TEXTAFTER(TableOSCUCONMS[[#This Row],[Structure Line]]," "),TableOSCUCONMS[[#This Row],[Structure Line]])</f>
        <v>Low Rise Construction</v>
      </c>
      <c r="E66" s="27">
        <f>TableOSCUCONMS[[#This Row],[Credit Points]]</f>
        <v>25</v>
      </c>
      <c r="F66" s="32">
        <v>1</v>
      </c>
      <c r="G66" s="32" t="s">
        <v>291</v>
      </c>
      <c r="H66" s="75">
        <v>0</v>
      </c>
      <c r="I66" s="32" t="s">
        <v>290</v>
      </c>
      <c r="J66" s="32" t="s">
        <v>117</v>
      </c>
      <c r="K66" s="32">
        <v>2</v>
      </c>
      <c r="L66" s="32" t="s">
        <v>315</v>
      </c>
      <c r="M66" s="32">
        <v>25</v>
      </c>
      <c r="N66" s="40">
        <v>43466</v>
      </c>
      <c r="O66" s="40"/>
      <c r="Q66" t="s">
        <v>117</v>
      </c>
      <c r="R66">
        <v>2</v>
      </c>
    </row>
    <row r="67" spans="1:18" x14ac:dyDescent="0.25">
      <c r="A67" t="str">
        <f>TableOSCUCONMS[[#This Row],[Study Package Code]]</f>
        <v>BLDG1006</v>
      </c>
      <c r="B67" s="2">
        <f>TableOSCUCONMS[[#This Row],[Ver]]</f>
        <v>3</v>
      </c>
      <c r="C67" s="2" t="str">
        <f>IF(TableOSCUCONMS[[#This Row],[Ver]]&gt;0,_xlfn.TEXTBEFORE(TableOSCUCONMS[[#This Row],[Structure Line]]," "),"")</f>
        <v>CME106</v>
      </c>
      <c r="D67" t="str">
        <f>IF(TableOSCUCONMS[[#This Row],[OUA Code]]&lt;&gt;"",_xlfn.TEXTAFTER(TableOSCUCONMS[[#This Row],[Structure Line]]," "),TableOSCUCONMS[[#This Row],[Structure Line]])</f>
        <v>High-rise Construction</v>
      </c>
      <c r="E67" s="27">
        <f>TableOSCUCONMS[[#This Row],[Credit Points]]</f>
        <v>25</v>
      </c>
      <c r="F67" s="32">
        <v>2</v>
      </c>
      <c r="G67" s="32" t="s">
        <v>291</v>
      </c>
      <c r="H67" s="75">
        <v>0</v>
      </c>
      <c r="I67" s="32" t="s">
        <v>290</v>
      </c>
      <c r="J67" s="32" t="s">
        <v>123</v>
      </c>
      <c r="K67" s="32">
        <v>3</v>
      </c>
      <c r="L67" s="32" t="s">
        <v>316</v>
      </c>
      <c r="M67" s="32">
        <v>25</v>
      </c>
      <c r="N67" s="40">
        <v>44927</v>
      </c>
      <c r="O67" s="40"/>
      <c r="Q67" t="s">
        <v>123</v>
      </c>
      <c r="R67">
        <v>0</v>
      </c>
    </row>
    <row r="68" spans="1:18" x14ac:dyDescent="0.25">
      <c r="A68" t="str">
        <f>TableOSCUCONMS[[#This Row],[Study Package Code]]</f>
        <v>BLDG2027</v>
      </c>
      <c r="B68" s="2">
        <f>TableOSCUCONMS[[#This Row],[Ver]]</f>
        <v>3</v>
      </c>
      <c r="C68" s="2" t="str">
        <f>IF(TableOSCUCONMS[[#This Row],[Ver]]&gt;0,_xlfn.TEXTBEFORE(TableOSCUCONMS[[#This Row],[Structure Line]]," "),"")</f>
        <v>CME206</v>
      </c>
      <c r="D68" t="str">
        <f>IF(TableOSCUCONMS[[#This Row],[OUA Code]]&lt;&gt;"",_xlfn.TEXTAFTER(TableOSCUCONMS[[#This Row],[Structure Line]]," "),TableOSCUCONMS[[#This Row],[Structure Line]])</f>
        <v>Building Surveying</v>
      </c>
      <c r="E68" s="27">
        <f>TableOSCUCONMS[[#This Row],[Credit Points]]</f>
        <v>25</v>
      </c>
      <c r="F68" s="32">
        <v>3</v>
      </c>
      <c r="G68" s="32" t="s">
        <v>291</v>
      </c>
      <c r="H68" s="75">
        <v>0</v>
      </c>
      <c r="I68" s="32" t="s">
        <v>290</v>
      </c>
      <c r="J68" s="32" t="s">
        <v>128</v>
      </c>
      <c r="K68" s="32">
        <v>3</v>
      </c>
      <c r="L68" s="32" t="s">
        <v>317</v>
      </c>
      <c r="M68" s="32">
        <v>25</v>
      </c>
      <c r="N68" s="40">
        <v>43466</v>
      </c>
      <c r="O68" s="40"/>
      <c r="Q68" t="s">
        <v>128</v>
      </c>
      <c r="R68">
        <v>3</v>
      </c>
    </row>
    <row r="69" spans="1:18" x14ac:dyDescent="0.25">
      <c r="A69" t="str">
        <f>TableOSCUCONMS[[#This Row],[Study Package Code]]</f>
        <v>AC-CONMS</v>
      </c>
      <c r="B69" s="2">
        <f>TableOSCUCONMS[[#This Row],[Ver]]</f>
        <v>0</v>
      </c>
      <c r="C69" s="2" t="str">
        <f>IF(TableOSCUCONMS[[#This Row],[Ver]]&gt;0,_xlfn.TEXTBEFORE(TableOSCUCONMS[[#This Row],[Structure Line]]," "),"")</f>
        <v/>
      </c>
      <c r="D69" t="str">
        <f>IF(TableOSCUCONMS[[#This Row],[OUA Code]]&lt;&gt;"",_xlfn.TEXTAFTER(TableOSCUCONMS[[#This Row],[Structure Line]]," "),TableOSCUCONMS[[#This Row],[Structure Line]])</f>
        <v>Choose BLDG2028 or BLDG2021</v>
      </c>
      <c r="E69" s="27">
        <f>TableOSCUCONMS[[#This Row],[Credit Points]]</f>
        <v>25</v>
      </c>
      <c r="F69" s="32">
        <v>4</v>
      </c>
      <c r="G69" s="32" t="s">
        <v>289</v>
      </c>
      <c r="H69" s="75">
        <v>0</v>
      </c>
      <c r="I69" s="32" t="s">
        <v>290</v>
      </c>
      <c r="J69" s="32" t="s">
        <v>135</v>
      </c>
      <c r="K69" s="32">
        <v>0</v>
      </c>
      <c r="L69" s="32" t="s">
        <v>346</v>
      </c>
      <c r="M69" s="32">
        <v>25</v>
      </c>
      <c r="N69" s="40"/>
      <c r="O69" s="40"/>
      <c r="Q69" t="s">
        <v>135</v>
      </c>
      <c r="R69">
        <v>0</v>
      </c>
    </row>
    <row r="70" spans="1:18" x14ac:dyDescent="0.25">
      <c r="A70" t="str">
        <f>TableOSCUCONMS[[#This Row],[Study Package Code]]</f>
        <v>BLDG2021</v>
      </c>
      <c r="B70" s="2">
        <f>TableOSCUCONMS[[#This Row],[Ver]]</f>
        <v>1</v>
      </c>
      <c r="C70" s="2" t="str">
        <f>IF(TableOSCUCONMS[[#This Row],[Ver]]&gt;0,_xlfn.TEXTBEFORE(TableOSCUCONMS[[#This Row],[Structure Line]]," "),"")</f>
        <v>CME203</v>
      </c>
      <c r="D70" t="str">
        <f>IF(TableOSCUCONMS[[#This Row],[OUA Code]]&lt;&gt;"",_xlfn.TEXTAFTER(TableOSCUCONMS[[#This Row],[Structure Line]]," "),TableOSCUCONMS[[#This Row],[Structure Line]])</f>
        <v>Specialised Construction</v>
      </c>
      <c r="E70" s="27">
        <f>TableOSCUCONMS[[#This Row],[Credit Points]]</f>
        <v>25</v>
      </c>
      <c r="F70" s="32">
        <v>4</v>
      </c>
      <c r="G70" s="32" t="s">
        <v>289</v>
      </c>
      <c r="H70" s="75">
        <v>0</v>
      </c>
      <c r="I70" s="32" t="s">
        <v>290</v>
      </c>
      <c r="J70" s="32" t="s">
        <v>145</v>
      </c>
      <c r="K70" s="32">
        <v>1</v>
      </c>
      <c r="L70" s="32" t="s">
        <v>318</v>
      </c>
      <c r="M70" s="32">
        <v>25</v>
      </c>
      <c r="N70" s="40">
        <v>42005</v>
      </c>
      <c r="O70" s="40"/>
      <c r="Q70" t="s">
        <v>145</v>
      </c>
      <c r="R70">
        <v>0</v>
      </c>
    </row>
    <row r="71" spans="1:18" x14ac:dyDescent="0.25">
      <c r="A71" t="str">
        <f>TableOSCUCONMS[[#This Row],[Study Package Code]]</f>
        <v>BLDG2028</v>
      </c>
      <c r="B71" s="2">
        <f>TableOSCUCONMS[[#This Row],[Ver]]</f>
        <v>3</v>
      </c>
      <c r="C71" s="2" t="str">
        <f>IF(TableOSCUCONMS[[#This Row],[Ver]]&gt;0,_xlfn.TEXTBEFORE(TableOSCUCONMS[[#This Row],[Structure Line]]," "),"")</f>
        <v>CME205</v>
      </c>
      <c r="D71" t="str">
        <f>IF(TableOSCUCONMS[[#This Row],[OUA Code]]&lt;&gt;"",_xlfn.TEXTAFTER(TableOSCUCONMS[[#This Row],[Structure Line]]," "),TableOSCUCONMS[[#This Row],[Structure Line]])</f>
        <v>Building Information Management and Modelling</v>
      </c>
      <c r="E71" s="27">
        <f>TableOSCUCONMS[[#This Row],[Credit Points]]</f>
        <v>25</v>
      </c>
      <c r="F71" s="32">
        <v>4</v>
      </c>
      <c r="G71" s="32" t="s">
        <v>289</v>
      </c>
      <c r="H71" s="75">
        <v>0</v>
      </c>
      <c r="I71" s="32" t="s">
        <v>290</v>
      </c>
      <c r="J71" s="32" t="s">
        <v>140</v>
      </c>
      <c r="K71" s="32">
        <v>3</v>
      </c>
      <c r="L71" s="32" t="s">
        <v>319</v>
      </c>
      <c r="M71" s="32">
        <v>25</v>
      </c>
      <c r="N71" s="40">
        <v>44927</v>
      </c>
      <c r="O71" s="40"/>
      <c r="Q71" t="s">
        <v>140</v>
      </c>
      <c r="R71">
        <v>0</v>
      </c>
    </row>
    <row r="72" spans="1:18" x14ac:dyDescent="0.25">
      <c r="B72"/>
      <c r="E72"/>
      <c r="F72" s="26"/>
      <c r="G72" s="66" t="s">
        <v>277</v>
      </c>
      <c r="H72" s="76">
        <v>46031</v>
      </c>
      <c r="I72" s="65"/>
      <c r="J72" s="65" t="s">
        <v>96</v>
      </c>
      <c r="K72" s="70">
        <v>3</v>
      </c>
      <c r="L72" s="65" t="s">
        <v>95</v>
      </c>
      <c r="M72" s="65"/>
      <c r="N72" s="71">
        <v>45292</v>
      </c>
      <c r="O72" s="67"/>
    </row>
    <row r="73" spans="1:18" x14ac:dyDescent="0.25">
      <c r="A73" t="s">
        <v>0</v>
      </c>
      <c r="B73" s="2" t="s">
        <v>278</v>
      </c>
      <c r="C73" t="s">
        <v>18</v>
      </c>
      <c r="D73" t="s">
        <v>3</v>
      </c>
      <c r="E73" s="27" t="s">
        <v>279</v>
      </c>
      <c r="F73" t="s">
        <v>280</v>
      </c>
      <c r="G73" t="s">
        <v>281</v>
      </c>
      <c r="H73" s="2" t="s">
        <v>282</v>
      </c>
      <c r="I73" t="s">
        <v>19</v>
      </c>
      <c r="J73" t="s">
        <v>283</v>
      </c>
      <c r="K73" t="s">
        <v>1</v>
      </c>
      <c r="L73" t="s">
        <v>284</v>
      </c>
      <c r="M73" t="s">
        <v>49</v>
      </c>
      <c r="N73" t="s">
        <v>285</v>
      </c>
      <c r="O73" s="38" t="s">
        <v>286</v>
      </c>
      <c r="Q73" t="s">
        <v>287</v>
      </c>
      <c r="R73" t="s">
        <v>288</v>
      </c>
    </row>
    <row r="74" spans="1:18" x14ac:dyDescent="0.25">
      <c r="A74" t="str">
        <f>TableOSCUINARS[[#This Row],[Study Package Code]]</f>
        <v>INAR2023</v>
      </c>
      <c r="B74" s="2">
        <f>TableOSCUINARS[[#This Row],[Ver]]</f>
        <v>1</v>
      </c>
      <c r="C74" s="2" t="str">
        <f>IF(TableOSCUINARS[[#This Row],[Ver]]&gt;0,_xlfn.TEXTBEFORE(TableOSCUINARS[[#This Row],[Structure Line]]," "),"")</f>
        <v>BIA280</v>
      </c>
      <c r="D74" t="str">
        <f>IF(TableOSCUINARS[[#This Row],[OUA Code]]&lt;&gt;"",_xlfn.TEXTAFTER(TableOSCUINARS[[#This Row],[Structure Line]]," "),TableOSCUINARS[[#This Row],[Structure Line]])</f>
        <v>Philosophy and Practice</v>
      </c>
      <c r="E74" s="27">
        <f>TableOSCUINARS[[#This Row],[Credit Points]]</f>
        <v>25</v>
      </c>
      <c r="F74" s="32">
        <v>1</v>
      </c>
      <c r="G74" s="32" t="s">
        <v>291</v>
      </c>
      <c r="H74" s="75">
        <v>0</v>
      </c>
      <c r="I74" s="32" t="s">
        <v>290</v>
      </c>
      <c r="J74" s="32" t="s">
        <v>136</v>
      </c>
      <c r="K74" s="32">
        <v>1</v>
      </c>
      <c r="L74" s="32" t="s">
        <v>361</v>
      </c>
      <c r="M74" s="32">
        <v>25</v>
      </c>
      <c r="N74" s="40">
        <v>44562</v>
      </c>
      <c r="O74" s="40"/>
      <c r="Q74" t="s">
        <v>136</v>
      </c>
      <c r="R74">
        <v>1</v>
      </c>
    </row>
    <row r="75" spans="1:18" x14ac:dyDescent="0.25">
      <c r="A75" t="str">
        <f>TableOSCUINARS[[#This Row],[Study Package Code]]</f>
        <v>INAR3021</v>
      </c>
      <c r="B75" s="2">
        <f>TableOSCUINARS[[#This Row],[Ver]]</f>
        <v>1</v>
      </c>
      <c r="C75" s="2" t="str">
        <f>IF(TableOSCUINARS[[#This Row],[Ver]]&gt;0,_xlfn.TEXTBEFORE(TableOSCUINARS[[#This Row],[Structure Line]]," "),"")</f>
        <v>BIA390</v>
      </c>
      <c r="D75" t="str">
        <f>IF(TableOSCUINARS[[#This Row],[OUA Code]]&lt;&gt;"",_xlfn.TEXTAFTER(TableOSCUINARS[[#This Row],[Structure Line]]," "),TableOSCUINARS[[#This Row],[Structure Line]])</f>
        <v>Furniture Design</v>
      </c>
      <c r="E75" s="27">
        <f>TableOSCUINARS[[#This Row],[Credit Points]]</f>
        <v>25</v>
      </c>
      <c r="F75" s="32">
        <v>2</v>
      </c>
      <c r="G75" s="32" t="s">
        <v>291</v>
      </c>
      <c r="H75" s="75">
        <v>0</v>
      </c>
      <c r="I75" s="32" t="s">
        <v>290</v>
      </c>
      <c r="J75" s="32" t="s">
        <v>141</v>
      </c>
      <c r="K75" s="32">
        <v>1</v>
      </c>
      <c r="L75" s="32" t="s">
        <v>362</v>
      </c>
      <c r="M75" s="32">
        <v>25</v>
      </c>
      <c r="N75" s="40">
        <v>45292</v>
      </c>
      <c r="O75" s="40"/>
      <c r="Q75" t="s">
        <v>141</v>
      </c>
      <c r="R75">
        <v>1</v>
      </c>
    </row>
    <row r="76" spans="1:18" x14ac:dyDescent="0.25">
      <c r="A76" t="str">
        <f>TableOSCUINARS[[#This Row],[Study Package Code]]</f>
        <v>AC-INARS</v>
      </c>
      <c r="B76" s="2">
        <f>TableOSCUINARS[[#This Row],[Ver]]</f>
        <v>0</v>
      </c>
      <c r="C76" s="2" t="str">
        <f>IF(TableOSCUINARS[[#This Row],[Ver]]&gt;0,_xlfn.TEXTBEFORE(TableOSCUINARS[[#This Row],[Structure Line]]," "),"")</f>
        <v/>
      </c>
      <c r="D76" t="str">
        <f>IF(TableOSCUINARS[[#This Row],[OUA Code]]&lt;&gt;"",_xlfn.TEXTAFTER(TableOSCUINARS[[#This Row],[Structure Line]]," "),TableOSCUINARS[[#This Row],[Structure Line]])</f>
        <v>Choose INAR1011 BIA140 or INAR1015 BIA170</v>
      </c>
      <c r="E76" s="27">
        <f>TableOSCUINARS[[#This Row],[Credit Points]]</f>
        <v>25</v>
      </c>
      <c r="F76" s="32">
        <v>3</v>
      </c>
      <c r="G76" s="32" t="s">
        <v>289</v>
      </c>
      <c r="H76" s="75">
        <v>0</v>
      </c>
      <c r="I76" s="32" t="s">
        <v>290</v>
      </c>
      <c r="J76" s="32" t="s">
        <v>113</v>
      </c>
      <c r="K76" s="32">
        <v>0</v>
      </c>
      <c r="L76" s="32" t="s">
        <v>363</v>
      </c>
      <c r="M76" s="32">
        <v>25</v>
      </c>
      <c r="N76" s="40"/>
      <c r="O76" s="40"/>
      <c r="Q76" t="s">
        <v>113</v>
      </c>
      <c r="R76">
        <v>0</v>
      </c>
    </row>
    <row r="77" spans="1:18" x14ac:dyDescent="0.25">
      <c r="A77" t="str">
        <f>TableOSCUINARS[[#This Row],[Study Package Code]]</f>
        <v>Opt-INARS</v>
      </c>
      <c r="B77" s="2">
        <f>TableOSCUINARS[[#This Row],[Ver]]</f>
        <v>0</v>
      </c>
      <c r="C77" s="2" t="str">
        <f>IF(TableOSCUINARS[[#This Row],[Ver]]&gt;0,_xlfn.TEXTBEFORE(TableOSCUINARS[[#This Row],[Structure Line]]," "),"")</f>
        <v/>
      </c>
      <c r="D77" t="str">
        <f>IF(TableOSCUINARS[[#This Row],[OUA Code]]&lt;&gt;"",_xlfn.TEXTAFTER(TableOSCUINARS[[#This Row],[Structure Line]]," "),TableOSCUINARS[[#This Row],[Structure Line]])</f>
        <v>Choose an Option</v>
      </c>
      <c r="E77" s="27">
        <f>TableOSCUINARS[[#This Row],[Credit Points]]</f>
        <v>25</v>
      </c>
      <c r="F77" s="32">
        <v>4</v>
      </c>
      <c r="G77" s="32" t="s">
        <v>364</v>
      </c>
      <c r="H77" s="75">
        <v>0</v>
      </c>
      <c r="I77" s="32" t="s">
        <v>290</v>
      </c>
      <c r="J77" s="32" t="s">
        <v>147</v>
      </c>
      <c r="K77" s="32">
        <v>0</v>
      </c>
      <c r="L77" s="32" t="s">
        <v>365</v>
      </c>
      <c r="M77" s="32">
        <v>25</v>
      </c>
      <c r="N77" s="40"/>
      <c r="O77" s="40"/>
      <c r="Q77" t="s">
        <v>147</v>
      </c>
      <c r="R77">
        <v>0</v>
      </c>
    </row>
    <row r="78" spans="1:18" x14ac:dyDescent="0.25">
      <c r="A78" t="str">
        <f>TableOSCUINARS[[#This Row],[Study Package Code]]</f>
        <v>INAR1011</v>
      </c>
      <c r="B78" s="2">
        <f>TableOSCUINARS[[#This Row],[Ver]]</f>
        <v>4</v>
      </c>
      <c r="C78" s="2" t="str">
        <f>IF(TableOSCUINARS[[#This Row],[Ver]]&gt;0,_xlfn.TEXTBEFORE(TableOSCUINARS[[#This Row],[Structure Line]]," "),"")</f>
        <v>BIA140</v>
      </c>
      <c r="D78" t="str">
        <f>IF(TableOSCUINARS[[#This Row],[OUA Code]]&lt;&gt;"",_xlfn.TEXTAFTER(TableOSCUINARS[[#This Row],[Structure Line]]," "),TableOSCUINARS[[#This Row],[Structure Line]])</f>
        <v>Interior Architecture Studio - Foundation</v>
      </c>
      <c r="E78" s="27">
        <f>TableOSCUINARS[[#This Row],[Credit Points]]</f>
        <v>25</v>
      </c>
      <c r="F78" s="32">
        <v>3</v>
      </c>
      <c r="G78" s="32" t="s">
        <v>289</v>
      </c>
      <c r="H78" s="75">
        <v>0</v>
      </c>
      <c r="I78" s="32" t="s">
        <v>290</v>
      </c>
      <c r="J78" s="32" t="s">
        <v>118</v>
      </c>
      <c r="K78" s="32">
        <v>4</v>
      </c>
      <c r="L78" s="32" t="s">
        <v>366</v>
      </c>
      <c r="M78" s="32">
        <v>25</v>
      </c>
      <c r="N78" s="40">
        <v>45292</v>
      </c>
      <c r="O78" s="40"/>
      <c r="Q78" t="s">
        <v>118</v>
      </c>
      <c r="R78">
        <v>4</v>
      </c>
    </row>
    <row r="79" spans="1:18" x14ac:dyDescent="0.25">
      <c r="A79" t="str">
        <f>TableOSCUINARS[[#This Row],[Study Package Code]]</f>
        <v>INAR1015</v>
      </c>
      <c r="B79" s="2">
        <f>TableOSCUINARS[[#This Row],[Ver]]</f>
        <v>1</v>
      </c>
      <c r="C79" s="2" t="str">
        <f>IF(TableOSCUINARS[[#This Row],[Ver]]&gt;0,_xlfn.TEXTBEFORE(TableOSCUINARS[[#This Row],[Structure Line]]," "),"")</f>
        <v>BIA170</v>
      </c>
      <c r="D79" t="str">
        <f>IF(TableOSCUINARS[[#This Row],[OUA Code]]&lt;&gt;"",_xlfn.TEXTAFTER(TableOSCUINARS[[#This Row],[Structure Line]]," "),TableOSCUINARS[[#This Row],[Structure Line]])</f>
        <v>History of the Interior</v>
      </c>
      <c r="E79" s="27">
        <f>TableOSCUINARS[[#This Row],[Credit Points]]</f>
        <v>25</v>
      </c>
      <c r="F79" s="32">
        <v>3</v>
      </c>
      <c r="G79" s="32" t="s">
        <v>289</v>
      </c>
      <c r="H79" s="75">
        <v>0</v>
      </c>
      <c r="I79" s="32" t="s">
        <v>290</v>
      </c>
      <c r="J79" s="32" t="s">
        <v>124</v>
      </c>
      <c r="K79" s="32">
        <v>1</v>
      </c>
      <c r="L79" s="32" t="s">
        <v>367</v>
      </c>
      <c r="M79" s="32">
        <v>25</v>
      </c>
      <c r="N79" s="40">
        <v>43101</v>
      </c>
      <c r="O79" s="40"/>
      <c r="Q79" t="s">
        <v>124</v>
      </c>
      <c r="R79">
        <v>1</v>
      </c>
    </row>
    <row r="80" spans="1:18" x14ac:dyDescent="0.25">
      <c r="A80" t="str">
        <f>TableOSCUINARS[[#This Row],[Study Package Code]]</f>
        <v>INAR2015</v>
      </c>
      <c r="B80" s="2">
        <f>TableOSCUINARS[[#This Row],[Ver]]</f>
        <v>4</v>
      </c>
      <c r="C80" s="2" t="str">
        <f>IF(TableOSCUINARS[[#This Row],[Ver]]&gt;0,_xlfn.TEXTBEFORE(TableOSCUINARS[[#This Row],[Structure Line]]," "),"")</f>
        <v>BIA250</v>
      </c>
      <c r="D80" t="str">
        <f>IF(TableOSCUINARS[[#This Row],[OUA Code]]&lt;&gt;"",_xlfn.TEXTAFTER(TableOSCUINARS[[#This Row],[Structure Line]]," "),TableOSCUINARS[[#This Row],[Structure Line]])</f>
        <v>Interior Architecture Studio – Community</v>
      </c>
      <c r="E80" s="27">
        <f>TableOSCUINARS[[#This Row],[Credit Points]]</f>
        <v>25</v>
      </c>
      <c r="F80" s="32">
        <v>4</v>
      </c>
      <c r="G80" s="32" t="s">
        <v>364</v>
      </c>
      <c r="H80" s="75">
        <v>0</v>
      </c>
      <c r="I80" s="32" t="s">
        <v>290</v>
      </c>
      <c r="J80" s="32" t="s">
        <v>149</v>
      </c>
      <c r="K80" s="32">
        <v>4</v>
      </c>
      <c r="L80" s="32" t="s">
        <v>368</v>
      </c>
      <c r="M80" s="32">
        <v>25</v>
      </c>
      <c r="N80" s="40">
        <v>45292</v>
      </c>
      <c r="O80" s="40"/>
      <c r="Q80" t="s">
        <v>149</v>
      </c>
      <c r="R80">
        <v>4</v>
      </c>
    </row>
    <row r="81" spans="1:18" x14ac:dyDescent="0.25">
      <c r="A81" t="str">
        <f>TableOSCUINARS[[#This Row],[Study Package Code]]</f>
        <v>INAR2025</v>
      </c>
      <c r="B81" s="2">
        <f>TableOSCUINARS[[#This Row],[Ver]]</f>
        <v>1</v>
      </c>
      <c r="C81" s="2" t="str">
        <f>IF(TableOSCUINARS[[#This Row],[Ver]]&gt;0,_xlfn.TEXTBEFORE(TableOSCUINARS[[#This Row],[Structure Line]]," "),"")</f>
        <v>BIA290</v>
      </c>
      <c r="D81" t="str">
        <f>IF(TableOSCUINARS[[#This Row],[OUA Code]]&lt;&gt;"",_xlfn.TEXTAFTER(TableOSCUINARS[[#This Row],[Structure Line]]," "),TableOSCUINARS[[#This Row],[Structure Line]])</f>
        <v>Design Fabrication</v>
      </c>
      <c r="E81" s="27">
        <f>TableOSCUINARS[[#This Row],[Credit Points]]</f>
        <v>25</v>
      </c>
      <c r="F81" s="32">
        <v>4</v>
      </c>
      <c r="G81" s="32" t="s">
        <v>364</v>
      </c>
      <c r="H81" s="75">
        <v>0</v>
      </c>
      <c r="I81" s="32" t="s">
        <v>290</v>
      </c>
      <c r="J81" s="32" t="s">
        <v>151</v>
      </c>
      <c r="K81" s="32">
        <v>1</v>
      </c>
      <c r="L81" s="32" t="s">
        <v>369</v>
      </c>
      <c r="M81" s="32">
        <v>25</v>
      </c>
      <c r="N81" s="40">
        <v>45292</v>
      </c>
      <c r="O81" s="40"/>
      <c r="Q81" t="s">
        <v>151</v>
      </c>
      <c r="R81">
        <v>1</v>
      </c>
    </row>
    <row r="82" spans="1:18" x14ac:dyDescent="0.25">
      <c r="A82" t="str">
        <f>TableOSCUINARS[[#This Row],[Study Package Code]]</f>
        <v>WORK3002</v>
      </c>
      <c r="B82" s="2">
        <f>TableOSCUINARS[[#This Row],[Ver]]</f>
        <v>1</v>
      </c>
      <c r="C82" s="2" t="str">
        <f>IF(TableOSCUINARS[[#This Row],[Ver]]&gt;0,_xlfn.TEXTBEFORE(TableOSCUINARS[[#This Row],[Structure Line]]," "),"")</f>
        <v>WBP300</v>
      </c>
      <c r="D82" t="str">
        <f>IF(TableOSCUINARS[[#This Row],[OUA Code]]&lt;&gt;"",_xlfn.TEXTAFTER(TableOSCUINARS[[#This Row],[Structure Line]]," "),TableOSCUINARS[[#This Row],[Structure Line]])</f>
        <v>Work Based Project</v>
      </c>
      <c r="E82" s="27">
        <f>TableOSCUINARS[[#This Row],[Credit Points]]</f>
        <v>25</v>
      </c>
      <c r="F82" s="32">
        <v>4</v>
      </c>
      <c r="G82" s="32" t="s">
        <v>364</v>
      </c>
      <c r="H82" s="75">
        <v>0</v>
      </c>
      <c r="I82" s="32" t="s">
        <v>290</v>
      </c>
      <c r="J82" s="32" t="s">
        <v>144</v>
      </c>
      <c r="K82" s="32">
        <v>1</v>
      </c>
      <c r="L82" s="32" t="s">
        <v>314</v>
      </c>
      <c r="M82" s="32">
        <v>25</v>
      </c>
      <c r="N82" s="40">
        <v>44287</v>
      </c>
      <c r="O82" s="40"/>
      <c r="Q82" t="s">
        <v>269</v>
      </c>
      <c r="R82">
        <v>3</v>
      </c>
    </row>
    <row r="83" spans="1:18" x14ac:dyDescent="0.25">
      <c r="A83" t="str">
        <f>TableOSCUINARS[[#This Row],[Study Package Code]]</f>
        <v>WORK3006</v>
      </c>
      <c r="B83" s="2">
        <f>TableOSCUINARS[[#This Row],[Ver]]</f>
        <v>1</v>
      </c>
      <c r="C83" s="2" t="s">
        <v>156</v>
      </c>
      <c r="D83" t="str">
        <f>TableOSCUINARS[[#This Row],[Structure Line]]</f>
        <v>Go Global - Internship 4</v>
      </c>
      <c r="E83" s="27">
        <f>TableOSCUINARS[[#This Row],[Credit Points]]</f>
        <v>25</v>
      </c>
      <c r="F83" s="32">
        <v>4</v>
      </c>
      <c r="G83" s="32" t="s">
        <v>364</v>
      </c>
      <c r="H83" s="75">
        <v>0</v>
      </c>
      <c r="I83" s="32" t="s">
        <v>290</v>
      </c>
      <c r="J83" s="32" t="s">
        <v>156</v>
      </c>
      <c r="K83" s="32">
        <v>1</v>
      </c>
      <c r="L83" s="32" t="s">
        <v>370</v>
      </c>
      <c r="M83" s="32">
        <v>25</v>
      </c>
      <c r="N83" s="40">
        <v>44743</v>
      </c>
      <c r="O83" s="40"/>
      <c r="Q83" t="s">
        <v>159</v>
      </c>
      <c r="R83">
        <v>1</v>
      </c>
    </row>
    <row r="84" spans="1:18" x14ac:dyDescent="0.25">
      <c r="A84">
        <f>TableOSCUINARS[[#This Row],[Study Package Code]]</f>
        <v>0</v>
      </c>
      <c r="B84" s="2">
        <f>TableOSCUINARS[[#This Row],[Ver]]</f>
        <v>0</v>
      </c>
      <c r="C84" s="2" t="str">
        <f>IF(TableOSCUINARS[[#This Row],[Ver]]&gt;0,_xlfn.TEXTBEFORE(TableOSCUINARS[[#This Row],[Structure Line]]," "),"")</f>
        <v/>
      </c>
      <c r="D84">
        <f>IF(TableOSCUINARS[[#This Row],[OUA Code]]&lt;&gt;"",_xlfn.TEXTAFTER(TableOSCUINARS[[#This Row],[Structure Line]]," "),TableOSCUINARS[[#This Row],[Structure Line]])</f>
        <v>0</v>
      </c>
      <c r="E84" s="27">
        <f>TableOSCUINARS[[#This Row],[Credit Points]]</f>
        <v>0</v>
      </c>
      <c r="F84" s="32"/>
      <c r="G84" s="32"/>
      <c r="H84" s="75"/>
      <c r="I84" s="32"/>
      <c r="J84" s="32"/>
      <c r="K84" s="32"/>
      <c r="L84" s="32"/>
      <c r="M84" s="32"/>
      <c r="N84" s="40"/>
      <c r="O84" s="40"/>
      <c r="Q84" t="s">
        <v>144</v>
      </c>
      <c r="R84">
        <v>1</v>
      </c>
    </row>
    <row r="85" spans="1:18" x14ac:dyDescent="0.25">
      <c r="A85">
        <f>TableOSCUINARS[[#This Row],[Study Package Code]]</f>
        <v>0</v>
      </c>
      <c r="B85" s="2">
        <f>TableOSCUINARS[[#This Row],[Ver]]</f>
        <v>0</v>
      </c>
      <c r="C85" s="2" t="str">
        <f>IF(TableOSCUINARS[[#This Row],[Ver]]&gt;0,_xlfn.TEXTBEFORE(TableOSCUINARS[[#This Row],[Structure Line]]," "),"")</f>
        <v/>
      </c>
      <c r="D85">
        <f>IF(TableOSCUINARS[[#This Row],[OUA Code]]&lt;&gt;"",_xlfn.TEXTAFTER(TableOSCUINARS[[#This Row],[Structure Line]]," "),TableOSCUINARS[[#This Row],[Structure Line]])</f>
        <v>0</v>
      </c>
      <c r="E85" s="27">
        <f>TableOSCUINARS[[#This Row],[Credit Points]]</f>
        <v>0</v>
      </c>
      <c r="F85" s="32"/>
      <c r="G85" s="32"/>
      <c r="H85" s="75"/>
      <c r="I85" s="32"/>
      <c r="J85" s="32"/>
      <c r="K85" s="32"/>
      <c r="L85" s="32"/>
      <c r="M85" s="32"/>
      <c r="N85" s="40"/>
      <c r="O85" s="40"/>
      <c r="Q85" t="s">
        <v>274</v>
      </c>
      <c r="R85">
        <v>1</v>
      </c>
    </row>
    <row r="86" spans="1:18" x14ac:dyDescent="0.25">
      <c r="B86"/>
      <c r="E86"/>
      <c r="F86" s="26"/>
      <c r="G86" s="66" t="s">
        <v>277</v>
      </c>
      <c r="H86" s="76">
        <v>45986</v>
      </c>
      <c r="I86" s="65"/>
      <c r="J86" s="65" t="s">
        <v>100</v>
      </c>
      <c r="K86" s="70">
        <v>1</v>
      </c>
      <c r="L86" s="65" t="s">
        <v>99</v>
      </c>
      <c r="M86" s="65"/>
      <c r="N86" s="71">
        <v>44743</v>
      </c>
      <c r="O86" s="67"/>
    </row>
    <row r="87" spans="1:18" x14ac:dyDescent="0.25">
      <c r="A87" t="s">
        <v>0</v>
      </c>
      <c r="B87" s="2" t="s">
        <v>278</v>
      </c>
      <c r="C87" t="s">
        <v>18</v>
      </c>
      <c r="D87" t="s">
        <v>3</v>
      </c>
      <c r="E87" s="27" t="s">
        <v>279</v>
      </c>
      <c r="F87" t="s">
        <v>280</v>
      </c>
      <c r="G87" t="s">
        <v>281</v>
      </c>
      <c r="H87" s="2" t="s">
        <v>282</v>
      </c>
      <c r="I87" t="s">
        <v>19</v>
      </c>
      <c r="J87" t="s">
        <v>283</v>
      </c>
      <c r="K87" t="s">
        <v>1</v>
      </c>
      <c r="L87" t="s">
        <v>284</v>
      </c>
      <c r="M87" t="s">
        <v>49</v>
      </c>
      <c r="N87" t="s">
        <v>285</v>
      </c>
      <c r="O87" s="38" t="s">
        <v>286</v>
      </c>
      <c r="Q87" t="s">
        <v>287</v>
      </c>
      <c r="R87" t="s">
        <v>288</v>
      </c>
    </row>
    <row r="88" spans="1:18" x14ac:dyDescent="0.25">
      <c r="A88" t="str">
        <f>TableOSCUPLGEO[[#This Row],[Study Package Code]]</f>
        <v>URDE1008</v>
      </c>
      <c r="B88" s="2">
        <f>TableOSCUPLGEO[[#This Row],[Ver]]</f>
        <v>1</v>
      </c>
      <c r="C88" s="2" t="str">
        <f>IF(TableOSCUPLGEO[[#This Row],[Ver]]&gt;0,_xlfn.TEXTBEFORE(TableOSCUPLGEO[[#This Row],[Structure Line]]," "),"")</f>
        <v>URP110</v>
      </c>
      <c r="D88" t="str">
        <f>IF(TableOSCUPLGEO[[#This Row],[OUA Code]]&lt;&gt;"",_xlfn.TEXTAFTER(TableOSCUPLGEO[[#This Row],[Structure Line]]," "),TableOSCUPLGEO[[#This Row],[Structure Line]])</f>
        <v>Introduction to Planning</v>
      </c>
      <c r="E88" s="27">
        <f>TableOSCUPLGEO[[#This Row],[Credit Points]]</f>
        <v>25</v>
      </c>
      <c r="F88" s="32">
        <v>1</v>
      </c>
      <c r="G88" s="32" t="s">
        <v>291</v>
      </c>
      <c r="H88" s="75">
        <v>1</v>
      </c>
      <c r="I88" s="32" t="s">
        <v>290</v>
      </c>
      <c r="J88" s="32" t="s">
        <v>125</v>
      </c>
      <c r="K88" s="32">
        <v>1</v>
      </c>
      <c r="L88" s="32" t="s">
        <v>320</v>
      </c>
      <c r="M88" s="32">
        <v>25</v>
      </c>
      <c r="N88" s="40">
        <v>42979</v>
      </c>
      <c r="O88" s="40"/>
      <c r="Q88" t="s">
        <v>125</v>
      </c>
      <c r="R88">
        <v>1</v>
      </c>
    </row>
    <row r="89" spans="1:18" x14ac:dyDescent="0.25">
      <c r="A89" t="str">
        <f>TableOSCUPLGEO[[#This Row],[Study Package Code]]</f>
        <v>URDE1007</v>
      </c>
      <c r="B89" s="2">
        <f>TableOSCUPLGEO[[#This Row],[Ver]]</f>
        <v>1</v>
      </c>
      <c r="C89" s="2" t="str">
        <f>IF(TableOSCUPLGEO[[#This Row],[Ver]]&gt;0,_xlfn.TEXTBEFORE(TableOSCUPLGEO[[#This Row],[Structure Line]]," "),"")</f>
        <v>URP100</v>
      </c>
      <c r="D89" t="str">
        <f>IF(TableOSCUPLGEO[[#This Row],[OUA Code]]&lt;&gt;"",_xlfn.TEXTAFTER(TableOSCUPLGEO[[#This Row],[Structure Line]]," "),TableOSCUPLGEO[[#This Row],[Structure Line]])</f>
        <v>Governance for Planning</v>
      </c>
      <c r="E89" s="27">
        <f>TableOSCUPLGEO[[#This Row],[Credit Points]]</f>
        <v>25</v>
      </c>
      <c r="F89" s="32">
        <v>2</v>
      </c>
      <c r="G89" s="32" t="s">
        <v>291</v>
      </c>
      <c r="H89" s="75">
        <v>1</v>
      </c>
      <c r="I89" s="32" t="s">
        <v>290</v>
      </c>
      <c r="J89" s="32" t="s">
        <v>119</v>
      </c>
      <c r="K89" s="32">
        <v>1</v>
      </c>
      <c r="L89" s="32" t="s">
        <v>321</v>
      </c>
      <c r="M89" s="32">
        <v>25</v>
      </c>
      <c r="N89" s="40">
        <v>42979</v>
      </c>
      <c r="O89" s="40"/>
      <c r="Q89" t="s">
        <v>119</v>
      </c>
      <c r="R89">
        <v>1</v>
      </c>
    </row>
    <row r="90" spans="1:18" x14ac:dyDescent="0.25">
      <c r="A90" t="str">
        <f>TableOSCUPLGEO[[#This Row],[Study Package Code]]</f>
        <v>PHGY3001</v>
      </c>
      <c r="B90" s="2">
        <f>TableOSCUPLGEO[[#This Row],[Ver]]</f>
        <v>3</v>
      </c>
      <c r="C90" s="2" t="str">
        <f>IF(TableOSCUPLGEO[[#This Row],[Ver]]&gt;0,_xlfn.TEXTBEFORE(TableOSCUPLGEO[[#This Row],[Structure Line]]," "),"")</f>
        <v>GPH311</v>
      </c>
      <c r="D90" t="str">
        <f>IF(TableOSCUPLGEO[[#This Row],[OUA Code]]&lt;&gt;"",_xlfn.TEXTAFTER(TableOSCUPLGEO[[#This Row],[Structure Line]]," "),TableOSCUPLGEO[[#This Row],[Structure Line]])</f>
        <v>Cultural Landscapes</v>
      </c>
      <c r="E90" s="27">
        <f>TableOSCUPLGEO[[#This Row],[Credit Points]]</f>
        <v>25</v>
      </c>
      <c r="F90" s="32">
        <v>3</v>
      </c>
      <c r="G90" s="32" t="s">
        <v>291</v>
      </c>
      <c r="H90" s="75">
        <v>3</v>
      </c>
      <c r="I90" s="32" t="s">
        <v>290</v>
      </c>
      <c r="J90" s="32" t="s">
        <v>130</v>
      </c>
      <c r="K90" s="32">
        <v>3</v>
      </c>
      <c r="L90" s="32" t="s">
        <v>322</v>
      </c>
      <c r="M90" s="32">
        <v>25</v>
      </c>
      <c r="N90" s="40">
        <v>44562</v>
      </c>
      <c r="O90" s="40"/>
      <c r="Q90" t="s">
        <v>130</v>
      </c>
      <c r="R90">
        <v>3</v>
      </c>
    </row>
    <row r="91" spans="1:18" x14ac:dyDescent="0.25">
      <c r="A91" t="str">
        <f>TableOSCUPLGEO[[#This Row],[Study Package Code]]</f>
        <v>AC-PLGEO</v>
      </c>
      <c r="B91" s="2">
        <f>TableOSCUPLGEO[[#This Row],[Ver]]</f>
        <v>0</v>
      </c>
      <c r="C91" s="2" t="str">
        <f>IF(TableOSCUPLGEO[[#This Row],[Ver]]&gt;0,_xlfn.TEXTBEFORE(TableOSCUPLGEO[[#This Row],[Structure Line]]," "),"")</f>
        <v/>
      </c>
      <c r="D91" t="str">
        <f>IF(TableOSCUPLGEO[[#This Row],[OUA Code]]&lt;&gt;"",_xlfn.TEXTAFTER(TableOSCUPLGEO[[#This Row],[Structure Line]]," "),TableOSCUPLGEO[[#This Row],[Structure Line]])</f>
        <v>Choose WORK3002 or GEOG3002</v>
      </c>
      <c r="E91" s="27">
        <f>TableOSCUPLGEO[[#This Row],[Credit Points]]</f>
        <v>0</v>
      </c>
      <c r="F91" s="32">
        <v>4</v>
      </c>
      <c r="G91" s="32" t="s">
        <v>289</v>
      </c>
      <c r="H91" s="75">
        <v>3</v>
      </c>
      <c r="I91" s="32" t="s">
        <v>290</v>
      </c>
      <c r="J91" s="32" t="s">
        <v>137</v>
      </c>
      <c r="K91" s="32">
        <v>0</v>
      </c>
      <c r="L91" s="32" t="s">
        <v>323</v>
      </c>
      <c r="M91" s="32"/>
      <c r="N91" s="40"/>
      <c r="O91" s="40"/>
      <c r="Q91" t="s">
        <v>137</v>
      </c>
      <c r="R91">
        <v>0</v>
      </c>
    </row>
    <row r="92" spans="1:18" x14ac:dyDescent="0.25">
      <c r="A92" t="str">
        <f>TableOSCUPLGEO[[#This Row],[Study Package Code]]</f>
        <v>GEOG3002</v>
      </c>
      <c r="B92" s="2">
        <f>TableOSCUPLGEO[[#This Row],[Ver]]</f>
        <v>2</v>
      </c>
      <c r="C92" s="2" t="str">
        <f>IF(TableOSCUPLGEO[[#This Row],[Ver]]&gt;0,_xlfn.TEXTBEFORE(TableOSCUPLGEO[[#This Row],[Structure Line]]," "),"")</f>
        <v>GPH320</v>
      </c>
      <c r="D92" t="str">
        <f>IF(TableOSCUPLGEO[[#This Row],[OUA Code]]&lt;&gt;"",_xlfn.TEXTAFTER(TableOSCUPLGEO[[#This Row],[Structure Line]]," "),TableOSCUPLGEO[[#This Row],[Structure Line]])</f>
        <v>Urban Geographies</v>
      </c>
      <c r="E92" s="27">
        <f>TableOSCUPLGEO[[#This Row],[Credit Points]]</f>
        <v>25</v>
      </c>
      <c r="F92" s="32">
        <v>4</v>
      </c>
      <c r="G92" s="32" t="s">
        <v>289</v>
      </c>
      <c r="H92" s="75">
        <v>3</v>
      </c>
      <c r="I92" s="32" t="s">
        <v>290</v>
      </c>
      <c r="J92" s="32" t="s">
        <v>142</v>
      </c>
      <c r="K92" s="32">
        <v>2</v>
      </c>
      <c r="L92" s="32" t="s">
        <v>324</v>
      </c>
      <c r="M92" s="32">
        <v>25</v>
      </c>
      <c r="N92" s="40">
        <v>44562</v>
      </c>
      <c r="O92" s="40"/>
      <c r="Q92" t="s">
        <v>142</v>
      </c>
      <c r="R92">
        <v>2</v>
      </c>
    </row>
    <row r="93" spans="1:18" x14ac:dyDescent="0.25">
      <c r="A93" t="str">
        <f>TableOSCUPLGEO[[#This Row],[Study Package Code]]</f>
        <v>WORK3002</v>
      </c>
      <c r="B93" s="2">
        <f>TableOSCUPLGEO[[#This Row],[Ver]]</f>
        <v>1</v>
      </c>
      <c r="C93" s="2" t="str">
        <f>IF(TableOSCUPLGEO[[#This Row],[Ver]]&gt;0,_xlfn.TEXTBEFORE(TableOSCUPLGEO[[#This Row],[Structure Line]]," "),"")</f>
        <v>WBP300</v>
      </c>
      <c r="D93" t="str">
        <f>IF(TableOSCUPLGEO[[#This Row],[OUA Code]]&lt;&gt;"",_xlfn.TEXTAFTER(TableOSCUPLGEO[[#This Row],[Structure Line]]," "),TableOSCUPLGEO[[#This Row],[Structure Line]])</f>
        <v>Work Based Project</v>
      </c>
      <c r="E93" s="27">
        <f>TableOSCUPLGEO[[#This Row],[Credit Points]]</f>
        <v>25</v>
      </c>
      <c r="F93" s="32">
        <v>4</v>
      </c>
      <c r="G93" s="32" t="s">
        <v>289</v>
      </c>
      <c r="H93" s="75">
        <v>3</v>
      </c>
      <c r="I93" s="32" t="s">
        <v>290</v>
      </c>
      <c r="J93" s="32" t="s">
        <v>144</v>
      </c>
      <c r="K93" s="32">
        <v>1</v>
      </c>
      <c r="L93" s="32" t="s">
        <v>314</v>
      </c>
      <c r="M93" s="32">
        <v>25</v>
      </c>
      <c r="N93" s="40">
        <v>44287</v>
      </c>
      <c r="O93" s="40"/>
      <c r="Q93" t="s">
        <v>144</v>
      </c>
      <c r="R93">
        <v>1</v>
      </c>
    </row>
  </sheetData>
  <conditionalFormatting sqref="J3:J27">
    <cfRule type="duplicateValues" dxfId="22" priority="45"/>
  </conditionalFormatting>
  <conditionalFormatting sqref="J30:J54">
    <cfRule type="duplicateValues" dxfId="21" priority="3"/>
  </conditionalFormatting>
  <conditionalFormatting sqref="J58:J63">
    <cfRule type="duplicateValues" dxfId="20" priority="15"/>
  </conditionalFormatting>
  <conditionalFormatting sqref="J66:J71">
    <cfRule type="duplicateValues" dxfId="19" priority="12"/>
  </conditionalFormatting>
  <conditionalFormatting sqref="J74:J85">
    <cfRule type="duplicateValues" dxfId="18" priority="9"/>
  </conditionalFormatting>
  <conditionalFormatting sqref="J88:J93">
    <cfRule type="duplicateValues" dxfId="17" priority="6"/>
  </conditionalFormatting>
  <conditionalFormatting sqref="N3:N27">
    <cfRule type="cellIs" dxfId="16" priority="19" operator="greaterThan">
      <formula>$P$1</formula>
    </cfRule>
  </conditionalFormatting>
  <conditionalFormatting sqref="N30:N54">
    <cfRule type="cellIs" dxfId="15" priority="1" operator="greaterThan">
      <formula>$P$1</formula>
    </cfRule>
  </conditionalFormatting>
  <conditionalFormatting sqref="N58:N63">
    <cfRule type="cellIs" dxfId="14" priority="16" operator="greaterThan">
      <formula>$P$1</formula>
    </cfRule>
  </conditionalFormatting>
  <conditionalFormatting sqref="N66:N71">
    <cfRule type="cellIs" dxfId="13" priority="13" operator="greaterThan">
      <formula>$P$1</formula>
    </cfRule>
  </conditionalFormatting>
  <conditionalFormatting sqref="N74:N85">
    <cfRule type="cellIs" dxfId="12" priority="10" operator="greaterThan">
      <formula>$P$1</formula>
    </cfRule>
  </conditionalFormatting>
  <conditionalFormatting sqref="N88:N93">
    <cfRule type="cellIs" dxfId="11" priority="7" operator="greaterThan">
      <formula>$P$1</formula>
    </cfRule>
  </conditionalFormatting>
  <conditionalFormatting sqref="O3:O27">
    <cfRule type="notContainsBlanks" dxfId="10" priority="26">
      <formula>LEN(TRIM(O3))&gt;0</formula>
    </cfRule>
  </conditionalFormatting>
  <conditionalFormatting sqref="O30:O54">
    <cfRule type="notContainsBlanks" dxfId="9" priority="2">
      <formula>LEN(TRIM(O30))&gt;0</formula>
    </cfRule>
  </conditionalFormatting>
  <conditionalFormatting sqref="O58:O63">
    <cfRule type="notContainsBlanks" dxfId="8" priority="17">
      <formula>LEN(TRIM(O58))&gt;0</formula>
    </cfRule>
  </conditionalFormatting>
  <conditionalFormatting sqref="O66:O71">
    <cfRule type="notContainsBlanks" dxfId="7" priority="14">
      <formula>LEN(TRIM(O66))&gt;0</formula>
    </cfRule>
  </conditionalFormatting>
  <conditionalFormatting sqref="O74:O85">
    <cfRule type="notContainsBlanks" dxfId="6" priority="11">
      <formula>LEN(TRIM(O74))&gt;0</formula>
    </cfRule>
  </conditionalFormatting>
  <conditionalFormatting sqref="O88:O93">
    <cfRule type="notContainsBlanks" dxfId="5" priority="8">
      <formula>LEN(TRIM(O88))&gt;0</formula>
    </cfRule>
  </conditionalFormatting>
  <conditionalFormatting sqref="Q3:R27 Q30:R55">
    <cfRule type="expression" dxfId="4" priority="32">
      <formula>Q3&lt;&gt;J3</formula>
    </cfRule>
  </conditionalFormatting>
  <conditionalFormatting sqref="Q58:R63">
    <cfRule type="expression" dxfId="3" priority="25">
      <formula>Q58&lt;&gt;J58</formula>
    </cfRule>
  </conditionalFormatting>
  <conditionalFormatting sqref="Q66:R71">
    <cfRule type="expression" dxfId="2" priority="29">
      <formula>Q66&lt;&gt;J66</formula>
    </cfRule>
  </conditionalFormatting>
  <conditionalFormatting sqref="Q74:R85">
    <cfRule type="expression" dxfId="1" priority="20">
      <formula>Q74&lt;&gt;J74</formula>
    </cfRule>
  </conditionalFormatting>
  <conditionalFormatting sqref="Q88:R93">
    <cfRule type="expression" dxfId="0" priority="27">
      <formula>Q88&lt;&gt;J88</formula>
    </cfRule>
  </conditionalFormatting>
  <pageMargins left="0.7" right="0.7" top="0.75" bottom="0.75" header="0.3" footer="0.3"/>
  <pageSetup paperSize="9" orientation="portrait" r:id="rId1"/>
  <tableParts count="12">
    <tablePart r:id="rId2"/>
    <tablePart r:id="rId3"/>
    <tablePart r:id="rId4"/>
    <tablePart r:id="rId5"/>
    <tablePart r:id="rId6"/>
    <tablePart r:id="rId7"/>
    <tablePart r:id="rId8"/>
    <tablePart r:id="rId9"/>
    <tablePart r:id="rId10"/>
    <tablePart r:id="rId11"/>
    <tablePart r:id="rId12"/>
    <tablePart r:id="rId1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46"/>
  <sheetViews>
    <sheetView workbookViewId="0">
      <selection activeCell="B33" sqref="B33"/>
    </sheetView>
  </sheetViews>
  <sheetFormatPr defaultRowHeight="15.75" x14ac:dyDescent="0.25"/>
  <cols>
    <col min="1" max="1" width="12.375" bestFit="1" customWidth="1"/>
    <col min="2" max="5" width="5.375" bestFit="1" customWidth="1"/>
    <col min="6" max="6" width="12" bestFit="1" customWidth="1"/>
    <col min="7" max="7" width="10.125" bestFit="1" customWidth="1"/>
    <col min="8" max="11" width="1.875" bestFit="1" customWidth="1"/>
  </cols>
  <sheetData>
    <row r="1" spans="1:11" x14ac:dyDescent="0.25">
      <c r="A1" s="84" t="s">
        <v>325</v>
      </c>
    </row>
    <row r="2" spans="1:11" x14ac:dyDescent="0.25">
      <c r="A2" s="85">
        <v>46031</v>
      </c>
    </row>
    <row r="3" spans="1:11" ht="76.5" x14ac:dyDescent="0.25">
      <c r="A3" t="s">
        <v>326</v>
      </c>
      <c r="B3" s="48" t="s">
        <v>327</v>
      </c>
      <c r="C3" s="48" t="s">
        <v>328</v>
      </c>
      <c r="D3" s="48" t="s">
        <v>329</v>
      </c>
      <c r="E3" s="48" t="s">
        <v>330</v>
      </c>
      <c r="G3" t="s">
        <v>378</v>
      </c>
    </row>
    <row r="4" spans="1:11" x14ac:dyDescent="0.25">
      <c r="A4" t="s">
        <v>55</v>
      </c>
      <c r="B4" s="2"/>
      <c r="C4" s="2">
        <v>1</v>
      </c>
      <c r="D4" s="2"/>
      <c r="E4" s="2">
        <v>1</v>
      </c>
      <c r="G4" t="s">
        <v>55</v>
      </c>
      <c r="I4">
        <v>1</v>
      </c>
      <c r="K4">
        <v>1</v>
      </c>
    </row>
    <row r="5" spans="1:11" x14ac:dyDescent="0.25">
      <c r="A5" t="s">
        <v>36</v>
      </c>
      <c r="B5" s="2">
        <v>1</v>
      </c>
      <c r="C5" s="2"/>
      <c r="D5" s="2">
        <v>1</v>
      </c>
      <c r="E5" s="2"/>
      <c r="G5" t="s">
        <v>36</v>
      </c>
      <c r="H5">
        <v>1</v>
      </c>
      <c r="J5">
        <v>1</v>
      </c>
    </row>
    <row r="6" spans="1:11" x14ac:dyDescent="0.25">
      <c r="A6" t="s">
        <v>41</v>
      </c>
      <c r="B6" s="2">
        <v>1</v>
      </c>
      <c r="C6" s="2"/>
      <c r="D6" s="2">
        <v>1</v>
      </c>
      <c r="E6" s="2"/>
      <c r="G6" t="s">
        <v>41</v>
      </c>
      <c r="H6">
        <v>1</v>
      </c>
      <c r="J6">
        <v>1</v>
      </c>
    </row>
    <row r="7" spans="1:11" x14ac:dyDescent="0.25">
      <c r="A7" t="s">
        <v>38</v>
      </c>
      <c r="B7" s="2"/>
      <c r="C7" s="2">
        <v>1</v>
      </c>
      <c r="D7" s="2"/>
      <c r="E7" s="2">
        <v>1</v>
      </c>
      <c r="G7" t="s">
        <v>38</v>
      </c>
      <c r="I7">
        <v>1</v>
      </c>
      <c r="K7">
        <v>1</v>
      </c>
    </row>
    <row r="8" spans="1:11" x14ac:dyDescent="0.25">
      <c r="A8" t="s">
        <v>59</v>
      </c>
      <c r="B8" s="2"/>
      <c r="C8" s="2">
        <v>1</v>
      </c>
      <c r="D8" s="2"/>
      <c r="E8" s="2">
        <v>1</v>
      </c>
      <c r="G8" t="s">
        <v>59</v>
      </c>
      <c r="I8">
        <v>1</v>
      </c>
      <c r="K8">
        <v>1</v>
      </c>
    </row>
    <row r="9" spans="1:11" x14ac:dyDescent="0.25">
      <c r="A9" t="s">
        <v>58</v>
      </c>
      <c r="B9" s="2">
        <v>1</v>
      </c>
      <c r="C9" s="2"/>
      <c r="D9" s="2">
        <v>1</v>
      </c>
      <c r="E9" s="2"/>
      <c r="G9" t="s">
        <v>58</v>
      </c>
      <c r="H9">
        <v>1</v>
      </c>
      <c r="J9">
        <v>1</v>
      </c>
    </row>
    <row r="10" spans="1:11" x14ac:dyDescent="0.25">
      <c r="A10" t="s">
        <v>60</v>
      </c>
      <c r="B10" s="2">
        <v>1</v>
      </c>
      <c r="C10" s="2"/>
      <c r="D10" s="2"/>
      <c r="E10" s="2"/>
      <c r="G10" t="s">
        <v>60</v>
      </c>
      <c r="H10">
        <v>1</v>
      </c>
      <c r="J10">
        <v>1</v>
      </c>
    </row>
    <row r="11" spans="1:11" x14ac:dyDescent="0.25">
      <c r="A11" t="s">
        <v>76</v>
      </c>
      <c r="B11" s="2"/>
      <c r="C11" s="2">
        <v>1</v>
      </c>
      <c r="D11" s="2"/>
      <c r="E11" s="2"/>
      <c r="G11" t="s">
        <v>76</v>
      </c>
      <c r="I11">
        <v>1</v>
      </c>
      <c r="K11">
        <v>1</v>
      </c>
    </row>
    <row r="12" spans="1:11" x14ac:dyDescent="0.25">
      <c r="A12" t="s">
        <v>80</v>
      </c>
      <c r="B12" s="2"/>
      <c r="C12" s="2">
        <v>1</v>
      </c>
      <c r="D12" s="2"/>
      <c r="E12" s="2"/>
      <c r="G12" t="s">
        <v>80</v>
      </c>
      <c r="I12">
        <v>1</v>
      </c>
      <c r="K12">
        <v>1</v>
      </c>
    </row>
    <row r="13" spans="1:11" x14ac:dyDescent="0.25">
      <c r="A13" t="s">
        <v>71</v>
      </c>
      <c r="B13" s="2"/>
      <c r="C13" s="2"/>
      <c r="D13" s="2"/>
      <c r="E13" s="2">
        <v>1</v>
      </c>
      <c r="G13" t="s">
        <v>71</v>
      </c>
      <c r="I13">
        <v>1</v>
      </c>
      <c r="K13">
        <v>1</v>
      </c>
    </row>
    <row r="14" spans="1:11" x14ac:dyDescent="0.25">
      <c r="A14" t="s">
        <v>79</v>
      </c>
      <c r="B14" s="2"/>
      <c r="C14" s="2"/>
      <c r="D14" s="2">
        <v>1</v>
      </c>
      <c r="E14" s="2"/>
      <c r="G14" t="s">
        <v>79</v>
      </c>
      <c r="H14">
        <v>1</v>
      </c>
      <c r="J14">
        <v>1</v>
      </c>
    </row>
    <row r="15" spans="1:11" x14ac:dyDescent="0.25">
      <c r="A15" t="s">
        <v>69</v>
      </c>
      <c r="B15" s="2">
        <v>1</v>
      </c>
      <c r="C15" s="2"/>
      <c r="D15" s="2"/>
      <c r="E15" s="2"/>
      <c r="G15" t="s">
        <v>69</v>
      </c>
      <c r="H15">
        <v>1</v>
      </c>
      <c r="J15">
        <v>1</v>
      </c>
    </row>
    <row r="16" spans="1:11" x14ac:dyDescent="0.25">
      <c r="A16" t="s">
        <v>92</v>
      </c>
      <c r="B16" s="2"/>
      <c r="C16" s="2">
        <v>1</v>
      </c>
      <c r="D16" s="2"/>
      <c r="E16" s="2"/>
      <c r="G16" t="s">
        <v>92</v>
      </c>
      <c r="I16">
        <v>1</v>
      </c>
      <c r="K16">
        <v>1</v>
      </c>
    </row>
    <row r="17" spans="1:11" x14ac:dyDescent="0.25">
      <c r="A17" t="s">
        <v>75</v>
      </c>
      <c r="B17" s="2">
        <v>1</v>
      </c>
      <c r="C17" s="2"/>
      <c r="D17" s="2">
        <v>1</v>
      </c>
      <c r="E17" s="2"/>
      <c r="G17" t="s">
        <v>75</v>
      </c>
      <c r="H17">
        <v>1</v>
      </c>
      <c r="J17">
        <v>1</v>
      </c>
    </row>
    <row r="18" spans="1:11" x14ac:dyDescent="0.25">
      <c r="A18" t="s">
        <v>97</v>
      </c>
      <c r="B18" s="2">
        <v>1</v>
      </c>
      <c r="C18" s="2"/>
      <c r="D18" s="2"/>
      <c r="E18" s="2"/>
      <c r="G18" t="s">
        <v>97</v>
      </c>
      <c r="H18">
        <v>1</v>
      </c>
      <c r="J18">
        <v>1</v>
      </c>
    </row>
    <row r="19" spans="1:11" x14ac:dyDescent="0.25">
      <c r="A19" t="s">
        <v>98</v>
      </c>
      <c r="B19" s="2"/>
      <c r="C19" s="2">
        <v>1</v>
      </c>
      <c r="D19" s="2"/>
      <c r="E19" s="2">
        <v>1</v>
      </c>
      <c r="G19" t="s">
        <v>98</v>
      </c>
      <c r="I19">
        <v>1</v>
      </c>
      <c r="K19">
        <v>1</v>
      </c>
    </row>
    <row r="20" spans="1:11" x14ac:dyDescent="0.25">
      <c r="A20" t="s">
        <v>102</v>
      </c>
      <c r="B20" s="2"/>
      <c r="C20" s="2">
        <v>1</v>
      </c>
      <c r="D20" s="2"/>
      <c r="E20" s="2">
        <v>1</v>
      </c>
      <c r="G20" t="s">
        <v>102</v>
      </c>
      <c r="I20">
        <v>1</v>
      </c>
      <c r="K20">
        <v>1</v>
      </c>
    </row>
    <row r="21" spans="1:11" x14ac:dyDescent="0.25">
      <c r="A21" t="s">
        <v>101</v>
      </c>
      <c r="B21" s="2">
        <v>1</v>
      </c>
      <c r="C21" s="2"/>
      <c r="D21" s="2">
        <v>1</v>
      </c>
      <c r="E21" s="2"/>
      <c r="G21" t="s">
        <v>101</v>
      </c>
      <c r="H21">
        <v>1</v>
      </c>
      <c r="J21">
        <v>1</v>
      </c>
    </row>
    <row r="22" spans="1:11" x14ac:dyDescent="0.25">
      <c r="A22" t="s">
        <v>90</v>
      </c>
      <c r="B22" s="2">
        <v>1</v>
      </c>
      <c r="C22" s="2"/>
      <c r="D22" s="2"/>
      <c r="E22" s="2"/>
      <c r="G22" t="s">
        <v>90</v>
      </c>
      <c r="H22">
        <v>1</v>
      </c>
      <c r="J22">
        <v>1</v>
      </c>
    </row>
    <row r="23" spans="1:11" x14ac:dyDescent="0.25">
      <c r="A23" t="s">
        <v>117</v>
      </c>
      <c r="B23" s="2">
        <v>1</v>
      </c>
      <c r="C23" s="2"/>
      <c r="D23" s="2">
        <v>1</v>
      </c>
      <c r="E23" s="2"/>
      <c r="G23" t="s">
        <v>117</v>
      </c>
      <c r="H23">
        <v>1</v>
      </c>
      <c r="J23">
        <v>1</v>
      </c>
    </row>
    <row r="24" spans="1:11" x14ac:dyDescent="0.25">
      <c r="A24" t="s">
        <v>123</v>
      </c>
      <c r="B24" s="2">
        <v>1</v>
      </c>
      <c r="C24" s="2"/>
      <c r="D24" s="2">
        <v>1</v>
      </c>
      <c r="E24" s="2"/>
      <c r="G24" t="s">
        <v>123</v>
      </c>
      <c r="H24">
        <v>1</v>
      </c>
      <c r="J24">
        <v>1</v>
      </c>
    </row>
    <row r="25" spans="1:11" x14ac:dyDescent="0.25">
      <c r="A25" t="s">
        <v>221</v>
      </c>
      <c r="B25" s="2"/>
      <c r="C25" s="2">
        <v>1</v>
      </c>
      <c r="D25" s="2"/>
      <c r="E25" s="2">
        <v>1</v>
      </c>
      <c r="G25" t="s">
        <v>221</v>
      </c>
      <c r="I25">
        <v>1</v>
      </c>
      <c r="K25">
        <v>1</v>
      </c>
    </row>
    <row r="26" spans="1:11" x14ac:dyDescent="0.25">
      <c r="A26" t="s">
        <v>145</v>
      </c>
      <c r="B26" s="2"/>
      <c r="C26" s="2">
        <v>1</v>
      </c>
      <c r="D26" s="2"/>
      <c r="E26" s="2"/>
      <c r="G26" t="s">
        <v>145</v>
      </c>
      <c r="I26">
        <v>1</v>
      </c>
      <c r="K26">
        <v>1</v>
      </c>
    </row>
    <row r="27" spans="1:11" x14ac:dyDescent="0.25">
      <c r="A27" t="s">
        <v>128</v>
      </c>
      <c r="B27" s="2"/>
      <c r="C27" s="2"/>
      <c r="D27" s="2">
        <v>1</v>
      </c>
      <c r="E27" s="2"/>
      <c r="G27" t="s">
        <v>128</v>
      </c>
      <c r="H27">
        <v>1</v>
      </c>
      <c r="J27">
        <v>1</v>
      </c>
    </row>
    <row r="28" spans="1:11" x14ac:dyDescent="0.25">
      <c r="A28" t="s">
        <v>140</v>
      </c>
      <c r="B28" s="2"/>
      <c r="C28" s="2"/>
      <c r="D28" s="2">
        <v>1</v>
      </c>
      <c r="E28" s="2"/>
      <c r="G28" t="s">
        <v>140</v>
      </c>
      <c r="H28">
        <v>1</v>
      </c>
      <c r="J28">
        <v>1</v>
      </c>
    </row>
    <row r="29" spans="1:11" x14ac:dyDescent="0.25">
      <c r="A29" t="s">
        <v>338</v>
      </c>
      <c r="B29" s="2">
        <v>1</v>
      </c>
      <c r="C29" s="2">
        <v>1</v>
      </c>
      <c r="D29" s="2">
        <v>1</v>
      </c>
      <c r="E29" s="2">
        <v>1</v>
      </c>
      <c r="G29" t="s">
        <v>331</v>
      </c>
      <c r="I29">
        <v>1</v>
      </c>
      <c r="K29">
        <v>1</v>
      </c>
    </row>
    <row r="30" spans="1:11" x14ac:dyDescent="0.25">
      <c r="A30" t="s">
        <v>142</v>
      </c>
      <c r="B30" s="2">
        <v>1</v>
      </c>
      <c r="C30" s="2"/>
      <c r="D30" s="2"/>
      <c r="E30" s="2"/>
      <c r="G30" t="s">
        <v>42</v>
      </c>
      <c r="H30">
        <v>1</v>
      </c>
      <c r="I30">
        <v>1</v>
      </c>
      <c r="J30">
        <v>1</v>
      </c>
      <c r="K30">
        <v>1</v>
      </c>
    </row>
    <row r="31" spans="1:11" x14ac:dyDescent="0.25">
      <c r="A31" t="s">
        <v>340</v>
      </c>
      <c r="B31" s="2"/>
      <c r="C31" s="2">
        <v>1</v>
      </c>
      <c r="D31" s="2"/>
      <c r="E31" s="2">
        <v>1</v>
      </c>
      <c r="G31" t="s">
        <v>142</v>
      </c>
      <c r="H31">
        <v>1</v>
      </c>
    </row>
    <row r="32" spans="1:11" x14ac:dyDescent="0.25">
      <c r="A32" t="s">
        <v>342</v>
      </c>
      <c r="B32" s="2">
        <v>1</v>
      </c>
      <c r="C32" s="2"/>
      <c r="D32" s="2">
        <v>1</v>
      </c>
      <c r="E32" s="2"/>
      <c r="G32" t="s">
        <v>116</v>
      </c>
      <c r="I32">
        <v>1</v>
      </c>
      <c r="K32">
        <v>1</v>
      </c>
    </row>
    <row r="33" spans="1:11" x14ac:dyDescent="0.25">
      <c r="A33" t="s">
        <v>344</v>
      </c>
      <c r="B33" s="2"/>
      <c r="C33" s="2">
        <v>1</v>
      </c>
      <c r="D33" s="2"/>
      <c r="E33" s="2">
        <v>1</v>
      </c>
      <c r="G33" t="s">
        <v>122</v>
      </c>
      <c r="H33">
        <v>1</v>
      </c>
      <c r="J33">
        <v>1</v>
      </c>
    </row>
    <row r="34" spans="1:11" x14ac:dyDescent="0.25">
      <c r="A34" t="s">
        <v>139</v>
      </c>
      <c r="B34" s="2">
        <v>1</v>
      </c>
      <c r="C34" s="2"/>
      <c r="D34" s="2">
        <v>1</v>
      </c>
      <c r="E34" s="2"/>
      <c r="G34" t="s">
        <v>127</v>
      </c>
      <c r="I34">
        <v>1</v>
      </c>
      <c r="K34">
        <v>1</v>
      </c>
    </row>
    <row r="35" spans="1:11" x14ac:dyDescent="0.25">
      <c r="A35" t="s">
        <v>118</v>
      </c>
      <c r="B35" s="2">
        <v>1</v>
      </c>
      <c r="C35" s="2"/>
      <c r="D35" s="2"/>
      <c r="E35" s="2"/>
      <c r="G35" t="s">
        <v>139</v>
      </c>
      <c r="H35">
        <v>1</v>
      </c>
      <c r="J35">
        <v>1</v>
      </c>
    </row>
    <row r="36" spans="1:11" x14ac:dyDescent="0.25">
      <c r="A36" t="s">
        <v>124</v>
      </c>
      <c r="B36" s="2"/>
      <c r="C36" s="2"/>
      <c r="D36" s="2">
        <v>1</v>
      </c>
      <c r="E36" s="2"/>
      <c r="G36" t="s">
        <v>118</v>
      </c>
      <c r="H36">
        <v>1</v>
      </c>
    </row>
    <row r="37" spans="1:11" x14ac:dyDescent="0.25">
      <c r="A37" t="s">
        <v>149</v>
      </c>
      <c r="B37" s="2"/>
      <c r="C37" s="2"/>
      <c r="D37" s="2">
        <v>1</v>
      </c>
      <c r="E37" s="2"/>
      <c r="G37" t="s">
        <v>124</v>
      </c>
      <c r="J37">
        <v>1</v>
      </c>
    </row>
    <row r="38" spans="1:11" x14ac:dyDescent="0.25">
      <c r="A38" t="s">
        <v>136</v>
      </c>
      <c r="B38" s="2"/>
      <c r="C38" s="2">
        <v>1</v>
      </c>
      <c r="D38" s="2"/>
      <c r="E38" s="2"/>
      <c r="G38" t="s">
        <v>149</v>
      </c>
      <c r="J38">
        <v>1</v>
      </c>
    </row>
    <row r="39" spans="1:11" x14ac:dyDescent="0.25">
      <c r="A39" t="s">
        <v>151</v>
      </c>
      <c r="B39" s="2"/>
      <c r="C39" s="2"/>
      <c r="D39" s="2">
        <v>1</v>
      </c>
      <c r="E39" s="2"/>
      <c r="G39" t="s">
        <v>136</v>
      </c>
      <c r="I39">
        <v>1</v>
      </c>
    </row>
    <row r="40" spans="1:11" x14ac:dyDescent="0.25">
      <c r="A40" t="s">
        <v>141</v>
      </c>
      <c r="B40" s="2">
        <v>1</v>
      </c>
      <c r="C40" s="2"/>
      <c r="D40" s="2"/>
      <c r="E40" s="2"/>
      <c r="G40" t="s">
        <v>151</v>
      </c>
      <c r="J40">
        <v>1</v>
      </c>
    </row>
    <row r="41" spans="1:11" x14ac:dyDescent="0.25">
      <c r="A41" t="s">
        <v>130</v>
      </c>
      <c r="B41" s="2"/>
      <c r="C41" s="2"/>
      <c r="D41" s="2">
        <v>1</v>
      </c>
      <c r="E41" s="2"/>
      <c r="G41" t="s">
        <v>141</v>
      </c>
      <c r="H41">
        <v>1</v>
      </c>
    </row>
    <row r="42" spans="1:11" x14ac:dyDescent="0.25">
      <c r="A42" t="s">
        <v>119</v>
      </c>
      <c r="B42" s="2">
        <v>1</v>
      </c>
      <c r="C42" s="2"/>
      <c r="D42" s="2">
        <v>1</v>
      </c>
      <c r="E42" s="2"/>
      <c r="G42" t="s">
        <v>130</v>
      </c>
      <c r="J42">
        <v>1</v>
      </c>
    </row>
    <row r="43" spans="1:11" x14ac:dyDescent="0.25">
      <c r="A43" t="s">
        <v>125</v>
      </c>
      <c r="B43" s="2"/>
      <c r="C43" s="2">
        <v>1</v>
      </c>
      <c r="D43" s="2"/>
      <c r="E43" s="2">
        <v>1</v>
      </c>
      <c r="G43" t="s">
        <v>119</v>
      </c>
      <c r="H43">
        <v>1</v>
      </c>
      <c r="J43">
        <v>1</v>
      </c>
    </row>
    <row r="44" spans="1:11" x14ac:dyDescent="0.25">
      <c r="G44" t="s">
        <v>125</v>
      </c>
      <c r="I44">
        <v>1</v>
      </c>
      <c r="K44">
        <v>1</v>
      </c>
    </row>
    <row r="45" spans="1:11" x14ac:dyDescent="0.25">
      <c r="G45" t="s">
        <v>153</v>
      </c>
      <c r="I45">
        <v>1</v>
      </c>
      <c r="K45">
        <v>1</v>
      </c>
    </row>
    <row r="46" spans="1:11" x14ac:dyDescent="0.25">
      <c r="F46" s="37"/>
      <c r="G46" t="s">
        <v>156</v>
      </c>
    </row>
  </sheetData>
  <phoneticPr fontId="57" type="noConversion"/>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5C8DE81E864C04FBD5CF16ED44542C5" ma:contentTypeVersion="25" ma:contentTypeDescription="Create a new document." ma:contentTypeScope="" ma:versionID="6ba72899b1b73ba3b2530aea358faf34">
  <xsd:schema xmlns:xsd="http://www.w3.org/2001/XMLSchema" xmlns:xs="http://www.w3.org/2001/XMLSchema" xmlns:p="http://schemas.microsoft.com/office/2006/metadata/properties" xmlns:ns2="1f4c0b20-2c14-4291-851e-36bd297de4e2" xmlns:ns3="ba69df13-0c3c-4942-8695-6ca01564010c" xmlns:ns4="http://schemas.microsoft.com/sharepoint/v4" targetNamespace="http://schemas.microsoft.com/office/2006/metadata/properties" ma:root="true" ma:fieldsID="cd96233f9e6694534e6888dc501f237b" ns2:_="" ns3:_="" ns4:_="">
    <xsd:import namespace="1f4c0b20-2c14-4291-851e-36bd297de4e2"/>
    <xsd:import namespace="ba69df13-0c3c-4942-8695-6ca01564010c"/>
    <xsd:import namespace="http://schemas.microsoft.com/sharepoint/v4"/>
    <xsd:element name="properties">
      <xsd:complexType>
        <xsd:sequence>
          <xsd:element name="documentManagement">
            <xsd:complexType>
              <xsd:all>
                <xsd:element ref="ns2:MediaServiceAutoKeyPoints" minOccurs="0"/>
                <xsd:element ref="ns2:MediaServiceKeyPoints" minOccurs="0"/>
                <xsd:element ref="ns3:SharedWithUsers" minOccurs="0"/>
                <xsd:element ref="ns3:SharedWithDetails"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SearchProperties" minOccurs="0"/>
                <xsd:element ref="ns4:IconOverlay" minOccurs="0"/>
                <xsd:element ref="ns2:MediaServiceObjectDetectorVersions" minOccurs="0"/>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4c0b20-2c14-4291-851e-36bd297de4e2" elementFormDefault="qualified">
    <xsd:import namespace="http://schemas.microsoft.com/office/2006/documentManagement/types"/>
    <xsd:import namespace="http://schemas.microsoft.com/office/infopath/2007/PartnerControls"/>
    <xsd:element name="MediaServiceAutoKeyPoints" ma:index="8" nillable="true" ma:displayName="MediaServiceAutoKeyPoints" ma:hidden="true" ma:internalName="MediaServiceAutoKeyPoints" ma:readOnly="true">
      <xsd:simpleType>
        <xsd:restriction base="dms:Note"/>
      </xsd:simpleType>
    </xsd:element>
    <xsd:element name="MediaServiceKeyPoints" ma:index="9" nillable="true" ma:displayName="KeyPoints" ma:internalName="MediaServiceKeyPoints" ma:readOnly="true">
      <xsd:simpleType>
        <xsd:restriction base="dms:Note">
          <xsd:maxLength value="255"/>
        </xsd:restriction>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058b0421-3d9b-4d43-8840-b275eef407cc"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Metadata" ma:index="24" nillable="true" ma:displayName="MediaServiceMetadata" ma:hidden="true" ma:internalName="MediaServiceMetadata" ma:readOnly="true">
      <xsd:simpleType>
        <xsd:restriction base="dms:Note"/>
      </xsd:simpleType>
    </xsd:element>
    <xsd:element name="MediaServiceFastMetadata" ma:index="25"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69df13-0c3c-4942-8695-6ca01564010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f6a6e9f-0001-4698-9992-b49f02fb9f95}" ma:internalName="TaxCatchAll" ma:showField="CatchAllData" ma:web="ba69df13-0c3c-4942-8695-6ca01564010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2"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058b0421-3d9b-4d43-8840-b275eef407cc" ContentTypeId="0x0101" PreviousValue="false"/>
</file>

<file path=customXml/item3.xml><?xml version="1.0" encoding="utf-8"?>
<p:properties xmlns:p="http://schemas.microsoft.com/office/2006/metadata/properties" xmlns:xsi="http://www.w3.org/2001/XMLSchema-instance" xmlns:pc="http://schemas.microsoft.com/office/infopath/2007/PartnerControls">
  <documentManagement>
    <TaxCatchAll xmlns="ba69df13-0c3c-4942-8695-6ca01564010c" xsi:nil="true"/>
    <SharedWithUsers xmlns="ba69df13-0c3c-4942-8695-6ca01564010c">
      <UserInfo>
        <DisplayName/>
        <AccountId xsi:nil="true"/>
        <AccountType/>
      </UserInfo>
    </SharedWithUsers>
    <lcf76f155ced4ddcb4097134ff3c332f xmlns="1f4c0b20-2c14-4291-851e-36bd297de4e2">
      <Terms xmlns="http://schemas.microsoft.com/office/infopath/2007/PartnerControls"/>
    </lcf76f155ced4ddcb4097134ff3c332f>
    <IconOverlay xmlns="http://schemas.microsoft.com/sharepoint/v4"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ECF90E1-1C9A-4F28-91DF-4B96C53B3A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4c0b20-2c14-4291-851e-36bd297de4e2"/>
    <ds:schemaRef ds:uri="ba69df13-0c3c-4942-8695-6ca01564010c"/>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99948A0-5721-4E31-86EA-1918F4101556}">
  <ds:schemaRefs>
    <ds:schemaRef ds:uri="Microsoft.SharePoint.Taxonomy.ContentTypeSync"/>
  </ds:schemaRefs>
</ds:datastoreItem>
</file>

<file path=customXml/itemProps3.xml><?xml version="1.0" encoding="utf-8"?>
<ds:datastoreItem xmlns:ds="http://schemas.openxmlformats.org/officeDocument/2006/customXml" ds:itemID="{702FBB4C-6ADF-4262-9F1C-6F0710538C55}">
  <ds:schemaRefs>
    <ds:schemaRef ds:uri="http://schemas.openxmlformats.org/package/2006/metadata/core-properties"/>
    <ds:schemaRef ds:uri="http://schemas.microsoft.com/office/2006/documentManagement/types"/>
    <ds:schemaRef ds:uri="http://www.w3.org/XML/1998/namespace"/>
    <ds:schemaRef ds:uri="http://schemas.microsoft.com/office/infopath/2007/PartnerControls"/>
    <ds:schemaRef ds:uri="ba69df13-0c3c-4942-8695-6ca01564010c"/>
    <ds:schemaRef ds:uri="http://schemas.microsoft.com/office/2006/metadata/properties"/>
    <ds:schemaRef ds:uri="http://schemas.microsoft.com/sharepoint/v4"/>
    <ds:schemaRef ds:uri="http://purl.org/dc/dcmitype/"/>
    <ds:schemaRef ds:uri="http://purl.org/dc/elements/1.1/"/>
    <ds:schemaRef ds:uri="http://purl.org/dc/terms/"/>
    <ds:schemaRef ds:uri="1f4c0b20-2c14-4291-851e-36bd297de4e2"/>
  </ds:schemaRefs>
</ds:datastoreItem>
</file>

<file path=customXml/itemProps4.xml><?xml version="1.0" encoding="utf-8"?>
<ds:datastoreItem xmlns:ds="http://schemas.openxmlformats.org/officeDocument/2006/customXml" ds:itemID="{58D9622E-5CA2-422C-A7EF-5AF7D24ED36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B-Architecture Planner</vt:lpstr>
      <vt:lpstr>CourseDetails</vt:lpstr>
      <vt:lpstr>Unitsets</vt:lpstr>
      <vt:lpstr>Handbook</vt:lpstr>
      <vt:lpstr>Structures</vt:lpstr>
      <vt:lpstr>Availabilities</vt:lpstr>
      <vt:lpstr>'B-Architecture Planner'!Print_Area</vt:lpstr>
      <vt:lpstr>RangeSpecSets</vt:lpstr>
      <vt:lpstr>RangeUnitsets</vt:lpstr>
    </vt:vector>
  </TitlesOfParts>
  <Manager/>
  <Company>Curtin University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 Cook</dc:creator>
  <cp:keywords/>
  <dc:description/>
  <cp:lastModifiedBy>Mark Kerr</cp:lastModifiedBy>
  <cp:revision/>
  <cp:lastPrinted>2026-01-09T05:20:53Z</cp:lastPrinted>
  <dcterms:created xsi:type="dcterms:W3CDTF">2022-02-28T04:48:12Z</dcterms:created>
  <dcterms:modified xsi:type="dcterms:W3CDTF">2026-01-09T05:21:55Z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0x01010005C8DE81E864C04FBD5CF16ED44542C5</vt:lpwstr>
  </property>
  <property fmtid="{D5CDD505-2E9C-101B-9397-08002B2CF9AE}" pid="3" name="xd_ProgID">
    <vt:lpwstr/>
  </property>
  <property fmtid="{D5CDD505-2E9C-101B-9397-08002B2CF9AE}" pid="4" name="MediaServiceImageTags">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