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42E7D4A5-CA17-45DE-A6D1-B3DAB6E45197}" xr6:coauthVersionLast="47" xr6:coauthVersionMax="47" xr10:uidLastSave="{00000000-0000-0000-0000-000000000000}"/>
  <workbookProtection workbookAlgorithmName="SHA-512" workbookHashValue="SkB8HiX6RPG1dnx7qrC8R6jI5D+0AjcAYlAYLvWr0l/F62WXHOp9r4MczwVCP3o0qDFwEoUps8I+i4khc9ysug==" workbookSaltValue="LqMi8DH6kUSLoGBMWr4k0g==" workbookSpinCount="100000" lockStructure="1"/>
  <bookViews>
    <workbookView xWindow="-120" yWindow="-120" windowWidth="29040" windowHeight="17520" xr2:uid="{00000000-000D-0000-FFFF-FFFF00000000}"/>
  </bookViews>
  <sheets>
    <sheet name="BEd (ECE) OUA" sheetId="5" r:id="rId1"/>
    <sheet name="BEd (Primary) OUA" sheetId="13" state="hidden" r:id="rId2"/>
    <sheet name="Unitsets" sheetId="2" state="hidden" r:id="rId3"/>
    <sheet name="BEd (Secondary) OUA" sheetId="11" state="hidden" r:id="rId4"/>
    <sheet name="UnitsetsSecondary" sheetId="10"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0">'BEd (ECE) OUA'!$A$3:$L$78</definedName>
    <definedName name="_xlnm.Print_Area" localSheetId="1">'BEd (Primary) OUA'!$A$3:$L$82</definedName>
    <definedName name="_xlnm.Print_Area" localSheetId="3">'BEd (Secondary) OUA'!$A$3:$L$84</definedName>
    <definedName name="RangeMajorsOptions">UnitsetsSecondary!$K$64:$K$89</definedName>
    <definedName name="RangeMajorsSec">UnitsetsSecondary!#REF!</definedName>
    <definedName name="RangeOptions">Unitsets!$L$38:$M$63</definedName>
    <definedName name="RangeUnitsets">Unitsets!$L$3:$AA$35</definedName>
    <definedName name="RangeUnitSetsSec">UnitsetsSecondary!$K$3:$V$60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6" i="8" l="1"/>
  <c r="B156" i="8"/>
  <c r="C156" i="8"/>
  <c r="D156" i="8"/>
  <c r="E156" i="8"/>
  <c r="G15" i="3"/>
  <c r="H15" i="3"/>
  <c r="I15" i="3"/>
  <c r="J15" i="3"/>
  <c r="G102" i="3"/>
  <c r="H102" i="3"/>
  <c r="I102" i="3"/>
  <c r="J102" i="3"/>
  <c r="L5" i="11"/>
  <c r="G5" i="11"/>
  <c r="V60" i="10" l="1"/>
  <c r="V59" i="10"/>
  <c r="V36" i="10"/>
  <c r="V37" i="10"/>
  <c r="V38" i="10"/>
  <c r="V39" i="10"/>
  <c r="V40" i="10"/>
  <c r="V41" i="10"/>
  <c r="V42" i="10"/>
  <c r="V43" i="10"/>
  <c r="V44" i="10"/>
  <c r="V45" i="10"/>
  <c r="V46" i="10"/>
  <c r="V47" i="10"/>
  <c r="V48" i="10"/>
  <c r="V49" i="10"/>
  <c r="V50" i="10"/>
  <c r="V51" i="10"/>
  <c r="V52" i="10"/>
  <c r="V53" i="10"/>
  <c r="V54" i="10"/>
  <c r="V55" i="10"/>
  <c r="V56" i="10"/>
  <c r="V57" i="10"/>
  <c r="V58" i="10"/>
  <c r="G110" i="3"/>
  <c r="H110" i="3"/>
  <c r="I110" i="3"/>
  <c r="J110" i="3"/>
  <c r="R49" i="10"/>
  <c r="R48" i="10"/>
  <c r="R47" i="10"/>
  <c r="R46" i="10"/>
  <c r="R45" i="10"/>
  <c r="R44" i="10"/>
  <c r="R43" i="10"/>
  <c r="R42" i="10"/>
  <c r="R41" i="10"/>
  <c r="R40" i="10"/>
  <c r="R39" i="10"/>
  <c r="R38" i="10"/>
  <c r="R37" i="10"/>
  <c r="R36" i="10"/>
  <c r="N37" i="10"/>
  <c r="N38" i="10"/>
  <c r="N39" i="10"/>
  <c r="N40" i="10"/>
  <c r="N41" i="10"/>
  <c r="N42" i="10"/>
  <c r="N43" i="10"/>
  <c r="N44" i="10"/>
  <c r="N45" i="10"/>
  <c r="N46" i="10"/>
  <c r="N47" i="10"/>
  <c r="N48" i="10"/>
  <c r="N49" i="10"/>
  <c r="N50" i="10"/>
  <c r="N51" i="10"/>
  <c r="N52" i="10"/>
  <c r="N53" i="10"/>
  <c r="N54" i="10"/>
  <c r="N36" i="10"/>
  <c r="D81" i="8" l="1"/>
  <c r="D78" i="8"/>
  <c r="C78" i="8"/>
  <c r="D70" i="8"/>
  <c r="C70" i="8"/>
  <c r="G111" i="3"/>
  <c r="G10" i="3"/>
  <c r="G7" i="3"/>
  <c r="G8" i="3"/>
  <c r="G9" i="3"/>
  <c r="G99" i="3"/>
  <c r="G97" i="3"/>
  <c r="G100" i="3"/>
  <c r="H111" i="3"/>
  <c r="H10" i="3"/>
  <c r="H7" i="3"/>
  <c r="H8" i="3"/>
  <c r="H9" i="3"/>
  <c r="H99" i="3"/>
  <c r="H97" i="3"/>
  <c r="H100" i="3"/>
  <c r="I111" i="3"/>
  <c r="I10" i="3"/>
  <c r="I7" i="3"/>
  <c r="I8" i="3"/>
  <c r="I9" i="3"/>
  <c r="I99" i="3"/>
  <c r="I97" i="3"/>
  <c r="I100" i="3"/>
  <c r="J111" i="3"/>
  <c r="J10" i="3"/>
  <c r="J7" i="3"/>
  <c r="J8" i="3"/>
  <c r="J9" i="3"/>
  <c r="J99" i="3"/>
  <c r="J97" i="3"/>
  <c r="J100" i="3"/>
  <c r="D198" i="8" l="1"/>
  <c r="D196" i="8"/>
  <c r="D194" i="8"/>
  <c r="D187" i="8"/>
  <c r="D188" i="8"/>
  <c r="D189" i="8"/>
  <c r="D190" i="8"/>
  <c r="D191" i="8"/>
  <c r="D192" i="8"/>
  <c r="D193" i="8"/>
  <c r="D195" i="8"/>
  <c r="D197" i="8"/>
  <c r="D199" i="8"/>
  <c r="D200" i="8"/>
  <c r="D201" i="8"/>
  <c r="D202" i="8"/>
  <c r="D203" i="8"/>
  <c r="D204" i="8"/>
  <c r="D205" i="8"/>
  <c r="D206" i="8"/>
  <c r="D207" i="8"/>
  <c r="D208" i="8"/>
  <c r="D209" i="8"/>
  <c r="D210" i="8"/>
  <c r="D211" i="8"/>
  <c r="D212" i="8"/>
  <c r="D213" i="8"/>
  <c r="D214" i="8"/>
  <c r="D215" i="8"/>
  <c r="D216" i="8"/>
  <c r="D217" i="8"/>
  <c r="D218" i="8"/>
  <c r="D160" i="8" l="1"/>
  <c r="D161" i="8"/>
  <c r="D162" i="8"/>
  <c r="D163" i="8"/>
  <c r="D164" i="8"/>
  <c r="D165" i="8"/>
  <c r="D166" i="8"/>
  <c r="D167" i="8"/>
  <c r="D168" i="8"/>
  <c r="D169" i="8"/>
  <c r="D170" i="8"/>
  <c r="D171" i="8"/>
  <c r="D172" i="8"/>
  <c r="D173" i="8"/>
  <c r="D174" i="8"/>
  <c r="D175" i="8"/>
  <c r="D176" i="8"/>
  <c r="D177" i="8"/>
  <c r="D178" i="8"/>
  <c r="D179" i="8"/>
  <c r="D180" i="8"/>
  <c r="D181" i="8"/>
  <c r="D182" i="8"/>
  <c r="D183" i="8"/>
  <c r="D184" i="8"/>
  <c r="G109" i="3" l="1"/>
  <c r="G5" i="3"/>
  <c r="G132" i="3"/>
  <c r="G133" i="3"/>
  <c r="H109" i="3"/>
  <c r="H5" i="3"/>
  <c r="H132" i="3"/>
  <c r="H133" i="3"/>
  <c r="I109" i="3"/>
  <c r="I5" i="3"/>
  <c r="I132" i="3"/>
  <c r="I133" i="3"/>
  <c r="J109" i="3"/>
  <c r="J5" i="3"/>
  <c r="J132" i="3"/>
  <c r="J133" i="3"/>
  <c r="D136" i="8" l="1"/>
  <c r="D129" i="8"/>
  <c r="D130" i="8"/>
  <c r="D131" i="8"/>
  <c r="D132" i="8"/>
  <c r="D133" i="8"/>
  <c r="D134" i="8"/>
  <c r="D135" i="8"/>
  <c r="D137" i="8"/>
  <c r="D138" i="8"/>
  <c r="D139" i="8"/>
  <c r="D140" i="8"/>
  <c r="D141" i="8"/>
  <c r="D142" i="8"/>
  <c r="D143" i="8"/>
  <c r="D144" i="8"/>
  <c r="D145" i="8"/>
  <c r="D146" i="8"/>
  <c r="D147" i="8"/>
  <c r="D148" i="8"/>
  <c r="D149" i="8"/>
  <c r="D150" i="8"/>
  <c r="D151" i="8"/>
  <c r="D152" i="8"/>
  <c r="D153" i="8"/>
  <c r="D154" i="8"/>
  <c r="D155" i="8"/>
  <c r="D157" i="8"/>
  <c r="A188" i="8" l="1"/>
  <c r="B188" i="8"/>
  <c r="C188" i="8"/>
  <c r="E188" i="8"/>
  <c r="A189" i="8"/>
  <c r="B189" i="8"/>
  <c r="C189" i="8"/>
  <c r="E189" i="8"/>
  <c r="A190" i="8"/>
  <c r="B190" i="8"/>
  <c r="C190" i="8"/>
  <c r="E190" i="8"/>
  <c r="A191" i="8"/>
  <c r="B191" i="8"/>
  <c r="C191" i="8"/>
  <c r="E191" i="8"/>
  <c r="A192" i="8"/>
  <c r="B192" i="8"/>
  <c r="C192" i="8"/>
  <c r="E192" i="8"/>
  <c r="A193" i="8"/>
  <c r="B193" i="8"/>
  <c r="C193" i="8"/>
  <c r="E193" i="8"/>
  <c r="A194" i="8"/>
  <c r="B194" i="8"/>
  <c r="E194" i="8"/>
  <c r="A195" i="8"/>
  <c r="B195" i="8"/>
  <c r="C195" i="8"/>
  <c r="E195" i="8"/>
  <c r="A196" i="8"/>
  <c r="B196" i="8"/>
  <c r="E196" i="8"/>
  <c r="A197" i="8"/>
  <c r="B197" i="8"/>
  <c r="C197" i="8"/>
  <c r="E197" i="8"/>
  <c r="A198" i="8"/>
  <c r="B198" i="8"/>
  <c r="E198" i="8"/>
  <c r="A199" i="8"/>
  <c r="B199" i="8"/>
  <c r="C199" i="8"/>
  <c r="E199" i="8"/>
  <c r="A200" i="8"/>
  <c r="B200" i="8"/>
  <c r="C200" i="8"/>
  <c r="E200" i="8"/>
  <c r="A201" i="8"/>
  <c r="B201" i="8"/>
  <c r="C201" i="8"/>
  <c r="E201" i="8"/>
  <c r="A202" i="8"/>
  <c r="B202" i="8"/>
  <c r="C202" i="8"/>
  <c r="E202" i="8"/>
  <c r="A203" i="8"/>
  <c r="B203" i="8"/>
  <c r="C203" i="8"/>
  <c r="E203" i="8"/>
  <c r="A204" i="8"/>
  <c r="B204" i="8"/>
  <c r="C204" i="8"/>
  <c r="E204" i="8"/>
  <c r="A205" i="8"/>
  <c r="B205" i="8"/>
  <c r="C205" i="8"/>
  <c r="E205" i="8"/>
  <c r="A206" i="8"/>
  <c r="B206" i="8"/>
  <c r="C206" i="8"/>
  <c r="E206" i="8"/>
  <c r="A207" i="8"/>
  <c r="B207" i="8"/>
  <c r="C207" i="8"/>
  <c r="E207" i="8"/>
  <c r="A208" i="8"/>
  <c r="B208" i="8"/>
  <c r="C208" i="8"/>
  <c r="E208" i="8"/>
  <c r="A209" i="8"/>
  <c r="B209" i="8"/>
  <c r="C209" i="8"/>
  <c r="E209" i="8"/>
  <c r="A210" i="8"/>
  <c r="B210" i="8"/>
  <c r="C210" i="8"/>
  <c r="E210" i="8"/>
  <c r="A211" i="8"/>
  <c r="B211" i="8"/>
  <c r="C211" i="8"/>
  <c r="E211" i="8"/>
  <c r="A212" i="8"/>
  <c r="B212" i="8"/>
  <c r="C212" i="8"/>
  <c r="E212" i="8"/>
  <c r="A213" i="8"/>
  <c r="B213" i="8"/>
  <c r="C213" i="8"/>
  <c r="E213" i="8"/>
  <c r="A214" i="8"/>
  <c r="B214" i="8"/>
  <c r="C214" i="8"/>
  <c r="E214" i="8"/>
  <c r="A215" i="8"/>
  <c r="B215" i="8"/>
  <c r="C215" i="8"/>
  <c r="E215" i="8"/>
  <c r="A216" i="8"/>
  <c r="B216" i="8"/>
  <c r="C216" i="8"/>
  <c r="E216" i="8"/>
  <c r="A217" i="8"/>
  <c r="B217" i="8"/>
  <c r="C217" i="8"/>
  <c r="E217" i="8"/>
  <c r="A218" i="8"/>
  <c r="B218" i="8"/>
  <c r="C218" i="8"/>
  <c r="E218" i="8"/>
  <c r="A161" i="8"/>
  <c r="B161" i="8"/>
  <c r="C161" i="8"/>
  <c r="E161" i="8"/>
  <c r="A162" i="8"/>
  <c r="B162" i="8"/>
  <c r="C162" i="8"/>
  <c r="E162" i="8"/>
  <c r="A163" i="8"/>
  <c r="B163" i="8"/>
  <c r="C163" i="8"/>
  <c r="E163" i="8"/>
  <c r="A164" i="8"/>
  <c r="B164" i="8"/>
  <c r="C164" i="8"/>
  <c r="E164" i="8"/>
  <c r="A165" i="8"/>
  <c r="B165" i="8"/>
  <c r="C165" i="8"/>
  <c r="E165" i="8"/>
  <c r="A166" i="8"/>
  <c r="B166" i="8"/>
  <c r="C166" i="8"/>
  <c r="E166" i="8"/>
  <c r="A167" i="8"/>
  <c r="B167" i="8"/>
  <c r="C167" i="8"/>
  <c r="E167" i="8"/>
  <c r="A168" i="8"/>
  <c r="B168" i="8"/>
  <c r="C168" i="8"/>
  <c r="E168" i="8"/>
  <c r="A169" i="8"/>
  <c r="B169" i="8"/>
  <c r="C169" i="8"/>
  <c r="E169" i="8"/>
  <c r="A170" i="8"/>
  <c r="B170" i="8"/>
  <c r="C170" i="8"/>
  <c r="E170" i="8"/>
  <c r="A171" i="8"/>
  <c r="B171" i="8"/>
  <c r="C171" i="8"/>
  <c r="E171" i="8"/>
  <c r="A172" i="8"/>
  <c r="B172" i="8"/>
  <c r="C172" i="8"/>
  <c r="E172" i="8"/>
  <c r="A173" i="8"/>
  <c r="B173" i="8"/>
  <c r="C173" i="8"/>
  <c r="E173" i="8"/>
  <c r="A174" i="8"/>
  <c r="B174" i="8"/>
  <c r="C174" i="8"/>
  <c r="E174" i="8"/>
  <c r="A175" i="8"/>
  <c r="B175" i="8"/>
  <c r="C175" i="8"/>
  <c r="E175" i="8"/>
  <c r="A176" i="8"/>
  <c r="B176" i="8"/>
  <c r="C176" i="8"/>
  <c r="E176" i="8"/>
  <c r="A177" i="8"/>
  <c r="B177" i="8"/>
  <c r="C177" i="8"/>
  <c r="E177" i="8"/>
  <c r="A178" i="8"/>
  <c r="B178" i="8"/>
  <c r="C178" i="8"/>
  <c r="E178" i="8"/>
  <c r="A179" i="8"/>
  <c r="B179" i="8"/>
  <c r="C179" i="8"/>
  <c r="E179" i="8"/>
  <c r="A180" i="8"/>
  <c r="B180" i="8"/>
  <c r="C180" i="8"/>
  <c r="E180" i="8"/>
  <c r="A181" i="8"/>
  <c r="B181" i="8"/>
  <c r="C181" i="8"/>
  <c r="E181" i="8"/>
  <c r="A182" i="8"/>
  <c r="B182" i="8"/>
  <c r="C182" i="8"/>
  <c r="E182" i="8"/>
  <c r="A183" i="8"/>
  <c r="B183" i="8"/>
  <c r="C183" i="8"/>
  <c r="E183" i="8"/>
  <c r="A184" i="8"/>
  <c r="B184" i="8"/>
  <c r="C184" i="8"/>
  <c r="E184" i="8"/>
  <c r="A130" i="8"/>
  <c r="B130" i="8"/>
  <c r="C130" i="8"/>
  <c r="E130" i="8"/>
  <c r="A131" i="8"/>
  <c r="B131" i="8"/>
  <c r="C131" i="8"/>
  <c r="E131" i="8"/>
  <c r="A132" i="8"/>
  <c r="B132" i="8"/>
  <c r="C132" i="8"/>
  <c r="E132" i="8"/>
  <c r="A133" i="8"/>
  <c r="B133" i="8"/>
  <c r="C133" i="8"/>
  <c r="E133" i="8"/>
  <c r="A134" i="8"/>
  <c r="B134" i="8"/>
  <c r="C134" i="8"/>
  <c r="E134" i="8"/>
  <c r="A135" i="8"/>
  <c r="B135" i="8"/>
  <c r="C135" i="8"/>
  <c r="E135" i="8"/>
  <c r="A136" i="8"/>
  <c r="B136" i="8"/>
  <c r="E136" i="8"/>
  <c r="A137" i="8"/>
  <c r="B137" i="8"/>
  <c r="C137" i="8"/>
  <c r="E137" i="8"/>
  <c r="A138" i="8"/>
  <c r="B138" i="8"/>
  <c r="C138" i="8"/>
  <c r="E138" i="8"/>
  <c r="A139" i="8"/>
  <c r="B139" i="8"/>
  <c r="C139" i="8"/>
  <c r="E139" i="8"/>
  <c r="A140" i="8"/>
  <c r="B140" i="8"/>
  <c r="C140" i="8"/>
  <c r="E140" i="8"/>
  <c r="A141" i="8"/>
  <c r="B141" i="8"/>
  <c r="C141" i="8"/>
  <c r="E141" i="8"/>
  <c r="A142" i="8"/>
  <c r="B142" i="8"/>
  <c r="C142" i="8"/>
  <c r="E142" i="8"/>
  <c r="A143" i="8"/>
  <c r="B143" i="8"/>
  <c r="C143" i="8"/>
  <c r="E143" i="8"/>
  <c r="A144" i="8"/>
  <c r="B144" i="8"/>
  <c r="C144" i="8"/>
  <c r="E144" i="8"/>
  <c r="A145" i="8"/>
  <c r="B145" i="8"/>
  <c r="C145" i="8"/>
  <c r="E145" i="8"/>
  <c r="A146" i="8"/>
  <c r="B146" i="8"/>
  <c r="C146" i="8"/>
  <c r="E146" i="8"/>
  <c r="A147" i="8"/>
  <c r="B147" i="8"/>
  <c r="C147" i="8"/>
  <c r="E147" i="8"/>
  <c r="A148" i="8"/>
  <c r="B148" i="8"/>
  <c r="C148" i="8"/>
  <c r="E148" i="8"/>
  <c r="A149" i="8"/>
  <c r="B149" i="8"/>
  <c r="C149" i="8"/>
  <c r="E149" i="8"/>
  <c r="A150" i="8"/>
  <c r="B150" i="8"/>
  <c r="C150" i="8"/>
  <c r="E150" i="8"/>
  <c r="A151" i="8"/>
  <c r="B151" i="8"/>
  <c r="C151" i="8"/>
  <c r="E151" i="8"/>
  <c r="A152" i="8"/>
  <c r="B152" i="8"/>
  <c r="C152" i="8"/>
  <c r="E152" i="8"/>
  <c r="A153" i="8"/>
  <c r="B153" i="8"/>
  <c r="C153" i="8"/>
  <c r="E153" i="8"/>
  <c r="A154" i="8"/>
  <c r="B154" i="8"/>
  <c r="C154" i="8"/>
  <c r="E154" i="8"/>
  <c r="A155" i="8"/>
  <c r="B155" i="8"/>
  <c r="C155" i="8"/>
  <c r="E155" i="8"/>
  <c r="A157" i="8"/>
  <c r="B157" i="8"/>
  <c r="C157" i="8"/>
  <c r="E157" i="8"/>
  <c r="G74" i="3"/>
  <c r="G75" i="3"/>
  <c r="G6" i="3"/>
  <c r="G52" i="3"/>
  <c r="G54" i="3"/>
  <c r="G53" i="3"/>
  <c r="G59" i="3"/>
  <c r="G58" i="3"/>
  <c r="G113" i="3"/>
  <c r="G114" i="3"/>
  <c r="G116" i="3"/>
  <c r="H74" i="3"/>
  <c r="H75" i="3"/>
  <c r="H6" i="3"/>
  <c r="H52" i="3"/>
  <c r="H54" i="3"/>
  <c r="H53" i="3"/>
  <c r="H59" i="3"/>
  <c r="H58" i="3"/>
  <c r="H113" i="3"/>
  <c r="H114" i="3"/>
  <c r="H116" i="3"/>
  <c r="I74" i="3"/>
  <c r="I75" i="3"/>
  <c r="I6" i="3"/>
  <c r="I52" i="3"/>
  <c r="I54" i="3"/>
  <c r="I53" i="3"/>
  <c r="I59" i="3"/>
  <c r="I58" i="3"/>
  <c r="I113" i="3"/>
  <c r="I114" i="3"/>
  <c r="I116" i="3"/>
  <c r="J74" i="3"/>
  <c r="J75" i="3"/>
  <c r="J6" i="3"/>
  <c r="J52" i="3"/>
  <c r="J54" i="3"/>
  <c r="J53" i="3"/>
  <c r="J59" i="3"/>
  <c r="J58" i="3"/>
  <c r="J113" i="3"/>
  <c r="J114" i="3"/>
  <c r="J116" i="3"/>
  <c r="D123" i="8"/>
  <c r="D122" i="8"/>
  <c r="D121" i="8"/>
  <c r="D120" i="8"/>
  <c r="D119" i="8"/>
  <c r="D118" i="8"/>
  <c r="D117" i="8"/>
  <c r="D116" i="8"/>
  <c r="D115" i="8"/>
  <c r="D113" i="8"/>
  <c r="D112" i="8"/>
  <c r="D111" i="8"/>
  <c r="D110" i="8"/>
  <c r="D109" i="8"/>
  <c r="D114" i="8"/>
  <c r="D124" i="8"/>
  <c r="D125" i="8"/>
  <c r="D126" i="8"/>
  <c r="C123" i="8"/>
  <c r="A124" i="8" l="1"/>
  <c r="B124" i="8"/>
  <c r="E124" i="8"/>
  <c r="G79" i="3"/>
  <c r="G80" i="3"/>
  <c r="G95" i="3"/>
  <c r="H79" i="3"/>
  <c r="H80" i="3"/>
  <c r="H95" i="3"/>
  <c r="I79" i="3"/>
  <c r="I80" i="3"/>
  <c r="I95" i="3"/>
  <c r="J79" i="3"/>
  <c r="J80" i="3"/>
  <c r="J95" i="3"/>
  <c r="A99" i="8" l="1"/>
  <c r="A100" i="8"/>
  <c r="A101" i="8"/>
  <c r="A102" i="8"/>
  <c r="B99" i="8"/>
  <c r="B100" i="8"/>
  <c r="B101" i="8"/>
  <c r="B102" i="8"/>
  <c r="C99" i="8"/>
  <c r="C100" i="8"/>
  <c r="C101" i="8"/>
  <c r="C102" i="8"/>
  <c r="D99" i="8"/>
  <c r="D100" i="8"/>
  <c r="D101" i="8"/>
  <c r="D102" i="8"/>
  <c r="E99" i="8"/>
  <c r="E100" i="8"/>
  <c r="E101" i="8"/>
  <c r="E102" i="8"/>
  <c r="G76" i="3" l="1"/>
  <c r="H76" i="3"/>
  <c r="I76" i="3"/>
  <c r="J76" i="3"/>
  <c r="L56" i="11" l="1"/>
  <c r="K56" i="11"/>
  <c r="J56" i="11"/>
  <c r="I56" i="11"/>
  <c r="H56" i="11"/>
  <c r="L45" i="11"/>
  <c r="K45" i="11"/>
  <c r="J45" i="11"/>
  <c r="I45" i="11"/>
  <c r="H45" i="11"/>
  <c r="L33" i="11"/>
  <c r="K33" i="11"/>
  <c r="J33" i="11"/>
  <c r="I33" i="11"/>
  <c r="H33" i="11"/>
  <c r="L21" i="11"/>
  <c r="K21" i="11"/>
  <c r="J21" i="11"/>
  <c r="I21" i="11"/>
  <c r="H21" i="11"/>
  <c r="H55" i="11"/>
  <c r="G7" i="11"/>
  <c r="H54" i="13"/>
  <c r="L55" i="13"/>
  <c r="K55" i="13"/>
  <c r="J55" i="13"/>
  <c r="I55" i="13"/>
  <c r="H55" i="13"/>
  <c r="L44" i="13"/>
  <c r="K44" i="13"/>
  <c r="J44" i="13"/>
  <c r="I44" i="13"/>
  <c r="H44" i="13"/>
  <c r="L32" i="13"/>
  <c r="K32" i="13"/>
  <c r="J32" i="13"/>
  <c r="I32" i="13"/>
  <c r="H32" i="13"/>
  <c r="L20" i="13"/>
  <c r="K20" i="13"/>
  <c r="J20" i="13"/>
  <c r="I20" i="13"/>
  <c r="H20" i="13"/>
  <c r="G6" i="13"/>
  <c r="H54" i="5"/>
  <c r="L55" i="5"/>
  <c r="K55" i="5"/>
  <c r="J55" i="5"/>
  <c r="I55" i="5"/>
  <c r="H55" i="5"/>
  <c r="L44" i="5"/>
  <c r="K44" i="5"/>
  <c r="J44" i="5"/>
  <c r="I44" i="5"/>
  <c r="H44" i="5"/>
  <c r="L32" i="5"/>
  <c r="K32" i="5"/>
  <c r="J32" i="5"/>
  <c r="I32" i="5"/>
  <c r="H32" i="5"/>
  <c r="L20" i="5"/>
  <c r="K20" i="5"/>
  <c r="J20" i="5"/>
  <c r="I20" i="5"/>
  <c r="H20" i="5"/>
  <c r="G6" i="5"/>
  <c r="C110" i="8"/>
  <c r="C111" i="8"/>
  <c r="C112" i="8"/>
  <c r="C113" i="8"/>
  <c r="C115" i="8"/>
  <c r="C116" i="8"/>
  <c r="C117" i="8"/>
  <c r="C118" i="8"/>
  <c r="C119" i="8"/>
  <c r="C120" i="8"/>
  <c r="C121" i="8"/>
  <c r="C122" i="8"/>
  <c r="D83" i="8"/>
  <c r="D55" i="8"/>
  <c r="D56" i="8"/>
  <c r="D57" i="8"/>
  <c r="D58" i="8"/>
  <c r="D59" i="8"/>
  <c r="D60" i="8"/>
  <c r="D61" i="8"/>
  <c r="D62" i="8"/>
  <c r="D63" i="8"/>
  <c r="D64" i="8"/>
  <c r="D65" i="8"/>
  <c r="D66" i="8"/>
  <c r="D67" i="8"/>
  <c r="D68" i="8"/>
  <c r="D69" i="8"/>
  <c r="D71" i="8"/>
  <c r="D72" i="8"/>
  <c r="D73" i="8"/>
  <c r="D74" i="8"/>
  <c r="D75" i="8"/>
  <c r="D76" i="8"/>
  <c r="D77" i="8"/>
  <c r="D79" i="8"/>
  <c r="D80" i="8"/>
  <c r="D82" i="8"/>
  <c r="D84" i="8"/>
  <c r="D85" i="8"/>
  <c r="D86" i="8"/>
  <c r="D87" i="8"/>
  <c r="D88" i="8"/>
  <c r="D89" i="8"/>
  <c r="D90" i="8"/>
  <c r="D91" i="8"/>
  <c r="D92" i="8"/>
  <c r="D93" i="8"/>
  <c r="D94" i="8"/>
  <c r="D95" i="8"/>
  <c r="D96" i="8"/>
  <c r="D97" i="8"/>
  <c r="D98" i="8"/>
  <c r="D103" i="8"/>
  <c r="D104" i="8"/>
  <c r="D105" i="8"/>
  <c r="D106" i="8"/>
  <c r="C56" i="8"/>
  <c r="C57" i="8"/>
  <c r="C58" i="8"/>
  <c r="C59" i="8"/>
  <c r="C60" i="8"/>
  <c r="C61" i="8"/>
  <c r="C62" i="8"/>
  <c r="C63" i="8"/>
  <c r="C64" i="8"/>
  <c r="C65" i="8"/>
  <c r="C66" i="8"/>
  <c r="C67" i="8"/>
  <c r="C68" i="8"/>
  <c r="C69" i="8"/>
  <c r="C71" i="8"/>
  <c r="C72" i="8"/>
  <c r="C73" i="8"/>
  <c r="C74" i="8"/>
  <c r="C75" i="8"/>
  <c r="C76" i="8"/>
  <c r="C77" i="8"/>
  <c r="C79" i="8"/>
  <c r="C80" i="8"/>
  <c r="C82" i="8"/>
  <c r="C84" i="8"/>
  <c r="C85" i="8"/>
  <c r="C86" i="8"/>
  <c r="C87" i="8"/>
  <c r="C88" i="8"/>
  <c r="C89" i="8"/>
  <c r="C90" i="8"/>
  <c r="C91" i="8"/>
  <c r="C92" i="8"/>
  <c r="C93" i="8"/>
  <c r="C94" i="8"/>
  <c r="C95" i="8"/>
  <c r="C96" i="8"/>
  <c r="C97" i="8"/>
  <c r="C98" i="8"/>
  <c r="C103" i="8"/>
  <c r="C104" i="8"/>
  <c r="C105" i="8"/>
  <c r="C106" i="8"/>
  <c r="C109" i="8"/>
  <c r="C55" i="8"/>
  <c r="D30" i="8"/>
  <c r="D3" i="8"/>
  <c r="D4" i="8"/>
  <c r="D5" i="8"/>
  <c r="D6" i="8"/>
  <c r="D7" i="8"/>
  <c r="D8" i="8"/>
  <c r="D9" i="8"/>
  <c r="D10" i="8"/>
  <c r="D11" i="8"/>
  <c r="D12" i="8"/>
  <c r="D13" i="8"/>
  <c r="D14" i="8"/>
  <c r="D15" i="8"/>
  <c r="D16" i="8"/>
  <c r="D17" i="8"/>
  <c r="D18" i="8"/>
  <c r="D19" i="8"/>
  <c r="D20" i="8"/>
  <c r="D21" i="8"/>
  <c r="D22" i="8"/>
  <c r="D23" i="8"/>
  <c r="D24" i="8"/>
  <c r="D25" i="8"/>
  <c r="D26" i="8"/>
  <c r="D27" i="8"/>
  <c r="D28" i="8"/>
  <c r="D29" i="8"/>
  <c r="D31" i="8"/>
  <c r="D32" i="8"/>
  <c r="D33" i="8"/>
  <c r="D34" i="8"/>
  <c r="D35" i="8"/>
  <c r="D36" i="8"/>
  <c r="D37" i="8"/>
  <c r="D38" i="8"/>
  <c r="D39" i="8"/>
  <c r="D40" i="8"/>
  <c r="D41" i="8"/>
  <c r="D42" i="8"/>
  <c r="D43" i="8"/>
  <c r="D44" i="8"/>
  <c r="D45" i="8"/>
  <c r="D46" i="8"/>
  <c r="D47" i="8"/>
  <c r="D48" i="8"/>
  <c r="D49" i="8"/>
  <c r="D50" i="8"/>
  <c r="D51" i="8"/>
  <c r="D52" i="8"/>
  <c r="C4" i="8"/>
  <c r="C5" i="8"/>
  <c r="C6" i="8"/>
  <c r="C7" i="8"/>
  <c r="C8" i="8"/>
  <c r="C9" i="8"/>
  <c r="C10" i="8"/>
  <c r="C11" i="8"/>
  <c r="C12" i="8"/>
  <c r="C13" i="8"/>
  <c r="C14" i="8"/>
  <c r="C15" i="8"/>
  <c r="C16" i="8"/>
  <c r="C17" i="8"/>
  <c r="C18" i="8"/>
  <c r="C19" i="8"/>
  <c r="C20" i="8"/>
  <c r="C21" i="8"/>
  <c r="C22" i="8"/>
  <c r="C23" i="8"/>
  <c r="C24" i="8"/>
  <c r="C25" i="8"/>
  <c r="C27" i="8"/>
  <c r="C28" i="8"/>
  <c r="C29" i="8"/>
  <c r="C31" i="8"/>
  <c r="C32" i="8"/>
  <c r="C33" i="8"/>
  <c r="C34" i="8"/>
  <c r="C35" i="8"/>
  <c r="C36" i="8"/>
  <c r="C37" i="8"/>
  <c r="C38" i="8"/>
  <c r="C39" i="8"/>
  <c r="C40" i="8"/>
  <c r="C41" i="8"/>
  <c r="C42" i="8"/>
  <c r="C43" i="8"/>
  <c r="C44" i="8"/>
  <c r="C45" i="8"/>
  <c r="C46" i="8"/>
  <c r="C47" i="8"/>
  <c r="C48" i="8"/>
  <c r="C49" i="8"/>
  <c r="C50" i="8"/>
  <c r="C51" i="8"/>
  <c r="C52" i="8"/>
  <c r="C3" i="8"/>
  <c r="Q1" i="3"/>
  <c r="P1" i="3"/>
  <c r="O1" i="3"/>
  <c r="N1" i="3"/>
  <c r="M1" i="3"/>
  <c r="L1" i="3"/>
  <c r="K1" i="3"/>
  <c r="J1" i="3"/>
  <c r="I1" i="3"/>
  <c r="H1" i="3"/>
  <c r="G1" i="3"/>
  <c r="F1" i="3"/>
  <c r="E1" i="3"/>
  <c r="D1" i="3"/>
  <c r="C1" i="3"/>
  <c r="B1" i="3"/>
  <c r="A1" i="3"/>
  <c r="A35" i="8" l="1"/>
  <c r="A36" i="8"/>
  <c r="B35" i="8"/>
  <c r="B36" i="8"/>
  <c r="E35" i="8"/>
  <c r="E36" i="8"/>
  <c r="J137" i="3" l="1"/>
  <c r="I137" i="3"/>
  <c r="H137" i="3"/>
  <c r="G137" i="3"/>
  <c r="J136" i="3"/>
  <c r="I136" i="3"/>
  <c r="H136" i="3"/>
  <c r="G136" i="3"/>
  <c r="J135" i="3"/>
  <c r="I135" i="3"/>
  <c r="H135" i="3"/>
  <c r="G135" i="3"/>
  <c r="J134" i="3"/>
  <c r="I134" i="3"/>
  <c r="H134" i="3"/>
  <c r="G134" i="3"/>
  <c r="J131" i="3"/>
  <c r="I131" i="3"/>
  <c r="H131" i="3"/>
  <c r="G131" i="3"/>
  <c r="J130" i="3"/>
  <c r="I130" i="3"/>
  <c r="H130" i="3"/>
  <c r="G130" i="3"/>
  <c r="J129" i="3"/>
  <c r="I129" i="3"/>
  <c r="H129" i="3"/>
  <c r="G129" i="3"/>
  <c r="J128" i="3"/>
  <c r="I128" i="3"/>
  <c r="H128" i="3"/>
  <c r="G128" i="3"/>
  <c r="J127" i="3"/>
  <c r="I127" i="3"/>
  <c r="H127" i="3"/>
  <c r="G127" i="3"/>
  <c r="J126" i="3"/>
  <c r="I126" i="3"/>
  <c r="H126" i="3"/>
  <c r="G126" i="3"/>
  <c r="J125" i="3"/>
  <c r="I125" i="3"/>
  <c r="H125" i="3"/>
  <c r="G125" i="3"/>
  <c r="J124" i="3"/>
  <c r="I124" i="3"/>
  <c r="H124" i="3"/>
  <c r="G124" i="3"/>
  <c r="J123" i="3"/>
  <c r="I123" i="3"/>
  <c r="H123" i="3"/>
  <c r="G123" i="3"/>
  <c r="J122" i="3"/>
  <c r="I122" i="3"/>
  <c r="H122" i="3"/>
  <c r="G122" i="3"/>
  <c r="J121" i="3"/>
  <c r="I121" i="3"/>
  <c r="H121" i="3"/>
  <c r="G121" i="3"/>
  <c r="J120" i="3"/>
  <c r="I120" i="3"/>
  <c r="H120" i="3"/>
  <c r="G120" i="3"/>
  <c r="J119" i="3"/>
  <c r="I119" i="3"/>
  <c r="H119" i="3"/>
  <c r="G119" i="3"/>
  <c r="J118" i="3"/>
  <c r="I118" i="3"/>
  <c r="H118" i="3"/>
  <c r="G118" i="3"/>
  <c r="J117" i="3"/>
  <c r="I117" i="3"/>
  <c r="H117" i="3"/>
  <c r="G117" i="3"/>
  <c r="J115" i="3"/>
  <c r="I115" i="3"/>
  <c r="H115" i="3"/>
  <c r="G115" i="3"/>
  <c r="J112" i="3"/>
  <c r="I112" i="3"/>
  <c r="H112" i="3"/>
  <c r="G112" i="3"/>
  <c r="J108" i="3"/>
  <c r="I108" i="3"/>
  <c r="H108" i="3"/>
  <c r="G108" i="3"/>
  <c r="J107" i="3"/>
  <c r="I107" i="3"/>
  <c r="H107" i="3"/>
  <c r="G107" i="3"/>
  <c r="J106" i="3"/>
  <c r="I106" i="3"/>
  <c r="H106" i="3"/>
  <c r="G106" i="3"/>
  <c r="J105" i="3"/>
  <c r="I105" i="3"/>
  <c r="H105" i="3"/>
  <c r="G105" i="3"/>
  <c r="J104" i="3"/>
  <c r="I104" i="3"/>
  <c r="H104" i="3"/>
  <c r="G104" i="3"/>
  <c r="J103" i="3"/>
  <c r="I103" i="3"/>
  <c r="H103" i="3"/>
  <c r="G103" i="3"/>
  <c r="J101" i="3"/>
  <c r="I101" i="3"/>
  <c r="H101" i="3"/>
  <c r="G101" i="3"/>
  <c r="J98" i="3"/>
  <c r="I98" i="3"/>
  <c r="H98" i="3"/>
  <c r="G98" i="3"/>
  <c r="J96" i="3"/>
  <c r="I96" i="3"/>
  <c r="H96" i="3"/>
  <c r="G96" i="3"/>
  <c r="J94" i="3"/>
  <c r="I94" i="3"/>
  <c r="H94" i="3"/>
  <c r="G94" i="3"/>
  <c r="J93" i="3"/>
  <c r="I93" i="3"/>
  <c r="H93" i="3"/>
  <c r="G93" i="3"/>
  <c r="J92" i="3"/>
  <c r="I92" i="3"/>
  <c r="H92" i="3"/>
  <c r="G92" i="3"/>
  <c r="J91" i="3"/>
  <c r="I91" i="3"/>
  <c r="H91" i="3"/>
  <c r="G91" i="3"/>
  <c r="J90" i="3"/>
  <c r="I90" i="3"/>
  <c r="H90" i="3"/>
  <c r="G90" i="3"/>
  <c r="J89" i="3"/>
  <c r="I89" i="3"/>
  <c r="H89" i="3"/>
  <c r="G89" i="3"/>
  <c r="J88" i="3"/>
  <c r="I88" i="3"/>
  <c r="H88" i="3"/>
  <c r="G88" i="3"/>
  <c r="J87" i="3"/>
  <c r="I87" i="3"/>
  <c r="H87" i="3"/>
  <c r="G87" i="3"/>
  <c r="J86" i="3"/>
  <c r="I86" i="3"/>
  <c r="H86" i="3"/>
  <c r="G86" i="3"/>
  <c r="J85" i="3"/>
  <c r="I85" i="3"/>
  <c r="H85" i="3"/>
  <c r="G85" i="3"/>
  <c r="J84" i="3"/>
  <c r="I84" i="3"/>
  <c r="H84" i="3"/>
  <c r="G84" i="3"/>
  <c r="J83" i="3"/>
  <c r="I83" i="3"/>
  <c r="H83" i="3"/>
  <c r="G83" i="3"/>
  <c r="J82" i="3"/>
  <c r="I82" i="3"/>
  <c r="H82" i="3"/>
  <c r="G82" i="3"/>
  <c r="J81" i="3"/>
  <c r="I81" i="3"/>
  <c r="H81" i="3"/>
  <c r="G81" i="3"/>
  <c r="J78" i="3"/>
  <c r="I78" i="3"/>
  <c r="H78" i="3"/>
  <c r="G78" i="3"/>
  <c r="J77" i="3"/>
  <c r="I77" i="3"/>
  <c r="H77" i="3"/>
  <c r="G77" i="3"/>
  <c r="J73" i="3"/>
  <c r="I73" i="3"/>
  <c r="H73" i="3"/>
  <c r="G73" i="3"/>
  <c r="J72" i="3"/>
  <c r="I72" i="3"/>
  <c r="H72" i="3"/>
  <c r="G72" i="3"/>
  <c r="J71" i="3"/>
  <c r="I71" i="3"/>
  <c r="H71" i="3"/>
  <c r="G71" i="3"/>
  <c r="J70" i="3"/>
  <c r="I70" i="3"/>
  <c r="H70" i="3"/>
  <c r="G70" i="3"/>
  <c r="J69" i="3"/>
  <c r="I69" i="3"/>
  <c r="H69" i="3"/>
  <c r="G69" i="3"/>
  <c r="J68" i="3"/>
  <c r="I68" i="3"/>
  <c r="H68" i="3"/>
  <c r="G68" i="3"/>
  <c r="J67" i="3"/>
  <c r="I67" i="3"/>
  <c r="H67" i="3"/>
  <c r="G67" i="3"/>
  <c r="J66" i="3"/>
  <c r="I66" i="3"/>
  <c r="H66" i="3"/>
  <c r="G66" i="3"/>
  <c r="J65" i="3"/>
  <c r="I65" i="3"/>
  <c r="H65" i="3"/>
  <c r="G65" i="3"/>
  <c r="J64" i="3"/>
  <c r="I64" i="3"/>
  <c r="H64" i="3"/>
  <c r="G64" i="3"/>
  <c r="J63" i="3"/>
  <c r="I63" i="3"/>
  <c r="H63" i="3"/>
  <c r="G63" i="3"/>
  <c r="J62" i="3"/>
  <c r="I62" i="3"/>
  <c r="H62" i="3"/>
  <c r="G62" i="3"/>
  <c r="J61" i="3"/>
  <c r="I61" i="3"/>
  <c r="H61" i="3"/>
  <c r="G61" i="3"/>
  <c r="J60" i="3"/>
  <c r="I60" i="3"/>
  <c r="H60" i="3"/>
  <c r="G60" i="3"/>
  <c r="J57" i="3"/>
  <c r="I57" i="3"/>
  <c r="H57" i="3"/>
  <c r="G57" i="3"/>
  <c r="J56" i="3"/>
  <c r="I56" i="3"/>
  <c r="H56" i="3"/>
  <c r="G56" i="3"/>
  <c r="J55" i="3"/>
  <c r="I55" i="3"/>
  <c r="H55" i="3"/>
  <c r="G55"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4" i="3"/>
  <c r="I14" i="3"/>
  <c r="H14" i="3"/>
  <c r="G14" i="3"/>
  <c r="J13" i="3"/>
  <c r="I13" i="3"/>
  <c r="H13" i="3"/>
  <c r="G13" i="3"/>
  <c r="J12" i="3"/>
  <c r="I12" i="3"/>
  <c r="H12" i="3"/>
  <c r="G12" i="3"/>
  <c r="J11" i="3"/>
  <c r="I11" i="3"/>
  <c r="H11" i="3"/>
  <c r="G11" i="3"/>
  <c r="J4" i="3"/>
  <c r="I4" i="3"/>
  <c r="H4" i="3"/>
  <c r="G4" i="3"/>
  <c r="L54" i="13" l="1"/>
  <c r="A58" i="13" s="1"/>
  <c r="G5" i="13"/>
  <c r="L5" i="13"/>
  <c r="A19" i="13" s="1"/>
  <c r="A70" i="13" l="1"/>
  <c r="D70" i="13" s="1"/>
  <c r="H19" i="13"/>
  <c r="G19" i="13"/>
  <c r="F19" i="13"/>
  <c r="K19" i="13"/>
  <c r="C19" i="13"/>
  <c r="D19" i="13"/>
  <c r="B19" i="13"/>
  <c r="J19" i="13"/>
  <c r="I19" i="13"/>
  <c r="G58" i="13"/>
  <c r="F58" i="13"/>
  <c r="C58" i="13"/>
  <c r="D58" i="13"/>
  <c r="B58" i="13"/>
  <c r="A52" i="13"/>
  <c r="E52" i="13" s="1"/>
  <c r="A9" i="13"/>
  <c r="A21" i="13"/>
  <c r="A24" i="13"/>
  <c r="A62" i="13"/>
  <c r="A12" i="13"/>
  <c r="A66" i="13"/>
  <c r="A33" i="13"/>
  <c r="A36" i="13"/>
  <c r="A45" i="13"/>
  <c r="E45" i="13" s="1"/>
  <c r="A48" i="13"/>
  <c r="E48" i="13" s="1"/>
  <c r="A77" i="13"/>
  <c r="A73" i="13"/>
  <c r="A69" i="13"/>
  <c r="A65" i="13"/>
  <c r="A61" i="13"/>
  <c r="A57" i="13"/>
  <c r="A76" i="13"/>
  <c r="A72" i="13"/>
  <c r="A68" i="13"/>
  <c r="A64" i="13"/>
  <c r="A60" i="13"/>
  <c r="A56" i="13"/>
  <c r="A79" i="13"/>
  <c r="A75" i="13"/>
  <c r="A71" i="13"/>
  <c r="A67" i="13"/>
  <c r="A63" i="13"/>
  <c r="A59" i="13"/>
  <c r="A78" i="13"/>
  <c r="A31" i="13"/>
  <c r="A51" i="13"/>
  <c r="E51" i="13" s="1"/>
  <c r="A39" i="13"/>
  <c r="A27" i="13"/>
  <c r="A15" i="13"/>
  <c r="A46" i="13"/>
  <c r="A34" i="13"/>
  <c r="A22" i="13"/>
  <c r="A10" i="13"/>
  <c r="A42" i="13"/>
  <c r="A30" i="13"/>
  <c r="A18" i="13"/>
  <c r="A49" i="13"/>
  <c r="A37" i="13"/>
  <c r="A25" i="13"/>
  <c r="A13" i="13"/>
  <c r="A40" i="13"/>
  <c r="A28" i="13"/>
  <c r="A16" i="13"/>
  <c r="A43" i="13"/>
  <c r="A74" i="13"/>
  <c r="E49" i="13" l="1"/>
  <c r="E46" i="13"/>
  <c r="F70" i="13"/>
  <c r="B70" i="13"/>
  <c r="C70" i="13"/>
  <c r="G70" i="13"/>
  <c r="D13" i="13"/>
  <c r="K13" i="13"/>
  <c r="C13" i="13"/>
  <c r="J13" i="13"/>
  <c r="B13" i="13"/>
  <c r="I13" i="13"/>
  <c r="G13" i="13"/>
  <c r="F13" i="13"/>
  <c r="H13" i="13"/>
  <c r="E21" i="13"/>
  <c r="E22" i="13" s="1"/>
  <c r="D21" i="13"/>
  <c r="K21" i="13"/>
  <c r="C21" i="13"/>
  <c r="J21" i="13"/>
  <c r="B21" i="13"/>
  <c r="H21" i="13"/>
  <c r="I21" i="13"/>
  <c r="G21" i="13"/>
  <c r="F21" i="13"/>
  <c r="D25" i="13"/>
  <c r="K25" i="13"/>
  <c r="C25" i="13"/>
  <c r="J25" i="13"/>
  <c r="B25" i="13"/>
  <c r="I25" i="13"/>
  <c r="G25" i="13"/>
  <c r="H25" i="13"/>
  <c r="F25" i="13"/>
  <c r="J34" i="13"/>
  <c r="B34" i="13"/>
  <c r="I34" i="13"/>
  <c r="H34" i="13"/>
  <c r="G34" i="13"/>
  <c r="C34" i="13"/>
  <c r="K34" i="13"/>
  <c r="F34" i="13"/>
  <c r="D34" i="13"/>
  <c r="D56" i="13"/>
  <c r="C56" i="13"/>
  <c r="B56" i="13"/>
  <c r="F56" i="13"/>
  <c r="G56" i="13"/>
  <c r="B57" i="13"/>
  <c r="F57" i="13"/>
  <c r="G57" i="13"/>
  <c r="D57" i="13"/>
  <c r="C57" i="13"/>
  <c r="G48" i="13"/>
  <c r="F48" i="13"/>
  <c r="D48" i="13"/>
  <c r="J48" i="13"/>
  <c r="B48" i="13"/>
  <c r="I48" i="13"/>
  <c r="C48" i="13"/>
  <c r="K48" i="13"/>
  <c r="H48" i="13"/>
  <c r="H31" i="13"/>
  <c r="G31" i="13"/>
  <c r="F31" i="13"/>
  <c r="K31" i="13"/>
  <c r="C31" i="13"/>
  <c r="B31" i="13"/>
  <c r="I31" i="13"/>
  <c r="J31" i="13"/>
  <c r="D31" i="13"/>
  <c r="G12" i="13"/>
  <c r="F12" i="13"/>
  <c r="E12" i="13"/>
  <c r="E13" i="13" s="1"/>
  <c r="D12" i="13"/>
  <c r="J12" i="13"/>
  <c r="B12" i="13"/>
  <c r="K12" i="13"/>
  <c r="I12" i="13"/>
  <c r="H12" i="13"/>
  <c r="C12" i="13"/>
  <c r="G78" i="13"/>
  <c r="F78" i="13"/>
  <c r="D78" i="13"/>
  <c r="C78" i="13"/>
  <c r="B78" i="13"/>
  <c r="D37" i="13"/>
  <c r="K37" i="13"/>
  <c r="C37" i="13"/>
  <c r="J37" i="13"/>
  <c r="B37" i="13"/>
  <c r="I37" i="13"/>
  <c r="G37" i="13"/>
  <c r="F37" i="13"/>
  <c r="H37" i="13"/>
  <c r="J46" i="13"/>
  <c r="B46" i="13"/>
  <c r="I46" i="13"/>
  <c r="H46" i="13"/>
  <c r="G46" i="13"/>
  <c r="K46" i="13"/>
  <c r="D46" i="13"/>
  <c r="F46" i="13"/>
  <c r="C46" i="13"/>
  <c r="G59" i="13"/>
  <c r="F59" i="13"/>
  <c r="D59" i="13"/>
  <c r="C59" i="13"/>
  <c r="B59" i="13"/>
  <c r="D60" i="13"/>
  <c r="C60" i="13"/>
  <c r="B60" i="13"/>
  <c r="G60" i="13"/>
  <c r="F60" i="13"/>
  <c r="B61" i="13"/>
  <c r="F61" i="13"/>
  <c r="C61" i="13"/>
  <c r="G61" i="13"/>
  <c r="D61" i="13"/>
  <c r="D45" i="13"/>
  <c r="K45" i="13"/>
  <c r="C45" i="13"/>
  <c r="J45" i="13"/>
  <c r="B45" i="13"/>
  <c r="H45" i="13"/>
  <c r="I45" i="13"/>
  <c r="F45" i="13"/>
  <c r="G45" i="13"/>
  <c r="E9" i="13"/>
  <c r="E10" i="13" s="1"/>
  <c r="D9" i="13"/>
  <c r="K9" i="13"/>
  <c r="C9" i="13"/>
  <c r="J9" i="13"/>
  <c r="B9" i="13"/>
  <c r="H9" i="13"/>
  <c r="I9" i="13"/>
  <c r="G9" i="13"/>
  <c r="F9" i="13"/>
  <c r="D49" i="13"/>
  <c r="K49" i="13"/>
  <c r="C49" i="13"/>
  <c r="J49" i="13"/>
  <c r="B49" i="13"/>
  <c r="I49" i="13"/>
  <c r="G49" i="13"/>
  <c r="H49" i="13"/>
  <c r="F49" i="13"/>
  <c r="I15" i="13"/>
  <c r="H15" i="13"/>
  <c r="G15" i="13"/>
  <c r="F15" i="13"/>
  <c r="D15" i="13"/>
  <c r="K15" i="13"/>
  <c r="J15" i="13"/>
  <c r="E15" i="13"/>
  <c r="E16" i="13" s="1"/>
  <c r="C15" i="13"/>
  <c r="B15" i="13"/>
  <c r="G63" i="13"/>
  <c r="F63" i="13"/>
  <c r="D63" i="13"/>
  <c r="C63" i="13"/>
  <c r="B63" i="13"/>
  <c r="D64" i="13"/>
  <c r="C64" i="13"/>
  <c r="B64" i="13"/>
  <c r="G64" i="13"/>
  <c r="F64" i="13"/>
  <c r="B65" i="13"/>
  <c r="F65" i="13"/>
  <c r="D65" i="13"/>
  <c r="G65" i="13"/>
  <c r="C65" i="13"/>
  <c r="G52" i="13"/>
  <c r="F52" i="13"/>
  <c r="D52" i="13"/>
  <c r="B52" i="13"/>
  <c r="C52" i="13"/>
  <c r="F40" i="13"/>
  <c r="D40" i="13"/>
  <c r="K40" i="13"/>
  <c r="C40" i="13"/>
  <c r="I40" i="13"/>
  <c r="J40" i="13"/>
  <c r="H40" i="13"/>
  <c r="G40" i="13"/>
  <c r="B40" i="13"/>
  <c r="K18" i="13"/>
  <c r="C18" i="13"/>
  <c r="J18" i="13"/>
  <c r="B18" i="13"/>
  <c r="I18" i="13"/>
  <c r="H18" i="13"/>
  <c r="F18" i="13"/>
  <c r="G18" i="13"/>
  <c r="E18" i="13"/>
  <c r="E19" i="13" s="1"/>
  <c r="D18" i="13"/>
  <c r="I27" i="13"/>
  <c r="H27" i="13"/>
  <c r="G27" i="13"/>
  <c r="F27" i="13"/>
  <c r="D27" i="13"/>
  <c r="J27" i="13"/>
  <c r="E27" i="13"/>
  <c r="E28" i="13" s="1"/>
  <c r="C27" i="13"/>
  <c r="K27" i="13"/>
  <c r="B27" i="13"/>
  <c r="G67" i="13"/>
  <c r="F67" i="13"/>
  <c r="D67" i="13"/>
  <c r="C67" i="13"/>
  <c r="B67" i="13"/>
  <c r="D68" i="13"/>
  <c r="C68" i="13"/>
  <c r="B68" i="13"/>
  <c r="G68" i="13"/>
  <c r="F68" i="13"/>
  <c r="B69" i="13"/>
  <c r="F69" i="13"/>
  <c r="G69" i="13"/>
  <c r="C69" i="13"/>
  <c r="D69" i="13"/>
  <c r="G36" i="13"/>
  <c r="F36" i="13"/>
  <c r="E36" i="13"/>
  <c r="E37" i="13" s="1"/>
  <c r="D36" i="13"/>
  <c r="J36" i="13"/>
  <c r="B36" i="13"/>
  <c r="K36" i="13"/>
  <c r="H36" i="13"/>
  <c r="I36" i="13"/>
  <c r="C36" i="13"/>
  <c r="G79" i="13"/>
  <c r="F79" i="13"/>
  <c r="D79" i="13"/>
  <c r="B79" i="13"/>
  <c r="C79" i="13"/>
  <c r="G24" i="13"/>
  <c r="F24" i="13"/>
  <c r="E24" i="13"/>
  <c r="E25" i="13" s="1"/>
  <c r="D24" i="13"/>
  <c r="J24" i="13"/>
  <c r="B24" i="13"/>
  <c r="I24" i="13"/>
  <c r="H24" i="13"/>
  <c r="C24" i="13"/>
  <c r="K24" i="13"/>
  <c r="J22" i="13"/>
  <c r="B22" i="13"/>
  <c r="I22" i="13"/>
  <c r="H22" i="13"/>
  <c r="G22" i="13"/>
  <c r="D22" i="13"/>
  <c r="C22" i="13"/>
  <c r="K22" i="13"/>
  <c r="F22" i="13"/>
  <c r="G74" i="13"/>
  <c r="F74" i="13"/>
  <c r="C74" i="13"/>
  <c r="D74" i="13"/>
  <c r="B74" i="13"/>
  <c r="F16" i="13"/>
  <c r="D16" i="13"/>
  <c r="K16" i="13"/>
  <c r="C16" i="13"/>
  <c r="I16" i="13"/>
  <c r="G16" i="13"/>
  <c r="J16" i="13"/>
  <c r="B16" i="13"/>
  <c r="H16" i="13"/>
  <c r="K30" i="13"/>
  <c r="C30" i="13"/>
  <c r="J30" i="13"/>
  <c r="B30" i="13"/>
  <c r="I30" i="13"/>
  <c r="H30" i="13"/>
  <c r="F30" i="13"/>
  <c r="G30" i="13"/>
  <c r="E30" i="13"/>
  <c r="E31" i="13" s="1"/>
  <c r="D30" i="13"/>
  <c r="I39" i="13"/>
  <c r="H39" i="13"/>
  <c r="G39" i="13"/>
  <c r="F39" i="13"/>
  <c r="D39" i="13"/>
  <c r="K39" i="13"/>
  <c r="E39" i="13"/>
  <c r="E40" i="13" s="1"/>
  <c r="J39" i="13"/>
  <c r="C39" i="13"/>
  <c r="B39" i="13"/>
  <c r="G71" i="13"/>
  <c r="F71" i="13"/>
  <c r="D71" i="13"/>
  <c r="C71" i="13"/>
  <c r="B71" i="13"/>
  <c r="D72" i="13"/>
  <c r="C72" i="13"/>
  <c r="B72" i="13"/>
  <c r="F72" i="13"/>
  <c r="G72" i="13"/>
  <c r="B73" i="13"/>
  <c r="F73" i="13"/>
  <c r="D73" i="13"/>
  <c r="G73" i="13"/>
  <c r="C73" i="13"/>
  <c r="E33" i="13"/>
  <c r="E34" i="13" s="1"/>
  <c r="D33" i="13"/>
  <c r="K33" i="13"/>
  <c r="C33" i="13"/>
  <c r="J33" i="13"/>
  <c r="B33" i="13"/>
  <c r="H33" i="13"/>
  <c r="G33" i="13"/>
  <c r="F33" i="13"/>
  <c r="I33" i="13"/>
  <c r="J10" i="13"/>
  <c r="B10" i="13"/>
  <c r="I10" i="13"/>
  <c r="H10" i="13"/>
  <c r="G10" i="13"/>
  <c r="F10" i="13"/>
  <c r="C10" i="13"/>
  <c r="D10" i="13"/>
  <c r="K10" i="13"/>
  <c r="H43" i="13"/>
  <c r="G43" i="13"/>
  <c r="F43" i="13"/>
  <c r="K43" i="13"/>
  <c r="C43" i="13"/>
  <c r="J43" i="13"/>
  <c r="D43" i="13"/>
  <c r="I43" i="13"/>
  <c r="B43" i="13"/>
  <c r="F28" i="13"/>
  <c r="D28" i="13"/>
  <c r="K28" i="13"/>
  <c r="C28" i="13"/>
  <c r="I28" i="13"/>
  <c r="B28" i="13"/>
  <c r="H28" i="13"/>
  <c r="J28" i="13"/>
  <c r="G28" i="13"/>
  <c r="K42" i="13"/>
  <c r="C42" i="13"/>
  <c r="J42" i="13"/>
  <c r="B42" i="13"/>
  <c r="I42" i="13"/>
  <c r="H42" i="13"/>
  <c r="F42" i="13"/>
  <c r="E42" i="13"/>
  <c r="E43" i="13" s="1"/>
  <c r="D42" i="13"/>
  <c r="G42" i="13"/>
  <c r="J51" i="13"/>
  <c r="I51" i="13"/>
  <c r="H51" i="13"/>
  <c r="G51" i="13"/>
  <c r="D51" i="13"/>
  <c r="K51" i="13"/>
  <c r="C51" i="13"/>
  <c r="B51" i="13"/>
  <c r="F51" i="13"/>
  <c r="G75" i="13"/>
  <c r="F75" i="13"/>
  <c r="D75" i="13"/>
  <c r="C75" i="13"/>
  <c r="B75" i="13"/>
  <c r="D76" i="13"/>
  <c r="C76" i="13"/>
  <c r="B76" i="13"/>
  <c r="G76" i="13"/>
  <c r="F76" i="13"/>
  <c r="B77" i="13"/>
  <c r="G77" i="13"/>
  <c r="F77" i="13"/>
  <c r="D77" i="13"/>
  <c r="C77" i="13"/>
  <c r="G66" i="13"/>
  <c r="F66" i="13"/>
  <c r="C66" i="13"/>
  <c r="D66" i="13"/>
  <c r="B66" i="13"/>
  <c r="G62" i="13"/>
  <c r="F62" i="13"/>
  <c r="C62" i="13"/>
  <c r="D62" i="13"/>
  <c r="B62" i="13"/>
  <c r="H76" i="13" l="1"/>
  <c r="I76" i="13"/>
  <c r="J76" i="13"/>
  <c r="K76" i="13"/>
  <c r="H72" i="13"/>
  <c r="I72" i="13"/>
  <c r="J72" i="13"/>
  <c r="K72" i="13"/>
  <c r="H68" i="13"/>
  <c r="I68" i="13"/>
  <c r="J68" i="13"/>
  <c r="K68" i="13"/>
  <c r="H64" i="13"/>
  <c r="I64" i="13"/>
  <c r="J64" i="13"/>
  <c r="K64" i="13"/>
  <c r="H60" i="13"/>
  <c r="I60" i="13"/>
  <c r="J60" i="13"/>
  <c r="K60" i="13"/>
  <c r="H56" i="13"/>
  <c r="I56" i="13"/>
  <c r="J56" i="13"/>
  <c r="K56" i="13"/>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S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H67" i="13" l="1"/>
  <c r="I67" i="13"/>
  <c r="J67" i="13"/>
  <c r="K67" i="13"/>
  <c r="K71" i="13" l="1"/>
  <c r="J71" i="13"/>
  <c r="I71" i="13"/>
  <c r="H71" i="13"/>
  <c r="K66" i="13"/>
  <c r="J66" i="13"/>
  <c r="I66" i="13"/>
  <c r="H66" i="13"/>
  <c r="K70" i="13"/>
  <c r="J70" i="13"/>
  <c r="I70" i="13"/>
  <c r="H70" i="13"/>
  <c r="K63" i="13"/>
  <c r="J63" i="13"/>
  <c r="I63" i="13"/>
  <c r="H63" i="13"/>
  <c r="K59" i="13"/>
  <c r="J59" i="13"/>
  <c r="I59" i="13"/>
  <c r="H59" i="13"/>
  <c r="K58" i="13"/>
  <c r="J58" i="13"/>
  <c r="I58" i="13"/>
  <c r="H58" i="13"/>
  <c r="K69" i="13"/>
  <c r="J69" i="13"/>
  <c r="I69" i="13"/>
  <c r="H69" i="13"/>
  <c r="K65" i="13"/>
  <c r="J65" i="13"/>
  <c r="I65" i="13"/>
  <c r="H65" i="13"/>
  <c r="K57" i="13"/>
  <c r="J57" i="13"/>
  <c r="I57" i="13"/>
  <c r="H57" i="13"/>
  <c r="K62" i="13"/>
  <c r="J62" i="13"/>
  <c r="I62" i="13"/>
  <c r="H62" i="13"/>
  <c r="K61" i="13"/>
  <c r="J61" i="13"/>
  <c r="I61" i="13"/>
  <c r="H61" i="13"/>
  <c r="K78" i="13"/>
  <c r="J78" i="13"/>
  <c r="I78" i="13"/>
  <c r="H78" i="13"/>
  <c r="K77" i="13"/>
  <c r="J77" i="13"/>
  <c r="I77" i="13"/>
  <c r="H77" i="13"/>
  <c r="K75" i="13"/>
  <c r="J75" i="13"/>
  <c r="I75" i="13"/>
  <c r="H75" i="13"/>
  <c r="K74" i="13"/>
  <c r="J74" i="13"/>
  <c r="I74" i="13"/>
  <c r="H74" i="13"/>
  <c r="K73" i="13"/>
  <c r="J73" i="13"/>
  <c r="I73" i="13"/>
  <c r="H73" i="13"/>
  <c r="J3" i="3"/>
  <c r="I3" i="3"/>
  <c r="H3" i="3"/>
  <c r="G3" i="3"/>
  <c r="H52" i="13" l="1"/>
  <c r="I52" i="13"/>
  <c r="J52" i="13"/>
  <c r="K52" i="13"/>
  <c r="H79" i="13"/>
  <c r="I79" i="13"/>
  <c r="J79" i="13"/>
  <c r="K79" i="13"/>
  <c r="E187" i="8" l="1"/>
  <c r="B187" i="8"/>
  <c r="A187" i="8"/>
  <c r="Q15" i="3" l="1"/>
  <c r="Q102" i="3"/>
  <c r="Q110" i="3"/>
  <c r="Q111" i="3"/>
  <c r="Q10" i="3"/>
  <c r="Q7" i="3"/>
  <c r="Q8" i="3"/>
  <c r="Q9" i="3"/>
  <c r="Q99" i="3"/>
  <c r="Q97" i="3"/>
  <c r="Q100" i="3"/>
  <c r="Q109" i="3"/>
  <c r="Q132" i="3"/>
  <c r="Q133" i="3"/>
  <c r="Q5" i="3"/>
  <c r="Q59" i="3"/>
  <c r="Q74" i="3"/>
  <c r="Q58" i="3"/>
  <c r="Q6" i="3"/>
  <c r="Q52" i="3"/>
  <c r="Q75" i="3"/>
  <c r="Q54" i="3"/>
  <c r="Q113" i="3"/>
  <c r="Q53" i="3"/>
  <c r="Q114" i="3"/>
  <c r="Q116" i="3"/>
  <c r="Q95" i="3"/>
  <c r="Q79" i="3"/>
  <c r="Q80" i="3"/>
  <c r="Q76" i="3"/>
  <c r="Q105" i="3"/>
  <c r="Q12" i="3"/>
  <c r="Q13" i="3"/>
  <c r="Q11" i="3"/>
  <c r="Q124" i="3"/>
  <c r="Q122" i="3"/>
  <c r="Q127" i="3"/>
  <c r="Q126" i="3"/>
  <c r="Q123" i="3"/>
  <c r="Q125" i="3"/>
  <c r="Q92" i="3"/>
  <c r="Q4" i="3"/>
  <c r="Q3" i="3"/>
  <c r="Q67" i="3"/>
  <c r="Q69" i="3"/>
  <c r="Q68" i="3"/>
  <c r="Q70" i="3"/>
  <c r="Q73" i="3"/>
  <c r="Q72" i="3"/>
  <c r="Q66" i="3"/>
  <c r="Q71" i="3"/>
  <c r="Q78" i="3"/>
  <c r="Q77" i="3"/>
  <c r="Q18" i="3"/>
  <c r="Q21" i="3"/>
  <c r="Q20" i="3"/>
  <c r="Q19" i="3"/>
  <c r="Q22" i="3"/>
  <c r="Q17" i="3"/>
  <c r="Q103" i="3"/>
  <c r="Q25" i="3"/>
  <c r="Q27" i="3"/>
  <c r="Q26" i="3"/>
  <c r="Q28" i="3"/>
  <c r="Q24" i="3"/>
  <c r="Q23" i="3"/>
  <c r="Q128" i="3"/>
  <c r="Q94" i="3"/>
  <c r="Q30" i="3"/>
  <c r="Q29" i="3"/>
  <c r="Q90" i="3"/>
  <c r="Q31" i="3"/>
  <c r="Q32" i="3"/>
  <c r="Q34" i="3"/>
  <c r="Q81" i="3"/>
  <c r="Q82" i="3"/>
  <c r="Q83" i="3"/>
  <c r="Q84" i="3"/>
  <c r="Q85" i="3"/>
  <c r="Q86" i="3"/>
  <c r="Q87" i="3"/>
  <c r="Q88" i="3"/>
  <c r="Q89" i="3"/>
  <c r="Q91" i="3"/>
  <c r="Q93" i="3"/>
  <c r="Q37" i="3"/>
  <c r="Q38" i="3"/>
  <c r="Q36" i="3"/>
  <c r="Q39" i="3"/>
  <c r="Q35" i="3"/>
  <c r="Q44" i="3"/>
  <c r="Q43" i="3"/>
  <c r="Q40" i="3"/>
  <c r="Q42" i="3"/>
  <c r="Q45" i="3"/>
  <c r="Q41" i="3"/>
  <c r="Q47" i="3"/>
  <c r="Q46" i="3"/>
  <c r="Q48" i="3"/>
  <c r="Q49" i="3"/>
  <c r="Q50" i="3"/>
  <c r="Q51" i="3"/>
  <c r="Q56" i="3"/>
  <c r="Q55" i="3"/>
  <c r="Q112" i="3"/>
  <c r="Q115" i="3"/>
  <c r="Q117" i="3"/>
  <c r="Q65" i="3"/>
  <c r="Q131" i="3"/>
  <c r="Q130" i="3"/>
  <c r="Q129" i="3"/>
  <c r="Q134" i="3"/>
  <c r="Q57" i="3"/>
  <c r="Q63" i="3"/>
  <c r="Q135" i="3"/>
  <c r="Q136" i="3"/>
  <c r="Q137" i="3"/>
  <c r="Q33" i="3"/>
  <c r="Q64" i="3"/>
  <c r="Q14" i="3"/>
  <c r="Q104" i="3"/>
  <c r="Q106" i="3"/>
  <c r="Q121" i="3"/>
  <c r="Q60" i="3"/>
  <c r="Q108" i="3"/>
  <c r="Q107" i="3"/>
  <c r="Q61" i="3"/>
  <c r="Q96" i="3"/>
  <c r="Q16" i="3"/>
  <c r="Q118" i="3"/>
  <c r="Q98" i="3"/>
  <c r="Q62" i="3"/>
  <c r="Q119" i="3"/>
  <c r="Q101" i="3"/>
  <c r="Q120" i="3"/>
  <c r="E160" i="8"/>
  <c r="B160" i="8"/>
  <c r="A160" i="8"/>
  <c r="P15" i="3" l="1"/>
  <c r="P102" i="3"/>
  <c r="P110" i="3"/>
  <c r="P111" i="3"/>
  <c r="P10" i="3"/>
  <c r="P7" i="3"/>
  <c r="P8" i="3"/>
  <c r="P9" i="3"/>
  <c r="P99" i="3"/>
  <c r="P97" i="3"/>
  <c r="P100" i="3"/>
  <c r="P109" i="3"/>
  <c r="P5" i="3"/>
  <c r="P132" i="3"/>
  <c r="P133" i="3"/>
  <c r="P59" i="3"/>
  <c r="P74" i="3"/>
  <c r="P75" i="3"/>
  <c r="P6" i="3"/>
  <c r="P52" i="3"/>
  <c r="P58" i="3"/>
  <c r="P54" i="3"/>
  <c r="P113" i="3"/>
  <c r="P116" i="3"/>
  <c r="P53" i="3"/>
  <c r="P114" i="3"/>
  <c r="P79" i="3"/>
  <c r="P80" i="3"/>
  <c r="P95" i="3"/>
  <c r="P76" i="3"/>
  <c r="P105" i="3"/>
  <c r="P12" i="3"/>
  <c r="P13" i="3"/>
  <c r="P11" i="3"/>
  <c r="P124" i="3"/>
  <c r="P122" i="3"/>
  <c r="P127" i="3"/>
  <c r="P126" i="3"/>
  <c r="P123" i="3"/>
  <c r="P125" i="3"/>
  <c r="P92" i="3"/>
  <c r="P4" i="3"/>
  <c r="P3" i="3"/>
  <c r="P67" i="3"/>
  <c r="P69" i="3"/>
  <c r="P68" i="3"/>
  <c r="P70" i="3"/>
  <c r="P73" i="3"/>
  <c r="P72" i="3"/>
  <c r="P66" i="3"/>
  <c r="P71" i="3"/>
  <c r="P78" i="3"/>
  <c r="P77" i="3"/>
  <c r="P18" i="3"/>
  <c r="P21" i="3"/>
  <c r="P20" i="3"/>
  <c r="P19" i="3"/>
  <c r="P22" i="3"/>
  <c r="P17" i="3"/>
  <c r="P103" i="3"/>
  <c r="P25" i="3"/>
  <c r="P27" i="3"/>
  <c r="P26" i="3"/>
  <c r="P28" i="3"/>
  <c r="P24" i="3"/>
  <c r="P23" i="3"/>
  <c r="P128" i="3"/>
  <c r="P94" i="3"/>
  <c r="P30" i="3"/>
  <c r="P29" i="3"/>
  <c r="P90" i="3"/>
  <c r="P31" i="3"/>
  <c r="P32" i="3"/>
  <c r="P34" i="3"/>
  <c r="P81" i="3"/>
  <c r="P82" i="3"/>
  <c r="P83" i="3"/>
  <c r="P84" i="3"/>
  <c r="P85" i="3"/>
  <c r="P86" i="3"/>
  <c r="P87" i="3"/>
  <c r="P88" i="3"/>
  <c r="P89" i="3"/>
  <c r="P91" i="3"/>
  <c r="P93" i="3"/>
  <c r="P37" i="3"/>
  <c r="P38" i="3"/>
  <c r="P36" i="3"/>
  <c r="P39" i="3"/>
  <c r="P35" i="3"/>
  <c r="P44" i="3"/>
  <c r="P43" i="3"/>
  <c r="P40" i="3"/>
  <c r="P42" i="3"/>
  <c r="P45" i="3"/>
  <c r="P41" i="3"/>
  <c r="P47" i="3"/>
  <c r="P46" i="3"/>
  <c r="P48" i="3"/>
  <c r="P49" i="3"/>
  <c r="P50" i="3"/>
  <c r="P51" i="3"/>
  <c r="P56" i="3"/>
  <c r="P55" i="3"/>
  <c r="P112" i="3"/>
  <c r="P115" i="3"/>
  <c r="P117" i="3"/>
  <c r="P65" i="3"/>
  <c r="P131" i="3"/>
  <c r="P130" i="3"/>
  <c r="P129" i="3"/>
  <c r="P134" i="3"/>
  <c r="P57" i="3"/>
  <c r="P63" i="3"/>
  <c r="P135" i="3"/>
  <c r="P136" i="3"/>
  <c r="P137" i="3"/>
  <c r="P33" i="3"/>
  <c r="P64" i="3"/>
  <c r="P14" i="3"/>
  <c r="P104" i="3"/>
  <c r="P106" i="3"/>
  <c r="P121" i="3"/>
  <c r="P60" i="3"/>
  <c r="P108" i="3"/>
  <c r="P107" i="3"/>
  <c r="P61" i="3"/>
  <c r="P96" i="3"/>
  <c r="P16" i="3"/>
  <c r="P118" i="3"/>
  <c r="P98" i="3"/>
  <c r="P62" i="3"/>
  <c r="P119" i="3"/>
  <c r="P101" i="3"/>
  <c r="P120" i="3"/>
  <c r="E129" i="8"/>
  <c r="B129" i="8"/>
  <c r="A129" i="8"/>
  <c r="O15" i="3" l="1"/>
  <c r="O102" i="3"/>
  <c r="O110" i="3"/>
  <c r="O111" i="3"/>
  <c r="O10" i="3"/>
  <c r="O7" i="3"/>
  <c r="O8" i="3"/>
  <c r="O9" i="3"/>
  <c r="O99" i="3"/>
  <c r="O97" i="3"/>
  <c r="O100" i="3"/>
  <c r="O5" i="3"/>
  <c r="O109" i="3"/>
  <c r="O132" i="3"/>
  <c r="O133" i="3"/>
  <c r="O74" i="3"/>
  <c r="O58" i="3"/>
  <c r="O75" i="3"/>
  <c r="O52" i="3"/>
  <c r="O6" i="3"/>
  <c r="O53" i="3"/>
  <c r="O54" i="3"/>
  <c r="O113" i="3"/>
  <c r="O114" i="3"/>
  <c r="O116" i="3"/>
  <c r="O59" i="3"/>
  <c r="O95" i="3"/>
  <c r="O79" i="3"/>
  <c r="O80" i="3"/>
  <c r="O76" i="3"/>
  <c r="O105" i="3"/>
  <c r="O12" i="3"/>
  <c r="O13" i="3"/>
  <c r="O11" i="3"/>
  <c r="O124" i="3"/>
  <c r="O122" i="3"/>
  <c r="O127" i="3"/>
  <c r="O126" i="3"/>
  <c r="O123" i="3"/>
  <c r="O125" i="3"/>
  <c r="O92" i="3"/>
  <c r="O4" i="3"/>
  <c r="O3" i="3"/>
  <c r="O67" i="3"/>
  <c r="O69" i="3"/>
  <c r="O68" i="3"/>
  <c r="O70" i="3"/>
  <c r="O73" i="3"/>
  <c r="O72" i="3"/>
  <c r="O66" i="3"/>
  <c r="O71" i="3"/>
  <c r="O78" i="3"/>
  <c r="O77" i="3"/>
  <c r="O18" i="3"/>
  <c r="O21" i="3"/>
  <c r="O20" i="3"/>
  <c r="O19" i="3"/>
  <c r="O22" i="3"/>
  <c r="O17" i="3"/>
  <c r="O103" i="3"/>
  <c r="O25" i="3"/>
  <c r="O27" i="3"/>
  <c r="O26" i="3"/>
  <c r="O28" i="3"/>
  <c r="O24" i="3"/>
  <c r="O23" i="3"/>
  <c r="O128" i="3"/>
  <c r="O94" i="3"/>
  <c r="O30" i="3"/>
  <c r="O29" i="3"/>
  <c r="O90" i="3"/>
  <c r="O31" i="3"/>
  <c r="O32" i="3"/>
  <c r="O34" i="3"/>
  <c r="O81" i="3"/>
  <c r="O82" i="3"/>
  <c r="O83" i="3"/>
  <c r="O84" i="3"/>
  <c r="O85" i="3"/>
  <c r="O86" i="3"/>
  <c r="O87" i="3"/>
  <c r="O88" i="3"/>
  <c r="O89" i="3"/>
  <c r="O91" i="3"/>
  <c r="O93" i="3"/>
  <c r="O37" i="3"/>
  <c r="O38" i="3"/>
  <c r="O36" i="3"/>
  <c r="O39" i="3"/>
  <c r="O35" i="3"/>
  <c r="O44" i="3"/>
  <c r="O43" i="3"/>
  <c r="O40" i="3"/>
  <c r="O42" i="3"/>
  <c r="O45" i="3"/>
  <c r="O41" i="3"/>
  <c r="O47" i="3"/>
  <c r="O46" i="3"/>
  <c r="O48" i="3"/>
  <c r="O49" i="3"/>
  <c r="O50" i="3"/>
  <c r="O51" i="3"/>
  <c r="O56" i="3"/>
  <c r="O55" i="3"/>
  <c r="O112" i="3"/>
  <c r="O115" i="3"/>
  <c r="O117" i="3"/>
  <c r="O65" i="3"/>
  <c r="O131" i="3"/>
  <c r="O130" i="3"/>
  <c r="O129" i="3"/>
  <c r="O134" i="3"/>
  <c r="O57" i="3"/>
  <c r="O63" i="3"/>
  <c r="O135" i="3"/>
  <c r="O136" i="3"/>
  <c r="O137" i="3"/>
  <c r="O33" i="3"/>
  <c r="O64" i="3"/>
  <c r="O14" i="3"/>
  <c r="O104" i="3"/>
  <c r="O106" i="3"/>
  <c r="O121" i="3"/>
  <c r="O60" i="3"/>
  <c r="O108" i="3"/>
  <c r="O107" i="3"/>
  <c r="O61" i="3"/>
  <c r="O96" i="3"/>
  <c r="O16" i="3"/>
  <c r="O118" i="3"/>
  <c r="O98" i="3"/>
  <c r="O62" i="3"/>
  <c r="O119" i="3"/>
  <c r="O101" i="3"/>
  <c r="O120" i="3"/>
  <c r="E126" i="8"/>
  <c r="B126" i="8"/>
  <c r="A126" i="8"/>
  <c r="E125" i="8"/>
  <c r="B125" i="8"/>
  <c r="A125"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E114" i="8"/>
  <c r="B114" i="8"/>
  <c r="A114" i="8"/>
  <c r="E113" i="8"/>
  <c r="B113" i="8"/>
  <c r="A113" i="8"/>
  <c r="E112" i="8"/>
  <c r="B112" i="8"/>
  <c r="A112" i="8"/>
  <c r="E111" i="8"/>
  <c r="B111" i="8"/>
  <c r="A111" i="8"/>
  <c r="E110" i="8"/>
  <c r="B110" i="8"/>
  <c r="A110" i="8"/>
  <c r="E109" i="8"/>
  <c r="B109" i="8"/>
  <c r="A109" i="8"/>
  <c r="N15" i="3" l="1"/>
  <c r="N102" i="3"/>
  <c r="N110" i="3"/>
  <c r="N111" i="3"/>
  <c r="N10" i="3"/>
  <c r="N7" i="3"/>
  <c r="N8" i="3"/>
  <c r="N9" i="3"/>
  <c r="N99" i="3"/>
  <c r="N97" i="3"/>
  <c r="N100" i="3"/>
  <c r="N132" i="3"/>
  <c r="N133" i="3"/>
  <c r="N5" i="3"/>
  <c r="N109" i="3"/>
  <c r="N74" i="3"/>
  <c r="N58" i="3"/>
  <c r="N75" i="3"/>
  <c r="N6" i="3"/>
  <c r="N116" i="3"/>
  <c r="N52" i="3"/>
  <c r="N59" i="3"/>
  <c r="N54" i="3"/>
  <c r="N113" i="3"/>
  <c r="N53" i="3"/>
  <c r="N114" i="3"/>
  <c r="N95" i="3"/>
  <c r="N79" i="3"/>
  <c r="N80" i="3"/>
  <c r="N76" i="3"/>
  <c r="N105" i="3"/>
  <c r="N12" i="3"/>
  <c r="N13" i="3"/>
  <c r="N11" i="3"/>
  <c r="N124" i="3"/>
  <c r="N122" i="3"/>
  <c r="N127" i="3"/>
  <c r="N126" i="3"/>
  <c r="N123" i="3"/>
  <c r="N125" i="3"/>
  <c r="N92" i="3"/>
  <c r="N4" i="3"/>
  <c r="N3" i="3"/>
  <c r="N67" i="3"/>
  <c r="N69" i="3"/>
  <c r="N68" i="3"/>
  <c r="N70" i="3"/>
  <c r="N73" i="3"/>
  <c r="N72" i="3"/>
  <c r="N66" i="3"/>
  <c r="N71" i="3"/>
  <c r="N78" i="3"/>
  <c r="N77" i="3"/>
  <c r="N18" i="3"/>
  <c r="N21" i="3"/>
  <c r="N20" i="3"/>
  <c r="N19" i="3"/>
  <c r="N22" i="3"/>
  <c r="N17" i="3"/>
  <c r="N103" i="3"/>
  <c r="N25" i="3"/>
  <c r="N27" i="3"/>
  <c r="N26" i="3"/>
  <c r="N28" i="3"/>
  <c r="N24" i="3"/>
  <c r="N23" i="3"/>
  <c r="N128" i="3"/>
  <c r="N94" i="3"/>
  <c r="N30" i="3"/>
  <c r="N29" i="3"/>
  <c r="N90" i="3"/>
  <c r="N31" i="3"/>
  <c r="N32" i="3"/>
  <c r="N34" i="3"/>
  <c r="N81" i="3"/>
  <c r="N82" i="3"/>
  <c r="N83" i="3"/>
  <c r="N84" i="3"/>
  <c r="N85" i="3"/>
  <c r="N86" i="3"/>
  <c r="N87" i="3"/>
  <c r="N88" i="3"/>
  <c r="N89" i="3"/>
  <c r="N91" i="3"/>
  <c r="N93" i="3"/>
  <c r="N37" i="3"/>
  <c r="N38" i="3"/>
  <c r="N36" i="3"/>
  <c r="N39" i="3"/>
  <c r="N35" i="3"/>
  <c r="N44" i="3"/>
  <c r="N43" i="3"/>
  <c r="N40" i="3"/>
  <c r="N42" i="3"/>
  <c r="N45" i="3"/>
  <c r="N41" i="3"/>
  <c r="N47" i="3"/>
  <c r="N46" i="3"/>
  <c r="N48" i="3"/>
  <c r="N49" i="3"/>
  <c r="N50" i="3"/>
  <c r="N51" i="3"/>
  <c r="N56" i="3"/>
  <c r="N55" i="3"/>
  <c r="N112" i="3"/>
  <c r="N115" i="3"/>
  <c r="N117" i="3"/>
  <c r="N65" i="3"/>
  <c r="N131" i="3"/>
  <c r="N130" i="3"/>
  <c r="N129" i="3"/>
  <c r="N134" i="3"/>
  <c r="N57" i="3"/>
  <c r="N63" i="3"/>
  <c r="N135" i="3"/>
  <c r="N136" i="3"/>
  <c r="N137" i="3"/>
  <c r="N33" i="3"/>
  <c r="N64" i="3"/>
  <c r="N14" i="3"/>
  <c r="N104" i="3"/>
  <c r="N106" i="3"/>
  <c r="N121" i="3"/>
  <c r="N60" i="3"/>
  <c r="N108" i="3"/>
  <c r="N107" i="3"/>
  <c r="N61" i="3"/>
  <c r="N96" i="3"/>
  <c r="N16" i="3"/>
  <c r="N118" i="3"/>
  <c r="N98" i="3"/>
  <c r="N62" i="3"/>
  <c r="N119" i="3"/>
  <c r="N101" i="3"/>
  <c r="N120" i="3"/>
  <c r="E52" i="8" l="1"/>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E34" i="8"/>
  <c r="B34" i="8"/>
  <c r="A34" i="8"/>
  <c r="E33" i="8"/>
  <c r="B33" i="8"/>
  <c r="A33" i="8"/>
  <c r="E32" i="8"/>
  <c r="B32" i="8"/>
  <c r="A32" i="8"/>
  <c r="E31" i="8"/>
  <c r="B31" i="8"/>
  <c r="A31" i="8"/>
  <c r="E30" i="8"/>
  <c r="B30" i="8"/>
  <c r="A30" i="8"/>
  <c r="E29" i="8"/>
  <c r="B29" i="8"/>
  <c r="A29" i="8"/>
  <c r="E28" i="8"/>
  <c r="B28" i="8"/>
  <c r="A28" i="8"/>
  <c r="E27" i="8"/>
  <c r="B27" i="8"/>
  <c r="A27" i="8"/>
  <c r="E26" i="8"/>
  <c r="B26" i="8"/>
  <c r="A26" i="8"/>
  <c r="E25" i="8"/>
  <c r="B25" i="8"/>
  <c r="A25" i="8"/>
  <c r="E24" i="8"/>
  <c r="B24" i="8"/>
  <c r="A24" i="8"/>
  <c r="E23" i="8"/>
  <c r="B23" i="8"/>
  <c r="A23" i="8"/>
  <c r="E22" i="8"/>
  <c r="B22" i="8"/>
  <c r="A22" i="8"/>
  <c r="E21" i="8"/>
  <c r="B21" i="8"/>
  <c r="A21" i="8"/>
  <c r="E20" i="8"/>
  <c r="B20" i="8"/>
  <c r="A20" i="8"/>
  <c r="E19" i="8"/>
  <c r="B19" i="8"/>
  <c r="A19" i="8"/>
  <c r="E18" i="8"/>
  <c r="B18" i="8"/>
  <c r="A18" i="8"/>
  <c r="E17" i="8"/>
  <c r="B17" i="8"/>
  <c r="A17" i="8"/>
  <c r="E16" i="8"/>
  <c r="B16" i="8"/>
  <c r="A16" i="8"/>
  <c r="E15" i="8"/>
  <c r="B15" i="8"/>
  <c r="A15" i="8"/>
  <c r="E14" i="8"/>
  <c r="B14" i="8"/>
  <c r="A14" i="8"/>
  <c r="E13" i="8"/>
  <c r="B13" i="8"/>
  <c r="A13" i="8"/>
  <c r="E12" i="8"/>
  <c r="B12" i="8"/>
  <c r="A12" i="8"/>
  <c r="E11" i="8"/>
  <c r="B11" i="8"/>
  <c r="A11" i="8"/>
  <c r="E10" i="8"/>
  <c r="B10" i="8"/>
  <c r="A10" i="8"/>
  <c r="E9" i="8"/>
  <c r="B9" i="8"/>
  <c r="A9" i="8"/>
  <c r="E8" i="8"/>
  <c r="B8" i="8"/>
  <c r="A8" i="8"/>
  <c r="E7" i="8"/>
  <c r="B7" i="8"/>
  <c r="A7" i="8"/>
  <c r="E6" i="8"/>
  <c r="B6" i="8"/>
  <c r="A6" i="8"/>
  <c r="E5" i="8"/>
  <c r="B5" i="8"/>
  <c r="A5" i="8"/>
  <c r="E4" i="8"/>
  <c r="B4" i="8"/>
  <c r="A4" i="8"/>
  <c r="E3" i="8"/>
  <c r="B3" i="8"/>
  <c r="A3" i="8"/>
  <c r="L15" i="3" l="1"/>
  <c r="L102" i="3"/>
  <c r="L110" i="3"/>
  <c r="L111" i="3"/>
  <c r="L10" i="3"/>
  <c r="L7" i="3"/>
  <c r="L8" i="3"/>
  <c r="L9" i="3"/>
  <c r="L99" i="3"/>
  <c r="L97" i="3"/>
  <c r="L100" i="3"/>
  <c r="L109" i="3"/>
  <c r="L132" i="3"/>
  <c r="L133" i="3"/>
  <c r="L5" i="3"/>
  <c r="L54" i="3"/>
  <c r="L113" i="3"/>
  <c r="L52" i="3"/>
  <c r="L53" i="3"/>
  <c r="L114" i="3"/>
  <c r="L116" i="3"/>
  <c r="L6" i="3"/>
  <c r="L59" i="3"/>
  <c r="L74" i="3"/>
  <c r="L58" i="3"/>
  <c r="L75" i="3"/>
  <c r="L79" i="3"/>
  <c r="L80" i="3"/>
  <c r="L95" i="3"/>
  <c r="L76" i="3"/>
  <c r="L105" i="3"/>
  <c r="L12" i="3"/>
  <c r="L13" i="3"/>
  <c r="L11" i="3"/>
  <c r="L124" i="3"/>
  <c r="L122" i="3"/>
  <c r="L127" i="3"/>
  <c r="L126" i="3"/>
  <c r="L123" i="3"/>
  <c r="L125" i="3"/>
  <c r="L92" i="3"/>
  <c r="L4" i="3"/>
  <c r="L3" i="3"/>
  <c r="L67" i="3"/>
  <c r="L69" i="3"/>
  <c r="L68" i="3"/>
  <c r="L70" i="3"/>
  <c r="L73" i="3"/>
  <c r="L72" i="3"/>
  <c r="L66" i="3"/>
  <c r="L71" i="3"/>
  <c r="L78" i="3"/>
  <c r="L77" i="3"/>
  <c r="L18" i="3"/>
  <c r="L21" i="3"/>
  <c r="L20" i="3"/>
  <c r="L19" i="3"/>
  <c r="L22" i="3"/>
  <c r="L17" i="3"/>
  <c r="L103" i="3"/>
  <c r="L25" i="3"/>
  <c r="L27" i="3"/>
  <c r="L26" i="3"/>
  <c r="L28" i="3"/>
  <c r="L24" i="3"/>
  <c r="L23" i="3"/>
  <c r="L128" i="3"/>
  <c r="L94" i="3"/>
  <c r="L30" i="3"/>
  <c r="L29" i="3"/>
  <c r="L90" i="3"/>
  <c r="L31" i="3"/>
  <c r="L32" i="3"/>
  <c r="L34" i="3"/>
  <c r="L81" i="3"/>
  <c r="L82" i="3"/>
  <c r="L83" i="3"/>
  <c r="L84" i="3"/>
  <c r="L85" i="3"/>
  <c r="L86" i="3"/>
  <c r="L87" i="3"/>
  <c r="L88" i="3"/>
  <c r="L89" i="3"/>
  <c r="L91" i="3"/>
  <c r="L93" i="3"/>
  <c r="L37" i="3"/>
  <c r="L38" i="3"/>
  <c r="L36" i="3"/>
  <c r="L39" i="3"/>
  <c r="L35" i="3"/>
  <c r="L44" i="3"/>
  <c r="L43" i="3"/>
  <c r="L40" i="3"/>
  <c r="L42" i="3"/>
  <c r="L45" i="3"/>
  <c r="L41" i="3"/>
  <c r="L47" i="3"/>
  <c r="L46" i="3"/>
  <c r="L48" i="3"/>
  <c r="L49" i="3"/>
  <c r="L50" i="3"/>
  <c r="L51" i="3"/>
  <c r="L56" i="3"/>
  <c r="L55" i="3"/>
  <c r="L112" i="3"/>
  <c r="L115" i="3"/>
  <c r="L117" i="3"/>
  <c r="L65" i="3"/>
  <c r="L131" i="3"/>
  <c r="L130" i="3"/>
  <c r="L129" i="3"/>
  <c r="L134" i="3"/>
  <c r="L57" i="3"/>
  <c r="L63" i="3"/>
  <c r="L135" i="3"/>
  <c r="L136" i="3"/>
  <c r="L137" i="3"/>
  <c r="L33" i="3"/>
  <c r="L64" i="3"/>
  <c r="L14" i="3"/>
  <c r="L104" i="3"/>
  <c r="L106" i="3"/>
  <c r="L121" i="3"/>
  <c r="L60" i="3"/>
  <c r="L108" i="3"/>
  <c r="L107" i="3"/>
  <c r="L61" i="3"/>
  <c r="L96" i="3"/>
  <c r="L16" i="3"/>
  <c r="L118" i="3"/>
  <c r="L98" i="3"/>
  <c r="L62" i="3"/>
  <c r="L119" i="3"/>
  <c r="L101" i="3"/>
  <c r="L120" i="3"/>
  <c r="G6" i="11" l="1"/>
  <c r="L6" i="11"/>
  <c r="A80" i="11" s="1"/>
  <c r="K80" i="11" l="1"/>
  <c r="G80" i="11"/>
  <c r="C80" i="11"/>
  <c r="J80" i="11"/>
  <c r="H80" i="11"/>
  <c r="I80" i="11"/>
  <c r="B80" i="11"/>
  <c r="D80" i="11"/>
  <c r="F80" i="11"/>
  <c r="A75" i="11"/>
  <c r="A67" i="11"/>
  <c r="A59" i="11"/>
  <c r="A73" i="11"/>
  <c r="A57" i="11"/>
  <c r="A72" i="11"/>
  <c r="A79" i="11"/>
  <c r="A74" i="11"/>
  <c r="A66" i="11"/>
  <c r="A58" i="11"/>
  <c r="A65" i="11"/>
  <c r="A81" i="11"/>
  <c r="A64" i="11"/>
  <c r="A71" i="11"/>
  <c r="A63" i="11"/>
  <c r="A78" i="11"/>
  <c r="A70" i="11"/>
  <c r="A62" i="11"/>
  <c r="A77" i="11"/>
  <c r="A69" i="11"/>
  <c r="A61" i="11"/>
  <c r="A76" i="11"/>
  <c r="A68" i="11"/>
  <c r="A60" i="11"/>
  <c r="A13" i="11"/>
  <c r="A10" i="11"/>
  <c r="A16" i="11"/>
  <c r="A53" i="11"/>
  <c r="E53" i="11" s="1"/>
  <c r="A41" i="11"/>
  <c r="A29" i="11"/>
  <c r="A40" i="11"/>
  <c r="E40" i="11" s="1"/>
  <c r="A28" i="11"/>
  <c r="E28" i="11" s="1"/>
  <c r="A50" i="11"/>
  <c r="A26" i="11"/>
  <c r="A52" i="11"/>
  <c r="E52" i="11" s="1"/>
  <c r="A38" i="11"/>
  <c r="A49" i="11"/>
  <c r="E49" i="11" s="1"/>
  <c r="A37" i="11"/>
  <c r="E37" i="11" s="1"/>
  <c r="A25" i="11"/>
  <c r="A46" i="11"/>
  <c r="A22" i="11"/>
  <c r="E22" i="11" s="1"/>
  <c r="A32" i="11"/>
  <c r="A47" i="11"/>
  <c r="A35" i="11"/>
  <c r="A23" i="11"/>
  <c r="A34" i="11"/>
  <c r="E34" i="11" s="1"/>
  <c r="A44" i="11"/>
  <c r="A43" i="11"/>
  <c r="E43" i="11" s="1"/>
  <c r="A31" i="11"/>
  <c r="E31" i="11" s="1"/>
  <c r="A11" i="11"/>
  <c r="A14" i="11"/>
  <c r="A20" i="11"/>
  <c r="A19" i="11"/>
  <c r="E19" i="11" s="1"/>
  <c r="A17" i="11"/>
  <c r="K68" i="11" l="1"/>
  <c r="H68" i="11"/>
  <c r="C68" i="11"/>
  <c r="I68" i="11"/>
  <c r="D68" i="11"/>
  <c r="F68" i="11"/>
  <c r="B68" i="11"/>
  <c r="G68" i="11"/>
  <c r="J68" i="11"/>
  <c r="K60" i="11"/>
  <c r="J60" i="11"/>
  <c r="D60" i="11"/>
  <c r="B60" i="11"/>
  <c r="G60" i="11"/>
  <c r="I60" i="11"/>
  <c r="H60" i="11"/>
  <c r="C60" i="11"/>
  <c r="F60" i="11"/>
  <c r="G78" i="11"/>
  <c r="I78" i="11"/>
  <c r="K78" i="11"/>
  <c r="F78" i="11"/>
  <c r="J78" i="11"/>
  <c r="B78" i="11"/>
  <c r="H78" i="11"/>
  <c r="C78" i="11"/>
  <c r="D78" i="11"/>
  <c r="G74" i="11"/>
  <c r="B74" i="11"/>
  <c r="F74" i="11"/>
  <c r="I74" i="11"/>
  <c r="D74" i="11"/>
  <c r="H74" i="11"/>
  <c r="J74" i="11"/>
  <c r="C74" i="11"/>
  <c r="K74" i="11"/>
  <c r="K76" i="11"/>
  <c r="B76" i="11"/>
  <c r="H76" i="11"/>
  <c r="C76" i="11"/>
  <c r="J76" i="11"/>
  <c r="I76" i="11"/>
  <c r="F76" i="11"/>
  <c r="G76" i="11"/>
  <c r="D76" i="11"/>
  <c r="D71" i="11"/>
  <c r="C71" i="11"/>
  <c r="I71" i="11"/>
  <c r="G71" i="11"/>
  <c r="F71" i="11"/>
  <c r="H71" i="11"/>
  <c r="B71" i="11"/>
  <c r="J71" i="11"/>
  <c r="K71" i="11"/>
  <c r="K72" i="11"/>
  <c r="F72" i="11"/>
  <c r="H72" i="11"/>
  <c r="I72" i="11"/>
  <c r="J72" i="11"/>
  <c r="G72" i="11"/>
  <c r="B72" i="11"/>
  <c r="D72" i="11"/>
  <c r="C72" i="11"/>
  <c r="I61" i="11"/>
  <c r="J61" i="11"/>
  <c r="D61" i="11"/>
  <c r="B61" i="11"/>
  <c r="F61" i="11"/>
  <c r="K61" i="11"/>
  <c r="G61" i="11"/>
  <c r="H61" i="11"/>
  <c r="C61" i="11"/>
  <c r="K64" i="11"/>
  <c r="G64" i="11"/>
  <c r="H64" i="11"/>
  <c r="B64" i="11"/>
  <c r="F64" i="11"/>
  <c r="D64" i="11"/>
  <c r="C64" i="11"/>
  <c r="J64" i="11"/>
  <c r="I64" i="11"/>
  <c r="I69" i="11"/>
  <c r="J69" i="11"/>
  <c r="K69" i="11"/>
  <c r="G69" i="11"/>
  <c r="H69" i="11"/>
  <c r="F69" i="11"/>
  <c r="B69" i="11"/>
  <c r="C69" i="11"/>
  <c r="D69" i="11"/>
  <c r="K81" i="11"/>
  <c r="J81" i="11"/>
  <c r="I81" i="11"/>
  <c r="D81" i="11"/>
  <c r="F81" i="11"/>
  <c r="G81" i="11"/>
  <c r="C81" i="11"/>
  <c r="H81" i="11"/>
  <c r="B81" i="11"/>
  <c r="I73" i="11"/>
  <c r="B73" i="11"/>
  <c r="J73" i="11"/>
  <c r="C73" i="11"/>
  <c r="H73" i="11"/>
  <c r="K73" i="11"/>
  <c r="G73" i="11"/>
  <c r="D73" i="11"/>
  <c r="F73" i="11"/>
  <c r="D63" i="11"/>
  <c r="H63" i="11"/>
  <c r="C63" i="11"/>
  <c r="G63" i="11"/>
  <c r="F63" i="11"/>
  <c r="B63" i="11"/>
  <c r="J63" i="11"/>
  <c r="K63" i="11"/>
  <c r="I63" i="11"/>
  <c r="I77" i="11"/>
  <c r="C77" i="11"/>
  <c r="D77" i="11"/>
  <c r="J77" i="11"/>
  <c r="F77" i="11"/>
  <c r="B77" i="11"/>
  <c r="H77" i="11"/>
  <c r="K77" i="11"/>
  <c r="G77" i="11"/>
  <c r="I65" i="11"/>
  <c r="F65" i="11"/>
  <c r="J65" i="11"/>
  <c r="K65" i="11"/>
  <c r="G65" i="11"/>
  <c r="D65" i="11"/>
  <c r="C65" i="11"/>
  <c r="H65" i="11"/>
  <c r="B65" i="11"/>
  <c r="D59" i="11"/>
  <c r="B59" i="11"/>
  <c r="K59" i="11"/>
  <c r="C59" i="11"/>
  <c r="I59" i="11"/>
  <c r="F59" i="11"/>
  <c r="H59" i="11"/>
  <c r="J59" i="11"/>
  <c r="G59" i="11"/>
  <c r="G62" i="11"/>
  <c r="I62" i="11"/>
  <c r="H62" i="11"/>
  <c r="J62" i="11"/>
  <c r="D62" i="11"/>
  <c r="C62" i="11"/>
  <c r="B62" i="11"/>
  <c r="F62" i="11"/>
  <c r="K62" i="11"/>
  <c r="G58" i="11"/>
  <c r="F58" i="11"/>
  <c r="B58" i="11"/>
  <c r="J58" i="11"/>
  <c r="K58" i="11"/>
  <c r="C58" i="11"/>
  <c r="H58" i="11"/>
  <c r="I58" i="11"/>
  <c r="D58" i="11"/>
  <c r="D67" i="11"/>
  <c r="K67" i="11"/>
  <c r="G67" i="11"/>
  <c r="F67" i="11"/>
  <c r="H67" i="11"/>
  <c r="B67" i="11"/>
  <c r="J67" i="11"/>
  <c r="I67" i="11"/>
  <c r="C67" i="11"/>
  <c r="D79" i="11"/>
  <c r="G79" i="11"/>
  <c r="B79" i="11"/>
  <c r="K79" i="11"/>
  <c r="H79" i="11"/>
  <c r="I79" i="11"/>
  <c r="F79" i="11"/>
  <c r="J79" i="11"/>
  <c r="C79" i="11"/>
  <c r="G70" i="11"/>
  <c r="B70" i="11"/>
  <c r="C70" i="11"/>
  <c r="K70" i="11"/>
  <c r="H70" i="11"/>
  <c r="I70" i="11"/>
  <c r="J70" i="11"/>
  <c r="D70" i="11"/>
  <c r="F70" i="11"/>
  <c r="G66" i="11"/>
  <c r="H66" i="11"/>
  <c r="I66" i="11"/>
  <c r="J66" i="11"/>
  <c r="D66" i="11"/>
  <c r="B66" i="11"/>
  <c r="F66" i="11"/>
  <c r="K66" i="11"/>
  <c r="C66" i="11"/>
  <c r="D75" i="11"/>
  <c r="F75" i="11"/>
  <c r="C75" i="11"/>
  <c r="J75" i="11"/>
  <c r="G75" i="11"/>
  <c r="B75" i="11"/>
  <c r="H75" i="11"/>
  <c r="I75" i="11"/>
  <c r="K75" i="11"/>
  <c r="K16" i="11"/>
  <c r="I16" i="11"/>
  <c r="C16" i="11"/>
  <c r="E16" i="11"/>
  <c r="E17" i="11" s="1"/>
  <c r="G16" i="11"/>
  <c r="H16" i="11"/>
  <c r="B16" i="11"/>
  <c r="J16" i="11"/>
  <c r="D16" i="11"/>
  <c r="F16" i="11"/>
  <c r="I10" i="11"/>
  <c r="G10" i="11"/>
  <c r="D10" i="11"/>
  <c r="H10" i="11"/>
  <c r="J10" i="11"/>
  <c r="E10" i="11"/>
  <c r="E11" i="11" s="1"/>
  <c r="F10" i="11"/>
  <c r="B10" i="11"/>
  <c r="C10" i="11"/>
  <c r="K10" i="11"/>
  <c r="I13" i="11"/>
  <c r="E13" i="11"/>
  <c r="E14" i="11" s="1"/>
  <c r="H13" i="11"/>
  <c r="C13" i="11"/>
  <c r="K13" i="11"/>
  <c r="J13" i="11"/>
  <c r="G13" i="11"/>
  <c r="F13" i="11"/>
  <c r="B13" i="11"/>
  <c r="D13" i="11"/>
  <c r="E29" i="11"/>
  <c r="E50" i="11"/>
  <c r="E23" i="11"/>
  <c r="E35" i="11"/>
  <c r="K11" i="11"/>
  <c r="I11" i="11"/>
  <c r="D11" i="11"/>
  <c r="J11" i="11"/>
  <c r="H11" i="11"/>
  <c r="B11" i="11"/>
  <c r="C11" i="11"/>
  <c r="F11" i="11"/>
  <c r="G11" i="11"/>
  <c r="E25" i="11"/>
  <c r="E26" i="11" s="1"/>
  <c r="J25" i="11"/>
  <c r="I25" i="11"/>
  <c r="B25" i="11"/>
  <c r="H25" i="11"/>
  <c r="G25" i="11"/>
  <c r="F25" i="11"/>
  <c r="D25" i="11"/>
  <c r="K25" i="11"/>
  <c r="C25" i="11"/>
  <c r="E41" i="11"/>
  <c r="K14" i="11"/>
  <c r="G14" i="11"/>
  <c r="D14" i="11"/>
  <c r="H14" i="11"/>
  <c r="F14" i="11"/>
  <c r="J14" i="11"/>
  <c r="I14" i="11"/>
  <c r="C14" i="11"/>
  <c r="B14" i="11"/>
  <c r="E32" i="11"/>
  <c r="D46" i="11"/>
  <c r="E46" i="11"/>
  <c r="E47" i="11" s="1"/>
  <c r="D17" i="11"/>
  <c r="E44" i="11"/>
  <c r="E38" i="11"/>
  <c r="E20" i="11"/>
  <c r="D32" i="11"/>
  <c r="D57" i="11"/>
  <c r="G26" i="11"/>
  <c r="G38" i="11"/>
  <c r="B37" i="11"/>
  <c r="D20" i="11"/>
  <c r="B44" i="11"/>
  <c r="D22" i="11"/>
  <c r="G22" i="11"/>
  <c r="C22" i="11"/>
  <c r="F22" i="11"/>
  <c r="C17" i="11"/>
  <c r="B46" i="11"/>
  <c r="G17" i="11"/>
  <c r="F46" i="11"/>
  <c r="F17" i="11"/>
  <c r="C46" i="11"/>
  <c r="B17" i="11"/>
  <c r="G46" i="11"/>
  <c r="B22" i="11"/>
  <c r="D53" i="11"/>
  <c r="C53" i="11"/>
  <c r="B53" i="11"/>
  <c r="G53" i="11"/>
  <c r="F53" i="11"/>
  <c r="G52" i="11"/>
  <c r="F52" i="11"/>
  <c r="B52" i="11"/>
  <c r="C52" i="11"/>
  <c r="D52" i="11"/>
  <c r="F50" i="11"/>
  <c r="D50" i="11"/>
  <c r="C50" i="11"/>
  <c r="G50" i="11"/>
  <c r="B50" i="11"/>
  <c r="D23" i="11"/>
  <c r="C23" i="11"/>
  <c r="B23" i="11"/>
  <c r="G23" i="11"/>
  <c r="F23" i="11"/>
  <c r="G31" i="11"/>
  <c r="F31" i="11"/>
  <c r="D31" i="11"/>
  <c r="B31" i="11"/>
  <c r="C31" i="11"/>
  <c r="C49" i="11"/>
  <c r="B49" i="11"/>
  <c r="D49" i="11"/>
  <c r="F49" i="11"/>
  <c r="G49" i="11"/>
  <c r="D34" i="11"/>
  <c r="C34" i="11"/>
  <c r="B34" i="11"/>
  <c r="F34" i="11"/>
  <c r="G34" i="11"/>
  <c r="G47" i="11"/>
  <c r="F47" i="11"/>
  <c r="D47" i="11"/>
  <c r="C47" i="11"/>
  <c r="B47" i="11"/>
  <c r="G35" i="11"/>
  <c r="F35" i="11"/>
  <c r="D35" i="11"/>
  <c r="C35" i="11"/>
  <c r="B35" i="11"/>
  <c r="G43" i="11"/>
  <c r="F43" i="11"/>
  <c r="D43" i="11"/>
  <c r="C43" i="11"/>
  <c r="B43" i="11"/>
  <c r="D29" i="11"/>
  <c r="C29" i="11"/>
  <c r="B29" i="11"/>
  <c r="G29" i="11"/>
  <c r="F29" i="11"/>
  <c r="G28" i="11"/>
  <c r="F28" i="11"/>
  <c r="B28" i="11"/>
  <c r="D28" i="11"/>
  <c r="C28" i="11"/>
  <c r="B19" i="11"/>
  <c r="F19" i="11"/>
  <c r="D19" i="11"/>
  <c r="C19" i="11"/>
  <c r="G19" i="11"/>
  <c r="D41" i="11"/>
  <c r="C41" i="11"/>
  <c r="B41" i="11"/>
  <c r="F41" i="11"/>
  <c r="G41" i="11"/>
  <c r="G40" i="11"/>
  <c r="F40" i="11"/>
  <c r="B40" i="11"/>
  <c r="D40" i="11"/>
  <c r="C40" i="11"/>
  <c r="B32" i="11" l="1"/>
  <c r="F32" i="11"/>
  <c r="C32" i="11"/>
  <c r="G32" i="11"/>
  <c r="F57" i="11"/>
  <c r="G57" i="11"/>
  <c r="C57" i="11"/>
  <c r="B57" i="11"/>
  <c r="B26" i="11"/>
  <c r="D37" i="11"/>
  <c r="C37" i="11"/>
  <c r="D44" i="11"/>
  <c r="C44" i="11"/>
  <c r="F20" i="11"/>
  <c r="B38" i="11"/>
  <c r="D38" i="11"/>
  <c r="D26" i="11"/>
  <c r="C26" i="11"/>
  <c r="F26" i="11"/>
  <c r="C38" i="11"/>
  <c r="F37" i="11"/>
  <c r="B20" i="11"/>
  <c r="F38" i="11"/>
  <c r="G37" i="11"/>
  <c r="C20" i="11"/>
  <c r="F44" i="11"/>
  <c r="G44" i="11"/>
  <c r="G20" i="11"/>
  <c r="J32" i="11"/>
  <c r="H52" i="11" l="1"/>
  <c r="H28" i="11"/>
  <c r="I41" i="11"/>
  <c r="I46" i="11"/>
  <c r="K41" i="11"/>
  <c r="K46" i="11"/>
  <c r="H17" i="11"/>
  <c r="I52" i="11"/>
  <c r="I28" i="11"/>
  <c r="J41" i="11"/>
  <c r="J46" i="11"/>
  <c r="K52" i="11"/>
  <c r="K28" i="11"/>
  <c r="H22" i="11"/>
  <c r="H47" i="11"/>
  <c r="I22" i="11"/>
  <c r="I53" i="11"/>
  <c r="J40" i="11"/>
  <c r="K22" i="11"/>
  <c r="K53" i="11"/>
  <c r="H53" i="11"/>
  <c r="I40" i="11"/>
  <c r="I17" i="11"/>
  <c r="J52" i="11"/>
  <c r="J28" i="11"/>
  <c r="K17" i="11"/>
  <c r="I47" i="11"/>
  <c r="J22" i="11"/>
  <c r="J53" i="11"/>
  <c r="K47" i="11"/>
  <c r="K40" i="11"/>
  <c r="H41" i="11"/>
  <c r="H46" i="11"/>
  <c r="J17" i="11"/>
  <c r="H40" i="11"/>
  <c r="J47" i="11"/>
  <c r="J38" i="11"/>
  <c r="K57" i="11"/>
  <c r="H57" i="11"/>
  <c r="J57" i="11"/>
  <c r="I57" i="11"/>
  <c r="I50" i="11"/>
  <c r="J50" i="11"/>
  <c r="K50" i="11"/>
  <c r="H50" i="11"/>
  <c r="K20" i="11"/>
  <c r="H20" i="11"/>
  <c r="J29" i="11"/>
  <c r="I20" i="11"/>
  <c r="H32" i="11"/>
  <c r="H44" i="11"/>
  <c r="K38" i="11"/>
  <c r="K35" i="11"/>
  <c r="K26" i="11"/>
  <c r="J19" i="11"/>
  <c r="J43" i="11"/>
  <c r="J35" i="11"/>
  <c r="K49" i="11"/>
  <c r="H35" i="11"/>
  <c r="K23" i="11"/>
  <c r="K29" i="11"/>
  <c r="K31" i="11"/>
  <c r="I35" i="11"/>
  <c r="I38" i="11"/>
  <c r="I31" i="11"/>
  <c r="I32" i="11"/>
  <c r="K44" i="11"/>
  <c r="J26" i="11"/>
  <c r="K37" i="11"/>
  <c r="J44" i="11"/>
  <c r="H19" i="11"/>
  <c r="I19" i="11"/>
  <c r="J49" i="11"/>
  <c r="H49" i="11"/>
  <c r="H34" i="11"/>
  <c r="J23" i="11"/>
  <c r="K19" i="11"/>
  <c r="K43" i="11"/>
  <c r="H38" i="11"/>
  <c r="H43" i="11"/>
  <c r="H29" i="11"/>
  <c r="I26" i="11"/>
  <c r="I37" i="11"/>
  <c r="J31" i="11"/>
  <c r="H23" i="11"/>
  <c r="K32" i="11"/>
  <c r="H31" i="11"/>
  <c r="I49" i="11"/>
  <c r="I44" i="11"/>
  <c r="J20" i="11"/>
  <c r="I43" i="11"/>
  <c r="I29" i="11"/>
  <c r="J37" i="11"/>
  <c r="I23" i="11"/>
  <c r="H26" i="11"/>
  <c r="H37" i="11"/>
  <c r="I34" i="11"/>
  <c r="K34" i="11"/>
  <c r="J34" i="11"/>
  <c r="A84" i="8" l="1"/>
  <c r="A85" i="8"/>
  <c r="A86" i="8"/>
  <c r="A87" i="8"/>
  <c r="A88" i="8"/>
  <c r="A89" i="8"/>
  <c r="A90" i="8"/>
  <c r="A91" i="8"/>
  <c r="A92" i="8"/>
  <c r="A93" i="8"/>
  <c r="A94" i="8"/>
  <c r="A95" i="8"/>
  <c r="A96" i="8"/>
  <c r="A97" i="8"/>
  <c r="A98" i="8"/>
  <c r="A103" i="8"/>
  <c r="A104" i="8"/>
  <c r="A105" i="8"/>
  <c r="A106" i="8"/>
  <c r="B84" i="8"/>
  <c r="B85" i="8"/>
  <c r="B86" i="8"/>
  <c r="B87" i="8"/>
  <c r="B88" i="8"/>
  <c r="B89" i="8"/>
  <c r="B90" i="8"/>
  <c r="B91" i="8"/>
  <c r="B92" i="8"/>
  <c r="B93" i="8"/>
  <c r="B94" i="8"/>
  <c r="B95" i="8"/>
  <c r="B96" i="8"/>
  <c r="B97" i="8"/>
  <c r="B98" i="8"/>
  <c r="B103" i="8"/>
  <c r="B104" i="8"/>
  <c r="B105" i="8"/>
  <c r="B106" i="8"/>
  <c r="E84" i="8"/>
  <c r="E85" i="8"/>
  <c r="E86" i="8"/>
  <c r="E87" i="8"/>
  <c r="E88" i="8"/>
  <c r="E89" i="8"/>
  <c r="E90" i="8"/>
  <c r="E91" i="8"/>
  <c r="E92" i="8"/>
  <c r="E93" i="8"/>
  <c r="E94" i="8"/>
  <c r="E95" i="8"/>
  <c r="E96" i="8"/>
  <c r="E97" i="8"/>
  <c r="E98" i="8"/>
  <c r="E103" i="8"/>
  <c r="E104" i="8"/>
  <c r="E105" i="8"/>
  <c r="E106" i="8"/>
  <c r="A83" i="8" l="1"/>
  <c r="B83" i="8"/>
  <c r="E83" i="8"/>
  <c r="A81" i="8" l="1"/>
  <c r="B81" i="8"/>
  <c r="E81" i="8"/>
  <c r="A82" i="8"/>
  <c r="B82" i="8"/>
  <c r="E82" i="8"/>
  <c r="A59" i="8" l="1"/>
  <c r="A60" i="8"/>
  <c r="B59" i="8"/>
  <c r="B60" i="8"/>
  <c r="E59" i="8"/>
  <c r="E60" i="8"/>
  <c r="A80" i="8"/>
  <c r="B80" i="8"/>
  <c r="E80" i="8"/>
  <c r="G5" i="5" l="1"/>
  <c r="L54" i="5" l="1"/>
  <c r="A73" i="5" l="1"/>
  <c r="A75" i="5"/>
  <c r="A74" i="5"/>
  <c r="A71" i="5"/>
  <c r="A72" i="5"/>
  <c r="A61" i="5"/>
  <c r="A56" i="5"/>
  <c r="A64" i="5"/>
  <c r="A65" i="5"/>
  <c r="A63" i="5"/>
  <c r="A70" i="5"/>
  <c r="A62" i="5"/>
  <c r="A57" i="5"/>
  <c r="A69" i="5"/>
  <c r="A60" i="5"/>
  <c r="A67" i="5"/>
  <c r="D67" i="5" s="1"/>
  <c r="A59" i="5"/>
  <c r="A68" i="5"/>
  <c r="A66" i="5"/>
  <c r="A58" i="5"/>
  <c r="H75" i="5" l="1"/>
  <c r="G75" i="5"/>
  <c r="F75" i="5"/>
  <c r="D75" i="5"/>
  <c r="I75" i="5"/>
  <c r="B75" i="5"/>
  <c r="J75" i="5"/>
  <c r="C75" i="5"/>
  <c r="I72" i="5"/>
  <c r="F72" i="5"/>
  <c r="D72" i="5"/>
  <c r="G72" i="5"/>
  <c r="H72" i="5"/>
  <c r="B72" i="5"/>
  <c r="C72" i="5"/>
  <c r="J72" i="5"/>
  <c r="H73" i="5"/>
  <c r="I73" i="5"/>
  <c r="F73" i="5"/>
  <c r="B73" i="5"/>
  <c r="C73" i="5"/>
  <c r="D73" i="5"/>
  <c r="J73" i="5"/>
  <c r="G73" i="5"/>
  <c r="H71" i="5"/>
  <c r="G71" i="5"/>
  <c r="C71" i="5"/>
  <c r="I71" i="5"/>
  <c r="J71" i="5"/>
  <c r="F71" i="5"/>
  <c r="B71" i="5"/>
  <c r="D71" i="5"/>
  <c r="I74" i="5"/>
  <c r="F74" i="5"/>
  <c r="D74" i="5"/>
  <c r="J74" i="5"/>
  <c r="G74" i="5"/>
  <c r="H74" i="5"/>
  <c r="B74" i="5"/>
  <c r="C74" i="5"/>
  <c r="G66" i="5"/>
  <c r="J66" i="5"/>
  <c r="I66" i="5"/>
  <c r="H66" i="5"/>
  <c r="C68" i="5"/>
  <c r="H68" i="5"/>
  <c r="J68" i="5"/>
  <c r="I68" i="5"/>
  <c r="F70" i="5"/>
  <c r="J70" i="5"/>
  <c r="I70" i="5"/>
  <c r="H70" i="5"/>
  <c r="D61" i="5"/>
  <c r="J61" i="5"/>
  <c r="I61" i="5"/>
  <c r="H61" i="5"/>
  <c r="D62" i="5"/>
  <c r="J62" i="5"/>
  <c r="I62" i="5"/>
  <c r="H62" i="5"/>
  <c r="F59" i="5"/>
  <c r="H59" i="5"/>
  <c r="J59" i="5"/>
  <c r="I59" i="5"/>
  <c r="B63" i="5"/>
  <c r="H63" i="5"/>
  <c r="J63" i="5"/>
  <c r="I63" i="5"/>
  <c r="B57" i="5"/>
  <c r="J57" i="5"/>
  <c r="I57" i="5"/>
  <c r="H57" i="5"/>
  <c r="B65" i="5"/>
  <c r="J65" i="5"/>
  <c r="I65" i="5"/>
  <c r="H65" i="5"/>
  <c r="B60" i="5"/>
  <c r="H60" i="5"/>
  <c r="J60" i="5"/>
  <c r="I60" i="5"/>
  <c r="F64" i="5"/>
  <c r="H64" i="5"/>
  <c r="J64" i="5"/>
  <c r="I64" i="5"/>
  <c r="G58" i="5"/>
  <c r="J58" i="5"/>
  <c r="I58" i="5"/>
  <c r="H58" i="5"/>
  <c r="F67" i="5"/>
  <c r="J67" i="5"/>
  <c r="H67" i="5"/>
  <c r="I67" i="5"/>
  <c r="G69" i="5"/>
  <c r="J69" i="5"/>
  <c r="H69" i="5"/>
  <c r="I69" i="5"/>
  <c r="H56" i="5"/>
  <c r="J56" i="5"/>
  <c r="I56" i="5"/>
  <c r="B61" i="5"/>
  <c r="D63" i="5"/>
  <c r="B69" i="5"/>
  <c r="D69" i="5"/>
  <c r="C69" i="5"/>
  <c r="C58" i="5"/>
  <c r="F69" i="5"/>
  <c r="G62" i="5"/>
  <c r="B66" i="5"/>
  <c r="F62" i="5"/>
  <c r="D58" i="5"/>
  <c r="D64" i="5"/>
  <c r="C60" i="5"/>
  <c r="F61" i="5"/>
  <c r="F58" i="5"/>
  <c r="B58" i="5"/>
  <c r="D68" i="5"/>
  <c r="F68" i="5"/>
  <c r="G68" i="5"/>
  <c r="F66" i="5"/>
  <c r="D60" i="5"/>
  <c r="G60" i="5"/>
  <c r="F60" i="5"/>
  <c r="B68" i="5"/>
  <c r="F63" i="5"/>
  <c r="G63" i="5"/>
  <c r="C65" i="5"/>
  <c r="D65" i="5"/>
  <c r="G65" i="5"/>
  <c r="F65" i="5"/>
  <c r="C61" i="5"/>
  <c r="G64" i="5"/>
  <c r="B64" i="5"/>
  <c r="C64" i="5"/>
  <c r="D70" i="5"/>
  <c r="G61" i="5"/>
  <c r="G70" i="5"/>
  <c r="B62" i="5"/>
  <c r="C62" i="5"/>
  <c r="C57" i="5"/>
  <c r="G57" i="5"/>
  <c r="F57" i="5"/>
  <c r="D57" i="5"/>
  <c r="D66" i="5"/>
  <c r="C63" i="5"/>
  <c r="C66" i="5"/>
  <c r="G67" i="5"/>
  <c r="C67" i="5"/>
  <c r="B67" i="5"/>
  <c r="G59" i="5"/>
  <c r="C59" i="5"/>
  <c r="B59" i="5"/>
  <c r="D59" i="5"/>
  <c r="B70" i="5"/>
  <c r="C70" i="5"/>
  <c r="G56" i="5"/>
  <c r="F56" i="5"/>
  <c r="D56" i="5"/>
  <c r="C56" i="5"/>
  <c r="B56" i="5"/>
  <c r="A62" i="8" l="1"/>
  <c r="A63" i="8"/>
  <c r="A64" i="8"/>
  <c r="A65" i="8"/>
  <c r="B62" i="8"/>
  <c r="B63" i="8"/>
  <c r="B64" i="8"/>
  <c r="B65" i="8"/>
  <c r="E62" i="8"/>
  <c r="E63" i="8"/>
  <c r="E64" i="8"/>
  <c r="E65" i="8"/>
  <c r="A66" i="8" l="1"/>
  <c r="B66" i="8"/>
  <c r="E66" i="8"/>
  <c r="A67" i="8"/>
  <c r="B67" i="8"/>
  <c r="E67" i="8"/>
  <c r="A68" i="8"/>
  <c r="B68" i="8"/>
  <c r="E68" i="8"/>
  <c r="A69" i="8"/>
  <c r="B69" i="8"/>
  <c r="E69" i="8"/>
  <c r="A70" i="8"/>
  <c r="B70" i="8"/>
  <c r="E70" i="8"/>
  <c r="A71" i="8"/>
  <c r="B71" i="8"/>
  <c r="E71" i="8"/>
  <c r="A72" i="8"/>
  <c r="B72" i="8"/>
  <c r="E72" i="8"/>
  <c r="A73" i="8"/>
  <c r="B73" i="8"/>
  <c r="E73" i="8"/>
  <c r="A74" i="8"/>
  <c r="B74" i="8"/>
  <c r="E74" i="8"/>
  <c r="A75" i="8"/>
  <c r="B75" i="8"/>
  <c r="E75" i="8"/>
  <c r="A76" i="8"/>
  <c r="B76" i="8"/>
  <c r="E76" i="8"/>
  <c r="A77" i="8"/>
  <c r="B77" i="8"/>
  <c r="E77" i="8"/>
  <c r="A78" i="8"/>
  <c r="B78" i="8"/>
  <c r="E78" i="8"/>
  <c r="A79" i="8"/>
  <c r="B79" i="8"/>
  <c r="E79" i="8"/>
  <c r="A61" i="8"/>
  <c r="B61" i="8"/>
  <c r="E61" i="8"/>
  <c r="E55" i="8" l="1"/>
  <c r="E56" i="8"/>
  <c r="E57" i="8"/>
  <c r="E58" i="8"/>
  <c r="B55" i="8"/>
  <c r="B56" i="8"/>
  <c r="B57" i="8"/>
  <c r="B58" i="8"/>
  <c r="A55" i="8"/>
  <c r="A56" i="8"/>
  <c r="A57" i="8"/>
  <c r="A58" i="8"/>
  <c r="M15" i="3" l="1"/>
  <c r="M102" i="3"/>
  <c r="M110" i="3"/>
  <c r="M4" i="3"/>
  <c r="M5" i="3"/>
  <c r="M6" i="3"/>
  <c r="M7" i="3"/>
  <c r="M8" i="3"/>
  <c r="M9" i="3"/>
  <c r="M10" i="3"/>
  <c r="M11" i="3"/>
  <c r="M12" i="3"/>
  <c r="M13" i="3"/>
  <c r="M14"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3" i="3"/>
  <c r="M104" i="3"/>
  <c r="M105" i="3"/>
  <c r="M106" i="3"/>
  <c r="M107" i="3"/>
  <c r="M108" i="3"/>
  <c r="M109"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3" i="3"/>
  <c r="K56" i="5"/>
  <c r="K73" i="5"/>
  <c r="K65" i="5"/>
  <c r="K57" i="5"/>
  <c r="K61" i="5"/>
  <c r="K69" i="5"/>
  <c r="K68" i="5"/>
  <c r="K74" i="5"/>
  <c r="K75" i="5"/>
  <c r="K66" i="5"/>
  <c r="K58" i="5"/>
  <c r="K62" i="5"/>
  <c r="K63" i="5"/>
  <c r="K70" i="5"/>
  <c r="K59" i="5"/>
  <c r="K60" i="5"/>
  <c r="K64" i="5"/>
  <c r="K71" i="5"/>
  <c r="K67" i="5"/>
  <c r="K72" i="5"/>
  <c r="L5" i="5"/>
  <c r="A48" i="5" s="1"/>
  <c r="E48" i="5" s="1"/>
  <c r="C48" i="5" l="1"/>
  <c r="K48" i="5"/>
  <c r="H48" i="5"/>
  <c r="G48" i="5"/>
  <c r="D48" i="5"/>
  <c r="F48" i="5"/>
  <c r="J48" i="5"/>
  <c r="B48" i="5"/>
  <c r="I48" i="5"/>
  <c r="A45" i="5"/>
  <c r="E45" i="5" s="1"/>
  <c r="A43" i="5"/>
  <c r="A31" i="5"/>
  <c r="A19" i="5"/>
  <c r="A34" i="5"/>
  <c r="A33" i="5"/>
  <c r="E33" i="5" s="1"/>
  <c r="A42" i="5"/>
  <c r="E42" i="5" s="1"/>
  <c r="A30" i="5"/>
  <c r="E30" i="5" s="1"/>
  <c r="A18" i="5"/>
  <c r="E18" i="5" s="1"/>
  <c r="A27" i="5"/>
  <c r="E27" i="5" s="1"/>
  <c r="A40" i="5"/>
  <c r="A28" i="5"/>
  <c r="A16" i="5"/>
  <c r="A52" i="5"/>
  <c r="E52" i="5" s="1"/>
  <c r="A15" i="5"/>
  <c r="E15" i="5" s="1"/>
  <c r="A22" i="5"/>
  <c r="A39" i="5"/>
  <c r="E39" i="5" s="1"/>
  <c r="A51" i="5"/>
  <c r="E51" i="5" s="1"/>
  <c r="A37" i="5"/>
  <c r="A25" i="5"/>
  <c r="A13" i="5"/>
  <c r="A49" i="5"/>
  <c r="E49" i="5" s="1"/>
  <c r="A36" i="5"/>
  <c r="E36" i="5" s="1"/>
  <c r="A24" i="5"/>
  <c r="E24" i="5" s="1"/>
  <c r="A12" i="5"/>
  <c r="E12" i="5" s="1"/>
  <c r="A10" i="5"/>
  <c r="A46" i="5"/>
  <c r="A21" i="5"/>
  <c r="E21" i="5" s="1"/>
  <c r="A9" i="5"/>
  <c r="E34" i="5" l="1"/>
  <c r="E43" i="5"/>
  <c r="E19" i="5"/>
  <c r="E22" i="5"/>
  <c r="E13" i="5"/>
  <c r="E16" i="5"/>
  <c r="E25" i="5"/>
  <c r="G9" i="5"/>
  <c r="E9" i="5"/>
  <c r="E10" i="5" s="1"/>
  <c r="E28" i="5"/>
  <c r="E40" i="5"/>
  <c r="E46" i="5"/>
  <c r="E31" i="5"/>
  <c r="E37" i="5"/>
  <c r="G21" i="5"/>
  <c r="B21" i="5"/>
  <c r="F21" i="5"/>
  <c r="D21" i="5"/>
  <c r="C21" i="5"/>
  <c r="G13" i="5"/>
  <c r="D13" i="5"/>
  <c r="F13" i="5"/>
  <c r="C13" i="5"/>
  <c r="B13" i="5"/>
  <c r="F16" i="5"/>
  <c r="G16" i="5"/>
  <c r="C16" i="5"/>
  <c r="D16" i="5"/>
  <c r="B16" i="5"/>
  <c r="F52" i="5"/>
  <c r="B52" i="5"/>
  <c r="C52" i="5"/>
  <c r="G52" i="5"/>
  <c r="D52" i="5"/>
  <c r="F46" i="5"/>
  <c r="C46" i="5"/>
  <c r="B46" i="5"/>
  <c r="G46" i="5"/>
  <c r="D46" i="5"/>
  <c r="C25" i="5"/>
  <c r="B25" i="5"/>
  <c r="D25" i="5"/>
  <c r="F25" i="5"/>
  <c r="G25" i="5"/>
  <c r="G28" i="5"/>
  <c r="F28" i="5"/>
  <c r="D28" i="5"/>
  <c r="B28" i="5"/>
  <c r="C28" i="5"/>
  <c r="B33" i="5"/>
  <c r="G33" i="5"/>
  <c r="C33" i="5"/>
  <c r="D33" i="5"/>
  <c r="F33" i="5"/>
  <c r="D40" i="5"/>
  <c r="B40" i="5"/>
  <c r="F40" i="5"/>
  <c r="G40" i="5"/>
  <c r="C40" i="5"/>
  <c r="F34" i="5"/>
  <c r="D34" i="5"/>
  <c r="G34" i="5"/>
  <c r="B34" i="5"/>
  <c r="C34" i="5"/>
  <c r="C37" i="5"/>
  <c r="B37" i="5"/>
  <c r="G37" i="5"/>
  <c r="D37" i="5"/>
  <c r="F37" i="5"/>
  <c r="C51" i="5"/>
  <c r="D51" i="5"/>
  <c r="G51" i="5"/>
  <c r="B51" i="5"/>
  <c r="F51" i="5"/>
  <c r="B19" i="5"/>
  <c r="D19" i="5"/>
  <c r="C19" i="5"/>
  <c r="F19" i="5"/>
  <c r="G19" i="5"/>
  <c r="B10" i="5"/>
  <c r="F10" i="5"/>
  <c r="C10" i="5"/>
  <c r="G10" i="5"/>
  <c r="D10" i="5"/>
  <c r="C12" i="5"/>
  <c r="D12" i="5"/>
  <c r="F12" i="5"/>
  <c r="G12" i="5"/>
  <c r="B12" i="5"/>
  <c r="F39" i="5"/>
  <c r="G39" i="5"/>
  <c r="B39" i="5"/>
  <c r="D39" i="5"/>
  <c r="C39" i="5"/>
  <c r="G27" i="5"/>
  <c r="F27" i="5"/>
  <c r="C27" i="5"/>
  <c r="D27" i="5"/>
  <c r="B27" i="5"/>
  <c r="G31" i="5"/>
  <c r="C31" i="5"/>
  <c r="D31" i="5"/>
  <c r="B31" i="5"/>
  <c r="F31" i="5"/>
  <c r="B42" i="5"/>
  <c r="G42" i="5"/>
  <c r="C42" i="5"/>
  <c r="F42" i="5"/>
  <c r="D42" i="5"/>
  <c r="G22" i="5"/>
  <c r="D22" i="5"/>
  <c r="C22" i="5"/>
  <c r="B22" i="5"/>
  <c r="F22" i="5"/>
  <c r="D18" i="5"/>
  <c r="C18" i="5"/>
  <c r="B18" i="5"/>
  <c r="F18" i="5"/>
  <c r="G18" i="5"/>
  <c r="B43" i="5"/>
  <c r="F43" i="5"/>
  <c r="C43" i="5"/>
  <c r="D43" i="5"/>
  <c r="G43" i="5"/>
  <c r="G49" i="5"/>
  <c r="C49" i="5"/>
  <c r="F49" i="5"/>
  <c r="B49" i="5"/>
  <c r="D49" i="5"/>
  <c r="F24" i="5"/>
  <c r="G24" i="5"/>
  <c r="B24" i="5"/>
  <c r="C24" i="5"/>
  <c r="D24" i="5"/>
  <c r="G36" i="5"/>
  <c r="D36" i="5"/>
  <c r="B36" i="5"/>
  <c r="C36" i="5"/>
  <c r="F36" i="5"/>
  <c r="D15" i="5"/>
  <c r="G15" i="5"/>
  <c r="F15" i="5"/>
  <c r="B15" i="5"/>
  <c r="C15" i="5"/>
  <c r="G30" i="5"/>
  <c r="F30" i="5"/>
  <c r="C30" i="5"/>
  <c r="B30" i="5"/>
  <c r="D30" i="5"/>
  <c r="C45" i="5"/>
  <c r="F45" i="5"/>
  <c r="G45" i="5"/>
  <c r="D45" i="5"/>
  <c r="B45" i="5"/>
  <c r="H9" i="5"/>
  <c r="I9" i="5"/>
  <c r="B9" i="5"/>
  <c r="H52" i="5"/>
  <c r="J52" i="5"/>
  <c r="I52" i="5"/>
  <c r="K52" i="5"/>
  <c r="I46" i="5"/>
  <c r="H46" i="5"/>
  <c r="J46" i="5"/>
  <c r="K46" i="5"/>
  <c r="I49" i="5"/>
  <c r="K49" i="5"/>
  <c r="J49" i="5"/>
  <c r="H49" i="5"/>
  <c r="H51" i="5"/>
  <c r="K51" i="5"/>
  <c r="I51" i="5"/>
  <c r="J51" i="5"/>
  <c r="H45" i="5"/>
  <c r="J45" i="5"/>
  <c r="I45" i="5"/>
  <c r="K45" i="5"/>
  <c r="K9" i="5"/>
  <c r="C9" i="5"/>
  <c r="D9" i="5"/>
  <c r="F9" i="5"/>
  <c r="J9" i="5"/>
  <c r="H33" i="5"/>
  <c r="I33" i="5"/>
  <c r="J33" i="5"/>
  <c r="K33" i="5"/>
  <c r="J39" i="5"/>
  <c r="K39" i="5"/>
  <c r="I39" i="5"/>
  <c r="H39" i="5"/>
  <c r="I34" i="5"/>
  <c r="H34" i="5"/>
  <c r="J34" i="5"/>
  <c r="K34" i="5"/>
  <c r="K40" i="5"/>
  <c r="J40" i="5"/>
  <c r="I40" i="5"/>
  <c r="H40" i="5"/>
  <c r="J42" i="5"/>
  <c r="H42" i="5"/>
  <c r="I42" i="5"/>
  <c r="K42" i="5"/>
  <c r="H36" i="5"/>
  <c r="K36" i="5"/>
  <c r="J36" i="5"/>
  <c r="I36" i="5"/>
  <c r="K43" i="5"/>
  <c r="I43" i="5"/>
  <c r="J43" i="5"/>
  <c r="H43" i="5"/>
  <c r="I37" i="5"/>
  <c r="J37" i="5"/>
  <c r="H37" i="5"/>
  <c r="K37" i="5"/>
  <c r="J12" i="5"/>
  <c r="I12" i="5"/>
  <c r="H12" i="5"/>
  <c r="K12" i="5"/>
  <c r="J28" i="5"/>
  <c r="I28" i="5"/>
  <c r="H28" i="5"/>
  <c r="K28" i="5"/>
  <c r="J22" i="5"/>
  <c r="H22" i="5"/>
  <c r="K22" i="5"/>
  <c r="I22" i="5"/>
  <c r="J16" i="5"/>
  <c r="H16" i="5"/>
  <c r="K16" i="5"/>
  <c r="I16" i="5"/>
  <c r="K25" i="5"/>
  <c r="J25" i="5"/>
  <c r="H25" i="5"/>
  <c r="I25" i="5"/>
  <c r="H15" i="5"/>
  <c r="K15" i="5"/>
  <c r="J15" i="5"/>
  <c r="I15" i="5"/>
  <c r="J30" i="5"/>
  <c r="I30" i="5"/>
  <c r="H30" i="5"/>
  <c r="K30" i="5"/>
  <c r="J24" i="5"/>
  <c r="I24" i="5"/>
  <c r="H24" i="5"/>
  <c r="K24" i="5"/>
  <c r="H27" i="5"/>
  <c r="K27" i="5"/>
  <c r="J27" i="5"/>
  <c r="I27" i="5"/>
  <c r="K19" i="5"/>
  <c r="J19" i="5"/>
  <c r="I19" i="5"/>
  <c r="H19" i="5"/>
  <c r="J10" i="5"/>
  <c r="I10" i="5"/>
  <c r="H10" i="5"/>
  <c r="K10" i="5"/>
  <c r="H21" i="5"/>
  <c r="K21" i="5"/>
  <c r="J21" i="5"/>
  <c r="I21" i="5"/>
  <c r="K31" i="5"/>
  <c r="H31" i="5"/>
  <c r="J31" i="5"/>
  <c r="I31" i="5"/>
  <c r="J18" i="5"/>
  <c r="I18" i="5"/>
  <c r="H18" i="5"/>
  <c r="K18" i="5"/>
  <c r="K13" i="5"/>
  <c r="J13" i="5"/>
  <c r="I13" i="5"/>
  <c r="H13" i="5"/>
</calcChain>
</file>

<file path=xl/sharedStrings.xml><?xml version="1.0" encoding="utf-8"?>
<sst xmlns="http://schemas.openxmlformats.org/spreadsheetml/2006/main" count="3073" uniqueCount="694">
  <si>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</si>
  <si>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</si>
  <si>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</si>
  <si>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</si>
  <si>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</si>
  <si>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</si>
  <si>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</si>
  <si>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</si>
  <si>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</si>
  <si>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</si>
  <si>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</si>
  <si>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Bachelor of Education (Early Childhood Education) (OpenUnis)</t>
  </si>
  <si>
    <t>Course version:</t>
  </si>
  <si>
    <t>Commencing:</t>
  </si>
  <si>
    <t>Study Period 1 (February - May)</t>
  </si>
  <si>
    <t>Credits to Complete:</t>
  </si>
  <si>
    <t>2025 Availabilities</t>
  </si>
  <si>
    <t>Year 1</t>
  </si>
  <si>
    <t>OUA Code</t>
  </si>
  <si>
    <t>Study Period</t>
  </si>
  <si>
    <t>Pre-Requisite(s)</t>
  </si>
  <si>
    <t>CP</t>
  </si>
  <si>
    <t>SP1</t>
  </si>
  <si>
    <t>SP2</t>
  </si>
  <si>
    <t>SP3</t>
  </si>
  <si>
    <t>SP4</t>
  </si>
  <si>
    <t>Notes / Progress</t>
  </si>
  <si>
    <t>Year 2</t>
  </si>
  <si>
    <t>Year 3</t>
  </si>
  <si>
    <t>Year 4</t>
  </si>
  <si>
    <t>Specified Electives (see Enrolment Guidelines note)</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</si>
  <si>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</si>
  <si>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</si>
  <si>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</si>
  <si>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</si>
  <si>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Education (Primary Education) (OpenUnis)</t>
  </si>
  <si>
    <t>Bachelor of Education</t>
  </si>
  <si>
    <t>RangeUnitSets</t>
  </si>
  <si>
    <t>OB-EDECSP1</t>
  </si>
  <si>
    <t>OB-EDECSP2</t>
  </si>
  <si>
    <t>OB-EDECSP3</t>
  </si>
  <si>
    <t>OB-EDECSP4</t>
  </si>
  <si>
    <t>OB-EDPRSP1</t>
  </si>
  <si>
    <t>OB-EDPRSP2</t>
  </si>
  <si>
    <t>OB-EDPRSP3</t>
  </si>
  <si>
    <t>OB-EDPRSP4</t>
  </si>
  <si>
    <t>Y1SP1</t>
  </si>
  <si>
    <t>EDUC1020</t>
  </si>
  <si>
    <t>Y1SP2</t>
  </si>
  <si>
    <t>EDUC1024</t>
  </si>
  <si>
    <t>Y1SP3</t>
  </si>
  <si>
    <t>Y1SP4</t>
  </si>
  <si>
    <t>EDUC1022</t>
  </si>
  <si>
    <t>TableCourses</t>
  </si>
  <si>
    <t>EDUC1026</t>
  </si>
  <si>
    <t>Choose your Education Course</t>
  </si>
  <si>
    <t>SM Version</t>
  </si>
  <si>
    <t>SM Effective Date</t>
  </si>
  <si>
    <t>Akari Iteration</t>
  </si>
  <si>
    <t>Akari Effective Date</t>
  </si>
  <si>
    <t>Credit Points</t>
  </si>
  <si>
    <t>SM Availabilities</t>
  </si>
  <si>
    <t>Bachelor of Education (Early Childhood Education) (OpenUnis CSP)</t>
  </si>
  <si>
    <t>OU-EDEC</t>
  </si>
  <si>
    <t>v.3</t>
  </si>
  <si>
    <t xml:space="preserve">800 credit points required </t>
  </si>
  <si>
    <t>SP1; SP2; SP3; SP4</t>
  </si>
  <si>
    <t>EDUC1032</t>
  </si>
  <si>
    <t>All OK</t>
  </si>
  <si>
    <t>OB-EDEC</t>
  </si>
  <si>
    <t>EDUC1028</t>
  </si>
  <si>
    <t>Bachelor of Education (Primary Education) (OpenUnis CSP)</t>
  </si>
  <si>
    <t>OU-EDPR</t>
  </si>
  <si>
    <t>EDUC1030</t>
  </si>
  <si>
    <t>EDUC1038</t>
  </si>
  <si>
    <t>OB-EDPR</t>
  </si>
  <si>
    <t>Availabilities UNTICKED for v.3</t>
  </si>
  <si>
    <t>Bachelor of Education (Secondary Education)(OpenUnis)</t>
  </si>
  <si>
    <t>OB-EDSC1</t>
  </si>
  <si>
    <t>v.4</t>
  </si>
  <si>
    <t>SP1; SP3</t>
  </si>
  <si>
    <t>Only SP3 Available for v.4</t>
  </si>
  <si>
    <t>Bachelor of Education (Secondary Education)(OpenUnis CSP)</t>
  </si>
  <si>
    <t>OU-EDSC1</t>
  </si>
  <si>
    <t>Y2SP1</t>
  </si>
  <si>
    <t>EDUC2006</t>
  </si>
  <si>
    <t>Y2SP2</t>
  </si>
  <si>
    <t>EDEC2018</t>
  </si>
  <si>
    <t>Y2SP3</t>
  </si>
  <si>
    <t>Y2SP4</t>
  </si>
  <si>
    <t>EDUC2008</t>
  </si>
  <si>
    <t>EDPR2013</t>
  </si>
  <si>
    <t>EDPR2010</t>
  </si>
  <si>
    <t>EDEC2022</t>
  </si>
  <si>
    <t>EDPR2006</t>
  </si>
  <si>
    <t>EDPR2017</t>
  </si>
  <si>
    <t>TableStudyPeriods</t>
  </si>
  <si>
    <t>EDPR2015</t>
  </si>
  <si>
    <t>Choose your commencing study period (drop-down list)</t>
  </si>
  <si>
    <t>START</t>
  </si>
  <si>
    <t>Next</t>
  </si>
  <si>
    <t>Next2</t>
  </si>
  <si>
    <t>Next3</t>
  </si>
  <si>
    <t>EDEC2020</t>
  </si>
  <si>
    <t>EDEC2026</t>
  </si>
  <si>
    <t>EDEC2024</t>
  </si>
  <si>
    <t>Study Period 2 (May - August)</t>
  </si>
  <si>
    <t>EDEC2028</t>
  </si>
  <si>
    <t>SpecElec</t>
  </si>
  <si>
    <t>Study Period 3 (August - November)</t>
  </si>
  <si>
    <t>Study Period 4 (November - February)</t>
  </si>
  <si>
    <t>Y3SP1</t>
  </si>
  <si>
    <t>EDEC3023</t>
  </si>
  <si>
    <t>Y3SP2</t>
  </si>
  <si>
    <t>EDEC3025</t>
  </si>
  <si>
    <t>Y3SP3</t>
  </si>
  <si>
    <t>Y3SP4</t>
  </si>
  <si>
    <t>EDPR3007</t>
  </si>
  <si>
    <t>EDPR3011</t>
  </si>
  <si>
    <t>INED3001</t>
  </si>
  <si>
    <t>EDEC3017</t>
  </si>
  <si>
    <t>EDPR3010</t>
  </si>
  <si>
    <t>7/06/2024 - It looks like the Specified Electives for PRIMARY have issues with availabilities and sequencing in the main course, do they all need the same availabilities?</t>
  </si>
  <si>
    <t>EDEC3019</t>
  </si>
  <si>
    <t>EDPR3006</t>
  </si>
  <si>
    <t>EDEC3021</t>
  </si>
  <si>
    <t>EDEC3006</t>
  </si>
  <si>
    <t>EDPR3013</t>
  </si>
  <si>
    <t>EDPR3015</t>
  </si>
  <si>
    <t>Y4SP1</t>
  </si>
  <si>
    <t>EDEC4007</t>
  </si>
  <si>
    <t>Y4SP2</t>
  </si>
  <si>
    <t>EDUC4050</t>
  </si>
  <si>
    <t>Y4SP3</t>
  </si>
  <si>
    <t>Y4SP4</t>
  </si>
  <si>
    <t>EDPR4004</t>
  </si>
  <si>
    <t>1)      Update high level course / component &amp; study period details (Unitsets Tab)</t>
  </si>
  <si>
    <t>EDEC4005</t>
  </si>
  <si>
    <t>EDPR4002</t>
  </si>
  <si>
    <t>2)      Update Planner page(s) to reference year of planner e.g. “2025” (Planner Tab)</t>
  </si>
  <si>
    <t>3)      Update structures (Structures Tab)</t>
  </si>
  <si>
    <t>4)      Update Handbook unit list from updated structures (Handbook Tab)</t>
  </si>
  <si>
    <t>EDUC4041</t>
  </si>
  <si>
    <t>5)      Update Availabilities using updated Handbook unit list (Availabilities Tab)</t>
  </si>
  <si>
    <t>-</t>
  </si>
  <si>
    <t>6)      Update Pre Requisites (Handbook Tab)</t>
  </si>
  <si>
    <t>7)      Update sequences for courses / components (Unitsets Tab)</t>
  </si>
  <si>
    <t>Minor Issues, nothing major</t>
  </si>
  <si>
    <t>8)      Review Handbook Tab for obvious issues / errors and enter notes (Handbook Tab)</t>
  </si>
  <si>
    <t>9)      Review Planner Tab(s) for obvious issues / errors (Planner Tab)</t>
  </si>
  <si>
    <t>RangeOptions</t>
  </si>
  <si>
    <t>SE.iStem</t>
  </si>
  <si>
    <t>EDUC4026</t>
  </si>
  <si>
    <t>EDUC4033</t>
  </si>
  <si>
    <t>EDUC4035</t>
  </si>
  <si>
    <t>SE.ELL</t>
  </si>
  <si>
    <t>EDUC4024</t>
  </si>
  <si>
    <t>EDUC4025</t>
  </si>
  <si>
    <t>EDUC4037</t>
  </si>
  <si>
    <t>SE.LNDP</t>
  </si>
  <si>
    <t>EDUC4028</t>
  </si>
  <si>
    <t>EDUC4043</t>
  </si>
  <si>
    <t>EDUC4045</t>
  </si>
  <si>
    <t>SE.T</t>
  </si>
  <si>
    <t>EDUC4030</t>
  </si>
  <si>
    <t>EDUC4039</t>
  </si>
  <si>
    <t>EDUC4047</t>
  </si>
  <si>
    <t>SE.CE</t>
  </si>
  <si>
    <t>CTED4004</t>
  </si>
  <si>
    <t>CTED4007</t>
  </si>
  <si>
    <t>CTED4009</t>
  </si>
  <si>
    <t>SE.HPE</t>
  </si>
  <si>
    <t>EDUC4003</t>
  </si>
  <si>
    <t>EDUC4010</t>
  </si>
  <si>
    <t>EDUC4054</t>
  </si>
  <si>
    <t>Major:</t>
  </si>
  <si>
    <t>English Education Major (BEd Secondary) (OpenUnis)</t>
  </si>
  <si>
    <t>Major Version:</t>
  </si>
  <si>
    <t>Alternate Core and Specified Elective Subjects (see Enrolment Guidelines note)</t>
  </si>
  <si>
    <t>Bachelor of Education (Secondary Education)</t>
  </si>
  <si>
    <t>TableMajors</t>
  </si>
  <si>
    <t>RangeUnitSetsSec</t>
  </si>
  <si>
    <t>OUMU-ARVA1SP1</t>
  </si>
  <si>
    <t>OUMU-ARVA1SP3</t>
  </si>
  <si>
    <t>OUMU-ENGL1SP1</t>
  </si>
  <si>
    <t>OUMU-ENGL1SP3</t>
  </si>
  <si>
    <t>OUMU-HSGE1SP1</t>
  </si>
  <si>
    <t>OUMU-HSGE1SP3</t>
  </si>
  <si>
    <t>Choose your Major first (drop-down list)</t>
  </si>
  <si>
    <t>Seems OK</t>
  </si>
  <si>
    <t>The Arts Education Major (Visual Arts) (BEd Secondary) (OpenUnis)</t>
  </si>
  <si>
    <t>OUMU-ARVA1</t>
  </si>
  <si>
    <t>v.1</t>
  </si>
  <si>
    <t xml:space="preserve">375 credit points required </t>
  </si>
  <si>
    <t>OUMU-ENGL1</t>
  </si>
  <si>
    <t>Humanities and Social Sciences Education Major (Geography) (BEd Secondary) (OpenUnis)</t>
  </si>
  <si>
    <t>OUMU-HSGE1</t>
  </si>
  <si>
    <t>EDUC1037</t>
  </si>
  <si>
    <t>EDUC1036</t>
  </si>
  <si>
    <t>Available SP1 in 2026 - OK</t>
  </si>
  <si>
    <t>TableStudyPeriodsSec</t>
  </si>
  <si>
    <t>VISA1014</t>
  </si>
  <si>
    <t>CWRI1004</t>
  </si>
  <si>
    <t>GEOG1001</t>
  </si>
  <si>
    <t>VISA1013</t>
  </si>
  <si>
    <t>LCST1005</t>
  </si>
  <si>
    <t>COMS1012</t>
  </si>
  <si>
    <t>EDSC4033</t>
  </si>
  <si>
    <t>EDSC4031</t>
  </si>
  <si>
    <t>EDSC4025</t>
  </si>
  <si>
    <t>EDSC2014</t>
  </si>
  <si>
    <t>AC-ARVA1</t>
  </si>
  <si>
    <t>PWRP1001</t>
  </si>
  <si>
    <t>ECON1000</t>
  </si>
  <si>
    <t>EDSC2015</t>
  </si>
  <si>
    <t>VISA1008</t>
  </si>
  <si>
    <t>LCST2008</t>
  </si>
  <si>
    <t>PHGY1001</t>
  </si>
  <si>
    <t>EDSC2016</t>
  </si>
  <si>
    <t>LCST2009</t>
  </si>
  <si>
    <t>AC-HSGE11</t>
  </si>
  <si>
    <t>VISA2013</t>
  </si>
  <si>
    <t>EDSC4027</t>
  </si>
  <si>
    <t>EDSC4029</t>
  </si>
  <si>
    <t>EDSC4019</t>
  </si>
  <si>
    <t>VISA2027</t>
  </si>
  <si>
    <t>EDUC4025 only available SP3</t>
  </si>
  <si>
    <t>EDSC3014</t>
  </si>
  <si>
    <t>AC-HSGE12</t>
  </si>
  <si>
    <t>EDSC3016</t>
  </si>
  <si>
    <t>EDSC3008</t>
  </si>
  <si>
    <t>EDUC4024 only available SP2</t>
  </si>
  <si>
    <t>GEOG3003</t>
  </si>
  <si>
    <t>GEOG3003 will only be available in SP2</t>
  </si>
  <si>
    <t>VISA3013</t>
  </si>
  <si>
    <t>LCST3008</t>
  </si>
  <si>
    <t>AC-HSGE13</t>
  </si>
  <si>
    <t>VISA3015</t>
  </si>
  <si>
    <t>LCST3009</t>
  </si>
  <si>
    <t>Opt-ENGL1</t>
  </si>
  <si>
    <t>VISA2011</t>
  </si>
  <si>
    <t>GEOG2005</t>
  </si>
  <si>
    <t>VISA2012</t>
  </si>
  <si>
    <t>PHGY2001</t>
  </si>
  <si>
    <t xml:space="preserve"> </t>
  </si>
  <si>
    <t>Opt-ARVA1</t>
  </si>
  <si>
    <t>GEOG2003</t>
  </si>
  <si>
    <t>GEOG2004</t>
  </si>
  <si>
    <t>GEOG3002</t>
  </si>
  <si>
    <t>PHGY3001</t>
  </si>
  <si>
    <t>Opt-HSGE1</t>
  </si>
  <si>
    <t>RangeMajorsOptions</t>
  </si>
  <si>
    <t>SE.IB</t>
  </si>
  <si>
    <t>EDIB4004</t>
  </si>
  <si>
    <t>EDIB4006</t>
  </si>
  <si>
    <t>EDIB4007</t>
  </si>
  <si>
    <t>Title</t>
  </si>
  <si>
    <t>Pre-reqs (7/10/2024)</t>
  </si>
  <si>
    <t>Notes</t>
  </si>
  <si>
    <t>OUMU-ARTST</t>
  </si>
  <si>
    <t>OUMU-ENGLT</t>
  </si>
  <si>
    <t>OUMU-HUSGE</t>
  </si>
  <si>
    <t>Please note this is a 100CP subject</t>
  </si>
  <si>
    <t>--</t>
  </si>
  <si>
    <t>Not applicable to this course / selection</t>
  </si>
  <si>
    <t>Study either VSW210 or VSW220 (see below)</t>
  </si>
  <si>
    <t>See below</t>
  </si>
  <si>
    <t>AC-EDSC1</t>
  </si>
  <si>
    <t>Choose your Major</t>
  </si>
  <si>
    <t>Study either GEOG2005 or PHGY2001 (see below)</t>
  </si>
  <si>
    <t>Availabilities - Sits in SP3 in sequence, however one unit only available SP2/SP4</t>
  </si>
  <si>
    <t>Study either GEOG2004 or GEOG2003 (see below)</t>
  </si>
  <si>
    <t>Availabilities - Sits in SP2 in sequence, however one unit only available SP1/SP3</t>
  </si>
  <si>
    <t>Study either PHGY3001 or GEOG3002 (see below)</t>
  </si>
  <si>
    <t>Availabilities - Sits in SP1 or SP3 in sequence, however one unit only available in SP3</t>
  </si>
  <si>
    <t>COM155</t>
  </si>
  <si>
    <t>Culture to Cultures</t>
  </si>
  <si>
    <t>Nil</t>
  </si>
  <si>
    <t>EDC484</t>
  </si>
  <si>
    <t>Teaching About Sacraments in Catholic Schools</t>
  </si>
  <si>
    <t>EDC430</t>
  </si>
  <si>
    <t>Teaching About Jesus in Catholic Schools</t>
  </si>
  <si>
    <t>EDC435</t>
  </si>
  <si>
    <t>Teaching About the Gospels in Catholic Schools</t>
  </si>
  <si>
    <t>MCA110</t>
  </si>
  <si>
    <t>Engaging Narrative</t>
  </si>
  <si>
    <t>Introductory Economics</t>
  </si>
  <si>
    <t>OUA One Code</t>
  </si>
  <si>
    <t>ECON1002</t>
  </si>
  <si>
    <t>BAN12</t>
  </si>
  <si>
    <t>8/11/2024 - No 2025 Availabilities</t>
  </si>
  <si>
    <t>EDE292</t>
  </si>
  <si>
    <t>Early Learning Through the Humanities and Social Sciences</t>
  </si>
  <si>
    <t>EDC175</t>
  </si>
  <si>
    <t>EDE220</t>
  </si>
  <si>
    <t>Early Childhood Professional Experience 1: Learning and Teaching in Junior Primary</t>
  </si>
  <si>
    <r>
      <rPr>
        <sz val="10"/>
        <color rgb="FF00B050"/>
        <rFont val="Arial"/>
        <family val="2"/>
      </rPr>
      <t>EDC121 + EDC145</t>
    </r>
    <r>
      <rPr>
        <sz val="10"/>
        <color theme="1"/>
        <rFont val="Arial"/>
        <family val="2"/>
      </rPr>
      <t xml:space="preserve"> +</t>
    </r>
    <r>
      <rPr>
        <sz val="10"/>
        <color rgb="FFFF0000"/>
        <rFont val="Arial"/>
        <family val="2"/>
      </rPr>
      <t xml:space="preserve"> EDC163</t>
    </r>
  </si>
  <si>
    <t>Pre Req -  EDUC1018 EDC163 is deactivating</t>
  </si>
  <si>
    <t>EDE255</t>
  </si>
  <si>
    <t>Engaging Children in Science</t>
  </si>
  <si>
    <t>Pre Req - Need to check as Internal unit has Pre Req.</t>
  </si>
  <si>
    <t>EDE252</t>
  </si>
  <si>
    <t>Visual and Media Arts for Early Childhood</t>
  </si>
  <si>
    <t>EDC153</t>
  </si>
  <si>
    <t>EDE225</t>
  </si>
  <si>
    <t>Mathematics for the Early Years</t>
  </si>
  <si>
    <t>EDC145</t>
  </si>
  <si>
    <t>Pre Req - Akari has no Pre Reqs listed.</t>
  </si>
  <si>
    <t>EDE260</t>
  </si>
  <si>
    <t>Health and Physical Education in Early Childhood</t>
  </si>
  <si>
    <t>EDC135</t>
  </si>
  <si>
    <t>EDE392</t>
  </si>
  <si>
    <t>Pedagogical Contexts for Play</t>
  </si>
  <si>
    <t>EDE360</t>
  </si>
  <si>
    <t>Early Childhood Professional Experience 2: Quality Frameworks in Early Learning Centres</t>
  </si>
  <si>
    <t>EDE310</t>
  </si>
  <si>
    <t>Early Childhood Professional Experience 3: Kindergarten to Pre-primary Learning Environments</t>
  </si>
  <si>
    <t>EDE345</t>
  </si>
  <si>
    <t>Leadership in Early Childhood Education</t>
  </si>
  <si>
    <t>EDE323</t>
  </si>
  <si>
    <t>Mathematics during the First Five Years of Life</t>
  </si>
  <si>
    <t>EDE355</t>
  </si>
  <si>
    <t>Early Childhood Literacies</t>
  </si>
  <si>
    <t>EDC235</t>
  </si>
  <si>
    <t>EDE425</t>
  </si>
  <si>
    <t>Curriculum Integration and Differentiation</t>
  </si>
  <si>
    <t>EDE310*</t>
  </si>
  <si>
    <t>EDE413</t>
  </si>
  <si>
    <t>Social Justice and Diversity in Early Childhood</t>
  </si>
  <si>
    <t>EDIB4004.RE</t>
  </si>
  <si>
    <t>EDC481</t>
  </si>
  <si>
    <t>Introduction to the International Baccalaureate Programme</t>
  </si>
  <si>
    <t>Removed from 2025 Structures</t>
  </si>
  <si>
    <t>EDIB4005.RE</t>
  </si>
  <si>
    <t>EDC496</t>
  </si>
  <si>
    <t>International Baccalaureate Primary Years Programme</t>
  </si>
  <si>
    <t>EDIB4006.RE</t>
  </si>
  <si>
    <t>EDC497</t>
  </si>
  <si>
    <t>International Baccalaureate Middle Years Programme</t>
  </si>
  <si>
    <t>EDIB4007.RE</t>
  </si>
  <si>
    <t>EDC482</t>
  </si>
  <si>
    <t>The International Baccalaureate in Action</t>
  </si>
  <si>
    <t>EDC481 + (EDC496 or EDC497)</t>
  </si>
  <si>
    <t>EDP243</t>
  </si>
  <si>
    <t>Children as Mathematical Learners</t>
  </si>
  <si>
    <t>EDP273</t>
  </si>
  <si>
    <t>Inquiry in the Science Classroom</t>
  </si>
  <si>
    <t>EDC175*</t>
  </si>
  <si>
    <t>Pre Req - Listed as Concurrent in S1 but not in Akari.</t>
  </si>
  <si>
    <t>EDP210</t>
  </si>
  <si>
    <t>Primary Professional Experience 1: Planning for Teaching</t>
  </si>
  <si>
    <r>
      <rPr>
        <sz val="10"/>
        <color rgb="FF00B050"/>
        <rFont val="Arial"/>
        <family val="2"/>
      </rPr>
      <t>EDC121 + EDC145</t>
    </r>
    <r>
      <rPr>
        <sz val="10"/>
        <color theme="1"/>
        <rFont val="Arial"/>
        <family val="2"/>
      </rPr>
      <t xml:space="preserve"> + </t>
    </r>
    <r>
      <rPr>
        <sz val="10"/>
        <color rgb="FFFF0000"/>
        <rFont val="Arial"/>
        <family val="2"/>
      </rPr>
      <t>EDC163</t>
    </r>
  </si>
  <si>
    <t>EDP227</t>
  </si>
  <si>
    <t>Primary Professional Experience 2: Leadership &amp; Stewardship for Diverse Learners</t>
  </si>
  <si>
    <t>Pre Req - Akari lists INTERNAL unit (EDPR2012) not OUA unit (EDPR2013).</t>
  </si>
  <si>
    <t>EDP255</t>
  </si>
  <si>
    <t>Health and Physical Education</t>
  </si>
  <si>
    <t>EDP343</t>
  </si>
  <si>
    <t>Inquiry in the Mathematics Classroom</t>
  </si>
  <si>
    <t>EDP311</t>
  </si>
  <si>
    <t>Cultural Contexts in Primary Education</t>
  </si>
  <si>
    <t>EDC140</t>
  </si>
  <si>
    <t>EDP373</t>
  </si>
  <si>
    <t>Inquiry in the Humanities and Social Sciences Classroom</t>
  </si>
  <si>
    <t>EDP333</t>
  </si>
  <si>
    <t>English Pedagogies and the Integrated Curriculum</t>
  </si>
  <si>
    <t>EDP320</t>
  </si>
  <si>
    <t>Primary Professional Experience 3: Evaluating Learning</t>
  </si>
  <si>
    <t>EDP385</t>
  </si>
  <si>
    <t>Visual and Media Arts Education</t>
  </si>
  <si>
    <t>EDP443</t>
  </si>
  <si>
    <t>Mathematics Pedagogies and Integrated Curriculum</t>
  </si>
  <si>
    <t>EDP415</t>
  </si>
  <si>
    <t>The Literacy Researcher</t>
  </si>
  <si>
    <t>EDSC1010.RE</t>
  </si>
  <si>
    <t>EDS107</t>
  </si>
  <si>
    <t>Literacy and Numeracy Across the Curriculum</t>
  </si>
  <si>
    <t>EDSC1012.RE</t>
  </si>
  <si>
    <t>EDS110</t>
  </si>
  <si>
    <t>Managing the Learning Environment</t>
  </si>
  <si>
    <t>EDSC2007.RE</t>
  </si>
  <si>
    <t>EDS210</t>
  </si>
  <si>
    <t>Secondary Professional Experience 1: Planning</t>
  </si>
  <si>
    <r>
      <rPr>
        <sz val="10"/>
        <color rgb="FFFF0000"/>
        <rFont val="Arial"/>
        <family val="2"/>
      </rPr>
      <t>EDC163</t>
    </r>
    <r>
      <rPr>
        <sz val="10"/>
        <color theme="1"/>
        <rFont val="Arial"/>
        <family val="2"/>
      </rPr>
      <t xml:space="preserve"> + </t>
    </r>
    <r>
      <rPr>
        <sz val="10"/>
        <color rgb="FFFF0000"/>
        <rFont val="Arial"/>
        <family val="2"/>
      </rPr>
      <t>EDS110</t>
    </r>
    <r>
      <rPr>
        <sz val="10"/>
        <color theme="1"/>
        <rFont val="Arial"/>
        <family val="2"/>
      </rPr>
      <t>*</t>
    </r>
  </si>
  <si>
    <t>Removed from 2025 Structures (Pre Req - EDS110 Listed as Concurrent in S1 but not in Akari. )</t>
  </si>
  <si>
    <t>EDSC2010.RE</t>
  </si>
  <si>
    <t>EDS261</t>
  </si>
  <si>
    <t>Secondary Professional Experience 2: Assessment and Reporting</t>
  </si>
  <si>
    <t>EDS215</t>
  </si>
  <si>
    <t>Educating Adolescents: Diversity, Differentiation and Inclusion</t>
  </si>
  <si>
    <t>EDS225</t>
  </si>
  <si>
    <t>Secondary Professional Teaching Practice 2 (details coming)</t>
  </si>
  <si>
    <t>EDC185</t>
  </si>
  <si>
    <t>EDS220</t>
  </si>
  <si>
    <t>EDS225 or EDS210</t>
  </si>
  <si>
    <t>EDSC3006.RE</t>
  </si>
  <si>
    <t>EDS360</t>
  </si>
  <si>
    <t>Secondary Professional Experience 3: Using Data to Inform Teaching and Learning</t>
  </si>
  <si>
    <r>
      <rPr>
        <sz val="10"/>
        <color rgb="FFFF0000"/>
        <rFont val="Arial"/>
        <family val="2"/>
      </rPr>
      <t>EDS261</t>
    </r>
    <r>
      <rPr>
        <sz val="10"/>
        <color theme="1"/>
        <rFont val="Arial"/>
        <family val="2"/>
      </rPr>
      <t xml:space="preserve"> + C&amp;I Senior Secondary*</t>
    </r>
  </si>
  <si>
    <t>EDS355</t>
  </si>
  <si>
    <t>Curriculum and Culture in Secondary Schools</t>
  </si>
  <si>
    <t>EDSC3010.RE</t>
  </si>
  <si>
    <t>EDS309</t>
  </si>
  <si>
    <t>Educating Adolescents: Diversity and Inclusion</t>
  </si>
  <si>
    <t>EDS320</t>
  </si>
  <si>
    <t>Secondary Professional Teaching Practice 3 (details coming)</t>
  </si>
  <si>
    <t>EDS220 or EDS261</t>
  </si>
  <si>
    <t>EDS315</t>
  </si>
  <si>
    <t>Secondary Professional Experience 3 (details coming)</t>
  </si>
  <si>
    <t>EDS365</t>
  </si>
  <si>
    <t>Curriculum and Instruction Senior Secondary: English</t>
  </si>
  <si>
    <t>EDS133</t>
  </si>
  <si>
    <t>EDS144</t>
  </si>
  <si>
    <t>Curriculum and Instruction Lower Secondary: Humanities and Social Sciences</t>
  </si>
  <si>
    <t>EDS375</t>
  </si>
  <si>
    <t>Curriculum and Instruction Senior Secondary: Humanities and Social Sciences</t>
  </si>
  <si>
    <t>EDS310</t>
  </si>
  <si>
    <t>Curriculum and Instruction Senior Secondary: The Arts</t>
  </si>
  <si>
    <t>EDS155</t>
  </si>
  <si>
    <t>Curriculum and Instruction Lower Secondary: English</t>
  </si>
  <si>
    <t>Curriculum and Instruction Lower Secondary: The Arts</t>
  </si>
  <si>
    <t>EDUC1018.RE</t>
  </si>
  <si>
    <t>EDC163</t>
  </si>
  <si>
    <t>The Professional Educator: Developing Teacher Identity</t>
  </si>
  <si>
    <t>EDC105</t>
  </si>
  <si>
    <t>Teaching and Learning in the Digital World</t>
  </si>
  <si>
    <t>Child Development for Educators</t>
  </si>
  <si>
    <t>EDC121</t>
  </si>
  <si>
    <t>Introducing Language, Literacy and Literature for Educators</t>
  </si>
  <si>
    <t>Exploring and Contesting Curriculum</t>
  </si>
  <si>
    <t>Educators Inquiring About the World</t>
  </si>
  <si>
    <t>Performing Arts for Educators</t>
  </si>
  <si>
    <t>The Numerate Educator</t>
  </si>
  <si>
    <t>EDC190</t>
  </si>
  <si>
    <t>Professional Teaching Practice 1</t>
  </si>
  <si>
    <t>EDC181</t>
  </si>
  <si>
    <t>Communication Skills for Educators</t>
  </si>
  <si>
    <t>EDC245</t>
  </si>
  <si>
    <t>Learning Theories, Diversity and Differentiation</t>
  </si>
  <si>
    <t>Teaching Language, Literacy and Literature in Junior Primary</t>
  </si>
  <si>
    <t>EDC121 or EDS107</t>
  </si>
  <si>
    <t>Pre Req - EDSC1010 EDS107 is deactivating, but OK as this unit not in BEd Sec.</t>
  </si>
  <si>
    <t>EDC420</t>
  </si>
  <si>
    <t>Physical Education Pedagogy (details coming)</t>
  </si>
  <si>
    <t>100CP</t>
  </si>
  <si>
    <t>EDC425</t>
  </si>
  <si>
    <t>Primary Physical Education: Curriculum &amp; Assessment (details coming)</t>
  </si>
  <si>
    <t>EDC486</t>
  </si>
  <si>
    <t>Creating and Responding to Literature</t>
  </si>
  <si>
    <t>EDC487</t>
  </si>
  <si>
    <t>Creative Literacies</t>
  </si>
  <si>
    <t>EDC488</t>
  </si>
  <si>
    <t>Project-based iSTEM Education</t>
  </si>
  <si>
    <t>EDC490</t>
  </si>
  <si>
    <t>Supporting Literacy and Numeracy Development for Diverse Learners</t>
  </si>
  <si>
    <t>EDC491</t>
  </si>
  <si>
    <t>Technologies: Coding for Teachers</t>
  </si>
  <si>
    <t>EDC492</t>
  </si>
  <si>
    <t>iSTEM Education through Digital Stories</t>
  </si>
  <si>
    <t>EDC493</t>
  </si>
  <si>
    <t>iSTEM: Social Issues</t>
  </si>
  <si>
    <t>EDC494</t>
  </si>
  <si>
    <t>Language and Diversity</t>
  </si>
  <si>
    <t>EDC495</t>
  </si>
  <si>
    <t>Technologies: Design Solutions</t>
  </si>
  <si>
    <t>EDC450</t>
  </si>
  <si>
    <t>Professional Experience 4: The Internship</t>
  </si>
  <si>
    <t>All other units</t>
  </si>
  <si>
    <t>EDC465</t>
  </si>
  <si>
    <t>Alternative Approaches to Teaching Literacy and Numeracy</t>
  </si>
  <si>
    <t>EDC460</t>
  </si>
  <si>
    <t>Literacy and Numeracy for First Nations Peoples of Australia</t>
  </si>
  <si>
    <t>EDC470</t>
  </si>
  <si>
    <t>Technologies: Digital Solutions</t>
  </si>
  <si>
    <t>EDC445</t>
  </si>
  <si>
    <t>The Professional Educator: Transition to the Profession</t>
  </si>
  <si>
    <r>
      <t>(</t>
    </r>
    <r>
      <rPr>
        <sz val="10"/>
        <color rgb="FF00B050"/>
        <rFont val="Arial"/>
        <family val="2"/>
      </rPr>
      <t>EDE310 or EDP320</t>
    </r>
    <r>
      <rPr>
        <sz val="10"/>
        <color theme="1"/>
        <rFont val="Arial"/>
        <family val="2"/>
      </rPr>
      <t xml:space="preserve"> or </t>
    </r>
    <r>
      <rPr>
        <sz val="10"/>
        <color rgb="FFFF0000"/>
        <rFont val="Arial"/>
        <family val="2"/>
      </rPr>
      <t>EDS360</t>
    </r>
    <r>
      <rPr>
        <sz val="10"/>
        <color theme="1"/>
        <rFont val="Arial"/>
        <family val="2"/>
      </rPr>
      <t>)*</t>
    </r>
  </si>
  <si>
    <t>Pre Req - EDSC3006 EDS360 is deactivating</t>
  </si>
  <si>
    <t>EDC440</t>
  </si>
  <si>
    <t>Teaching Health Education in Primary Schools (details coming)</t>
  </si>
  <si>
    <t>GPH100</t>
  </si>
  <si>
    <t>Human Geography</t>
  </si>
  <si>
    <t>GPH220</t>
  </si>
  <si>
    <t>Geographies of Migration</t>
  </si>
  <si>
    <t>GPH200</t>
  </si>
  <si>
    <t>Geographies of Food Security</t>
  </si>
  <si>
    <t>GPH210</t>
  </si>
  <si>
    <t>Fieldwork Skills</t>
  </si>
  <si>
    <t>GPH320</t>
  </si>
  <si>
    <t>Urban Geographies</t>
  </si>
  <si>
    <t>GPH300</t>
  </si>
  <si>
    <t>Sustainable Livelihoods</t>
  </si>
  <si>
    <t>Indigenous Australian Education</t>
  </si>
  <si>
    <t>EDC135 + (EDC245 or EDS215)</t>
  </si>
  <si>
    <t>INED3002</t>
  </si>
  <si>
    <t>EDC370</t>
  </si>
  <si>
    <t>ENG100</t>
  </si>
  <si>
    <t>Introduction to Cultural Studies</t>
  </si>
  <si>
    <t>ENG200</t>
  </si>
  <si>
    <t>Genre and Classic Texts</t>
  </si>
  <si>
    <t>ENG210</t>
  </si>
  <si>
    <t>Reading Gender</t>
  </si>
  <si>
    <t>ENG300</t>
  </si>
  <si>
    <t>Decolonising Place</t>
  </si>
  <si>
    <t>ENG310</t>
  </si>
  <si>
    <t>Textual Futures</t>
  </si>
  <si>
    <t>Study any FOUR specified electives from this list</t>
  </si>
  <si>
    <t>OUMU-ARTST.RE</t>
  </si>
  <si>
    <t>OUMU-ENGLT.RE</t>
  </si>
  <si>
    <t>English Education Major (BEd Secondary Ed)(OpenUnis)</t>
  </si>
  <si>
    <t>OUMU-HUSGE.RE</t>
  </si>
  <si>
    <t>GPH110</t>
  </si>
  <si>
    <t>Physical Geography</t>
  </si>
  <si>
    <t>GPH230</t>
  </si>
  <si>
    <t>Natural Hazards</t>
  </si>
  <si>
    <t>GPH311</t>
  </si>
  <si>
    <t>Cultural Landscapes</t>
  </si>
  <si>
    <t>PWP110</t>
  </si>
  <si>
    <t>Introduction to Creative and Professional Writing</t>
  </si>
  <si>
    <t>Catholic Education Specified Electives</t>
  </si>
  <si>
    <t>English Language and Literacy Specified Electives</t>
  </si>
  <si>
    <t>Health and Physical Education Specified Electives</t>
  </si>
  <si>
    <t>SE.iSTEM</t>
  </si>
  <si>
    <t>iSTEM Specified Electives</t>
  </si>
  <si>
    <t>Literacy and Numeracy in Diverse Populations Specified Electives</t>
  </si>
  <si>
    <t>Technologies Specified Electives</t>
  </si>
  <si>
    <t>Study a Specified Elective subject from the list below</t>
  </si>
  <si>
    <t>VIS18</t>
  </si>
  <si>
    <t>Introduction to History of Art and Design</t>
  </si>
  <si>
    <t>VSW14</t>
  </si>
  <si>
    <t>Fine Art Studio Methods</t>
  </si>
  <si>
    <t>VAR110</t>
  </si>
  <si>
    <t>Drawing</t>
  </si>
  <si>
    <t>VSW210</t>
  </si>
  <si>
    <t>Fine Art Studio Strategies</t>
  </si>
  <si>
    <t>VSW220</t>
  </si>
  <si>
    <t>Fine Art Studio Processes</t>
  </si>
  <si>
    <t>VSW230</t>
  </si>
  <si>
    <t>Fine Art Studio Extension</t>
  </si>
  <si>
    <t>EDS155 or VSW210 or VSW220</t>
  </si>
  <si>
    <t>VIS24</t>
  </si>
  <si>
    <t>Australian Art</t>
  </si>
  <si>
    <t xml:space="preserve">Pre Req - Akari has no Pre Reqs listed, however contains further information recommending VIS18 </t>
  </si>
  <si>
    <t>VSW31</t>
  </si>
  <si>
    <t>Fine Art Studio Practice</t>
  </si>
  <si>
    <t>VSW330</t>
  </si>
  <si>
    <t>Fine Art Concepts and Contexts</t>
  </si>
  <si>
    <t>EDS310 or VSW240</t>
  </si>
  <si>
    <t>Effective:</t>
  </si>
  <si>
    <t>Downloaded:</t>
  </si>
  <si>
    <t>CheckTables</t>
  </si>
  <si>
    <t>Version</t>
  </si>
  <si>
    <t>CPs</t>
  </si>
  <si>
    <t>No.</t>
  </si>
  <si>
    <t>Component Type</t>
  </si>
  <si>
    <t>Year Level</t>
  </si>
  <si>
    <t>Study Package Code</t>
  </si>
  <si>
    <t>Structure Line</t>
  </si>
  <si>
    <t>Effective</t>
  </si>
  <si>
    <t>Discont.</t>
  </si>
  <si>
    <t>Column1</t>
  </si>
  <si>
    <t>Column2</t>
  </si>
  <si>
    <t>Core</t>
  </si>
  <si>
    <t>NA</t>
  </si>
  <si>
    <t>EDC105 Teaching and Learning in the Digital World</t>
  </si>
  <si>
    <t>EDC121 Introducing Language, Literacy and Literature for Educators</t>
  </si>
  <si>
    <t>EDC135 Child Development for Educators</t>
  </si>
  <si>
    <t>EDC140 Exploring and Contesting Curriculum</t>
  </si>
  <si>
    <t>EDC145 The Numerate Educator</t>
  </si>
  <si>
    <t>EDC153 Performing Arts for Educators</t>
  </si>
  <si>
    <t>EDC181 Communication Skills for Educators</t>
  </si>
  <si>
    <t>EDUC1018</t>
  </si>
  <si>
    <t>EDC175 Educators Inquiring About the World</t>
  </si>
  <si>
    <t>EDC235 Teaching Language, Literacy and Literature in Junior Primary</t>
  </si>
  <si>
    <t>EDC245 Learning Theories, Diversity and Differentiation</t>
  </si>
  <si>
    <t>EDE220 Early Childhood Professional Experience 1: Learning and Teaching in Junior Primary</t>
  </si>
  <si>
    <t>EDE225 Mathematics for the Early Years</t>
  </si>
  <si>
    <t>EDE252 Visual and Media Arts for Early Childhood</t>
  </si>
  <si>
    <t>EDE255 Engaging Children in Science</t>
  </si>
  <si>
    <t>EDE260 Health and Physical Education in Early Childhood</t>
  </si>
  <si>
    <t>EDE292 Early Learning Through the Humanities and Social Sciences</t>
  </si>
  <si>
    <t>EDC370 Indigenous Australian Education</t>
  </si>
  <si>
    <t>EDE310 Early Childhood Professional Experience 3: Kindergarten to Pre-primary Learning Environments</t>
  </si>
  <si>
    <t>EDE323 Mathematics during the First Five Years of Life</t>
  </si>
  <si>
    <t>EDE345 Leadership in Early Childhood Education</t>
  </si>
  <si>
    <t>EDE355 Early Childhood Literacies</t>
  </si>
  <si>
    <t>EDE360 Early Childhood Professional Experience 2: Quality Frameworks in Early Learning Centres</t>
  </si>
  <si>
    <t>EDE392 Pedagogical Contexts for Play</t>
  </si>
  <si>
    <t>Option</t>
  </si>
  <si>
    <t>Options for Year 3 and 4</t>
  </si>
  <si>
    <t>EDC445 The Professional Educator: Transition to the Profession</t>
  </si>
  <si>
    <t>EDE413 Social Justice and Diversity in Early Childhood</t>
  </si>
  <si>
    <t>EDE425 Curriculum Integration and Differentiation</t>
  </si>
  <si>
    <t>EDC450 Professional Experience 4: The Internship</t>
  </si>
  <si>
    <t>CTED4003</t>
  </si>
  <si>
    <t>EDC484 Teaching About Sacraments in Catholic Schools</t>
  </si>
  <si>
    <t>CTED4005</t>
  </si>
  <si>
    <t>EDC430 Teaching About Jesus in Catholic Schools</t>
  </si>
  <si>
    <t>EDC435 Teaching About the Gospels in Catholic Schools</t>
  </si>
  <si>
    <t>EDIB4005</t>
  </si>
  <si>
    <t>EDC486 Creating and Responding to Literature</t>
  </si>
  <si>
    <t>EDC487 Creative Literacies</t>
  </si>
  <si>
    <t>EDC488 Project-based iSTEM Education</t>
  </si>
  <si>
    <t>EDUC4027</t>
  </si>
  <si>
    <t>EDC490 Supporting Literacy and Numeracy Development for Diverse Learners</t>
  </si>
  <si>
    <t>EDC491 Technologies: Coding for Teachers</t>
  </si>
  <si>
    <t>EDC492 iSTEM Education through Digital Stories</t>
  </si>
  <si>
    <t>EDC493 iSTEM: Social Issues</t>
  </si>
  <si>
    <t>EDC494 Language and Diversity</t>
  </si>
  <si>
    <t>EDC495 Technologies: Design Solutions</t>
  </si>
  <si>
    <t>EDC465 Alternative Approaches to Teaching Literacy and Numeracy</t>
  </si>
  <si>
    <t>EDC460 Literacy and Numeracy for First Nations Peoples of Australia</t>
  </si>
  <si>
    <t>EDC470 Technologies: Digital Solutions</t>
  </si>
  <si>
    <t>EDP210 Primary Professional Experience 1: Planning for Teaching</t>
  </si>
  <si>
    <t>EDP227 Primary Professional Experience 2: Leadership &amp; Stewardship for Diverse Learners</t>
  </si>
  <si>
    <t>EDP273 Inquiry in the Science Classroom</t>
  </si>
  <si>
    <t>EDP255 Health and Physical Education</t>
  </si>
  <si>
    <t>EDP243 Children as Mathematical Learners</t>
  </si>
  <si>
    <t>EDP320 Primary Professional Experience 3: Evaluating Learning</t>
  </si>
  <si>
    <t>EDP333 English Pedagogies and the Integrated Curriculum</t>
  </si>
  <si>
    <t>EDP343 Inquiry in the Mathematics Classroom</t>
  </si>
  <si>
    <t>EDP373 Inquiry in the Humanities and Social Sciences Classroom</t>
  </si>
  <si>
    <t>EDP385 Visual and Media Arts Education</t>
  </si>
  <si>
    <t>EDP311 Cultural Contexts in Primary Education</t>
  </si>
  <si>
    <t>EDP415 The Literacy Researcher</t>
  </si>
  <si>
    <t>EDP443 Mathematics Pedagogies and Integrated Curriculum</t>
  </si>
  <si>
    <t>Select an Option</t>
  </si>
  <si>
    <t>EDC420 Physical Education Pedagogy</t>
  </si>
  <si>
    <t>EDC425 Primary Physical Education: Curriculum &amp; Assessment</t>
  </si>
  <si>
    <t>EDC440 Teaching Health Education in Primary Schools</t>
  </si>
  <si>
    <t>EDC185 Professional Experience 1</t>
  </si>
  <si>
    <t>EDSC1010</t>
  </si>
  <si>
    <t>EDC190 Professional Teaching Practice 1</t>
  </si>
  <si>
    <t>EDSC1012</t>
  </si>
  <si>
    <t>AltCore</t>
  </si>
  <si>
    <t>Choose Your Major</t>
  </si>
  <si>
    <t>AC_EDSC1</t>
  </si>
  <si>
    <t>EDS215 Educating Adolescents: Diversity, Differentiation and Inclusion</t>
  </si>
  <si>
    <t>EDS220 Secondary Professional Experience 2</t>
  </si>
  <si>
    <t>EDSC2007</t>
  </si>
  <si>
    <t>EDS225 Secondary Professional Teaching Practice 2</t>
  </si>
  <si>
    <t>EDSC2010</t>
  </si>
  <si>
    <t>EDS315 Secondary Professional Experience 3</t>
  </si>
  <si>
    <t>EDS320 Secondary Professional Teaching Practice 3</t>
  </si>
  <si>
    <t>EDSC3006</t>
  </si>
  <si>
    <t>EDS355 Curriculum and Culture in Secondary Schools</t>
  </si>
  <si>
    <t>Choose Options</t>
  </si>
  <si>
    <t/>
  </si>
  <si>
    <t>EDS155 Curriculum and Instruction Lower Secondary: The Arts</t>
  </si>
  <si>
    <t>VAR110 Drawing</t>
  </si>
  <si>
    <t>VSW14 Fine Art Studio Methods</t>
  </si>
  <si>
    <t>EDS310 Curriculum and Instruction Senior Secondary: The Arts</t>
  </si>
  <si>
    <t>VIS18 Introduction to History of Art and Design</t>
  </si>
  <si>
    <t>VSW230 Fine Art Studio Extension</t>
  </si>
  <si>
    <t>Choose VISA2011 or VISA2012</t>
  </si>
  <si>
    <t>VIS24 Australian Art</t>
  </si>
  <si>
    <t>VSW31 Fine Art Studio Practice</t>
  </si>
  <si>
    <t>VSW330 Fine Art Concepts and Contexts</t>
  </si>
  <si>
    <t>VSW210 Fine Art Studio Strategies</t>
  </si>
  <si>
    <t>VSW220 Fine Art Studio Processes</t>
  </si>
  <si>
    <t>EDS133 Curriculum and Instruction Lower Secondary: English</t>
  </si>
  <si>
    <t>ENG100 Introduction to Cultural Studies</t>
  </si>
  <si>
    <t>MCA110 Engaging Narrative</t>
  </si>
  <si>
    <t>EDS365 Curriculum and Instruction Senior Secondary: English</t>
  </si>
  <si>
    <t>ENG200 Genre and Classic Texts</t>
  </si>
  <si>
    <t>PWP110 Introduction to Creative and Professional Writing</t>
  </si>
  <si>
    <t>ENG210 Reading Gender</t>
  </si>
  <si>
    <t>ENG300 Decolonising Place</t>
  </si>
  <si>
    <t>ENG310 Textual Futures</t>
  </si>
  <si>
    <t>COM155 Culture to Cultures</t>
  </si>
  <si>
    <t>EDS144 Curriculum and Instruction Lower Secondary: Humanities and Social Sciences</t>
  </si>
  <si>
    <t>GPH100 Human Geography</t>
  </si>
  <si>
    <t>BAN12 Introductory Economics</t>
  </si>
  <si>
    <t>EDS375 Curriculum and Instruction Senior Secondary: Humanities and Social Sciences</t>
  </si>
  <si>
    <t>GPH110 Physical Geography</t>
  </si>
  <si>
    <t>Choose GEOG2005 or PHGY2001</t>
  </si>
  <si>
    <t>Choose GEOG2004 or GEOG2003</t>
  </si>
  <si>
    <t>GPH300 Sustainable Livelihoods</t>
  </si>
  <si>
    <t>Choose PHGY3001 or GEOG3002</t>
  </si>
  <si>
    <t>GPH210 Fieldwork Skills</t>
  </si>
  <si>
    <t>GPH230 Natural Hazards</t>
  </si>
  <si>
    <t>GPH220 Geographies of Migration</t>
  </si>
  <si>
    <t>GPH200 Geographies of Food Security</t>
  </si>
  <si>
    <t>GPH320 Urban Geographies</t>
  </si>
  <si>
    <t>GPH311 Cultural Landscapes</t>
  </si>
  <si>
    <t>Row Labels</t>
  </si>
  <si>
    <t>OpenUnis SP 1</t>
  </si>
  <si>
    <t>OpenUnis SP 2</t>
  </si>
  <si>
    <t>OpenUnis SP 3</t>
  </si>
  <si>
    <t>OpenUnis SP 4</t>
  </si>
  <si>
    <t>EDSC3010</t>
  </si>
  <si>
    <t>SP1 availability coming in 2026</t>
  </si>
  <si>
    <t>Professional Experience 1 (details coming)</t>
  </si>
  <si>
    <t>Secondary Professional Experience 2 (details 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</si>
</sst>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2"/>
      <color rgb="FF000000"/>
      <name val="Calibri"/>
      <family val="2"/>
      <scheme val="minor"/>
    </font>
    <font>
      <b/>
      <sz val="11"/>
      <color theme="0"/>
      <name val="Arial"/>
      <family val="2"/>
    </font>
    <font>
      <sz val="11"/>
      <color theme="0"/>
      <name val="Arial"/>
      <family val="2"/>
    </font>
    <font>
      <b/>
      <sz val="11"/>
      <color rgb="FFFF0000"/>
      <name val="Segoe UI"/>
      <family val="2"/>
    </font>
    <font>
      <b/>
      <sz val="9"/>
      <name val="Segoe UI"/>
      <family val="2"/>
    </font>
    <font>
      <sz val="12"/>
      <color rgb="FFFF0000"/>
      <name val="Calibri"/>
      <family val="2"/>
      <scheme val="minor"/>
    </font>
    <font>
      <b/>
      <i/>
      <sz val="12"/>
      <color rgb="FFC00000"/>
      <name val="Calibri"/>
      <family val="2"/>
      <scheme val="minor"/>
    </font>
    <font>
      <b/>
      <sz val="11"/>
      <color rgb="FFFFFFFF"/>
      <name val="Segoe UI"/>
      <family val="2"/>
    </font>
    <font>
      <b/>
      <sz val="9"/>
      <color rgb="FFFFFFFF"/>
      <name val="Segoe UI"/>
      <family val="2"/>
    </font>
    <font>
      <sz val="9"/>
      <color rgb="FFFFFFFF"/>
      <name val="Segoe UI"/>
      <family val="2"/>
    </font>
    <font>
      <b/>
      <sz val="8"/>
      <color rgb="FFFFFFFF"/>
      <name val="Segoe UI"/>
      <family val="2"/>
    </font>
    <font>
      <b/>
      <sz val="18"/>
      <color theme="1"/>
      <name val="Segoe UI"/>
      <family val="2"/>
    </font>
    <font>
      <b/>
      <i/>
      <sz val="12"/>
      <color theme="0" tint="-0.249977111117893"/>
      <name val="Calibri"/>
      <family val="2"/>
      <scheme val="minor"/>
    </font>
    <font>
      <b/>
      <i/>
      <sz val="10"/>
      <color theme="0" tint="-0.499984740745262"/>
      <name val="Arial"/>
      <family val="2"/>
    </font>
    <font>
      <sz val="12"/>
      <name val="Calibri"/>
      <family val="2"/>
      <scheme val="minor"/>
    </font>
    <font>
      <b/>
      <sz val="8"/>
      <name val="Arial"/>
      <family val="2"/>
    </font>
    <font>
      <i/>
      <sz val="8"/>
      <color theme="0" tint="-0.499984740745262"/>
      <name val="Arial"/>
      <family val="2"/>
    </font>
    <font>
      <b/>
      <sz val="10"/>
      <color rgb="FFFFFFFF"/>
      <name val="Arial"/>
      <family val="2"/>
    </font>
    <font>
      <sz val="12"/>
      <color theme="1"/>
      <name val="Calibri"/>
      <family val="2"/>
      <scheme val="minor"/>
    </font>
    <font>
      <i/>
      <sz val="8"/>
      <color theme="0" tint="-0.34998626667073579"/>
      <name val="Arial"/>
      <family val="2"/>
    </font>
    <font>
      <b/>
      <sz val="11"/>
      <color theme="0"/>
      <name val="Segoe UI"/>
      <family val="2"/>
    </font>
    <font>
      <b/>
      <sz val="11"/>
      <name val="Segoe UI"/>
      <family val="2"/>
    </font>
    <font>
      <b/>
      <sz val="11"/>
      <color theme="7" tint="-0.249977111117893"/>
      <name val="Segoe UI"/>
      <family val="2"/>
    </font>
    <font>
      <b/>
      <sz val="9"/>
      <color theme="0"/>
      <name val="Segoe UI"/>
      <family val="2"/>
    </font>
    <font>
      <sz val="11"/>
      <color rgb="FF9C6500"/>
      <name val="Calibri"/>
      <family val="2"/>
      <scheme val="minor"/>
    </font>
    <font>
      <sz val="10"/>
      <color theme="0" tint="-0.499984740745262"/>
      <name val="Arial"/>
      <family val="2"/>
    </font>
    <font>
      <i/>
      <sz val="12"/>
      <color theme="0" tint="-0.499984740745262"/>
      <name val="Calibri"/>
      <family val="2"/>
      <scheme val="minor"/>
    </font>
    <font>
      <b/>
      <sz val="16"/>
      <color theme="1"/>
      <name val="Segoe UI"/>
      <family val="2"/>
    </font>
    <font>
      <sz val="9"/>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rgb="FF00B050"/>
      <name val="Arial"/>
      <family val="2"/>
    </font>
    <font>
      <sz val="10"/>
      <color theme="1"/>
      <name val="Arial"/>
    </font>
    <font>
      <sz val="12"/>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249977111117893"/>
        <bgColor indexed="64"/>
      </patternFill>
    </fill>
    <fill>
      <patternFill patternType="solid">
        <fgColor theme="1"/>
        <bgColor indexed="64"/>
      </patternFill>
    </fill>
    <fill>
      <patternFill patternType="solid">
        <fgColor theme="7" tint="-0.249977111117893"/>
        <bgColor rgb="FF000000"/>
      </patternFill>
    </fill>
    <fill>
      <patternFill patternType="solid">
        <fgColor theme="9" tint="0.79998168889431442"/>
        <bgColor indexed="64"/>
      </patternFill>
    </fill>
    <fill>
      <patternFill patternType="solid">
        <fgColor theme="4" tint="0.79998168889431442"/>
        <bgColor rgb="FF000000"/>
      </patternFill>
    </fill>
    <fill>
      <patternFill patternType="solid">
        <fgColor rgb="FF000000"/>
        <bgColor rgb="FF000000"/>
      </patternFill>
    </fill>
    <fill>
      <patternFill patternType="solid">
        <fgColor rgb="FFFFEB9C"/>
      </patternFill>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rgb="FFD9D9D9"/>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14993743705557422"/>
      </bottom>
      <diagonal/>
    </border>
    <border>
      <left/>
      <right style="thin">
        <color rgb="FFD9D9D9"/>
      </right>
      <top/>
      <bottom/>
      <diagonal/>
    </border>
    <border>
      <left style="thin">
        <color theme="0" tint="-0.14990691854609822"/>
      </left>
      <right style="thin">
        <color theme="0" tint="-0.14990691854609822"/>
      </right>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rgb="FFD9D9D9"/>
      </left>
      <right style="thin">
        <color theme="0" tint="-0.14990691854609822"/>
      </right>
      <top/>
      <bottom style="thin">
        <color theme="0" tint="-0.14993743705557422"/>
      </bottom>
      <diagonal/>
    </border>
    <border>
      <left style="thin">
        <color theme="0" tint="-0.14990691854609822"/>
      </left>
      <right style="thin">
        <color rgb="FFD9D9D9"/>
      </right>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s>
  <cellStyleXfs count="9">
    <xf numFmtId="0" fontId="0" fillId="0" borderId="0"/>
    <xf numFmtId="0" fontId="2" fillId="0" borderId="0"/>
    <xf numFmtId="0" fontId="27" fillId="0" borderId="0" applyNumberFormat="0" applyFill="0" applyBorder="0" applyAlignment="0" applyProtection="0"/>
    <xf numFmtId="0" fontId="11" fillId="0" borderId="0"/>
    <xf numFmtId="0" fontId="55" fillId="0" borderId="0"/>
    <xf numFmtId="0" fontId="1" fillId="0" borderId="0"/>
    <xf numFmtId="0" fontId="55" fillId="0" borderId="0"/>
    <xf numFmtId="0" fontId="61" fillId="15" borderId="0" applyNumberFormat="0" applyBorder="0" applyAlignment="0" applyProtection="0"/>
    <xf numFmtId="0" fontId="66" fillId="17" borderId="0" applyNumberFormat="0" applyBorder="0" applyAlignment="0" applyProtection="0"/>
  </cellStyleXfs>
  <cellXfs count="358">
    <xf numFmtId="0" fontId="0" fillId="0" borderId="0" xfId="0"/>
    <xf numFmtId="0" fontId="3" fillId="3" borderId="1" xfId="0" applyFont="1" applyFill="1" applyBorder="1"/>
    <xf numFmtId="0" fontId="3" fillId="3" borderId="3"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alignment horizontal="center"/>
    </xf>
    <xf numFmtId="0" fontId="9" fillId="0" borderId="0" xfId="0" applyFont="1"/>
    <xf numFmtId="0" fontId="8"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6" fillId="0" borderId="0" xfId="0" applyFont="1" applyAlignment="1">
      <alignment horizontal="right"/>
    </xf>
    <xf numFmtId="0" fontId="7" fillId="0" borderId="0" xfId="0" applyFont="1" applyAlignment="1">
      <alignment horizontal="right"/>
    </xf>
    <xf numFmtId="0" fontId="3" fillId="3" borderId="3" xfId="0" applyFont="1" applyFill="1" applyBorder="1" applyAlignment="1">
      <alignment horizontal="right" vertical="center"/>
    </xf>
    <xf numFmtId="0" fontId="3" fillId="4" borderId="2" xfId="0" applyFont="1" applyFill="1" applyBorder="1" applyAlignment="1">
      <alignment horizontal="right" vertical="center"/>
    </xf>
    <xf numFmtId="0" fontId="3" fillId="3" borderId="2" xfId="0" applyFont="1" applyFill="1" applyBorder="1" applyAlignment="1">
      <alignment horizontal="right" vertical="center"/>
    </xf>
    <xf numFmtId="0" fontId="11" fillId="0" borderId="0" xfId="0" applyFont="1" applyAlignment="1">
      <alignment horizontal="left"/>
    </xf>
    <xf numFmtId="0" fontId="15" fillId="0" borderId="0" xfId="0" applyFont="1" applyAlignment="1">
      <alignment horizontal="left"/>
    </xf>
    <xf numFmtId="0" fontId="13" fillId="0" borderId="0" xfId="0" applyFont="1"/>
    <xf numFmtId="0" fontId="4" fillId="0" borderId="0" xfId="0" applyFont="1"/>
    <xf numFmtId="0" fontId="14" fillId="0" borderId="0" xfId="0" applyFont="1"/>
    <xf numFmtId="0" fontId="12" fillId="0" borderId="0" xfId="0" applyFont="1" applyAlignment="1">
      <alignment horizontal="center" vertical="center"/>
    </xf>
    <xf numFmtId="0" fontId="8" fillId="0" borderId="0" xfId="0" applyFont="1" applyAlignment="1">
      <alignment horizontal="center"/>
    </xf>
    <xf numFmtId="0" fontId="16" fillId="0" borderId="0" xfId="0" applyFont="1"/>
    <xf numFmtId="0" fontId="3" fillId="3" borderId="1" xfId="0" applyFont="1" applyFill="1" applyBorder="1" applyAlignment="1">
      <alignment horizontal="center" vertical="center"/>
    </xf>
    <xf numFmtId="0" fontId="2" fillId="0" borderId="0" xfId="1"/>
    <xf numFmtId="0" fontId="2" fillId="0" borderId="0" xfId="1" applyAlignment="1">
      <alignment horizontal="center"/>
    </xf>
    <xf numFmtId="0" fontId="2"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3" fillId="2" borderId="0" xfId="1" applyFont="1" applyFill="1" applyProtection="1">
      <protection locked="0"/>
    </xf>
    <xf numFmtId="0" fontId="13" fillId="2" borderId="0" xfId="1" applyFont="1" applyFill="1"/>
    <xf numFmtId="0" fontId="2" fillId="0" borderId="0" xfId="1" applyAlignment="1" applyProtection="1">
      <alignment horizontal="center" vertical="top"/>
      <protection locked="0"/>
    </xf>
    <xf numFmtId="0" fontId="2" fillId="0" borderId="0" xfId="1" applyAlignment="1">
      <alignment horizontal="center" vertical="top"/>
    </xf>
    <xf numFmtId="0" fontId="17" fillId="0" borderId="0" xfId="0" applyFont="1"/>
    <xf numFmtId="0" fontId="37" fillId="0" borderId="0" xfId="0" applyFont="1" applyAlignment="1">
      <alignment horizontal="left"/>
    </xf>
    <xf numFmtId="0" fontId="3" fillId="3" borderId="1" xfId="0" applyFont="1" applyFill="1" applyBorder="1" applyAlignment="1">
      <alignment horizontal="right" vertical="center"/>
    </xf>
    <xf numFmtId="0" fontId="21" fillId="2" borderId="18" xfId="1" applyFont="1" applyFill="1" applyBorder="1" applyAlignment="1" applyProtection="1">
      <alignment horizontal="center" vertical="center" wrapText="1"/>
      <protection locked="0"/>
    </xf>
    <xf numFmtId="0" fontId="21" fillId="0" borderId="18" xfId="1" applyFont="1" applyBorder="1" applyAlignment="1" applyProtection="1">
      <alignment horizontal="center" vertical="center" wrapText="1"/>
      <protection locked="0"/>
    </xf>
    <xf numFmtId="0" fontId="43" fillId="0" borderId="0" xfId="0" applyFont="1"/>
    <xf numFmtId="0" fontId="43" fillId="0" borderId="0" xfId="0" applyFont="1" applyAlignment="1">
      <alignment horizontal="right"/>
    </xf>
    <xf numFmtId="0" fontId="43" fillId="0" borderId="0" xfId="0" applyFont="1" applyAlignment="1">
      <alignment horizontal="center"/>
    </xf>
    <xf numFmtId="0" fontId="0" fillId="0" borderId="20" xfId="0" applyBorder="1" applyAlignment="1">
      <alignment horizontal="center"/>
    </xf>
    <xf numFmtId="0" fontId="42" fillId="0" borderId="0" xfId="0" applyFont="1" applyAlignment="1">
      <alignment horizontal="right" wrapText="1"/>
    </xf>
    <xf numFmtId="0" fontId="49" fillId="0" borderId="0" xfId="0" applyFont="1" applyAlignment="1">
      <alignment horizontal="right"/>
    </xf>
    <xf numFmtId="0" fontId="28" fillId="7" borderId="0" xfId="2" applyFont="1" applyFill="1" applyAlignment="1" applyProtection="1">
      <alignment vertical="center"/>
    </xf>
    <xf numFmtId="0" fontId="27" fillId="7" borderId="0" xfId="2" applyFill="1" applyAlignment="1" applyProtection="1">
      <alignment vertic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20" xfId="0" applyBorder="1" applyAlignment="1">
      <alignment horizontal="center" wrapText="1"/>
    </xf>
    <xf numFmtId="0" fontId="10" fillId="0" borderId="0" xfId="1" applyFont="1" applyAlignment="1">
      <alignment horizontal="center"/>
    </xf>
    <xf numFmtId="0" fontId="18" fillId="0" borderId="0" xfId="1" applyFont="1" applyAlignment="1">
      <alignment horizontal="center"/>
    </xf>
    <xf numFmtId="0" fontId="18" fillId="0" borderId="0" xfId="1" applyFont="1"/>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 xfId="0" quotePrefix="1" applyFont="1" applyBorder="1" applyAlignment="1">
      <alignment horizontal="center" vertical="center"/>
    </xf>
    <xf numFmtId="0" fontId="50" fillId="0" borderId="0" xfId="0" applyFont="1" applyAlignment="1">
      <alignment horizontal="left"/>
    </xf>
    <xf numFmtId="14" fontId="0" fillId="0" borderId="0" xfId="0" applyNumberFormat="1"/>
    <xf numFmtId="0" fontId="4" fillId="12" borderId="8" xfId="0" applyFont="1" applyFill="1" applyBorder="1" applyAlignment="1">
      <alignment horizontal="center" vertical="center"/>
    </xf>
    <xf numFmtId="0" fontId="53" fillId="0" borderId="5" xfId="0" applyFont="1" applyBorder="1" applyAlignment="1">
      <alignment horizontal="center" vertical="center"/>
    </xf>
    <xf numFmtId="0" fontId="53" fillId="0" borderId="7" xfId="0" applyFont="1" applyBorder="1" applyAlignment="1">
      <alignment horizontal="center" vertical="center"/>
    </xf>
    <xf numFmtId="0" fontId="51" fillId="0" borderId="0" xfId="0" applyFont="1"/>
    <xf numFmtId="0" fontId="54" fillId="14" borderId="0" xfId="0" applyFont="1" applyFill="1" applyAlignment="1">
      <alignment horizontal="left"/>
    </xf>
    <xf numFmtId="0" fontId="54" fillId="14" borderId="0" xfId="0" applyFont="1" applyFill="1"/>
    <xf numFmtId="0" fontId="11" fillId="0" borderId="0" xfId="3" pivotButton="1"/>
    <xf numFmtId="0" fontId="11" fillId="0" borderId="0" xfId="3" applyAlignment="1">
      <alignment horizontal="left"/>
    </xf>
    <xf numFmtId="14" fontId="4" fillId="0" borderId="6" xfId="0" applyNumberFormat="1" applyFont="1" applyBorder="1" applyAlignment="1">
      <alignment horizontal="center" vertical="center"/>
    </xf>
    <xf numFmtId="14" fontId="4" fillId="0" borderId="4" xfId="0" applyNumberFormat="1" applyFont="1" applyBorder="1" applyAlignment="1">
      <alignment horizontal="center" vertical="center"/>
    </xf>
    <xf numFmtId="0" fontId="4" fillId="0" borderId="8" xfId="0" quotePrefix="1" applyFont="1" applyBorder="1" applyAlignment="1">
      <alignment horizontal="center" vertical="center"/>
    </xf>
    <xf numFmtId="0" fontId="11" fillId="5" borderId="0" xfId="0" applyFont="1" applyFill="1" applyAlignment="1">
      <alignment horizontal="center"/>
    </xf>
    <xf numFmtId="0" fontId="53" fillId="0" borderId="8" xfId="0" applyFont="1" applyBorder="1" applyAlignment="1">
      <alignment horizontal="center" vertical="center"/>
    </xf>
    <xf numFmtId="0" fontId="53" fillId="0" borderId="8" xfId="0" quotePrefix="1"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29" xfId="0" quotePrefix="1" applyFont="1" applyBorder="1" applyAlignment="1">
      <alignment horizontal="center" vertical="center"/>
    </xf>
    <xf numFmtId="0" fontId="52" fillId="12" borderId="4" xfId="0" applyFont="1" applyFill="1" applyBorder="1"/>
    <xf numFmtId="0" fontId="52" fillId="12" borderId="5" xfId="0" applyFont="1" applyFill="1" applyBorder="1" applyAlignment="1">
      <alignment horizontal="right" vertical="center"/>
    </xf>
    <xf numFmtId="0" fontId="52" fillId="12" borderId="4" xfId="0" applyFont="1" applyFill="1" applyBorder="1" applyAlignment="1">
      <alignment horizontal="center" vertical="center"/>
    </xf>
    <xf numFmtId="0" fontId="4" fillId="12" borderId="5" xfId="0" quotePrefix="1" applyFont="1" applyFill="1" applyBorder="1" applyAlignment="1">
      <alignment horizontal="center" vertical="center"/>
    </xf>
    <xf numFmtId="0" fontId="42" fillId="0" borderId="0" xfId="0" applyFont="1"/>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2" fillId="13" borderId="30" xfId="0" applyFont="1" applyFill="1" applyBorder="1" applyAlignment="1">
      <alignment horizontal="right" vertical="center"/>
    </xf>
    <xf numFmtId="0" fontId="4" fillId="0" borderId="30" xfId="0" quotePrefix="1"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14" fontId="51" fillId="0" borderId="0" xfId="0" applyNumberFormat="1" applyFont="1"/>
    <xf numFmtId="0" fontId="0" fillId="8" borderId="0" xfId="0" applyFill="1"/>
    <xf numFmtId="14" fontId="0" fillId="8" borderId="0" xfId="0" applyNumberFormat="1" applyFill="1"/>
    <xf numFmtId="0" fontId="0" fillId="0" borderId="0" xfId="0" applyAlignment="1">
      <alignment horizontal="right"/>
    </xf>
    <xf numFmtId="0" fontId="38" fillId="9" borderId="0" xfId="1" applyFont="1" applyFill="1" applyAlignment="1">
      <alignment vertical="center" wrapText="1"/>
    </xf>
    <xf numFmtId="0" fontId="20" fillId="2" borderId="0" xfId="1" applyFont="1" applyFill="1" applyAlignment="1">
      <alignment horizontal="right" vertical="center" indent="1"/>
    </xf>
    <xf numFmtId="0" fontId="21" fillId="2" borderId="0" xfId="1" applyFont="1" applyFill="1" applyAlignment="1">
      <alignment horizontal="right" vertical="center" indent="1"/>
    </xf>
    <xf numFmtId="0" fontId="58"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righ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10" borderId="0" xfId="1" applyFont="1" applyFill="1" applyAlignment="1">
      <alignment horizontal="center" vertical="center"/>
    </xf>
    <xf numFmtId="0" fontId="22" fillId="10" borderId="0" xfId="1" applyFont="1" applyFill="1" applyAlignment="1">
      <alignment horizontal="left" vertical="center" indent="1"/>
    </xf>
    <xf numFmtId="0" fontId="22" fillId="10" borderId="0" xfId="1" applyFont="1" applyFill="1" applyAlignment="1">
      <alignment vertical="center"/>
    </xf>
    <xf numFmtId="0" fontId="22" fillId="10" borderId="19" xfId="1" applyFont="1" applyFill="1" applyBorder="1" applyAlignment="1">
      <alignment horizontal="left" vertical="center"/>
    </xf>
    <xf numFmtId="0" fontId="22" fillId="10" borderId="0" xfId="1" applyFont="1" applyFill="1" applyAlignment="1">
      <alignment horizontal="left" vertical="center"/>
    </xf>
    <xf numFmtId="0" fontId="22" fillId="10" borderId="15" xfId="1" applyFont="1" applyFill="1" applyBorder="1" applyAlignment="1">
      <alignment horizontal="left" vertical="center"/>
    </xf>
    <xf numFmtId="0" fontId="23" fillId="2" borderId="0" xfId="1" applyFont="1" applyFill="1" applyAlignment="1">
      <alignment vertical="center"/>
    </xf>
    <xf numFmtId="0" fontId="22" fillId="10" borderId="0" xfId="1" applyFont="1" applyFill="1" applyAlignment="1">
      <alignment horizontal="center" vertical="center" wrapText="1"/>
    </xf>
    <xf numFmtId="0" fontId="21" fillId="2" borderId="16" xfId="1" applyFont="1" applyFill="1" applyBorder="1" applyAlignment="1">
      <alignment horizontal="center" vertical="center" wrapText="1"/>
    </xf>
    <xf numFmtId="0" fontId="21" fillId="2" borderId="17" xfId="1" applyFont="1" applyFill="1" applyBorder="1" applyAlignment="1">
      <alignment horizontal="center" vertical="center" wrapText="1"/>
    </xf>
    <xf numFmtId="0" fontId="21" fillId="2" borderId="17" xfId="1" applyFont="1" applyFill="1" applyBorder="1" applyAlignment="1">
      <alignment vertical="center" wrapText="1"/>
    </xf>
    <xf numFmtId="0" fontId="24" fillId="2" borderId="17" xfId="1" applyFont="1" applyFill="1" applyBorder="1" applyAlignment="1">
      <alignment horizontal="center" vertical="center" wrapText="1"/>
    </xf>
    <xf numFmtId="0" fontId="25" fillId="0" borderId="0" xfId="1" applyFont="1" applyAlignment="1">
      <alignment horizontal="center" vertical="center" wrapText="1"/>
    </xf>
    <xf numFmtId="0" fontId="23" fillId="2" borderId="0" xfId="1" applyFont="1" applyFill="1" applyAlignment="1">
      <alignment wrapText="1"/>
    </xf>
    <xf numFmtId="0" fontId="21" fillId="0" borderId="17" xfId="1" applyFont="1" applyBorder="1" applyAlignment="1">
      <alignment horizontal="center" vertical="center" wrapText="1"/>
    </xf>
    <xf numFmtId="0" fontId="25" fillId="12" borderId="0" xfId="1" applyFont="1" applyFill="1" applyAlignment="1">
      <alignment horizontal="center" vertical="center" wrapText="1"/>
    </xf>
    <xf numFmtId="0" fontId="23" fillId="2" borderId="0" xfId="1" applyFont="1" applyFill="1"/>
    <xf numFmtId="0" fontId="22" fillId="10" borderId="0" xfId="1" applyFont="1" applyFill="1" applyAlignment="1">
      <alignment horizontal="left" vertical="center" wrapText="1"/>
    </xf>
    <xf numFmtId="0" fontId="23" fillId="2" borderId="0" xfId="1" applyFont="1" applyFill="1" applyAlignment="1">
      <alignment horizontal="center" vertical="center"/>
    </xf>
    <xf numFmtId="0" fontId="21" fillId="0" borderId="17" xfId="1" applyFont="1" applyBorder="1" applyAlignment="1">
      <alignment vertical="center" wrapText="1"/>
    </xf>
    <xf numFmtId="0" fontId="21" fillId="0" borderId="16" xfId="1" applyFont="1" applyBorder="1" applyAlignment="1">
      <alignment horizontal="center" vertical="center" wrapText="1"/>
    </xf>
    <xf numFmtId="0" fontId="21" fillId="0" borderId="17" xfId="1" applyFont="1" applyBorder="1" applyAlignment="1">
      <alignment horizontal="left" vertical="center" wrapText="1"/>
    </xf>
    <xf numFmtId="0" fontId="24" fillId="0" borderId="17" xfId="1" applyFont="1" applyBorder="1" applyAlignment="1">
      <alignment horizontal="center" vertical="center" wrapText="1"/>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applyAlignment="1">
      <alignment horizontal="center" vertical="center"/>
    </xf>
    <xf numFmtId="0" fontId="35" fillId="2" borderId="0" xfId="1" applyFont="1" applyFill="1"/>
    <xf numFmtId="0" fontId="44" fillId="11" borderId="0" xfId="0" applyFont="1" applyFill="1" applyAlignment="1">
      <alignment vertical="center" readingOrder="1"/>
    </xf>
    <xf numFmtId="0" fontId="45" fillId="11" borderId="0" xfId="0" applyFont="1" applyFill="1" applyAlignment="1">
      <alignment horizontal="left" vertical="center" readingOrder="1"/>
    </xf>
    <xf numFmtId="0" fontId="46" fillId="11" borderId="0" xfId="0" applyFont="1" applyFill="1" applyAlignment="1">
      <alignment horizontal="left" vertical="center" readingOrder="1"/>
    </xf>
    <xf numFmtId="0" fontId="44" fillId="11" borderId="0" xfId="0" applyFont="1" applyFill="1" applyAlignment="1">
      <alignment horizontal="center" vertical="center" readingOrder="1"/>
    </xf>
    <xf numFmtId="0" fontId="22" fillId="11" borderId="21" xfId="0" applyFont="1" applyFill="1" applyBorder="1" applyAlignment="1">
      <alignment vertical="center" readingOrder="1"/>
    </xf>
    <xf numFmtId="0" fontId="59" fillId="11" borderId="0" xfId="0" applyFont="1" applyFill="1" applyAlignment="1">
      <alignment horizontal="right" vertical="center" readingOrder="1"/>
    </xf>
    <xf numFmtId="0" fontId="2" fillId="0" borderId="0" xfId="1" applyAlignment="1">
      <alignment horizontal="center" vertical="center"/>
    </xf>
    <xf numFmtId="0" fontId="47" fillId="11" borderId="0" xfId="0" applyFont="1" applyFill="1" applyAlignment="1">
      <alignment horizontal="center" vertical="center"/>
    </xf>
    <xf numFmtId="0" fontId="47" fillId="11" borderId="0" xfId="0" applyFont="1" applyFill="1" applyAlignment="1">
      <alignment horizontal="left" vertical="center" readingOrder="1"/>
    </xf>
    <xf numFmtId="0" fontId="36" fillId="0" borderId="16" xfId="1" applyFont="1" applyBorder="1" applyAlignment="1">
      <alignment horizontal="left" vertical="center"/>
    </xf>
    <xf numFmtId="0" fontId="36" fillId="0" borderId="17" xfId="1" applyFont="1" applyBorder="1" applyAlignment="1">
      <alignment horizontal="left" vertical="center"/>
    </xf>
    <xf numFmtId="0" fontId="36" fillId="0" borderId="17" xfId="1" applyFont="1" applyBorder="1" applyAlignment="1">
      <alignment vertical="center"/>
    </xf>
    <xf numFmtId="0" fontId="36" fillId="0" borderId="17" xfId="1" applyFont="1" applyBorder="1" applyAlignment="1">
      <alignment vertical="center" wrapText="1"/>
    </xf>
    <xf numFmtId="0" fontId="36" fillId="0" borderId="17" xfId="1" applyFont="1" applyBorder="1" applyAlignment="1">
      <alignment horizontal="center" vertical="center" wrapText="1"/>
    </xf>
    <xf numFmtId="0" fontId="36" fillId="0" borderId="17" xfId="1" applyFont="1" applyBorder="1" applyAlignment="1">
      <alignment horizontal="center" vertical="center"/>
    </xf>
    <xf numFmtId="0" fontId="30" fillId="2" borderId="0" xfId="1" applyFont="1" applyFill="1"/>
    <xf numFmtId="0" fontId="32" fillId="2" borderId="0" xfId="1" applyFont="1" applyFill="1" applyAlignment="1">
      <alignment vertical="center"/>
    </xf>
    <xf numFmtId="0" fontId="13" fillId="2" borderId="0" xfId="1" applyFont="1" applyFill="1" applyAlignment="1">
      <alignment vertical="center"/>
    </xf>
    <xf numFmtId="0" fontId="34" fillId="2" borderId="0" xfId="1" applyFont="1" applyFill="1" applyAlignment="1">
      <alignment horizontal="right" vertical="center"/>
    </xf>
    <xf numFmtId="0" fontId="20" fillId="2" borderId="0" xfId="1" applyFont="1" applyFill="1" applyAlignment="1" applyProtection="1">
      <alignment vertical="center"/>
      <protection locked="0"/>
    </xf>
    <xf numFmtId="0" fontId="25" fillId="0" borderId="0" xfId="1" applyFont="1" applyAlignment="1">
      <alignment horizontal="left" vertical="top" wrapText="1"/>
    </xf>
    <xf numFmtId="0" fontId="25" fillId="0" borderId="0" xfId="1" applyFont="1" applyAlignment="1">
      <alignment vertical="center" wrapText="1"/>
    </xf>
    <xf numFmtId="0" fontId="11" fillId="0" borderId="0" xfId="3" applyAlignment="1">
      <alignment horizontal="left" textRotation="90"/>
    </xf>
    <xf numFmtId="0" fontId="11" fillId="0" borderId="0" xfId="3" applyAlignment="1">
      <alignment horizontal="center"/>
    </xf>
    <xf numFmtId="0" fontId="62" fillId="0" borderId="0" xfId="0" applyFont="1" applyAlignment="1">
      <alignment horizontal="center"/>
    </xf>
    <xf numFmtId="0" fontId="11" fillId="6" borderId="0" xfId="0" applyFont="1" applyFill="1"/>
    <xf numFmtId="0" fontId="11" fillId="0" borderId="0" xfId="0" applyFont="1" applyAlignment="1">
      <alignment horizontal="left" textRotation="90"/>
    </xf>
    <xf numFmtId="0" fontId="11" fillId="12" borderId="0" xfId="0" applyFont="1" applyFill="1" applyAlignment="1">
      <alignment horizontal="center"/>
    </xf>
    <xf numFmtId="0" fontId="11" fillId="0" borderId="6" xfId="0" applyFont="1" applyBorder="1" applyAlignment="1">
      <alignment horizontal="left" textRotation="90"/>
    </xf>
    <xf numFmtId="0" fontId="11" fillId="12" borderId="6" xfId="0" applyFont="1" applyFill="1" applyBorder="1" applyAlignment="1">
      <alignment horizontal="center"/>
    </xf>
    <xf numFmtId="0" fontId="11" fillId="0" borderId="0" xfId="0" applyFont="1" applyAlignment="1">
      <alignment wrapText="1"/>
    </xf>
    <xf numFmtId="14" fontId="11" fillId="0" borderId="0" xfId="0" applyNumberFormat="1" applyFont="1" applyAlignment="1">
      <alignment horizontal="center"/>
    </xf>
    <xf numFmtId="0" fontId="63" fillId="0" borderId="0" xfId="0" applyFont="1"/>
    <xf numFmtId="0" fontId="40" fillId="16" borderId="13" xfId="1" applyFont="1" applyFill="1" applyBorder="1" applyAlignment="1">
      <alignment vertical="center"/>
    </xf>
    <xf numFmtId="0" fontId="19" fillId="16" borderId="14" xfId="1" applyFont="1" applyFill="1" applyBorder="1" applyAlignment="1">
      <alignment vertical="center"/>
    </xf>
    <xf numFmtId="0" fontId="48" fillId="16" borderId="14" xfId="1" applyFont="1" applyFill="1" applyBorder="1" applyAlignment="1">
      <alignment horizontal="center" vertical="center"/>
    </xf>
    <xf numFmtId="0" fontId="40" fillId="16" borderId="14" xfId="1" applyFont="1" applyFill="1" applyBorder="1" applyAlignment="1">
      <alignment vertical="center"/>
    </xf>
    <xf numFmtId="0" fontId="64" fillId="16" borderId="14" xfId="1" applyFont="1" applyFill="1" applyBorder="1" applyAlignment="1">
      <alignment horizontal="right" vertical="center"/>
    </xf>
    <xf numFmtId="0" fontId="60" fillId="0" borderId="0" xfId="1" applyFont="1" applyAlignment="1">
      <alignment horizontal="right" vertical="center" wrapText="1"/>
    </xf>
    <xf numFmtId="0" fontId="65" fillId="0" borderId="0" xfId="1" applyFont="1" applyAlignment="1">
      <alignment vertical="top" wrapText="1"/>
    </xf>
    <xf numFmtId="0" fontId="21" fillId="16" borderId="11" xfId="1" applyFont="1" applyFill="1" applyBorder="1" applyAlignment="1">
      <alignment horizontal="center" vertical="center" wrapText="1"/>
    </xf>
    <xf numFmtId="0" fontId="21" fillId="16" borderId="0" xfId="1" applyFont="1" applyFill="1" applyAlignment="1">
      <alignment horizontal="center" vertical="center" wrapText="1"/>
    </xf>
    <xf numFmtId="0" fontId="24" fillId="16" borderId="0" xfId="1" applyFont="1" applyFill="1" applyAlignment="1">
      <alignment horizontal="left" vertical="center" wrapText="1"/>
    </xf>
    <xf numFmtId="0" fontId="21" fillId="16" borderId="15" xfId="1" applyFont="1" applyFill="1" applyBorder="1" applyAlignment="1" applyProtection="1">
      <alignment horizontal="center" vertical="center" wrapText="1"/>
      <protection locked="0"/>
    </xf>
    <xf numFmtId="0" fontId="61" fillId="15" borderId="0" xfId="7"/>
    <xf numFmtId="0" fontId="22" fillId="11" borderId="0" xfId="0" applyFont="1" applyFill="1" applyAlignment="1">
      <alignment vertical="center" readingOrder="1"/>
    </xf>
    <xf numFmtId="0" fontId="57" fillId="11" borderId="33" xfId="0" applyFont="1" applyFill="1" applyBorder="1" applyAlignment="1">
      <alignment vertical="center" readingOrder="1"/>
    </xf>
    <xf numFmtId="0" fontId="21" fillId="16" borderId="0" xfId="1" applyFont="1" applyFill="1" applyAlignment="1">
      <alignment vertical="center" wrapText="1"/>
    </xf>
    <xf numFmtId="0" fontId="47" fillId="11" borderId="32" xfId="0" applyFont="1" applyFill="1" applyBorder="1" applyAlignment="1">
      <alignment horizontal="center" vertical="center"/>
    </xf>
    <xf numFmtId="0" fontId="11" fillId="19" borderId="0" xfId="0" applyFont="1" applyFill="1" applyAlignment="1">
      <alignment horizontal="center"/>
    </xf>
    <xf numFmtId="14" fontId="11" fillId="19" borderId="0" xfId="0" applyNumberFormat="1" applyFont="1" applyFill="1" applyAlignment="1">
      <alignment horizontal="center"/>
    </xf>
    <xf numFmtId="0" fontId="67" fillId="0" borderId="0" xfId="0" applyFont="1" applyAlignment="1">
      <alignment horizontal="center"/>
    </xf>
    <xf numFmtId="14" fontId="66" fillId="17" borderId="0" xfId="8" applyNumberFormat="1" applyAlignment="1">
      <alignment horizontal="center"/>
    </xf>
    <xf numFmtId="14" fontId="43" fillId="19" borderId="0" xfId="0" applyNumberFormat="1" applyFont="1" applyFill="1" applyAlignment="1">
      <alignment horizontal="center"/>
    </xf>
    <xf numFmtId="0" fontId="43" fillId="19" borderId="0" xfId="0" applyFont="1" applyFill="1" applyAlignment="1">
      <alignment horizontal="center"/>
    </xf>
    <xf numFmtId="0" fontId="11" fillId="18" borderId="0" xfId="0" applyFont="1" applyFill="1" applyAlignment="1">
      <alignment horizontal="center"/>
    </xf>
    <xf numFmtId="0" fontId="68" fillId="0" borderId="0" xfId="0" applyFont="1"/>
    <xf numFmtId="0" fontId="69" fillId="0" borderId="24" xfId="0" applyFont="1" applyBorder="1" applyAlignment="1">
      <alignment horizontal="center"/>
    </xf>
    <xf numFmtId="0" fontId="69" fillId="0" borderId="25" xfId="0" applyFont="1" applyBorder="1" applyAlignment="1">
      <alignment horizontal="center"/>
    </xf>
    <xf numFmtId="0" fontId="11" fillId="8" borderId="0" xfId="0" applyFont="1" applyFill="1"/>
    <xf numFmtId="0" fontId="12" fillId="19" borderId="25" xfId="0" applyFont="1" applyFill="1" applyBorder="1" applyAlignment="1">
      <alignment horizontal="center"/>
    </xf>
    <xf numFmtId="0" fontId="11" fillId="19" borderId="0" xfId="0" applyFont="1" applyFill="1"/>
    <xf numFmtId="0" fontId="11" fillId="20" borderId="0" xfId="0" applyFont="1" applyFill="1" applyAlignment="1">
      <alignment horizontal="center"/>
    </xf>
    <xf numFmtId="0" fontId="43" fillId="19" borderId="0" xfId="0" applyFont="1" applyFill="1"/>
    <xf numFmtId="0" fontId="56" fillId="0" borderId="0" xfId="0" applyFont="1" applyAlignment="1">
      <alignment horizontal="center" vertical="center"/>
    </xf>
    <xf numFmtId="0" fontId="4" fillId="12" borderId="5" xfId="0" applyFont="1" applyFill="1" applyBorder="1" applyAlignment="1">
      <alignment horizontal="center" vertical="center"/>
    </xf>
    <xf numFmtId="0" fontId="4" fillId="0" borderId="10" xfId="0" quotePrefix="1" applyFont="1" applyBorder="1" applyAlignment="1">
      <alignment horizontal="center" vertic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22" fillId="10" borderId="35" xfId="1" applyFont="1" applyFill="1" applyBorder="1" applyAlignment="1">
      <alignment horizontal="center" vertical="center" wrapText="1"/>
    </xf>
    <xf numFmtId="0" fontId="22" fillId="10" borderId="36" xfId="1" applyFont="1" applyFill="1" applyBorder="1" applyAlignment="1">
      <alignment horizontal="center" vertical="center" wrapText="1"/>
    </xf>
    <xf numFmtId="0" fontId="22" fillId="10"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39"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21" fillId="16" borderId="35" xfId="1" applyFont="1" applyFill="1" applyBorder="1" applyAlignment="1">
      <alignment horizontal="center" vertical="center" wrapText="1"/>
    </xf>
    <xf numFmtId="0" fontId="21" fillId="16" borderId="36" xfId="1" applyFont="1" applyFill="1" applyBorder="1" applyAlignment="1">
      <alignment horizontal="center" vertical="center" wrapText="1"/>
    </xf>
    <xf numFmtId="0" fontId="21" fillId="16" borderId="37" xfId="1" applyFont="1" applyFill="1" applyBorder="1" applyAlignment="1">
      <alignment horizontal="center" vertical="center" wrapText="1"/>
    </xf>
    <xf numFmtId="0" fontId="21" fillId="0" borderId="38" xfId="1" applyFont="1" applyBorder="1" applyAlignment="1">
      <alignment horizontal="center" vertical="center" wrapText="1"/>
    </xf>
    <xf numFmtId="0" fontId="21" fillId="0" borderId="39" xfId="1" applyFont="1" applyBorder="1" applyAlignment="1">
      <alignment horizontal="center" vertical="center" wrapText="1"/>
    </xf>
    <xf numFmtId="0" fontId="21" fillId="0" borderId="40" xfId="1" applyFont="1" applyBorder="1" applyAlignment="1">
      <alignment horizontal="center" vertical="center" wrapText="1"/>
    </xf>
    <xf numFmtId="0" fontId="22" fillId="11" borderId="41" xfId="0" applyFont="1" applyFill="1" applyBorder="1" applyAlignment="1">
      <alignment horizontal="center" vertical="center" wrapText="1" readingOrder="1"/>
    </xf>
    <xf numFmtId="0" fontId="22" fillId="11" borderId="34" xfId="0" applyFont="1" applyFill="1" applyBorder="1" applyAlignment="1">
      <alignment horizontal="center" vertical="center" wrapText="1" readingOrder="1"/>
    </xf>
    <xf numFmtId="0" fontId="22" fillId="11" borderId="42" xfId="0" applyFont="1" applyFill="1" applyBorder="1" applyAlignment="1">
      <alignment horizontal="center" vertical="center" wrapText="1" readingOrder="1"/>
    </xf>
    <xf numFmtId="0" fontId="21" fillId="0" borderId="43" xfId="1" applyFont="1" applyBorder="1" applyAlignment="1">
      <alignment horizontal="center" vertical="center" wrapText="1"/>
    </xf>
    <xf numFmtId="0" fontId="21" fillId="2" borderId="43" xfId="1" applyFont="1" applyFill="1" applyBorder="1" applyAlignment="1">
      <alignment horizontal="center" vertical="center" wrapText="1"/>
    </xf>
    <xf numFmtId="0" fontId="41" fillId="12" borderId="0" xfId="1" applyFont="1" applyFill="1" applyAlignment="1" applyProtection="1">
      <alignment vertical="center" shrinkToFit="1"/>
      <protection locked="0"/>
    </xf>
    <xf numFmtId="0" fontId="42" fillId="8" borderId="0" xfId="0" applyFont="1" applyFill="1"/>
    <xf numFmtId="0" fontId="29" fillId="2" borderId="0" xfId="1" applyFont="1" applyFill="1" applyAlignment="1">
      <alignment vertical="center"/>
    </xf>
    <xf numFmtId="14" fontId="11" fillId="0" borderId="0" xfId="0" applyNumberFormat="1" applyFont="1"/>
    <xf numFmtId="0" fontId="8" fillId="8" borderId="0" xfId="0" applyFont="1" applyFill="1" applyAlignment="1">
      <alignment wrapText="1"/>
    </xf>
    <xf numFmtId="0" fontId="8" fillId="8" borderId="0" xfId="0" applyFont="1" applyFill="1"/>
    <xf numFmtId="0" fontId="67" fillId="6" borderId="0" xfId="0" applyFont="1" applyFill="1"/>
    <xf numFmtId="0" fontId="9" fillId="0" borderId="0" xfId="0" applyFont="1" applyAlignment="1">
      <alignment wrapText="1"/>
    </xf>
    <xf numFmtId="0" fontId="70" fillId="0" borderId="0" xfId="0" applyFont="1"/>
    <xf numFmtId="0" fontId="70" fillId="0" borderId="0" xfId="0" applyFont="1" applyAlignment="1">
      <alignment horizontal="center"/>
    </xf>
    <xf numFmtId="0" fontId="70" fillId="5" borderId="0" xfId="0" applyFont="1" applyFill="1" applyAlignment="1">
      <alignment horizontal="center"/>
    </xf>
    <xf numFmtId="0" fontId="70" fillId="12" borderId="0" xfId="0" applyFont="1" applyFill="1" applyAlignment="1">
      <alignment horizontal="center"/>
    </xf>
    <xf numFmtId="0" fontId="70" fillId="12" borderId="6" xfId="0" applyFont="1" applyFill="1" applyBorder="1" applyAlignment="1">
      <alignment horizontal="center"/>
    </xf>
    <xf numFmtId="0" fontId="22" fillId="11" borderId="44" xfId="0" applyFont="1" applyFill="1" applyBorder="1" applyAlignment="1">
      <alignment horizontal="center" vertical="center" wrapText="1" readingOrder="1"/>
    </xf>
    <xf numFmtId="0" fontId="22" fillId="11" borderId="45" xfId="0" applyFont="1" applyFill="1" applyBorder="1" applyAlignment="1">
      <alignment horizontal="center" vertical="center" wrapText="1" readingOrder="1"/>
    </xf>
    <xf numFmtId="0" fontId="22" fillId="11" borderId="46" xfId="0" applyFont="1" applyFill="1" applyBorder="1" applyAlignment="1">
      <alignment horizontal="center" vertical="center" wrapText="1" readingOrder="1"/>
    </xf>
    <xf numFmtId="0" fontId="10" fillId="8" borderId="5"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71" fillId="0" borderId="0" xfId="0" applyFont="1"/>
    <xf numFmtId="0" fontId="11" fillId="8" borderId="0" xfId="0" applyFont="1" applyFill="1" applyAlignment="1">
      <alignment wrapText="1"/>
    </xf>
    <xf numFmtId="0" fontId="60" fillId="0" borderId="0" xfId="1" applyFont="1" applyAlignment="1">
      <alignment horizontal="right" vertical="center"/>
    </xf>
    <xf numFmtId="0" fontId="34" fillId="2" borderId="0" xfId="1" applyFont="1" applyFill="1" applyAlignment="1">
      <alignment horizontal="center" vertical="center"/>
    </xf>
    <xf numFmtId="0" fontId="59" fillId="11" borderId="0" xfId="0" applyFont="1" applyFill="1" applyAlignment="1">
      <alignment horizontal="center" vertical="center" readingOrder="1"/>
    </xf>
    <xf numFmtId="0" fontId="38" fillId="9"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0" xfId="1" applyFont="1" applyAlignment="1" applyProtection="1">
      <alignment horizontal="center"/>
    </xf>
    <xf numFmtId="0" fontId="18" fillId="0" borderId="0" xfId="1" applyFont="1" applyProtection="1"/>
    <xf numFmtId="0" fontId="2" fillId="0" borderId="0" xfId="1" applyProtection="1"/>
    <xf numFmtId="0" fontId="10" fillId="0" borderId="0" xfId="1" applyFont="1" applyAlignment="1" applyProtection="1">
      <alignment horizontal="center"/>
    </xf>
    <xf numFmtId="0" fontId="38" fillId="9" borderId="12" xfId="1" applyFont="1" applyFill="1" applyBorder="1" applyAlignment="1" applyProtection="1">
      <alignment horizontal="left" vertical="center" wrapText="1"/>
    </xf>
    <xf numFmtId="0" fontId="38" fillId="9" borderId="0" xfId="1" applyFont="1" applyFill="1" applyAlignment="1" applyProtection="1">
      <alignment vertical="center" wrapText="1"/>
    </xf>
    <xf numFmtId="0" fontId="40" fillId="16" borderId="13" xfId="1" applyFont="1" applyFill="1" applyBorder="1" applyAlignment="1" applyProtection="1">
      <alignment vertical="center"/>
    </xf>
    <xf numFmtId="0" fontId="19" fillId="16" borderId="14" xfId="1" applyFont="1" applyFill="1" applyBorder="1" applyAlignment="1" applyProtection="1">
      <alignment vertical="center"/>
    </xf>
    <xf numFmtId="0" fontId="64" fillId="16" borderId="14" xfId="1" applyFont="1" applyFill="1" applyBorder="1" applyAlignment="1" applyProtection="1">
      <alignment horizontal="right" vertical="center"/>
    </xf>
    <xf numFmtId="0" fontId="48" fillId="16" borderId="14" xfId="1" applyFont="1" applyFill="1" applyBorder="1" applyAlignment="1" applyProtection="1">
      <alignment horizontal="center" vertical="center"/>
    </xf>
    <xf numFmtId="0" fontId="40" fillId="16" borderId="14"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58" fillId="2" borderId="0" xfId="1" applyFont="1" applyFill="1" applyAlignment="1" applyProtection="1">
      <alignment vertical="center"/>
    </xf>
    <xf numFmtId="0" fontId="20" fillId="2" borderId="0" xfId="1" applyFont="1" applyFill="1" applyAlignment="1" applyProtection="1">
      <alignment vertical="center"/>
    </xf>
    <xf numFmtId="0" fontId="60" fillId="0" borderId="0" xfId="1" applyFont="1" applyAlignment="1" applyProtection="1">
      <alignment horizontal="right" vertical="center" wrapText="1"/>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65" fillId="0" borderId="0" xfId="1" applyFont="1" applyAlignment="1" applyProtection="1">
      <alignment vertical="top" wrapText="1"/>
    </xf>
    <xf numFmtId="0" fontId="22" fillId="10" borderId="0" xfId="1" applyFont="1" applyFill="1" applyAlignment="1" applyProtection="1">
      <alignment horizontal="center" vertical="center"/>
    </xf>
    <xf numFmtId="0" fontId="22" fillId="10" borderId="0" xfId="1" applyFont="1" applyFill="1" applyAlignment="1" applyProtection="1">
      <alignment horizontal="left" vertical="center" indent="1"/>
    </xf>
    <xf numFmtId="0" fontId="22" fillId="10" borderId="0" xfId="1" applyFont="1" applyFill="1" applyAlignment="1" applyProtection="1">
      <alignment vertical="center"/>
    </xf>
    <xf numFmtId="0" fontId="22" fillId="10" borderId="19" xfId="1" applyFont="1" applyFill="1" applyBorder="1" applyAlignment="1" applyProtection="1">
      <alignment horizontal="left" vertical="center"/>
    </xf>
    <xf numFmtId="0" fontId="22" fillId="10" borderId="0" xfId="1" applyFont="1" applyFill="1" applyAlignment="1" applyProtection="1">
      <alignment horizontal="left" vertical="center"/>
    </xf>
    <xf numFmtId="0" fontId="22" fillId="10" borderId="15" xfId="1" applyFont="1" applyFill="1" applyBorder="1" applyAlignment="1" applyProtection="1">
      <alignment horizontal="lef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10" borderId="0" xfId="1" applyFont="1" applyFill="1" applyAlignment="1" applyProtection="1">
      <alignment horizontal="center" vertical="center" wrapText="1"/>
    </xf>
    <xf numFmtId="0" fontId="22" fillId="10" borderId="0" xfId="1" applyFont="1" applyFill="1" applyAlignment="1" applyProtection="1">
      <alignment horizontal="left" vertical="center" shrinkToFit="1"/>
    </xf>
    <xf numFmtId="0" fontId="22" fillId="10" borderId="35" xfId="1" applyFont="1" applyFill="1" applyBorder="1" applyAlignment="1" applyProtection="1">
      <alignment horizontal="center" vertical="center" wrapText="1"/>
    </xf>
    <xf numFmtId="0" fontId="22" fillId="10" borderId="36" xfId="1" applyFont="1" applyFill="1" applyBorder="1" applyAlignment="1" applyProtection="1">
      <alignment horizontal="center" vertical="center" wrapText="1"/>
    </xf>
    <xf numFmtId="0" fontId="22" fillId="10" borderId="37" xfId="1" applyFont="1" applyFill="1" applyBorder="1" applyAlignment="1" applyProtection="1">
      <alignment horizontal="center" vertical="center" wrapText="1"/>
    </xf>
    <xf numFmtId="0" fontId="21" fillId="2" borderId="16" xfId="1" applyFont="1" applyFill="1" applyBorder="1" applyAlignment="1" applyProtection="1">
      <alignment horizontal="center" vertical="center" wrapText="1"/>
    </xf>
    <xf numFmtId="0" fontId="21" fillId="2" borderId="17" xfId="1" applyFont="1" applyFill="1" applyBorder="1" applyAlignment="1" applyProtection="1">
      <alignment horizontal="center" vertical="center" wrapText="1"/>
    </xf>
    <xf numFmtId="0" fontId="21" fillId="2" borderId="17" xfId="1" applyFont="1" applyFill="1" applyBorder="1" applyAlignment="1" applyProtection="1">
      <alignment vertical="center" shrinkToFit="1"/>
    </xf>
    <xf numFmtId="0" fontId="24" fillId="2" borderId="17" xfId="1" applyFont="1" applyFill="1" applyBorder="1" applyAlignment="1" applyProtection="1">
      <alignment horizontal="center" vertical="center" wrapText="1"/>
    </xf>
    <xf numFmtId="0" fontId="21" fillId="2" borderId="38" xfId="1" applyFont="1" applyFill="1" applyBorder="1" applyAlignment="1" applyProtection="1">
      <alignment horizontal="center" vertical="center" wrapText="1"/>
    </xf>
    <xf numFmtId="0" fontId="21" fillId="2" borderId="39" xfId="1" applyFont="1" applyFill="1" applyBorder="1" applyAlignment="1" applyProtection="1">
      <alignment horizontal="center" vertical="center" wrapText="1"/>
    </xf>
    <xf numFmtId="0" fontId="21" fillId="2" borderId="40" xfId="1" applyFont="1" applyFill="1" applyBorder="1" applyAlignment="1" applyProtection="1">
      <alignment horizontal="center" vertical="center" wrapText="1"/>
    </xf>
    <xf numFmtId="0" fontId="25" fillId="0" borderId="0" xfId="1" applyFont="1" applyAlignment="1" applyProtection="1">
      <alignment horizontal="left" vertical="top"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6" borderId="11" xfId="1" applyFont="1" applyFill="1" applyBorder="1" applyAlignment="1" applyProtection="1">
      <alignment horizontal="center" vertical="center" wrapText="1"/>
    </xf>
    <xf numFmtId="0" fontId="21" fillId="16" borderId="0" xfId="1" applyFont="1" applyFill="1" applyAlignment="1" applyProtection="1">
      <alignment horizontal="center" vertical="center" wrapText="1"/>
    </xf>
    <xf numFmtId="0" fontId="21" fillId="16" borderId="0" xfId="1" applyFont="1" applyFill="1" applyAlignment="1" applyProtection="1">
      <alignment vertical="center" shrinkToFit="1"/>
    </xf>
    <xf numFmtId="0" fontId="24" fillId="16" borderId="0" xfId="1" applyFont="1" applyFill="1" applyAlignment="1" applyProtection="1">
      <alignment horizontal="left" vertical="center" wrapText="1"/>
    </xf>
    <xf numFmtId="0" fontId="21" fillId="16" borderId="35" xfId="1" applyFont="1" applyFill="1" applyBorder="1" applyAlignment="1" applyProtection="1">
      <alignment horizontal="center" vertical="center" wrapText="1"/>
    </xf>
    <xf numFmtId="0" fontId="21" fillId="16" borderId="36" xfId="1" applyFont="1" applyFill="1" applyBorder="1" applyAlignment="1" applyProtection="1">
      <alignment horizontal="center" vertical="center" wrapText="1"/>
    </xf>
    <xf numFmtId="0" fontId="21" fillId="16" borderId="37" xfId="1" applyFont="1" applyFill="1" applyBorder="1" applyAlignment="1" applyProtection="1">
      <alignment horizontal="center" vertical="center" wrapText="1"/>
    </xf>
    <xf numFmtId="0" fontId="25" fillId="0" borderId="0" xfId="1" applyFont="1" applyAlignment="1" applyProtection="1">
      <alignment vertical="center" wrapText="1"/>
    </xf>
    <xf numFmtId="0" fontId="21" fillId="0" borderId="17" xfId="1" applyFont="1" applyBorder="1" applyAlignment="1" applyProtection="1">
      <alignment horizontal="center" vertical="center" wrapText="1"/>
    </xf>
    <xf numFmtId="0" fontId="21" fillId="0" borderId="38"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21" fillId="0" borderId="40"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7" xfId="1" applyFont="1" applyBorder="1" applyAlignment="1" applyProtection="1">
      <alignment horizontal="left" vertical="center" shrinkToFit="1"/>
    </xf>
    <xf numFmtId="0" fontId="21" fillId="0" borderId="17" xfId="1" applyFont="1" applyBorder="1" applyAlignment="1" applyProtection="1">
      <alignment vertical="center" shrinkToFit="1"/>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shrinkToFi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5" fillId="2" borderId="0" xfId="1" applyFont="1" applyFill="1" applyProtection="1"/>
    <xf numFmtId="0" fontId="13" fillId="2" borderId="0" xfId="1" applyFont="1" applyFill="1" applyProtection="1"/>
    <xf numFmtId="0" fontId="44" fillId="11" borderId="0" xfId="0" applyFont="1" applyFill="1" applyAlignment="1" applyProtection="1">
      <alignment vertical="center" readingOrder="1"/>
    </xf>
    <xf numFmtId="0" fontId="45" fillId="11" borderId="0" xfId="0" applyFont="1" applyFill="1" applyAlignment="1" applyProtection="1">
      <alignment horizontal="left" vertical="center" readingOrder="1"/>
    </xf>
    <xf numFmtId="0" fontId="46" fillId="11" borderId="0" xfId="0" applyFont="1" applyFill="1" applyAlignment="1" applyProtection="1">
      <alignment horizontal="left" vertical="center" shrinkToFit="1"/>
    </xf>
    <xf numFmtId="0" fontId="44" fillId="11" borderId="0" xfId="0" applyFont="1" applyFill="1" applyAlignment="1" applyProtection="1">
      <alignment horizontal="center" vertical="center" readingOrder="1"/>
    </xf>
    <xf numFmtId="0" fontId="22" fillId="11" borderId="21" xfId="0" applyFont="1" applyFill="1" applyBorder="1" applyAlignment="1" applyProtection="1">
      <alignment vertical="center" readingOrder="1"/>
    </xf>
    <xf numFmtId="0" fontId="22" fillId="11" borderId="0" xfId="0" applyFont="1" applyFill="1" applyAlignment="1" applyProtection="1">
      <alignment vertical="center" readingOrder="1"/>
    </xf>
    <xf numFmtId="0" fontId="57" fillId="11" borderId="33" xfId="0" applyFont="1" applyFill="1" applyBorder="1" applyAlignment="1" applyProtection="1">
      <alignment vertical="center" readingOrder="1"/>
    </xf>
    <xf numFmtId="0" fontId="59" fillId="11" borderId="0" xfId="0" applyFont="1" applyFill="1" applyAlignment="1" applyProtection="1">
      <alignment horizontal="right" vertical="center" readingOrder="1"/>
    </xf>
    <xf numFmtId="0" fontId="47" fillId="11" borderId="0" xfId="0" applyFont="1" applyFill="1" applyAlignment="1" applyProtection="1">
      <alignment horizontal="center" vertical="center"/>
    </xf>
    <xf numFmtId="0" fontId="47" fillId="11" borderId="0" xfId="0" applyFont="1" applyFill="1" applyAlignment="1" applyProtection="1">
      <alignment horizontal="left" vertical="center" shrinkToFit="1"/>
    </xf>
    <xf numFmtId="0" fontId="22" fillId="11" borderId="41" xfId="0" applyFont="1" applyFill="1" applyBorder="1" applyAlignment="1" applyProtection="1">
      <alignment horizontal="center" vertical="center" wrapText="1" readingOrder="1"/>
    </xf>
    <xf numFmtId="0" fontId="22" fillId="11" borderId="34" xfId="0" applyFont="1" applyFill="1" applyBorder="1" applyAlignment="1" applyProtection="1">
      <alignment horizontal="center" vertical="center" wrapText="1" readingOrder="1"/>
    </xf>
    <xf numFmtId="0" fontId="22" fillId="11" borderId="42" xfId="0" applyFont="1" applyFill="1" applyBorder="1" applyAlignment="1" applyProtection="1">
      <alignment horizontal="center" vertical="center" wrapText="1" readingOrder="1"/>
    </xf>
    <xf numFmtId="0" fontId="47" fillId="11" borderId="32" xfId="0" applyFont="1" applyFill="1" applyBorder="1" applyAlignment="1" applyProtection="1">
      <alignment horizontal="center" vertical="center"/>
    </xf>
    <xf numFmtId="0" fontId="2" fillId="0" borderId="0" xfId="1" applyAlignment="1" applyProtection="1">
      <alignment horizontal="center" vertical="top"/>
    </xf>
    <xf numFmtId="0" fontId="36" fillId="0" borderId="16" xfId="1" applyFont="1" applyBorder="1" applyAlignment="1" applyProtection="1">
      <alignment horizontal="left" vertical="center"/>
    </xf>
    <xf numFmtId="0" fontId="36" fillId="0" borderId="17" xfId="1" applyFont="1" applyBorder="1" applyAlignment="1" applyProtection="1">
      <alignment horizontal="left" vertical="center"/>
    </xf>
    <xf numFmtId="0" fontId="36" fillId="0" borderId="17" xfId="1" applyFont="1" applyBorder="1" applyAlignment="1" applyProtection="1">
      <alignment horizontal="center" vertical="center"/>
    </xf>
    <xf numFmtId="0" fontId="36" fillId="0" borderId="17" xfId="1" applyFont="1" applyBorder="1" applyAlignment="1" applyProtection="1">
      <alignment vertical="center" shrinkToFit="1"/>
    </xf>
    <xf numFmtId="0" fontId="36" fillId="0" borderId="17" xfId="1" applyFont="1" applyBorder="1" applyAlignment="1" applyProtection="1">
      <alignment vertical="center" wrapText="1"/>
    </xf>
    <xf numFmtId="0" fontId="36" fillId="0" borderId="17" xfId="1" applyFont="1" applyBorder="1" applyAlignment="1" applyProtection="1">
      <alignment horizontal="center" vertical="center" wrapText="1"/>
    </xf>
    <xf numFmtId="0" fontId="21" fillId="2" borderId="43" xfId="1" applyFont="1" applyFill="1" applyBorder="1" applyAlignment="1" applyProtection="1">
      <alignment horizontal="center" vertical="center" wrapText="1"/>
    </xf>
    <xf numFmtId="0" fontId="36" fillId="0" borderId="17" xfId="1" applyFont="1" applyBorder="1" applyAlignment="1" applyProtection="1">
      <alignment vertical="center"/>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3" fillId="2" borderId="0" xfId="1" applyFont="1" applyFill="1" applyAlignment="1" applyProtection="1">
      <alignment vertical="center"/>
    </xf>
    <xf numFmtId="0" fontId="34" fillId="2" borderId="0" xfId="1" applyFont="1" applyFill="1" applyAlignment="1" applyProtection="1">
      <alignment horizontal="right" vertical="center"/>
    </xf>
  </cellXfs>
  <cellStyles count="9">
    <cellStyle name="Good" xfId="8" builtinId="26"/>
    <cellStyle name="Hyperlink" xfId="2" builtinId="8"/>
    <cellStyle name="Neutral" xfId="7" builtinId="28"/>
    <cellStyle name="Normal" xfId="0" builtinId="0"/>
    <cellStyle name="Normal 2" xfId="1" xr:uid="{00000000-0005-0000-0000-000004000000}"/>
    <cellStyle name="Normal 2 2" xfId="5" xr:uid="{00000000-0005-0000-0000-000005000000}"/>
    <cellStyle name="Normal 3" xfId="4" xr:uid="{00000000-0005-0000-0000-000006000000}"/>
    <cellStyle name="Normal 4" xfId="3" xr:uid="{00000000-0005-0000-0000-000007000000}"/>
    <cellStyle name="Normal 5" xfId="6" xr:uid="{00000000-0005-0000-0000-000008000000}"/>
  </cellStyles>
  <dxfs count="18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auto="1"/>
      </font>
      <fill>
        <patternFill>
          <bgColor theme="5" tint="0.79998168889431442"/>
        </patternFill>
      </fill>
    </dxf>
    <dxf>
      <font>
        <color auto="1"/>
      </font>
      <fill>
        <patternFill>
          <bgColor theme="5" tint="0.79998168889431442"/>
        </patternFill>
      </fill>
    </dxf>
    <dxf>
      <fill>
        <patternFill>
          <bgColor rgb="FFFFC000"/>
        </patternFill>
      </fill>
    </dxf>
    <dxf>
      <fill>
        <patternFill>
          <bgColor theme="5" tint="0.39994506668294322"/>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5" tint="0.79998168889431442"/>
        </patternFill>
      </fill>
    </dxf>
    <dxf>
      <fill>
        <patternFill>
          <bgColor theme="7" tint="0.79998168889431442"/>
        </patternFill>
      </fill>
    </dxf>
    <dxf>
      <font>
        <color rgb="FF006100"/>
      </font>
      <fill>
        <patternFill>
          <bgColor rgb="FFC6EFCE"/>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dxf>
    <dxf>
      <fill>
        <patternFill patternType="solid">
          <fgColor indexed="64"/>
          <bgColor rgb="FF92D050"/>
        </patternFill>
      </fill>
    </dxf>
    <dxf>
      <font>
        <b val="0"/>
        <i val="0"/>
        <strike val="0"/>
        <condense val="0"/>
        <extend val="0"/>
        <outline val="0"/>
        <shadow val="0"/>
        <u val="none"/>
        <vertAlign val="baseline"/>
        <sz val="10"/>
        <color theme="1"/>
        <name val="Arial"/>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0D4B6D"/>
      <color rgb="FFB4FFFF"/>
      <color rgb="FF919296"/>
      <color rgb="FFF2F2F2"/>
      <color rgb="FFB4C6E7"/>
      <color rgb="FFFFE699"/>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234316</xdr:colOff>
      <xdr:row>3</xdr:row>
      <xdr:rowOff>104776</xdr:rowOff>
    </xdr:from>
    <xdr:ext cx="5642610" cy="663694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92866" y="609601"/>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(Early Childhood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baseline="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p>
        <a:p>
          <a:endParaRPr lang="en-AU" sz="1100" b="1" baseline="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Specified Electives</a:t>
          </a:r>
          <a:endParaRPr lang="en-AU">
            <a:effectLst/>
          </a:endParaRPr>
        </a:p>
        <a:p>
          <a:r>
            <a:rPr lang="en-AU" sz="110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(Early Childhood Education) </a:t>
          </a:r>
          <a:r>
            <a:rPr lang="en-AU" sz="1100">
              <a:solidFill>
                <a:schemeClr val="dk1"/>
              </a:solidFill>
              <a:effectLst/>
              <a:latin typeface="+mn-lt"/>
              <a:ea typeface="+mn-ea"/>
              <a:cs typeface="+mn-cs"/>
            </a:rPr>
            <a:t>may choose </a:t>
          </a:r>
          <a:r>
            <a:rPr lang="en-AU" sz="1100" b="1">
              <a:solidFill>
                <a:schemeClr val="dk1"/>
              </a:solidFill>
              <a:effectLst/>
              <a:latin typeface="+mn-lt"/>
              <a:ea typeface="+mn-ea"/>
              <a:cs typeface="+mn-cs"/>
            </a:rPr>
            <a:t>two</a:t>
          </a:r>
          <a:r>
            <a:rPr lang="en-AU" sz="1100">
              <a:solidFill>
                <a:schemeClr val="dk1"/>
              </a:solidFill>
              <a:effectLst/>
              <a:latin typeface="+mn-lt"/>
              <a:ea typeface="+mn-ea"/>
              <a:cs typeface="+mn-cs"/>
            </a:rPr>
            <a:t> Elective units from </a:t>
          </a:r>
          <a:r>
            <a:rPr lang="en-AU" sz="1100" b="1" u="sng">
              <a:solidFill>
                <a:schemeClr val="dk1"/>
              </a:solidFill>
              <a:effectLst/>
              <a:latin typeface="+mn-lt"/>
              <a:ea typeface="+mn-ea"/>
              <a:cs typeface="+mn-cs"/>
            </a:rPr>
            <a:t>any</a:t>
          </a:r>
          <a:r>
            <a:rPr lang="en-AU" sz="1100">
              <a:solidFill>
                <a:schemeClr val="dk1"/>
              </a:solidFill>
              <a:effectLst/>
              <a:latin typeface="+mn-lt"/>
              <a:ea typeface="+mn-ea"/>
              <a:cs typeface="+mn-cs"/>
            </a:rPr>
            <a:t> of those listed in the Specified Electives List.</a:t>
          </a:r>
          <a:endParaRPr lang="en-AU">
            <a:effectLst/>
          </a:endParaRPr>
        </a:p>
        <a:p>
          <a:pPr rtl="0" fontAlgn="base"/>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11431</xdr:colOff>
      <xdr:row>2</xdr:row>
      <xdr:rowOff>341867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75156" y="34186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228600</xdr:colOff>
      <xdr:row>23</xdr:row>
      <xdr:rowOff>56117</xdr:rowOff>
    </xdr:from>
    <xdr:ext cx="2798446" cy="264560"/>
    <xdr:sp macro="" textlink="">
      <xdr:nvSpPr>
        <xdr:cNvPr id="5" name="TextBox 4">
          <a:hlinkClick xmlns:r="http://schemas.openxmlformats.org/officeDocument/2006/relationships" r:id="rId3"/>
          <a:extLst>
            <a:ext uri="{FF2B5EF4-FFF2-40B4-BE49-F238E27FC236}">
              <a16:creationId xmlns:a16="http://schemas.microsoft.com/office/drawing/2014/main" id="{DC56B2FC-35D3-4D69-88FF-5877977AA97C}"/>
            </a:ext>
          </a:extLst>
        </xdr:cNvPr>
        <xdr:cNvSpPr txBox="1"/>
      </xdr:nvSpPr>
      <xdr:spPr>
        <a:xfrm>
          <a:off x="14106525" y="4799567"/>
          <a:ext cx="2798446"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372725" y="457199"/>
          <a:ext cx="13629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243841</xdr:colOff>
      <xdr:row>3</xdr:row>
      <xdr:rowOff>133352</xdr:rowOff>
    </xdr:from>
    <xdr:ext cx="5642610" cy="6809172"/>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340466" y="638177"/>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(Primary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a:solidFill>
              <a:sysClr val="windowText" lastClr="000000"/>
            </a:solidFill>
            <a:effectLst/>
            <a:latin typeface="+mn-lt"/>
            <a:ea typeface="+mn-ea"/>
            <a:cs typeface="+mn-cs"/>
          </a:endParaRPr>
        </a:p>
        <a:p>
          <a:r>
            <a:rPr lang="en-AU" sz="1100" b="1">
              <a:solidFill>
                <a:schemeClr val="dk1"/>
              </a:solidFill>
              <a:effectLst/>
              <a:latin typeface="+mn-lt"/>
              <a:ea typeface="+mn-ea"/>
              <a:cs typeface="+mn-cs"/>
            </a:rPr>
            <a:t>Primary Specialisation / Specified Electives </a:t>
          </a:r>
          <a:endParaRPr lang="en-AU">
            <a:effectLst/>
          </a:endParaRPr>
        </a:p>
        <a:p>
          <a:r>
            <a:rPr lang="en-AU" sz="1100" b="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(Primary Education)</a:t>
          </a:r>
          <a:r>
            <a:rPr lang="en-AU" sz="1100" b="0">
              <a:solidFill>
                <a:schemeClr val="dk1"/>
              </a:solidFill>
              <a:effectLst/>
              <a:latin typeface="+mn-lt"/>
              <a:ea typeface="+mn-ea"/>
              <a:cs typeface="+mn-cs"/>
            </a:rPr>
            <a:t> must choose three Specified Elective subjects from a </a:t>
          </a:r>
          <a:r>
            <a:rPr lang="en-AU" sz="1100" b="1">
              <a:solidFill>
                <a:schemeClr val="dk1"/>
              </a:solidFill>
              <a:effectLst/>
              <a:latin typeface="+mn-lt"/>
              <a:ea typeface="+mn-ea"/>
              <a:cs typeface="+mn-cs"/>
            </a:rPr>
            <a:t>single group </a:t>
          </a:r>
          <a:r>
            <a:rPr lang="en-AU" sz="1100" b="0">
              <a:solidFill>
                <a:schemeClr val="dk1"/>
              </a:solidFill>
              <a:effectLst/>
              <a:latin typeface="+mn-lt"/>
              <a:ea typeface="+mn-ea"/>
              <a:cs typeface="+mn-cs"/>
            </a:rPr>
            <a:t>to enable them to graduate</a:t>
          </a:r>
          <a:r>
            <a:rPr lang="en-AU" sz="1100" b="0" baseline="0">
              <a:solidFill>
                <a:schemeClr val="dk1"/>
              </a:solidFill>
              <a:effectLst/>
              <a:latin typeface="+mn-lt"/>
              <a:ea typeface="+mn-ea"/>
              <a:cs typeface="+mn-cs"/>
            </a:rPr>
            <a:t> with a specialisation in one of the offered learning areas.</a:t>
          </a:r>
        </a:p>
        <a:p>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20956</xdr:colOff>
      <xdr:row>2</xdr:row>
      <xdr:rowOff>376157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46581" y="37615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142876</xdr:colOff>
      <xdr:row>23</xdr:row>
      <xdr:rowOff>86994</xdr:rowOff>
    </xdr:from>
    <xdr:ext cx="2910842" cy="264560"/>
    <xdr:sp macro="" textlink="">
      <xdr:nvSpPr>
        <xdr:cNvPr id="5" name="TextBox 4">
          <a:hlinkClick xmlns:r="http://schemas.openxmlformats.org/officeDocument/2006/relationships" r:id="rId3"/>
          <a:extLst>
            <a:ext uri="{FF2B5EF4-FFF2-40B4-BE49-F238E27FC236}">
              <a16:creationId xmlns:a16="http://schemas.microsoft.com/office/drawing/2014/main" id="{FDF8BE9D-F04E-4E5E-B6B6-064C5F986393}"/>
            </a:ext>
          </a:extLst>
        </xdr:cNvPr>
        <xdr:cNvSpPr txBox="1"/>
      </xdr:nvSpPr>
      <xdr:spPr>
        <a:xfrm>
          <a:off x="13982701" y="4830444"/>
          <a:ext cx="2910842"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142875</xdr:colOff>
      <xdr:row>2</xdr:row>
      <xdr:rowOff>76200</xdr:rowOff>
    </xdr:from>
    <xdr:to>
      <xdr:col>11</xdr:col>
      <xdr:colOff>1114425</xdr:colOff>
      <xdr:row>2</xdr:row>
      <xdr:rowOff>409575</xdr:rowOff>
    </xdr:to>
    <xdr:pic>
      <xdr:nvPicPr>
        <xdr:cNvPr id="2" name="Picture 1" title="Curtin Universit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15500" y="438150"/>
          <a:ext cx="18002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186691</xdr:colOff>
      <xdr:row>3</xdr:row>
      <xdr:rowOff>114299</xdr:rowOff>
    </xdr:from>
    <xdr:ext cx="5642610" cy="6809172"/>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778616" y="619124"/>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(Secondary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Major</a:t>
          </a:r>
          <a:r>
            <a:rPr lang="en-AU" sz="1100" i="1">
              <a:solidFill>
                <a:schemeClr val="dk1"/>
              </a:solidFill>
              <a:effectLst/>
              <a:latin typeface="+mn-lt"/>
              <a:ea typeface="+mn-ea"/>
              <a:cs typeface="+mn-cs"/>
            </a:rPr>
            <a:t> and </a:t>
          </a:r>
          <a:r>
            <a:rPr lang="en-AU" sz="1100" i="1" baseline="0">
              <a:solidFill>
                <a:schemeClr val="dk1"/>
              </a:solidFill>
              <a:effectLst/>
              <a:latin typeface="+mn-lt"/>
              <a:ea typeface="+mn-ea"/>
              <a:cs typeface="+mn-cs"/>
            </a:rPr>
            <a:t>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eaLnBrk="1" fontAlgn="auto" latinLnBrk="0" hangingPunct="1"/>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ysClr val="windowText" lastClr="000000"/>
            </a:solidFill>
            <a:effectLst/>
            <a:latin typeface="+mn-lt"/>
            <a:ea typeface="+mn-ea"/>
            <a:cs typeface="+mn-cs"/>
          </a:endParaRPr>
        </a:p>
        <a:p>
          <a:r>
            <a:rPr lang="en-AU" sz="1100" b="1" baseline="0">
              <a:solidFill>
                <a:sysClr val="windowText" lastClr="000000"/>
              </a:solidFill>
              <a:effectLst/>
              <a:latin typeface="+mn-lt"/>
              <a:ea typeface="+mn-ea"/>
              <a:cs typeface="+mn-cs"/>
            </a:rPr>
            <a:t>Specified Electives</a:t>
          </a:r>
          <a:endParaRPr lang="en-AU">
            <a:solidFill>
              <a:sysClr val="windowText" lastClr="000000"/>
            </a:solidFill>
            <a:effectLst/>
          </a:endParaRPr>
        </a:p>
        <a:p>
          <a:r>
            <a:rPr lang="en-AU" sz="1100">
              <a:solidFill>
                <a:sysClr val="windowText" lastClr="000000"/>
              </a:solidFill>
              <a:effectLst/>
              <a:latin typeface="+mn-lt"/>
              <a:ea typeface="+mn-ea"/>
              <a:cs typeface="+mn-cs"/>
            </a:rPr>
            <a:t>Students in the </a:t>
          </a:r>
          <a:r>
            <a:rPr lang="en-AU" sz="1100" b="1" i="1">
              <a:solidFill>
                <a:sysClr val="windowText" lastClr="000000"/>
              </a:solidFill>
              <a:effectLst/>
              <a:latin typeface="+mn-lt"/>
              <a:ea typeface="+mn-ea"/>
              <a:cs typeface="+mn-cs"/>
            </a:rPr>
            <a:t>Bachelor of Education (Secondary Education) </a:t>
          </a:r>
          <a:r>
            <a:rPr lang="en-AU" sz="1100">
              <a:solidFill>
                <a:sysClr val="windowText" lastClr="000000"/>
              </a:solidFill>
              <a:effectLst/>
              <a:latin typeface="+mn-lt"/>
              <a:ea typeface="+mn-ea"/>
              <a:cs typeface="+mn-cs"/>
            </a:rPr>
            <a:t>may choose </a:t>
          </a:r>
          <a:r>
            <a:rPr lang="en-AU" sz="1100" b="0">
              <a:solidFill>
                <a:sysClr val="windowText" lastClr="000000"/>
              </a:solidFill>
              <a:effectLst/>
              <a:latin typeface="+mn-lt"/>
              <a:ea typeface="+mn-ea"/>
              <a:cs typeface="+mn-cs"/>
            </a:rPr>
            <a:t>Specified Elective subjects </a:t>
          </a:r>
          <a:r>
            <a:rPr lang="en-AU" sz="1100">
              <a:solidFill>
                <a:sysClr val="windowText" lastClr="000000"/>
              </a:solidFill>
              <a:effectLst/>
              <a:latin typeface="+mn-lt"/>
              <a:ea typeface="+mn-ea"/>
              <a:cs typeface="+mn-cs"/>
            </a:rPr>
            <a:t>from </a:t>
          </a:r>
          <a:r>
            <a:rPr lang="en-AU" sz="1100" b="1" u="sng">
              <a:solidFill>
                <a:sysClr val="windowText" lastClr="000000"/>
              </a:solidFill>
              <a:effectLst/>
              <a:latin typeface="+mn-lt"/>
              <a:ea typeface="+mn-ea"/>
              <a:cs typeface="+mn-cs"/>
            </a:rPr>
            <a:t>any</a:t>
          </a:r>
          <a:r>
            <a:rPr lang="en-AU" sz="1100">
              <a:solidFill>
                <a:sysClr val="windowText" lastClr="000000"/>
              </a:solidFill>
              <a:effectLst/>
              <a:latin typeface="+mn-lt"/>
              <a:ea typeface="+mn-ea"/>
              <a:cs typeface="+mn-cs"/>
            </a:rPr>
            <a:t> of those listed.</a:t>
          </a:r>
        </a:p>
        <a:p>
          <a:endParaRPr lang="en-AU">
            <a:solidFill>
              <a:sysClr val="windowText" lastClr="000000"/>
            </a:solidFill>
            <a:effectLst/>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oneCellAnchor>
    <xdr:from>
      <xdr:col>17</xdr:col>
      <xdr:colOff>649606</xdr:colOff>
      <xdr:row>2</xdr:row>
      <xdr:rowOff>356155</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4984731" y="356155"/>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152400</xdr:colOff>
      <xdr:row>22</xdr:row>
      <xdr:rowOff>126044</xdr:rowOff>
    </xdr:from>
    <xdr:ext cx="2838451" cy="264560"/>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300-000005000000}"/>
            </a:ext>
          </a:extLst>
        </xdr:cNvPr>
        <xdr:cNvSpPr txBox="1"/>
      </xdr:nvSpPr>
      <xdr:spPr>
        <a:xfrm>
          <a:off x="14392275" y="4774244"/>
          <a:ext cx="2838451"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2" totalsRowShown="0" headerRowDxfId="185">
  <autoFilter ref="A6:H12" xr:uid="{00000000-0009-0000-0100-000003000000}"/>
  <sortState xmlns:xlrd2="http://schemas.microsoft.com/office/spreadsheetml/2017/richdata2" ref="A7:G10">
    <sortCondition ref="A6:A10"/>
  </sortState>
  <tableColumns count="8">
    <tableColumn id="3" xr3:uid="{00000000-0010-0000-0000-000003000000}" name="Choose your Education Course" dataDxfId="184"/>
    <tableColumn id="1" xr3:uid="{00000000-0010-0000-0000-000001000000}" name="UDC" dataDxfId="183"/>
    <tableColumn id="2" xr3:uid="{00000000-0010-0000-0000-000002000000}" name="SM Version" dataDxfId="182"/>
    <tableColumn id="5" xr3:uid="{00000000-0010-0000-0000-000005000000}" name="SM Effective Date" dataDxfId="181"/>
    <tableColumn id="4" xr3:uid="{00000000-0010-0000-0000-000004000000}" name="Akari Iteration" dataDxfId="180"/>
    <tableColumn id="7" xr3:uid="{00000000-0010-0000-0000-000007000000}" name="Akari Effective Date" dataDxfId="179"/>
    <tableColumn id="6" xr3:uid="{00000000-0010-0000-0000-000006000000}" name="Credit Points" dataDxfId="178"/>
    <tableColumn id="8" xr3:uid="{00000000-0010-0000-0000-000008000000}" name="SM Availabilities" dataDxfId="17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UMUENGLT" displayName="TableOUMUENGLT" ref="A159:O184" totalsRowShown="0" headerRowDxfId="76">
  <autoFilter ref="A159:O184" xr:uid="{00000000-0009-0000-0100-000008000000}"/>
  <sortState xmlns:xlrd2="http://schemas.microsoft.com/office/spreadsheetml/2017/richdata2" ref="A159:R162">
    <sortCondition ref="O2:O6"/>
  </sortState>
  <tableColumns count="15">
    <tableColumn id="1" xr3:uid="{00000000-0010-0000-0900-000001000000}" name="UDC" dataDxfId="75">
      <calculatedColumnFormula>TableOUMUENGLT[[#This Row],[Study Package Code]]</calculatedColumnFormula>
    </tableColumn>
    <tableColumn id="9" xr3:uid="{00000000-0010-0000-0900-000009000000}" name="Version" dataDxfId="74">
      <calculatedColumnFormula>TableOUMUENGLT[[#This Row],[Ver]]</calculatedColumnFormula>
    </tableColumn>
    <tableColumn id="10" xr3:uid="{00000000-0010-0000-0900-00000A000000}" name="OUA Code" dataDxfId="73">
      <calculatedColumnFormula>LEFT(TableOUMUENGLT[[#This Row],[Structure Line]], FIND(" ", TableOUMUENGLT[[#This Row],[Structure Line]])-1)</calculatedColumnFormula>
    </tableColumn>
    <tableColumn id="11" xr3:uid="{00000000-0010-0000-0900-00000B000000}" name="Unit Title" dataDxfId="72">
      <calculatedColumnFormula>MID(TableOUMUENGLT[[#This Row],[Structure Line]],FIND(" ",TableOUMUENGLT[[#This Row],[Structure Line]])+1,LEN(TableOUMUENGLT[[#This Row],[Structure Line]]))</calculatedColumnFormula>
    </tableColumn>
    <tableColumn id="12" xr3:uid="{00000000-0010-0000-0900-00000C000000}" name="CPs" dataDxfId="71">
      <calculatedColumnFormula>TableOUMUENGLT[[#This Row],[Credit Points]]</calculatedColumnFormula>
    </tableColumn>
    <tableColumn id="13" xr3:uid="{00000000-0010-0000-0900-00000D000000}" name="No." dataDxfId="70"/>
    <tableColumn id="2" xr3:uid="{00000000-0010-0000-0900-000002000000}" name="Component Type" dataDxfId="69"/>
    <tableColumn id="3" xr3:uid="{00000000-0010-0000-0900-000003000000}" name="Year Level" dataDxfId="68"/>
    <tableColumn id="4" xr3:uid="{00000000-0010-0000-0900-000004000000}" name="Study Period" dataDxfId="67"/>
    <tableColumn id="5" xr3:uid="{00000000-0010-0000-0900-000005000000}" name="Study Package Code" dataDxfId="66"/>
    <tableColumn id="6" xr3:uid="{00000000-0010-0000-0900-000006000000}" name="Ver" dataDxfId="65"/>
    <tableColumn id="7" xr3:uid="{00000000-0010-0000-0900-000007000000}" name="Structure Line" dataDxfId="64"/>
    <tableColumn id="8" xr3:uid="{00000000-0010-0000-0900-000008000000}" name="Credit Points" dataDxfId="63"/>
    <tableColumn id="14" xr3:uid="{00000000-0010-0000-0900-00000E000000}" name="Effective" dataDxfId="62"/>
    <tableColumn id="15" xr3:uid="{00000000-0010-0000-0900-00000F000000}" name="Discont." dataDxfId="6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OUMUHUSGE" displayName="TableOUMUHUSGE" ref="A186:O218" totalsRowShown="0" headerRowDxfId="60">
  <autoFilter ref="A186:O218" xr:uid="{00000000-0009-0000-0100-000009000000}"/>
  <sortState xmlns:xlrd2="http://schemas.microsoft.com/office/spreadsheetml/2017/richdata2" ref="A195:R198">
    <sortCondition ref="O2:O6"/>
  </sortState>
  <tableColumns count="15">
    <tableColumn id="1" xr3:uid="{00000000-0010-0000-0A00-000001000000}" name="UDC" dataDxfId="59">
      <calculatedColumnFormula>TableOUMUHUSGE[[#This Row],[Study Package Code]]</calculatedColumnFormula>
    </tableColumn>
    <tableColumn id="9" xr3:uid="{00000000-0010-0000-0A00-000009000000}" name="Version" dataDxfId="58">
      <calculatedColumnFormula>TableOUMUHUSGE[[#This Row],[Ver]]</calculatedColumnFormula>
    </tableColumn>
    <tableColumn id="10" xr3:uid="{00000000-0010-0000-0A00-00000A000000}" name="OUA Code" dataDxfId="57">
      <calculatedColumnFormula>LEFT(TableOUMUHUSGE[[#This Row],[Structure Line]], FIND(" ", TableOUMUHUSGE[[#This Row],[Structure Line]])-1)</calculatedColumnFormula>
    </tableColumn>
    <tableColumn id="11" xr3:uid="{00000000-0010-0000-0A00-00000B000000}" name="Unit Title" dataDxfId="56">
      <calculatedColumnFormula>MID(TableOUMUHUSGE[[#This Row],[Structure Line]],FIND(" ",TableOUMUHUSGE[[#This Row],[Structure Line]])+1,LEN(TableOUMUHUSGE[[#This Row],[Structure Line]]))</calculatedColumnFormula>
    </tableColumn>
    <tableColumn id="12" xr3:uid="{00000000-0010-0000-0A00-00000C000000}" name="CPs" dataDxfId="55">
      <calculatedColumnFormula>TableOUMUHUSGE[[#This Row],[Credit Points]]</calculatedColumnFormula>
    </tableColumn>
    <tableColumn id="13" xr3:uid="{00000000-0010-0000-0A00-00000D000000}" name="No." dataDxfId="54"/>
    <tableColumn id="2" xr3:uid="{00000000-0010-0000-0A00-000002000000}" name="Component Type" dataDxfId="53"/>
    <tableColumn id="3" xr3:uid="{00000000-0010-0000-0A00-000003000000}" name="Year Level" dataDxfId="52"/>
    <tableColumn id="4" xr3:uid="{00000000-0010-0000-0A00-000004000000}" name="Study Period" dataDxfId="51"/>
    <tableColumn id="5" xr3:uid="{00000000-0010-0000-0A00-000005000000}" name="Study Package Code" dataDxfId="50"/>
    <tableColumn id="6" xr3:uid="{00000000-0010-0000-0A00-000006000000}" name="Ver" dataDxfId="49"/>
    <tableColumn id="7" xr3:uid="{00000000-0010-0000-0A00-000007000000}" name="Structure Line" dataDxfId="48"/>
    <tableColumn id="8" xr3:uid="{00000000-0010-0000-0A00-000008000000}" name="Credit Points" dataDxfId="47"/>
    <tableColumn id="14" xr3:uid="{00000000-0010-0000-0A00-00000E000000}" name="Effective" dataDxfId="46"/>
    <tableColumn id="15" xr3:uid="{00000000-0010-0000-0A00-00000F000000}" name="Discont." dataDxfId="45"/>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53565762" displayName="Table53565762" ref="Q2:R52" totalsRowShown="0">
  <autoFilter ref="Q2:R52" xr:uid="{00000000-0009-0000-0100-00000B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5356576213" displayName="Table5356576213" ref="Q54:R106" totalsRowShown="0">
  <autoFilter ref="Q54:R106" xr:uid="{00000000-0009-0000-0100-00000C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535657621315" displayName="Table535657621315" ref="Q108:R126" totalsRowShown="0">
  <autoFilter ref="Q108:R126" xr:uid="{00000000-0009-0000-0100-00000E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53565762131516" displayName="Table53565762131516" ref="Q128:R157" totalsRowShown="0">
  <autoFilter ref="Q128:R157" xr:uid="{00000000-0009-0000-0100-00000F000000}"/>
  <tableColumns count="2">
    <tableColumn id="1" xr3:uid="{00000000-0010-0000-0E00-000001000000}" name="Column1"/>
    <tableColumn id="2" xr3:uid="{00000000-0010-0000-0E00-000002000000}" name="Column2"/>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5356576213151617" displayName="Table5356576213151617" ref="Q159:R184" totalsRowShown="0">
  <autoFilter ref="Q159:R184" xr:uid="{00000000-0009-0000-0100-000010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5356576213151618" displayName="Table5356576213151618" ref="Q186:R218" totalsRowShown="0">
  <autoFilter ref="Q186:R218" xr:uid="{00000000-0009-0000-0100-000011000000}"/>
  <tableColumns count="2">
    <tableColumn id="1" xr3:uid="{00000000-0010-0000-1000-000001000000}" name="Column1"/>
    <tableColumn id="2" xr3:uid="{00000000-0010-0000-1000-000002000000}" name="Column2"/>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vailabilities" displayName="TableAvailabilities" ref="A2:E95" totalsRowShown="0">
  <autoFilter ref="A2:E95" xr:uid="{00000000-0009-0000-0100-00000D000000}"/>
  <sortState xmlns:xlrd2="http://schemas.microsoft.com/office/spreadsheetml/2017/richdata2" ref="A3:E3">
    <sortCondition ref="A2:A3"/>
  </sortState>
  <tableColumns count="5">
    <tableColumn id="1" xr3:uid="{00000000-0010-0000-1100-000001000000}" name="Row Labels"/>
    <tableColumn id="2" xr3:uid="{00000000-0010-0000-1100-000002000000}" name="OpenUnis SP 1" dataDxfId="44"/>
    <tableColumn id="3" xr3:uid="{00000000-0010-0000-1100-000003000000}" name="OpenUnis SP 2" dataDxfId="43"/>
    <tableColumn id="4" xr3:uid="{00000000-0010-0000-1100-000004000000}" name="OpenUnis SP 3" dataDxfId="42"/>
    <tableColumn id="5" xr3:uid="{00000000-0010-0000-1100-000005000000}" name="OpenUnis SP 4" dataDxfId="4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5:E19" totalsRowShown="0">
  <autoFilter ref="A15:E19" xr:uid="{00000000-0009-0000-0100-000004000000}"/>
  <tableColumns count="5">
    <tableColumn id="1" xr3:uid="{00000000-0010-0000-0100-000001000000}" name="Choose your commencing study period (drop-down list)"/>
    <tableColumn id="2" xr3:uid="{00000000-0010-0000-0100-000002000000}" name="START" dataDxfId="176"/>
    <tableColumn id="3" xr3:uid="{00000000-0010-0000-0100-000003000000}" name="Next" dataDxfId="175"/>
    <tableColumn id="4" xr3:uid="{00000000-0010-0000-0100-000004000000}" name="Next2" dataDxfId="174"/>
    <tableColumn id="5" xr3:uid="{00000000-0010-0000-0100-000005000000}" name="Next3" dataDxfId="17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Majors" displayName="TableMajors" ref="A4:G7" totalsRowShown="0" headerRowDxfId="172" dataDxfId="171">
  <autoFilter ref="A4:G7" xr:uid="{00000000-0009-0000-0100-000018000000}"/>
  <sortState xmlns:xlrd2="http://schemas.microsoft.com/office/spreadsheetml/2017/richdata2" ref="A8:E10">
    <sortCondition ref="A6:A9"/>
  </sortState>
  <tableColumns count="7">
    <tableColumn id="3" xr3:uid="{00000000-0010-0000-0200-000003000000}" name="Choose your Major first (drop-down list)" dataDxfId="170"/>
    <tableColumn id="1" xr3:uid="{00000000-0010-0000-0200-000001000000}" name="UDC" dataDxfId="169"/>
    <tableColumn id="2" xr3:uid="{00000000-0010-0000-0200-000002000000}" name="SM Version" dataDxfId="168"/>
    <tableColumn id="5" xr3:uid="{00000000-0010-0000-0200-000005000000}" name="SM Effective Date" dataDxfId="167"/>
    <tableColumn id="4" xr3:uid="{00000000-0010-0000-0200-000004000000}" name="Akari Iteration" dataDxfId="166"/>
    <tableColumn id="6" xr3:uid="{00000000-0010-0000-0200-000006000000}" name="Akari Effective Date" dataDxfId="165"/>
    <tableColumn id="7" xr3:uid="{00000000-0010-0000-0200-000007000000}" name="Credit Points" dataDxfId="16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StudyPeriodsSec" displayName="TableStudyPeriodsSec" ref="A10:E12" totalsRowShown="0">
  <autoFilter ref="A10:E12" xr:uid="{00000000-0009-0000-0100-00000A000000}"/>
  <tableColumns count="5">
    <tableColumn id="1" xr3:uid="{00000000-0010-0000-0300-000001000000}" name="Choose your commencing study period (drop-down list)"/>
    <tableColumn id="2" xr3:uid="{00000000-0010-0000-0300-000002000000}" name="START" dataDxfId="163"/>
    <tableColumn id="3" xr3:uid="{00000000-0010-0000-0300-000003000000}" name="Next" dataDxfId="162"/>
    <tableColumn id="4" xr3:uid="{00000000-0010-0000-0300-000004000000}" name="Next2" dataDxfId="161"/>
    <tableColumn id="5" xr3:uid="{00000000-0010-0000-0300-000005000000}" name="Next3" dataDxfId="16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Handbook" displayName="TableHandbook" ref="A2:Q137" totalsRowShown="0" headerRowDxfId="159" dataDxfId="158">
  <autoFilter ref="A2:Q137" xr:uid="{00000000-0009-0000-0100-000002000000}"/>
  <sortState xmlns:xlrd2="http://schemas.microsoft.com/office/spreadsheetml/2017/richdata2" ref="A3:Q137">
    <sortCondition ref="A2:A137"/>
  </sortState>
  <tableColumns count="17">
    <tableColumn id="1" xr3:uid="{00000000-0010-0000-0400-000001000000}" name="UDC" dataDxfId="157"/>
    <tableColumn id="2" xr3:uid="{00000000-0010-0000-0400-000002000000}" name="Ver" dataDxfId="156"/>
    <tableColumn id="3" xr3:uid="{00000000-0010-0000-0400-000003000000}" name="OUA Cd" dataDxfId="155"/>
    <tableColumn id="4" xr3:uid="{00000000-0010-0000-0400-000004000000}" name="Title" dataDxfId="154"/>
    <tableColumn id="5" xr3:uid="{00000000-0010-0000-0400-000005000000}" name="Credits" dataDxfId="153"/>
    <tableColumn id="6" xr3:uid="{00000000-0010-0000-0400-000006000000}" name="Pre-reqs (7/10/2024)" dataDxfId="152"/>
    <tableColumn id="12" xr3:uid="{00000000-0010-0000-0400-00000C000000}" name="SP1" dataDxfId="151">
      <calculatedColumnFormula>IFERROR(IF(VLOOKUP(TableHandbook[[#This Row],[UDC]],TableAvailabilities[],2,FALSE)&gt;0,"Y",""),"")</calculatedColumnFormula>
    </tableColumn>
    <tableColumn id="13" xr3:uid="{00000000-0010-0000-0400-00000D000000}" name="SP2" dataDxfId="150">
      <calculatedColumnFormula>IFERROR(IF(VLOOKUP(TableHandbook[[#This Row],[UDC]],TableAvailabilities[],3,FALSE)&gt;0,"Y",""),"")</calculatedColumnFormula>
    </tableColumn>
    <tableColumn id="7" xr3:uid="{00000000-0010-0000-0400-000007000000}" name="SP3" dataDxfId="149">
      <calculatedColumnFormula>IFERROR(IF(VLOOKUP(TableHandbook[[#This Row],[UDC]],TableAvailabilities[],4,FALSE)&gt;0,"Y",""),"")</calculatedColumnFormula>
    </tableColumn>
    <tableColumn id="15" xr3:uid="{00000000-0010-0000-0400-00000F000000}" name="SP4" dataDxfId="148">
      <calculatedColumnFormula>IFERROR(IF(VLOOKUP(TableHandbook[[#This Row],[UDC]],TableAvailabilities[],5,FALSE)&gt;0,"Y",""),"")</calculatedColumnFormula>
    </tableColumn>
    <tableColumn id="16" xr3:uid="{00000000-0010-0000-0400-000010000000}" name="Notes" dataDxfId="147"/>
    <tableColumn id="8" xr3:uid="{00000000-0010-0000-0400-000008000000}" name="OB-EDEC" dataDxfId="146">
      <calculatedColumnFormula>IFERROR(VLOOKUP(TableHandbook[[#This Row],[UDC]],TableOBEDEC[],7,FALSE),"")</calculatedColumnFormula>
    </tableColumn>
    <tableColumn id="9" xr3:uid="{00000000-0010-0000-0400-000009000000}" name="OB-EDPR" dataDxfId="145">
      <calculatedColumnFormula>IFERROR(VLOOKUP(TableHandbook[[#This Row],[UDC]],TableOBEDPR[],7,FALSE),"")</calculatedColumnFormula>
    </tableColumn>
    <tableColumn id="17" xr3:uid="{00000000-0010-0000-0400-000011000000}" name="OB-EDSC1" dataDxfId="144">
      <calculatedColumnFormula>IFERROR(VLOOKUP(TableHandbook[[#This Row],[UDC]],TableOBEDSC1[],7,FALSE),"")</calculatedColumnFormula>
    </tableColumn>
    <tableColumn id="10" xr3:uid="{00000000-0010-0000-0400-00000A000000}" name="OUMU-ARTST" dataDxfId="143">
      <calculatedColumnFormula>IFERROR(VLOOKUP(TableHandbook[[#This Row],[UDC]],TableOUMUARTST[],7,FALSE),"")</calculatedColumnFormula>
    </tableColumn>
    <tableColumn id="18" xr3:uid="{00000000-0010-0000-0400-000012000000}" name="OUMU-ENGLT" dataDxfId="142">
      <calculatedColumnFormula>IFERROR(VLOOKUP(TableHandbook[[#This Row],[UDC]],TableOUMUENGLT[],7,FALSE),"")</calculatedColumnFormula>
    </tableColumn>
    <tableColumn id="19" xr3:uid="{00000000-0010-0000-0400-000013000000}" name="OUMU-HUSGE" dataDxfId="141">
      <calculatedColumnFormula>IFERROR(VLOOKUP(TableHandbook[[#This Row],[UDC]],TableOUMUHUSGE[],7,FALSE),"")</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OBEDPR" displayName="TableOBEDPR" ref="A54:O106" totalsRowShown="0" headerRowDxfId="140">
  <autoFilter ref="A54:O106" xr:uid="{00000000-0009-0000-0100-000001000000}"/>
  <tableColumns count="15">
    <tableColumn id="1" xr3:uid="{00000000-0010-0000-0500-000001000000}" name="UDC" dataDxfId="139">
      <calculatedColumnFormula>TableOBEDPR[[#This Row],[Study Package Code]]</calculatedColumnFormula>
    </tableColumn>
    <tableColumn id="9" xr3:uid="{00000000-0010-0000-0500-000009000000}" name="Version" dataDxfId="138">
      <calculatedColumnFormula>TableOBEDPR[[#This Row],[Ver]]</calculatedColumnFormula>
    </tableColumn>
    <tableColumn id="10" xr3:uid="{00000000-0010-0000-0500-00000A000000}" name="OUA Code" dataDxfId="137">
      <calculatedColumnFormula>LEFT(TableOBEDPR[[#This Row],[Structure Line]], FIND(" ", TableOBEDPR[[#This Row],[Structure Line]])-1)</calculatedColumnFormula>
    </tableColumn>
    <tableColumn id="11" xr3:uid="{00000000-0010-0000-0500-00000B000000}" name="Unit Title" dataDxfId="136">
      <calculatedColumnFormula>MID(TableOBEDPR[[#This Row],[Structure Line]],FIND(" ",TableOBEDPR[[#This Row],[Structure Line]])+1,LEN(TableOBEDPR[[#This Row],[Structure Line]]))</calculatedColumnFormula>
    </tableColumn>
    <tableColumn id="12" xr3:uid="{00000000-0010-0000-0500-00000C000000}" name="CPs" dataDxfId="135">
      <calculatedColumnFormula>TableOBEDPR[[#This Row],[Credit Points]]</calculatedColumnFormula>
    </tableColumn>
    <tableColumn id="13" xr3:uid="{00000000-0010-0000-0500-00000D000000}" name="No." dataDxfId="134"/>
    <tableColumn id="2" xr3:uid="{00000000-0010-0000-0500-000002000000}" name="Component Type" dataDxfId="133"/>
    <tableColumn id="3" xr3:uid="{00000000-0010-0000-0500-000003000000}" name="Year Level" dataDxfId="132"/>
    <tableColumn id="4" xr3:uid="{00000000-0010-0000-0500-000004000000}" name="Study Period" dataDxfId="131"/>
    <tableColumn id="5" xr3:uid="{00000000-0010-0000-0500-000005000000}" name="Study Package Code" dataDxfId="130"/>
    <tableColumn id="6" xr3:uid="{00000000-0010-0000-0500-000006000000}" name="Ver" dataDxfId="129"/>
    <tableColumn id="7" xr3:uid="{00000000-0010-0000-0500-000007000000}" name="Structure Line" dataDxfId="128"/>
    <tableColumn id="8" xr3:uid="{00000000-0010-0000-0500-000008000000}" name="Credit Points" dataDxfId="127"/>
    <tableColumn id="14" xr3:uid="{00000000-0010-0000-0500-00000E000000}" name="Effective" dataDxfId="126"/>
    <tableColumn id="15" xr3:uid="{00000000-0010-0000-0500-00000F000000}" name="Discont." dataDxfId="1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OBEDEC" displayName="TableOBEDEC" ref="A2:O52" totalsRowShown="0" headerRowDxfId="124">
  <autoFilter ref="A2:O52" xr:uid="{00000000-0009-0000-0100-000005000000}"/>
  <tableColumns count="15">
    <tableColumn id="1" xr3:uid="{00000000-0010-0000-0600-000001000000}" name="UDC" dataDxfId="123">
      <calculatedColumnFormula>TableOBEDEC[[#This Row],[Study Package Code]]</calculatedColumnFormula>
    </tableColumn>
    <tableColumn id="9" xr3:uid="{00000000-0010-0000-0600-000009000000}" name="Version" dataDxfId="122">
      <calculatedColumnFormula>TableOBEDEC[[#This Row],[Ver]]</calculatedColumnFormula>
    </tableColumn>
    <tableColumn id="10" xr3:uid="{00000000-0010-0000-0600-00000A000000}" name="OUA Code" dataDxfId="121">
      <calculatedColumnFormula>LEFT(TableOBEDEC[[#This Row],[Structure Line]], FIND(" ", TableOBEDEC[[#This Row],[Structure Line]])-1)</calculatedColumnFormula>
    </tableColumn>
    <tableColumn id="11" xr3:uid="{00000000-0010-0000-0600-00000B000000}" name="Unit Title" dataDxfId="120">
      <calculatedColumnFormula>MID(TableOBEDEC[[#This Row],[Structure Line]],FIND(" ",TableOBEDEC[[#This Row],[Structure Line]])+1,LEN(TableOBEDEC[[#This Row],[Structure Line]]))</calculatedColumnFormula>
    </tableColumn>
    <tableColumn id="12" xr3:uid="{00000000-0010-0000-0600-00000C000000}" name="CPs" dataDxfId="119">
      <calculatedColumnFormula>TableOBEDEC[[#This Row],[Credit Points]]</calculatedColumnFormula>
    </tableColumn>
    <tableColumn id="13" xr3:uid="{00000000-0010-0000-0600-00000D000000}" name="No." dataDxfId="118"/>
    <tableColumn id="2" xr3:uid="{00000000-0010-0000-0600-000002000000}" name="Component Type" dataDxfId="117"/>
    <tableColumn id="3" xr3:uid="{00000000-0010-0000-0600-000003000000}" name="Year Level" dataDxfId="116"/>
    <tableColumn id="4" xr3:uid="{00000000-0010-0000-0600-000004000000}" name="Study Period" dataDxfId="115"/>
    <tableColumn id="5" xr3:uid="{00000000-0010-0000-0600-000005000000}" name="Study Package Code" dataDxfId="114"/>
    <tableColumn id="6" xr3:uid="{00000000-0010-0000-0600-000006000000}" name="Ver" dataDxfId="113"/>
    <tableColumn id="7" xr3:uid="{00000000-0010-0000-0600-000007000000}" name="Structure Line" dataDxfId="112"/>
    <tableColumn id="8" xr3:uid="{00000000-0010-0000-0600-000008000000}" name="Credit Points" dataDxfId="111"/>
    <tableColumn id="14" xr3:uid="{00000000-0010-0000-0600-00000E000000}" name="Effective" dataDxfId="110"/>
    <tableColumn id="15" xr3:uid="{00000000-0010-0000-0600-00000F000000}" name="Discont." dataDxfId="1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OBEDSC1" displayName="TableOBEDSC1" ref="A108:O126" totalsRowShown="0" headerRowDxfId="108">
  <autoFilter ref="A108:O126" xr:uid="{00000000-0009-0000-0100-000006000000}"/>
  <sortState xmlns:xlrd2="http://schemas.microsoft.com/office/spreadsheetml/2017/richdata2" ref="A103:R106">
    <sortCondition ref="O2:O6"/>
  </sortState>
  <tableColumns count="15">
    <tableColumn id="1" xr3:uid="{00000000-0010-0000-0700-000001000000}" name="UDC" dataDxfId="107">
      <calculatedColumnFormula>TableOBEDSC1[[#This Row],[Study Package Code]]</calculatedColumnFormula>
    </tableColumn>
    <tableColumn id="9" xr3:uid="{00000000-0010-0000-0700-000009000000}" name="Version" dataDxfId="106">
      <calculatedColumnFormula>TableOBEDSC1[[#This Row],[Ver]]</calculatedColumnFormula>
    </tableColumn>
    <tableColumn id="10" xr3:uid="{00000000-0010-0000-0700-00000A000000}" name="OUA Code" dataDxfId="105">
      <calculatedColumnFormula>LEFT(TableOBEDSC1[[#This Row],[Structure Line]], FIND(" ", TableOBEDSC1[[#This Row],[Structure Line]])-1)</calculatedColumnFormula>
    </tableColumn>
    <tableColumn id="11" xr3:uid="{00000000-0010-0000-0700-00000B000000}" name="Unit Title" dataDxfId="104">
      <calculatedColumnFormula>TableOBEDSC1[[#This Row],[Structure Line]]</calculatedColumnFormula>
    </tableColumn>
    <tableColumn id="12" xr3:uid="{00000000-0010-0000-0700-00000C000000}" name="CPs" dataDxfId="103">
      <calculatedColumnFormula>TableOBEDSC1[[#This Row],[Credit Points]]</calculatedColumnFormula>
    </tableColumn>
    <tableColumn id="13" xr3:uid="{00000000-0010-0000-0700-00000D000000}" name="No." dataDxfId="102"/>
    <tableColumn id="2" xr3:uid="{00000000-0010-0000-0700-000002000000}" name="Component Type" dataDxfId="101"/>
    <tableColumn id="3" xr3:uid="{00000000-0010-0000-0700-000003000000}" name="Year Level" dataDxfId="100"/>
    <tableColumn id="4" xr3:uid="{00000000-0010-0000-0700-000004000000}" name="Study Period" dataDxfId="99"/>
    <tableColumn id="5" xr3:uid="{00000000-0010-0000-0700-000005000000}" name="Study Package Code" dataDxfId="98"/>
    <tableColumn id="6" xr3:uid="{00000000-0010-0000-0700-000006000000}" name="Ver" dataDxfId="97"/>
    <tableColumn id="7" xr3:uid="{00000000-0010-0000-0700-000007000000}" name="Structure Line" dataDxfId="96"/>
    <tableColumn id="8" xr3:uid="{00000000-0010-0000-0700-000008000000}" name="Credit Points" dataDxfId="95"/>
    <tableColumn id="14" xr3:uid="{00000000-0010-0000-0700-00000E000000}" name="Effective" dataDxfId="94"/>
    <tableColumn id="15" xr3:uid="{00000000-0010-0000-0700-00000F000000}" name="Discont." dataDxfId="9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OUMUARTST" displayName="TableOUMUARTST" ref="A128:O157" totalsRowShown="0" headerRowDxfId="92">
  <autoFilter ref="A128:O157" xr:uid="{00000000-0009-0000-0100-000007000000}"/>
  <sortState xmlns:xlrd2="http://schemas.microsoft.com/office/spreadsheetml/2017/richdata2" ref="A122:R125">
    <sortCondition ref="O2:O6"/>
  </sortState>
  <tableColumns count="15">
    <tableColumn id="1" xr3:uid="{00000000-0010-0000-0800-000001000000}" name="UDC" dataDxfId="91">
      <calculatedColumnFormula>TableOUMUARTST[[#This Row],[Study Package Code]]</calculatedColumnFormula>
    </tableColumn>
    <tableColumn id="9" xr3:uid="{00000000-0010-0000-0800-000009000000}" name="Version" dataDxfId="90">
      <calculatedColumnFormula>TableOUMUARTST[[#This Row],[Ver]]</calculatedColumnFormula>
    </tableColumn>
    <tableColumn id="10" xr3:uid="{00000000-0010-0000-0800-00000A000000}" name="OUA Code" dataDxfId="89">
      <calculatedColumnFormula>LEFT(TableOUMUARTST[[#This Row],[Structure Line]], FIND(" ", TableOUMUARTST[[#This Row],[Structure Line]])-1)</calculatedColumnFormula>
    </tableColumn>
    <tableColumn id="11" xr3:uid="{00000000-0010-0000-0800-00000B000000}" name="Unit Title" dataDxfId="88">
      <calculatedColumnFormula>MID(TableOUMUARTST[[#This Row],[Structure Line]],FIND(" ",TableOUMUARTST[[#This Row],[Structure Line]])+1,LEN(TableOUMUARTST[[#This Row],[Structure Line]]))</calculatedColumnFormula>
    </tableColumn>
    <tableColumn id="12" xr3:uid="{00000000-0010-0000-0800-00000C000000}" name="CPs" dataDxfId="87">
      <calculatedColumnFormula>TableOUMUARTST[[#This Row],[Credit Points]]</calculatedColumnFormula>
    </tableColumn>
    <tableColumn id="13" xr3:uid="{00000000-0010-0000-0800-00000D000000}" name="No." dataDxfId="86"/>
    <tableColumn id="2" xr3:uid="{00000000-0010-0000-0800-000002000000}" name="Component Type" dataDxfId="85"/>
    <tableColumn id="3" xr3:uid="{00000000-0010-0000-0800-000003000000}" name="Year Level" dataDxfId="84"/>
    <tableColumn id="4" xr3:uid="{00000000-0010-0000-0800-000004000000}" name="Study Period" dataDxfId="83"/>
    <tableColumn id="5" xr3:uid="{00000000-0010-0000-0800-000005000000}" name="Study Package Code" dataDxfId="82"/>
    <tableColumn id="6" xr3:uid="{00000000-0010-0000-0800-000006000000}" name="Ver" dataDxfId="81"/>
    <tableColumn id="7" xr3:uid="{00000000-0010-0000-0800-000007000000}" name="Structure Line" dataDxfId="80"/>
    <tableColumn id="8" xr3:uid="{00000000-0010-0000-0800-000008000000}" name="Credit Points" dataDxfId="79"/>
    <tableColumn id="14" xr3:uid="{00000000-0010-0000-0800-00000E000000}" name="Effective" dataDxfId="78"/>
    <tableColumn id="15" xr3:uid="{00000000-0010-0000-0800-00000F000000}" name="Discont." dataDxfId="7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7.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fitToPage="1"/>
  </sheetPr>
  <dimension ref="A1:P78"/>
  <sheetViews>
    <sheetView showGridLines="0" tabSelected="1" topLeftCell="A3" zoomScaleNormal="100" workbookViewId="0">
      <selection activeCell="D6" sqref="D6"/>
    </sheetView>
  </sheetViews>
  <sheetFormatPr defaultColWidth="9" defaultRowHeight="15" x14ac:dyDescent="0.25"/>
  <cols>
    <col min="1" max="1" width="11.375" style="273" customWidth="1"/>
    <col min="2" max="2" width="3.25" style="273" customWidth="1"/>
    <col min="3" max="3" width="11.875" style="273" bestFit="1" customWidth="1"/>
    <col min="4" max="4" width="56" style="264" customWidth="1"/>
    <col min="5" max="5" width="7" style="264" customWidth="1"/>
    <col min="6" max="6" width="21" style="264" bestFit="1" customWidth="1"/>
    <col min="7" max="7" width="5.625" style="264" customWidth="1"/>
    <col min="8" max="8" width="3.25" style="264" customWidth="1"/>
    <col min="9" max="11" width="3.25" style="264" bestFit="1" customWidth="1"/>
    <col min="12" max="12" width="18.625" style="264" customWidth="1"/>
    <col min="13" max="13" width="2.5" style="264" hidden="1" customWidth="1"/>
    <col min="14" max="16384" width="9" style="264"/>
  </cols>
  <sheetData>
    <row r="1" spans="1:16" hidden="1" x14ac:dyDescent="0.25">
      <c r="A1" s="262" t="s">
        <v>0</v>
      </c>
      <c r="B1" s="262" t="s">
        <v>1</v>
      </c>
      <c r="C1" s="262" t="s">
        <v>2</v>
      </c>
      <c r="D1" s="263" t="s">
        <v>3</v>
      </c>
      <c r="E1" s="263"/>
      <c r="F1" s="263" t="s">
        <v>4</v>
      </c>
      <c r="G1" s="263" t="s">
        <v>5</v>
      </c>
      <c r="H1" s="263" t="s">
        <v>6</v>
      </c>
      <c r="I1" s="263"/>
      <c r="J1" s="263"/>
      <c r="K1" s="263"/>
      <c r="L1" s="263" t="s">
        <v>7</v>
      </c>
    </row>
    <row r="2" spans="1:16" hidden="1" x14ac:dyDescent="0.25">
      <c r="A2" s="265"/>
      <c r="B2" s="265">
        <v>2</v>
      </c>
      <c r="C2" s="265">
        <v>3</v>
      </c>
      <c r="D2" s="265">
        <v>4</v>
      </c>
      <c r="E2" s="265"/>
      <c r="F2" s="265">
        <v>6</v>
      </c>
      <c r="G2" s="265">
        <v>5</v>
      </c>
      <c r="H2" s="265">
        <v>7</v>
      </c>
      <c r="I2" s="265">
        <v>8</v>
      </c>
      <c r="J2" s="265">
        <v>9</v>
      </c>
      <c r="K2" s="265">
        <v>10</v>
      </c>
      <c r="L2" s="265"/>
    </row>
    <row r="3" spans="1:16" ht="39.950000000000003" customHeight="1" x14ac:dyDescent="0.25">
      <c r="A3" s="266" t="s">
        <v>8</v>
      </c>
      <c r="B3" s="266"/>
      <c r="C3" s="266"/>
      <c r="D3" s="266"/>
      <c r="E3" s="267"/>
      <c r="F3" s="267"/>
      <c r="G3" s="267"/>
      <c r="H3" s="267"/>
      <c r="I3" s="267"/>
      <c r="J3" s="267"/>
      <c r="K3" s="267"/>
      <c r="L3" s="267"/>
    </row>
    <row r="4" spans="1:16" ht="26.25" x14ac:dyDescent="0.25">
      <c r="A4" s="268"/>
      <c r="B4" s="269"/>
      <c r="C4" s="269"/>
      <c r="D4" s="270" t="s">
        <v>9</v>
      </c>
      <c r="E4" s="271"/>
      <c r="F4" s="269"/>
      <c r="G4" s="272"/>
      <c r="H4" s="272"/>
      <c r="I4" s="272"/>
      <c r="J4" s="272"/>
      <c r="K4" s="272"/>
      <c r="L4" s="272"/>
    </row>
    <row r="5" spans="1:16" ht="20.100000000000001" customHeight="1" x14ac:dyDescent="0.25">
      <c r="B5" s="274"/>
      <c r="C5" s="275" t="s">
        <v>10</v>
      </c>
      <c r="D5" s="276" t="s">
        <v>11</v>
      </c>
      <c r="E5" s="277"/>
      <c r="F5" s="275" t="s">
        <v>12</v>
      </c>
      <c r="G5" s="277" t="str">
        <f>IFERROR(CONCATENATE(VLOOKUP(D5,TableCourses[],2,FALSE)," ",VLOOKUP(D5,TableCourses[],3,FALSE)),"")</f>
        <v>OB-EDEC v.3</v>
      </c>
      <c r="H5" s="277"/>
      <c r="I5" s="277"/>
      <c r="J5" s="277"/>
      <c r="K5" s="277"/>
      <c r="L5" s="278" t="e">
        <f>CONCATENATE(VLOOKUP(D5,TableCourses[],2,FALSE),VLOOKUP(D6,TableStudyPeriods[],2,FALSE))</f>
        <v>#N/A</v>
      </c>
    </row>
    <row r="6" spans="1:16" ht="20.100000000000001" customHeight="1" x14ac:dyDescent="0.25">
      <c r="A6" s="279"/>
      <c r="B6" s="280"/>
      <c r="C6" s="275" t="s">
        <v>13</v>
      </c>
      <c r="D6" s="165" t="s">
        <v>98</v>
      </c>
      <c r="E6" s="281"/>
      <c r="F6" s="275" t="s">
        <v>15</v>
      </c>
      <c r="G6" s="277" t="str">
        <f>IFERROR(VLOOKUP($D$5,TableCourses[],7,FALSE),"")</f>
        <v xml:space="preserve">800 credit points required </v>
      </c>
      <c r="H6" s="282"/>
      <c r="I6" s="282"/>
      <c r="J6" s="282"/>
      <c r="K6" s="282"/>
      <c r="L6" s="283"/>
    </row>
    <row r="7" spans="1:16" s="291" customFormat="1" ht="14.1" customHeight="1" x14ac:dyDescent="0.25">
      <c r="A7" s="284"/>
      <c r="B7" s="284"/>
      <c r="C7" s="284"/>
      <c r="D7" s="285"/>
      <c r="E7" s="286"/>
      <c r="F7" s="284"/>
      <c r="G7" s="284"/>
      <c r="H7" s="287" t="s">
        <v>16</v>
      </c>
      <c r="I7" s="288"/>
      <c r="J7" s="288"/>
      <c r="K7" s="289"/>
      <c r="L7" s="286"/>
      <c r="M7" s="290"/>
      <c r="N7" s="290"/>
      <c r="O7" s="290"/>
    </row>
    <row r="8" spans="1:16" s="291" customFormat="1" ht="21" x14ac:dyDescent="0.25">
      <c r="A8" s="284" t="s">
        <v>17</v>
      </c>
      <c r="B8" s="284"/>
      <c r="C8" s="292" t="s">
        <v>18</v>
      </c>
      <c r="D8" s="293" t="s">
        <v>3</v>
      </c>
      <c r="E8" s="292" t="s">
        <v>19</v>
      </c>
      <c r="F8" s="284" t="s">
        <v>20</v>
      </c>
      <c r="G8" s="284" t="s">
        <v>21</v>
      </c>
      <c r="H8" s="294" t="s">
        <v>22</v>
      </c>
      <c r="I8" s="295" t="s">
        <v>23</v>
      </c>
      <c r="J8" s="295" t="s">
        <v>24</v>
      </c>
      <c r="K8" s="296" t="s">
        <v>25</v>
      </c>
      <c r="L8" s="284" t="s">
        <v>26</v>
      </c>
      <c r="M8" s="290"/>
      <c r="N8" s="290"/>
      <c r="O8" s="290"/>
    </row>
    <row r="9" spans="1:16" s="306" customFormat="1" ht="20.100000000000001" customHeight="1" x14ac:dyDescent="0.15">
      <c r="A9" s="297" t="str">
        <f>IFERROR(IF(HLOOKUP($L$5,RangeUnitsets,M9,FALSE)=0,"",HLOOKUP($L$5,RangeUnitsets,M9,FALSE)),"")</f>
        <v/>
      </c>
      <c r="B9" s="298" t="str">
        <f>IFERROR(IF(VLOOKUP($A9,TableHandbook[],B$2,FALSE)=0,"",VLOOKUP($A9,TableHandbook[],B$2,FALSE)),"")</f>
        <v/>
      </c>
      <c r="C9" s="298" t="str">
        <f>IFERROR(IF(VLOOKUP($A9,TableHandbook[],C$2,FALSE)=0,"",VLOOKUP($A9,TableHandbook[],C$2,FALSE)),"")</f>
        <v/>
      </c>
      <c r="D9" s="299" t="str">
        <f>IFERROR(IF(VLOOKUP($A9,TableHandbook[],D$2,FALSE)=0,"",VLOOKUP($A9,TableHandbook[],D$2,FALSE)),"")</f>
        <v/>
      </c>
      <c r="E9" s="298" t="str">
        <f>IF(OR(A9="",A9="-"),"",VLOOKUP($D$6,TableStudyPeriods[],2,FALSE))</f>
        <v/>
      </c>
      <c r="F9" s="300" t="str">
        <f>IFERROR(IF(VLOOKUP($A9,TableHandbook[],F$2,FALSE)=0,"",VLOOKUP($A9,TableHandbook[],F$2,FALSE)),"")</f>
        <v/>
      </c>
      <c r="G9" s="298" t="str">
        <f>IFERROR(IF(VLOOKUP($A9,TableHandbook[],G$2,FALSE)=0,"",VLOOKUP($A9,TableHandbook[],G$2,FALSE)),"")</f>
        <v/>
      </c>
      <c r="H9" s="301" t="str">
        <f>IFERROR(VLOOKUP($A9,TableHandbook[],H$2,FALSE),"")</f>
        <v/>
      </c>
      <c r="I9" s="302" t="str">
        <f>IFERROR(VLOOKUP($A9,TableHandbook[],I$2,FALSE),"")</f>
        <v/>
      </c>
      <c r="J9" s="302" t="str">
        <f>IFERROR(VLOOKUP($A9,TableHandbook[],J$2,FALSE),"")</f>
        <v/>
      </c>
      <c r="K9" s="303" t="str">
        <f>IFERROR(VLOOKUP($A9,TableHandbook[],K$2,FALSE),"")</f>
        <v/>
      </c>
      <c r="L9" s="45"/>
      <c r="M9" s="304">
        <v>2</v>
      </c>
      <c r="N9" s="305"/>
      <c r="O9" s="305"/>
    </row>
    <row r="10" spans="1:16" s="306" customFormat="1" ht="20.100000000000001" customHeight="1" x14ac:dyDescent="0.15">
      <c r="A10" s="297" t="str">
        <f>IFERROR(IF(HLOOKUP($L$5,RangeUnitsets,M10,FALSE)=0,"",HLOOKUP($L$5,RangeUnitsets,M10,FALSE)),"")</f>
        <v/>
      </c>
      <c r="B10" s="298" t="str">
        <f>IFERROR(IF(VLOOKUP($A10,TableHandbook[],B$2,FALSE)=0,"",VLOOKUP($A10,TableHandbook[],B$2,FALSE)),"")</f>
        <v/>
      </c>
      <c r="C10" s="298" t="str">
        <f>IFERROR(IF(VLOOKUP($A10,TableHandbook[],C$2,FALSE)=0,"",VLOOKUP($A10,TableHandbook[],C$2,FALSE)),"")</f>
        <v/>
      </c>
      <c r="D10" s="299" t="str">
        <f>IFERROR(IF(VLOOKUP($A10,TableHandbook[],D$2,FALSE)=0,"",VLOOKUP($A10,TableHandbook[],D$2,FALSE)),"")</f>
        <v/>
      </c>
      <c r="E10" s="298" t="str">
        <f>IF(OR(A10="",A10="-"),"",E9)</f>
        <v/>
      </c>
      <c r="F10" s="300" t="str">
        <f>IFERROR(IF(VLOOKUP($A10,TableHandbook[],F$2,FALSE)=0,"",VLOOKUP($A10,TableHandbook[],F$2,FALSE)),"")</f>
        <v/>
      </c>
      <c r="G10" s="298" t="str">
        <f>IFERROR(IF(VLOOKUP($A10,TableHandbook[],G$2,FALSE)=0,"",VLOOKUP($A10,TableHandbook[],G$2,FALSE)),"")</f>
        <v/>
      </c>
      <c r="H10" s="301" t="str">
        <f>IFERROR(VLOOKUP($A10,TableHandbook[],H$2,FALSE),"")</f>
        <v/>
      </c>
      <c r="I10" s="302" t="str">
        <f>IFERROR(VLOOKUP($A10,TableHandbook[],I$2,FALSE),"")</f>
        <v/>
      </c>
      <c r="J10" s="302" t="str">
        <f>IFERROR(VLOOKUP($A10,TableHandbook[],J$2,FALSE),"")</f>
        <v/>
      </c>
      <c r="K10" s="303" t="str">
        <f>IFERROR(VLOOKUP($A10,TableHandbook[],K$2,FALSE),"")</f>
        <v/>
      </c>
      <c r="L10" s="45"/>
      <c r="M10" s="304">
        <v>3</v>
      </c>
      <c r="N10" s="305"/>
      <c r="O10" s="305"/>
    </row>
    <row r="11" spans="1:16" s="306" customFormat="1" ht="5.0999999999999996" customHeight="1" x14ac:dyDescent="0.15">
      <c r="A11" s="307"/>
      <c r="B11" s="308"/>
      <c r="C11" s="308"/>
      <c r="D11" s="309"/>
      <c r="E11" s="308"/>
      <c r="F11" s="310"/>
      <c r="G11" s="308"/>
      <c r="H11" s="311"/>
      <c r="I11" s="312"/>
      <c r="J11" s="312"/>
      <c r="K11" s="313"/>
      <c r="L11" s="189"/>
      <c r="M11" s="314"/>
      <c r="N11" s="305"/>
      <c r="O11" s="305"/>
      <c r="P11" s="305"/>
    </row>
    <row r="12" spans="1:16" s="306" customFormat="1" ht="20.100000000000001" customHeight="1" x14ac:dyDescent="0.15">
      <c r="A12" s="297" t="str">
        <f>IFERROR(IF(HLOOKUP($L$5,RangeUnitsets,M12,FALSE)=0,"",HLOOKUP($L$5,RangeUnitsets,M12,FALSE)),"")</f>
        <v/>
      </c>
      <c r="B12" s="298" t="str">
        <f>IFERROR(IF(VLOOKUP($A12,TableHandbook[],B$2,FALSE)=0,"",VLOOKUP($A12,TableHandbook[],B$2,FALSE)),"")</f>
        <v/>
      </c>
      <c r="C12" s="298" t="str">
        <f>IFERROR(IF(VLOOKUP($A12,TableHandbook[],C$2,FALSE)=0,"",VLOOKUP($A12,TableHandbook[],C$2,FALSE)),"")</f>
        <v/>
      </c>
      <c r="D12" s="299" t="str">
        <f>IFERROR(IF(VLOOKUP($A12,TableHandbook[],D$2,FALSE)=0,"",VLOOKUP($A12,TableHandbook[],D$2,FALSE)),"")</f>
        <v/>
      </c>
      <c r="E12" s="298" t="str">
        <f>IF(OR(A12="",A12="-"),"",VLOOKUP($D$6,TableStudyPeriods[],3,FALSE))</f>
        <v/>
      </c>
      <c r="F12" s="300" t="str">
        <f>IFERROR(IF(VLOOKUP($A12,TableHandbook[],F$2,FALSE)=0,"",VLOOKUP($A12,TableHandbook[],F$2,FALSE)),"")</f>
        <v/>
      </c>
      <c r="G12" s="298" t="str">
        <f>IFERROR(IF(VLOOKUP($A12,TableHandbook[],G$2,FALSE)=0,"",VLOOKUP($A12,TableHandbook[],G$2,FALSE)),"")</f>
        <v/>
      </c>
      <c r="H12" s="301" t="str">
        <f>IFERROR(VLOOKUP($A12,TableHandbook[],H$2,FALSE),"")</f>
        <v/>
      </c>
      <c r="I12" s="302" t="str">
        <f>IFERROR(VLOOKUP($A12,TableHandbook[],I$2,FALSE),"")</f>
        <v/>
      </c>
      <c r="J12" s="302" t="str">
        <f>IFERROR(VLOOKUP($A12,TableHandbook[],J$2,FALSE),"")</f>
        <v/>
      </c>
      <c r="K12" s="303" t="str">
        <f>IFERROR(VLOOKUP($A12,TableHandbook[],K$2,FALSE),"")</f>
        <v/>
      </c>
      <c r="L12" s="46"/>
      <c r="M12" s="304">
        <v>4</v>
      </c>
      <c r="N12" s="305"/>
      <c r="O12" s="305"/>
    </row>
    <row r="13" spans="1:16" s="306" customFormat="1" ht="20.100000000000001" customHeight="1" x14ac:dyDescent="0.15">
      <c r="A13" s="297" t="str">
        <f>IFERROR(IF(HLOOKUP($L$5,RangeUnitsets,M13,FALSE)=0,"",HLOOKUP($L$5,RangeUnitsets,M13,FALSE)),"")</f>
        <v/>
      </c>
      <c r="B13" s="298" t="str">
        <f>IFERROR(IF(VLOOKUP($A13,TableHandbook[],B$2,FALSE)=0,"",VLOOKUP($A13,TableHandbook[],B$2,FALSE)),"")</f>
        <v/>
      </c>
      <c r="C13" s="298" t="str">
        <f>IFERROR(IF(VLOOKUP($A13,TableHandbook[],C$2,FALSE)=0,"",VLOOKUP($A13,TableHandbook[],C$2,FALSE)),"")</f>
        <v/>
      </c>
      <c r="D13" s="299" t="str">
        <f>IFERROR(IF(VLOOKUP($A13,TableHandbook[],D$2,FALSE)=0,"",VLOOKUP($A13,TableHandbook[],D$2,FALSE)),"")</f>
        <v/>
      </c>
      <c r="E13" s="298" t="str">
        <f>IF(OR(A13="",A13="-"),"",E12)</f>
        <v/>
      </c>
      <c r="F13" s="300" t="str">
        <f>IFERROR(IF(VLOOKUP($A13,TableHandbook[],F$2,FALSE)=0,"",VLOOKUP($A13,TableHandbook[],F$2,FALSE)),"")</f>
        <v/>
      </c>
      <c r="G13" s="298" t="str">
        <f>IFERROR(IF(VLOOKUP($A13,TableHandbook[],G$2,FALSE)=0,"",VLOOKUP($A13,TableHandbook[],G$2,FALSE)),"")</f>
        <v/>
      </c>
      <c r="H13" s="301" t="str">
        <f>IFERROR(VLOOKUP($A13,TableHandbook[],H$2,FALSE),"")</f>
        <v/>
      </c>
      <c r="I13" s="302" t="str">
        <f>IFERROR(VLOOKUP($A13,TableHandbook[],I$2,FALSE),"")</f>
        <v/>
      </c>
      <c r="J13" s="302" t="str">
        <f>IFERROR(VLOOKUP($A13,TableHandbook[],J$2,FALSE),"")</f>
        <v/>
      </c>
      <c r="K13" s="303" t="str">
        <f>IFERROR(VLOOKUP($A13,TableHandbook[],K$2,FALSE),"")</f>
        <v/>
      </c>
      <c r="L13" s="45"/>
      <c r="M13" s="304">
        <v>5</v>
      </c>
      <c r="N13" s="305"/>
      <c r="O13" s="305"/>
    </row>
    <row r="14" spans="1:16" s="306" customFormat="1" ht="5.0999999999999996" customHeight="1" x14ac:dyDescent="0.15">
      <c r="A14" s="307"/>
      <c r="B14" s="308"/>
      <c r="C14" s="308"/>
      <c r="D14" s="309"/>
      <c r="E14" s="308"/>
      <c r="F14" s="310"/>
      <c r="G14" s="308"/>
      <c r="H14" s="311"/>
      <c r="I14" s="312"/>
      <c r="J14" s="312"/>
      <c r="K14" s="313"/>
      <c r="L14" s="189"/>
      <c r="M14" s="314"/>
      <c r="N14" s="305"/>
      <c r="O14" s="305"/>
      <c r="P14" s="305"/>
    </row>
    <row r="15" spans="1:16" s="306" customFormat="1" ht="20.100000000000001" customHeight="1" x14ac:dyDescent="0.15">
      <c r="A15" s="297" t="str">
        <f>IFERROR(IF(HLOOKUP($L$5,RangeUnitsets,M15,FALSE)=0,"",HLOOKUP($L$5,RangeUnitsets,M15,FALSE)),"")</f>
        <v/>
      </c>
      <c r="B15" s="315" t="str">
        <f>IFERROR(IF(VLOOKUP($A15,TableHandbook[],B$2,FALSE)=0,"",VLOOKUP($A15,TableHandbook[],B$2,FALSE)),"")</f>
        <v/>
      </c>
      <c r="C15" s="315" t="str">
        <f>IFERROR(IF(VLOOKUP($A15,TableHandbook[],C$2,FALSE)=0,"",VLOOKUP($A15,TableHandbook[],C$2,FALSE)),"")</f>
        <v/>
      </c>
      <c r="D15" s="299" t="str">
        <f>IFERROR(IF(VLOOKUP($A15,TableHandbook[],D$2,FALSE)=0,"",VLOOKUP($A15,TableHandbook[],D$2,FALSE)),"")</f>
        <v/>
      </c>
      <c r="E15" s="298" t="str">
        <f>IF(OR(A15="",A15="-"),"",VLOOKUP($D$6,TableStudyPeriods[],4,FALSE))</f>
        <v/>
      </c>
      <c r="F15" s="300" t="str">
        <f>IFERROR(IF(VLOOKUP($A15,TableHandbook[],F$2,FALSE)=0,"",VLOOKUP($A15,TableHandbook[],F$2,FALSE)),"")</f>
        <v/>
      </c>
      <c r="G15" s="315" t="str">
        <f>IFERROR(IF(VLOOKUP($A15,TableHandbook[],G$2,FALSE)=0,"",VLOOKUP($A15,TableHandbook[],G$2,FALSE)),"")</f>
        <v/>
      </c>
      <c r="H15" s="316" t="str">
        <f>IFERROR(VLOOKUP($A15,TableHandbook[],H$2,FALSE),"")</f>
        <v/>
      </c>
      <c r="I15" s="317" t="str">
        <f>IFERROR(VLOOKUP($A15,TableHandbook[],I$2,FALSE),"")</f>
        <v/>
      </c>
      <c r="J15" s="317" t="str">
        <f>IFERROR(VLOOKUP($A15,TableHandbook[],J$2,FALSE),"")</f>
        <v/>
      </c>
      <c r="K15" s="318" t="str">
        <f>IFERROR(VLOOKUP($A15,TableHandbook[],K$2,FALSE),"")</f>
        <v/>
      </c>
      <c r="L15" s="46"/>
      <c r="M15" s="304">
        <v>6</v>
      </c>
      <c r="N15" s="305"/>
      <c r="O15" s="305"/>
    </row>
    <row r="16" spans="1:16" s="320" customFormat="1" ht="20.100000000000001" customHeight="1" x14ac:dyDescent="0.15">
      <c r="A16" s="297" t="str">
        <f>IFERROR(IF(HLOOKUP($L$5,RangeUnitsets,M16,FALSE)=0,"",HLOOKUP($L$5,RangeUnitsets,M16,FALSE)),"")</f>
        <v/>
      </c>
      <c r="B16" s="315" t="str">
        <f>IFERROR(IF(VLOOKUP($A16,TableHandbook[],B$2,FALSE)=0,"",VLOOKUP($A16,TableHandbook[],B$2,FALSE)),"")</f>
        <v/>
      </c>
      <c r="C16" s="315" t="str">
        <f>IFERROR(IF(VLOOKUP($A16,TableHandbook[],C$2,FALSE)=0,"",VLOOKUP($A16,TableHandbook[],C$2,FALSE)),"")</f>
        <v/>
      </c>
      <c r="D16" s="299" t="str">
        <f>IFERROR(IF(VLOOKUP($A16,TableHandbook[],D$2,FALSE)=0,"",VLOOKUP($A16,TableHandbook[],D$2,FALSE)),"")</f>
        <v/>
      </c>
      <c r="E16" s="298" t="str">
        <f>IF(OR(A16="",A16="-"),"",E15)</f>
        <v/>
      </c>
      <c r="F16" s="300" t="str">
        <f>IFERROR(IF(VLOOKUP($A16,TableHandbook[],F$2,FALSE)=0,"",VLOOKUP($A16,TableHandbook[],F$2,FALSE)),"")</f>
        <v/>
      </c>
      <c r="G16" s="315" t="str">
        <f>IFERROR(IF(VLOOKUP($A16,TableHandbook[],G$2,FALSE)=0,"",VLOOKUP($A16,TableHandbook[],G$2,FALSE)),"")</f>
        <v/>
      </c>
      <c r="H16" s="316" t="str">
        <f>IFERROR(VLOOKUP($A16,TableHandbook[],H$2,FALSE),"")</f>
        <v/>
      </c>
      <c r="I16" s="317" t="str">
        <f>IFERROR(VLOOKUP($A16,TableHandbook[],I$2,FALSE),"")</f>
        <v/>
      </c>
      <c r="J16" s="317" t="str">
        <f>IFERROR(VLOOKUP($A16,TableHandbook[],J$2,FALSE),"")</f>
        <v/>
      </c>
      <c r="K16" s="318" t="str">
        <f>IFERROR(VLOOKUP($A16,TableHandbook[],K$2,FALSE),"")</f>
        <v/>
      </c>
      <c r="L16" s="46"/>
      <c r="M16" s="304">
        <v>7</v>
      </c>
      <c r="N16" s="319"/>
      <c r="O16" s="319"/>
    </row>
    <row r="17" spans="1:16" s="306" customFormat="1" ht="5.0999999999999996" customHeight="1" x14ac:dyDescent="0.15">
      <c r="A17" s="307"/>
      <c r="B17" s="308"/>
      <c r="C17" s="308"/>
      <c r="D17" s="309"/>
      <c r="E17" s="308"/>
      <c r="F17" s="310"/>
      <c r="G17" s="308"/>
      <c r="H17" s="311"/>
      <c r="I17" s="312"/>
      <c r="J17" s="312"/>
      <c r="K17" s="313"/>
      <c r="L17" s="189"/>
      <c r="M17" s="314"/>
      <c r="N17" s="305"/>
      <c r="O17" s="305"/>
      <c r="P17" s="305"/>
    </row>
    <row r="18" spans="1:16" s="320" customFormat="1" ht="20.100000000000001" customHeight="1" x14ac:dyDescent="0.15">
      <c r="A18" s="297" t="str">
        <f>IFERROR(IF(HLOOKUP($L$5,RangeUnitsets,M18,FALSE)=0,"",HLOOKUP($L$5,RangeUnitsets,M18,FALSE)),"")</f>
        <v/>
      </c>
      <c r="B18" s="315" t="str">
        <f>IFERROR(IF(VLOOKUP($A18,TableHandbook[],B$2,FALSE)=0,"",VLOOKUP($A18,TableHandbook[],B$2,FALSE)),"")</f>
        <v/>
      </c>
      <c r="C18" s="315" t="str">
        <f>IFERROR(IF(VLOOKUP($A18,TableHandbook[],C$2,FALSE)=0,"",VLOOKUP($A18,TableHandbook[],C$2,FALSE)),"")</f>
        <v/>
      </c>
      <c r="D18" s="299" t="str">
        <f>IFERROR(IF(VLOOKUP($A18,TableHandbook[],D$2,FALSE)=0,"",VLOOKUP($A18,TableHandbook[],D$2,FALSE)),"")</f>
        <v/>
      </c>
      <c r="E18" s="298" t="str">
        <f>IF(OR(A18="",A18="-"),"",VLOOKUP($D$6,TableStudyPeriods[],5,FALSE))</f>
        <v/>
      </c>
      <c r="F18" s="300" t="str">
        <f>IFERROR(IF(VLOOKUP($A18,TableHandbook[],F$2,FALSE)=0,"",VLOOKUP($A18,TableHandbook[],F$2,FALSE)),"")</f>
        <v/>
      </c>
      <c r="G18" s="315" t="str">
        <f>IFERROR(IF(VLOOKUP($A18,TableHandbook[],G$2,FALSE)=0,"",VLOOKUP($A18,TableHandbook[],G$2,FALSE)),"")</f>
        <v/>
      </c>
      <c r="H18" s="316" t="str">
        <f>IFERROR(VLOOKUP($A18,TableHandbook[],H$2,FALSE),"")</f>
        <v/>
      </c>
      <c r="I18" s="317" t="str">
        <f>IFERROR(VLOOKUP($A18,TableHandbook[],I$2,FALSE),"")</f>
        <v/>
      </c>
      <c r="J18" s="317" t="str">
        <f>IFERROR(VLOOKUP($A18,TableHandbook[],J$2,FALSE),"")</f>
        <v/>
      </c>
      <c r="K18" s="318" t="str">
        <f>IFERROR(VLOOKUP($A18,TableHandbook[],K$2,FALSE),"")</f>
        <v/>
      </c>
      <c r="L18" s="46"/>
      <c r="M18" s="304">
        <v>8</v>
      </c>
      <c r="N18" s="319"/>
      <c r="O18" s="319"/>
    </row>
    <row r="19" spans="1:16" s="320" customFormat="1" ht="20.100000000000001" customHeight="1" x14ac:dyDescent="0.15">
      <c r="A19" s="297" t="str">
        <f>IFERROR(IF(HLOOKUP($L$5,RangeUnitsets,M19,FALSE)=0,"",HLOOKUP($L$5,RangeUnitsets,M19,FALSE)),"")</f>
        <v/>
      </c>
      <c r="B19" s="315" t="str">
        <f>IFERROR(IF(VLOOKUP($A19,TableHandbook[],B$2,FALSE)=0,"",VLOOKUP($A19,TableHandbook[],B$2,FALSE)),"")</f>
        <v/>
      </c>
      <c r="C19" s="315" t="str">
        <f>IFERROR(IF(VLOOKUP($A19,TableHandbook[],C$2,FALSE)=0,"",VLOOKUP($A19,TableHandbook[],C$2,FALSE)),"")</f>
        <v/>
      </c>
      <c r="D19" s="321" t="str">
        <f>IFERROR(IF(VLOOKUP($A19,TableHandbook[],D$2,FALSE)=0,"",VLOOKUP($A19,TableHandbook[],D$2,FALSE)),"")</f>
        <v/>
      </c>
      <c r="E19" s="315" t="str">
        <f>IF(OR(A19="",A19="-"),"",E18)</f>
        <v/>
      </c>
      <c r="F19" s="300" t="str">
        <f>IFERROR(IF(VLOOKUP($A19,TableHandbook[],F$2,FALSE)=0,"",VLOOKUP($A19,TableHandbook[],F$2,FALSE)),"")</f>
        <v/>
      </c>
      <c r="G19" s="315" t="str">
        <f>IFERROR(IF(VLOOKUP($A19,TableHandbook[],G$2,FALSE)=0,"",VLOOKUP($A19,TableHandbook[],G$2,FALSE)),"")</f>
        <v/>
      </c>
      <c r="H19" s="316" t="str">
        <f>IFERROR(VLOOKUP($A19,TableHandbook[],H$2,FALSE),"")</f>
        <v/>
      </c>
      <c r="I19" s="317" t="str">
        <f>IFERROR(VLOOKUP($A19,TableHandbook[],I$2,FALSE),"")</f>
        <v/>
      </c>
      <c r="J19" s="317" t="str">
        <f>IFERROR(VLOOKUP($A19,TableHandbook[],J$2,FALSE),"")</f>
        <v/>
      </c>
      <c r="K19" s="318" t="str">
        <f>IFERROR(VLOOKUP($A19,TableHandbook[],K$2,FALSE),"")</f>
        <v/>
      </c>
      <c r="L19" s="46"/>
      <c r="M19" s="304">
        <v>9</v>
      </c>
      <c r="N19" s="319"/>
      <c r="O19" s="319"/>
    </row>
    <row r="20" spans="1:16" s="291" customFormat="1" ht="21" x14ac:dyDescent="0.25">
      <c r="A20" s="284" t="s">
        <v>27</v>
      </c>
      <c r="B20" s="284"/>
      <c r="C20" s="292" t="s">
        <v>18</v>
      </c>
      <c r="D20" s="293" t="s">
        <v>3</v>
      </c>
      <c r="E20" s="292" t="s">
        <v>19</v>
      </c>
      <c r="F20" s="284" t="s">
        <v>20</v>
      </c>
      <c r="G20" s="284" t="s">
        <v>21</v>
      </c>
      <c r="H20" s="294" t="str">
        <f>H$8</f>
        <v>SP1</v>
      </c>
      <c r="I20" s="295" t="str">
        <f t="shared" ref="I20:L20" si="0">I$8</f>
        <v>SP2</v>
      </c>
      <c r="J20" s="295" t="str">
        <f t="shared" si="0"/>
        <v>SP3</v>
      </c>
      <c r="K20" s="296" t="str">
        <f t="shared" si="0"/>
        <v>SP4</v>
      </c>
      <c r="L20" s="284" t="str">
        <f t="shared" si="0"/>
        <v>Notes / Progress</v>
      </c>
      <c r="M20" s="290"/>
      <c r="N20" s="290"/>
      <c r="O20" s="290"/>
    </row>
    <row r="21" spans="1:16" s="306" customFormat="1" ht="20.100000000000001" customHeight="1" x14ac:dyDescent="0.15">
      <c r="A21" s="297" t="str">
        <f>IFERROR(IF(HLOOKUP($L$5,RangeUnitsets,M21,FALSE)=0,"",HLOOKUP($L$5,RangeUnitsets,M21,FALSE)),"")</f>
        <v/>
      </c>
      <c r="B21" s="315" t="str">
        <f>IFERROR(IF(VLOOKUP($A21,TableHandbook[],B$2,FALSE)=0,"",VLOOKUP($A21,TableHandbook[],B$2,FALSE)),"")</f>
        <v/>
      </c>
      <c r="C21" s="315" t="str">
        <f>IFERROR(IF(VLOOKUP($A21,TableHandbook[],C$2,FALSE)=0,"",VLOOKUP($A21,TableHandbook[],C$2,FALSE)),"")</f>
        <v/>
      </c>
      <c r="D21" s="322" t="str">
        <f>IFERROR(IF(VLOOKUP($A21,TableHandbook[],D$2,FALSE)=0,"",VLOOKUP($A21,TableHandbook[],D$2,FALSE)),"")</f>
        <v/>
      </c>
      <c r="E21" s="315" t="str">
        <f>IF(OR(A21="",A21="-"),"",VLOOKUP($D$6,TableStudyPeriods[],2,FALSE))</f>
        <v/>
      </c>
      <c r="F21" s="300" t="str">
        <f>IFERROR(IF(VLOOKUP($A21,TableHandbook[],F$2,FALSE)=0,"",VLOOKUP($A21,TableHandbook[],F$2,FALSE)),"")</f>
        <v/>
      </c>
      <c r="G21" s="298" t="str">
        <f>IFERROR(IF(VLOOKUP($A21,TableHandbook[],G$2,FALSE)=0,"",VLOOKUP($A21,TableHandbook[],G$2,FALSE)),"")</f>
        <v/>
      </c>
      <c r="H21" s="301" t="str">
        <f>IFERROR(VLOOKUP($A21,TableHandbook[],H$2,FALSE),"")</f>
        <v/>
      </c>
      <c r="I21" s="302" t="str">
        <f>IFERROR(VLOOKUP($A21,TableHandbook[],I$2,FALSE),"")</f>
        <v/>
      </c>
      <c r="J21" s="302" t="str">
        <f>IFERROR(VLOOKUP($A21,TableHandbook[],J$2,FALSE),"")</f>
        <v/>
      </c>
      <c r="K21" s="303" t="str">
        <f>IFERROR(VLOOKUP($A21,TableHandbook[],K$2,FALSE),"")</f>
        <v/>
      </c>
      <c r="L21" s="45"/>
      <c r="M21" s="304">
        <v>10</v>
      </c>
      <c r="N21" s="305"/>
      <c r="O21" s="305"/>
    </row>
    <row r="22" spans="1:16" s="306" customFormat="1" ht="19.5" customHeight="1" x14ac:dyDescent="0.15">
      <c r="A22" s="297" t="str">
        <f>IFERROR(IF(HLOOKUP($L$5,RangeUnitsets,M22,FALSE)=0,"",HLOOKUP($L$5,RangeUnitsets,M22,FALSE)),"")</f>
        <v/>
      </c>
      <c r="B22" s="315" t="str">
        <f>IFERROR(IF(VLOOKUP($A22,TableHandbook[],B$2,FALSE)=0,"",VLOOKUP($A22,TableHandbook[],B$2,FALSE)),"")</f>
        <v/>
      </c>
      <c r="C22" s="315" t="str">
        <f>IFERROR(IF(VLOOKUP($A22,TableHandbook[],C$2,FALSE)=0,"",VLOOKUP($A22,TableHandbook[],C$2,FALSE)),"")</f>
        <v/>
      </c>
      <c r="D22" s="321" t="str">
        <f>IFERROR(IF(VLOOKUP($A22,TableHandbook[],D$2,FALSE)=0,"",VLOOKUP($A22,TableHandbook[],D$2,FALSE)),"")</f>
        <v/>
      </c>
      <c r="E22" s="315" t="str">
        <f>IF(OR(A22="",A22="-"),"",E21)</f>
        <v/>
      </c>
      <c r="F22" s="300" t="str">
        <f>IFERROR(IF(VLOOKUP($A22,TableHandbook[],F$2,FALSE)=0,"",VLOOKUP($A22,TableHandbook[],F$2,FALSE)),"")</f>
        <v/>
      </c>
      <c r="G22" s="298" t="str">
        <f>IFERROR(IF(VLOOKUP($A22,TableHandbook[],G$2,FALSE)=0,"",VLOOKUP($A22,TableHandbook[],G$2,FALSE)),"")</f>
        <v/>
      </c>
      <c r="H22" s="301" t="str">
        <f>IFERROR(VLOOKUP($A22,TableHandbook[],H$2,FALSE),"")</f>
        <v/>
      </c>
      <c r="I22" s="302" t="str">
        <f>IFERROR(VLOOKUP($A22,TableHandbook[],I$2,FALSE),"")</f>
        <v/>
      </c>
      <c r="J22" s="302" t="str">
        <f>IFERROR(VLOOKUP($A22,TableHandbook[],J$2,FALSE),"")</f>
        <v/>
      </c>
      <c r="K22" s="303" t="str">
        <f>IFERROR(VLOOKUP($A22,TableHandbook[],K$2,FALSE),"")</f>
        <v/>
      </c>
      <c r="L22" s="45"/>
      <c r="M22" s="304">
        <v>11</v>
      </c>
      <c r="N22" s="305"/>
      <c r="O22" s="305"/>
    </row>
    <row r="23" spans="1:16" s="306" customFormat="1" ht="5.0999999999999996" customHeight="1" x14ac:dyDescent="0.15">
      <c r="A23" s="307"/>
      <c r="B23" s="308"/>
      <c r="C23" s="308"/>
      <c r="D23" s="309"/>
      <c r="E23" s="308"/>
      <c r="F23" s="310"/>
      <c r="G23" s="308"/>
      <c r="H23" s="311"/>
      <c r="I23" s="312"/>
      <c r="J23" s="312"/>
      <c r="K23" s="313"/>
      <c r="L23" s="189"/>
      <c r="M23" s="314"/>
      <c r="N23" s="305"/>
      <c r="O23" s="305"/>
      <c r="P23" s="305"/>
    </row>
    <row r="24" spans="1:16" s="306" customFormat="1" ht="20.100000000000001" customHeight="1" x14ac:dyDescent="0.15">
      <c r="A24" s="297" t="str">
        <f>IFERROR(IF(HLOOKUP($L$5,RangeUnitsets,M24,FALSE)=0,"",HLOOKUP($L$5,RangeUnitsets,M24,FALSE)),"")</f>
        <v/>
      </c>
      <c r="B24" s="315" t="str">
        <f>IFERROR(IF(VLOOKUP($A24,TableHandbook[],B$2,FALSE)=0,"",VLOOKUP($A24,TableHandbook[],B$2,FALSE)),"")</f>
        <v/>
      </c>
      <c r="C24" s="315" t="str">
        <f>IFERROR(IF(VLOOKUP($A24,TableHandbook[],C$2,FALSE)=0,"",VLOOKUP($A24,TableHandbook[],C$2,FALSE)),"")</f>
        <v/>
      </c>
      <c r="D24" s="321" t="str">
        <f>IFERROR(IF(VLOOKUP($A24,TableHandbook[],D$2,FALSE)=0,"",VLOOKUP($A24,TableHandbook[],D$2,FALSE)),"")</f>
        <v/>
      </c>
      <c r="E24" s="315" t="str">
        <f>IF(OR(A24="",A24="-"),"",VLOOKUP($D$6,TableStudyPeriods[],3,FALSE))</f>
        <v/>
      </c>
      <c r="F24" s="300" t="str">
        <f>IFERROR(IF(VLOOKUP($A24,TableHandbook[],F$2,FALSE)=0,"",VLOOKUP($A24,TableHandbook[],F$2,FALSE)),"")</f>
        <v/>
      </c>
      <c r="G24" s="298" t="str">
        <f>IFERROR(IF(VLOOKUP($A24,TableHandbook[],G$2,FALSE)=0,"",VLOOKUP($A24,TableHandbook[],G$2,FALSE)),"")</f>
        <v/>
      </c>
      <c r="H24" s="301" t="str">
        <f>IFERROR(VLOOKUP($A24,TableHandbook[],H$2,FALSE),"")</f>
        <v/>
      </c>
      <c r="I24" s="302" t="str">
        <f>IFERROR(VLOOKUP($A24,TableHandbook[],I$2,FALSE),"")</f>
        <v/>
      </c>
      <c r="J24" s="302" t="str">
        <f>IFERROR(VLOOKUP($A24,TableHandbook[],J$2,FALSE),"")</f>
        <v/>
      </c>
      <c r="K24" s="303" t="str">
        <f>IFERROR(VLOOKUP($A24,TableHandbook[],K$2,FALSE),"")</f>
        <v/>
      </c>
      <c r="L24" s="45"/>
      <c r="M24" s="304">
        <v>12</v>
      </c>
      <c r="N24" s="305"/>
      <c r="O24" s="305"/>
    </row>
    <row r="25" spans="1:16" s="306" customFormat="1" ht="20.100000000000001" customHeight="1" x14ac:dyDescent="0.15">
      <c r="A25" s="297" t="str">
        <f>IFERROR(IF(HLOOKUP($L$5,RangeUnitsets,M25,FALSE)=0,"",HLOOKUP($L$5,RangeUnitsets,M25,FALSE)),"")</f>
        <v/>
      </c>
      <c r="B25" s="315" t="str">
        <f>IFERROR(IF(VLOOKUP($A25,TableHandbook[],B$2,FALSE)=0,"",VLOOKUP($A25,TableHandbook[],B$2,FALSE)),"")</f>
        <v/>
      </c>
      <c r="C25" s="315" t="str">
        <f>IFERROR(IF(VLOOKUP($A25,TableHandbook[],C$2,FALSE)=0,"",VLOOKUP($A25,TableHandbook[],C$2,FALSE)),"")</f>
        <v/>
      </c>
      <c r="D25" s="321" t="str">
        <f>IFERROR(IF(VLOOKUP($A25,TableHandbook[],D$2,FALSE)=0,"",VLOOKUP($A25,TableHandbook[],D$2,FALSE)),"")</f>
        <v/>
      </c>
      <c r="E25" s="315" t="str">
        <f>IF(OR(A25="",A25="-"),"",E24)</f>
        <v/>
      </c>
      <c r="F25" s="300" t="str">
        <f>IFERROR(IF(VLOOKUP($A25,TableHandbook[],F$2,FALSE)=0,"",VLOOKUP($A25,TableHandbook[],F$2,FALSE)),"")</f>
        <v/>
      </c>
      <c r="G25" s="298" t="str">
        <f>IFERROR(IF(VLOOKUP($A25,TableHandbook[],G$2,FALSE)=0,"",VLOOKUP($A25,TableHandbook[],G$2,FALSE)),"")</f>
        <v/>
      </c>
      <c r="H25" s="301" t="str">
        <f>IFERROR(VLOOKUP($A25,TableHandbook[],H$2,FALSE),"")</f>
        <v/>
      </c>
      <c r="I25" s="302" t="str">
        <f>IFERROR(VLOOKUP($A25,TableHandbook[],I$2,FALSE),"")</f>
        <v/>
      </c>
      <c r="J25" s="302" t="str">
        <f>IFERROR(VLOOKUP($A25,TableHandbook[],J$2,FALSE),"")</f>
        <v/>
      </c>
      <c r="K25" s="303" t="str">
        <f>IFERROR(VLOOKUP($A25,TableHandbook[],K$2,FALSE),"")</f>
        <v/>
      </c>
      <c r="L25" s="45"/>
      <c r="M25" s="304">
        <v>13</v>
      </c>
      <c r="N25" s="305"/>
      <c r="O25" s="305"/>
    </row>
    <row r="26" spans="1:16" s="306" customFormat="1" ht="5.0999999999999996" customHeight="1" x14ac:dyDescent="0.15">
      <c r="A26" s="307"/>
      <c r="B26" s="308"/>
      <c r="C26" s="308"/>
      <c r="D26" s="309"/>
      <c r="E26" s="308"/>
      <c r="F26" s="310"/>
      <c r="G26" s="308"/>
      <c r="H26" s="311"/>
      <c r="I26" s="312"/>
      <c r="J26" s="312"/>
      <c r="K26" s="313"/>
      <c r="L26" s="189"/>
      <c r="M26" s="314"/>
      <c r="N26" s="305"/>
      <c r="O26" s="305"/>
      <c r="P26" s="305"/>
    </row>
    <row r="27" spans="1:16" s="306" customFormat="1" ht="20.100000000000001" customHeight="1" x14ac:dyDescent="0.15">
      <c r="A27" s="297" t="str">
        <f>IFERROR(IF(HLOOKUP($L$5,RangeUnitsets,M27,FALSE)=0,"",HLOOKUP($L$5,RangeUnitsets,M27,FALSE)),"")</f>
        <v/>
      </c>
      <c r="B27" s="315" t="str">
        <f>IFERROR(IF(VLOOKUP($A27,TableHandbook[],B$2,FALSE)=0,"",VLOOKUP($A27,TableHandbook[],B$2,FALSE)),"")</f>
        <v/>
      </c>
      <c r="C27" s="315" t="str">
        <f>IFERROR(IF(VLOOKUP($A27,TableHandbook[],C$2,FALSE)=0,"",VLOOKUP($A27,TableHandbook[],C$2,FALSE)),"")</f>
        <v/>
      </c>
      <c r="D27" s="321" t="str">
        <f>IFERROR(IF(VLOOKUP($A27,TableHandbook[],D$2,FALSE)=0,"",VLOOKUP($A27,TableHandbook[],D$2,FALSE)),"")</f>
        <v/>
      </c>
      <c r="E27" s="315" t="str">
        <f>IF(OR(A27="",A27="-"),"",VLOOKUP($D$6,TableStudyPeriods[],4,FALSE))</f>
        <v/>
      </c>
      <c r="F27" s="300" t="str">
        <f>IFERROR(IF(VLOOKUP($A27,TableHandbook[],F$2,FALSE)=0,"",VLOOKUP($A27,TableHandbook[],F$2,FALSE)),"")</f>
        <v/>
      </c>
      <c r="G27" s="298" t="str">
        <f>IFERROR(IF(VLOOKUP($A27,TableHandbook[],G$2,FALSE)=0,"",VLOOKUP($A27,TableHandbook[],G$2,FALSE)),"")</f>
        <v/>
      </c>
      <c r="H27" s="301" t="str">
        <f>IFERROR(VLOOKUP($A27,TableHandbook[],H$2,FALSE),"")</f>
        <v/>
      </c>
      <c r="I27" s="302" t="str">
        <f>IFERROR(VLOOKUP($A27,TableHandbook[],I$2,FALSE),"")</f>
        <v/>
      </c>
      <c r="J27" s="302" t="str">
        <f>IFERROR(VLOOKUP($A27,TableHandbook[],J$2,FALSE),"")</f>
        <v/>
      </c>
      <c r="K27" s="303" t="str">
        <f>IFERROR(VLOOKUP($A27,TableHandbook[],K$2,FALSE),"")</f>
        <v/>
      </c>
      <c r="L27" s="45"/>
      <c r="M27" s="304">
        <v>14</v>
      </c>
      <c r="N27" s="305"/>
      <c r="O27" s="305"/>
    </row>
    <row r="28" spans="1:16" s="306" customFormat="1" ht="20.100000000000001" customHeight="1" x14ac:dyDescent="0.15">
      <c r="A28" s="297" t="str">
        <f>IFERROR(IF(HLOOKUP($L$5,RangeUnitsets,M28,FALSE)=0,"",HLOOKUP($L$5,RangeUnitsets,M28,FALSE)),"")</f>
        <v/>
      </c>
      <c r="B28" s="315" t="str">
        <f>IFERROR(IF(VLOOKUP($A28,TableHandbook[],B$2,FALSE)=0,"",VLOOKUP($A28,TableHandbook[],B$2,FALSE)),"")</f>
        <v/>
      </c>
      <c r="C28" s="315" t="str">
        <f>IFERROR(IF(VLOOKUP($A28,TableHandbook[],C$2,FALSE)=0,"",VLOOKUP($A28,TableHandbook[],C$2,FALSE)),"")</f>
        <v/>
      </c>
      <c r="D28" s="321" t="str">
        <f>IFERROR(IF(VLOOKUP($A28,TableHandbook[],D$2,FALSE)=0,"",VLOOKUP($A28,TableHandbook[],D$2,FALSE)),"")</f>
        <v/>
      </c>
      <c r="E28" s="315" t="str">
        <f>IF(OR(A28="",A28="-"),"",E27)</f>
        <v/>
      </c>
      <c r="F28" s="300" t="str">
        <f>IFERROR(IF(VLOOKUP($A28,TableHandbook[],F$2,FALSE)=0,"",VLOOKUP($A28,TableHandbook[],F$2,FALSE)),"")</f>
        <v/>
      </c>
      <c r="G28" s="298" t="str">
        <f>IFERROR(IF(VLOOKUP($A28,TableHandbook[],G$2,FALSE)=0,"",VLOOKUP($A28,TableHandbook[],G$2,FALSE)),"")</f>
        <v/>
      </c>
      <c r="H28" s="301" t="str">
        <f>IFERROR(VLOOKUP($A28,TableHandbook[],H$2,FALSE),"")</f>
        <v/>
      </c>
      <c r="I28" s="302" t="str">
        <f>IFERROR(VLOOKUP($A28,TableHandbook[],I$2,FALSE),"")</f>
        <v/>
      </c>
      <c r="J28" s="302" t="str">
        <f>IFERROR(VLOOKUP($A28,TableHandbook[],J$2,FALSE),"")</f>
        <v/>
      </c>
      <c r="K28" s="303" t="str">
        <f>IFERROR(VLOOKUP($A28,TableHandbook[],K$2,FALSE),"")</f>
        <v/>
      </c>
      <c r="L28" s="45"/>
      <c r="M28" s="304">
        <v>15</v>
      </c>
      <c r="N28" s="305"/>
      <c r="O28" s="305"/>
    </row>
    <row r="29" spans="1:16" s="306" customFormat="1" ht="5.0999999999999996" customHeight="1" x14ac:dyDescent="0.15">
      <c r="A29" s="307"/>
      <c r="B29" s="308"/>
      <c r="C29" s="308"/>
      <c r="D29" s="309"/>
      <c r="E29" s="308"/>
      <c r="F29" s="310"/>
      <c r="G29" s="308"/>
      <c r="H29" s="311"/>
      <c r="I29" s="312"/>
      <c r="J29" s="312"/>
      <c r="K29" s="313"/>
      <c r="L29" s="189"/>
      <c r="M29" s="314"/>
      <c r="N29" s="305"/>
      <c r="O29" s="305"/>
      <c r="P29" s="305"/>
    </row>
    <row r="30" spans="1:16" s="320" customFormat="1" ht="20.100000000000001" customHeight="1" x14ac:dyDescent="0.15">
      <c r="A30" s="297" t="str">
        <f>IFERROR(IF(HLOOKUP($L$5,RangeUnitsets,M30,FALSE)=0,"",HLOOKUP($L$5,RangeUnitsets,M30,FALSE)),"")</f>
        <v/>
      </c>
      <c r="B30" s="315" t="str">
        <f>IFERROR(IF(VLOOKUP($A30,TableHandbook[],B$2,FALSE)=0,"",VLOOKUP($A30,TableHandbook[],B$2,FALSE)),"")</f>
        <v/>
      </c>
      <c r="C30" s="315" t="str">
        <f>IFERROR(IF(VLOOKUP($A30,TableHandbook[],C$2,FALSE)=0,"",VLOOKUP($A30,TableHandbook[],C$2,FALSE)),"")</f>
        <v/>
      </c>
      <c r="D30" s="321" t="str">
        <f>IFERROR(IF(VLOOKUP($A30,TableHandbook[],D$2,FALSE)=0,"",VLOOKUP($A30,TableHandbook[],D$2,FALSE)),"")</f>
        <v/>
      </c>
      <c r="E30" s="315" t="str">
        <f>IF(OR(A30="",A30="-"),"",VLOOKUP($D$6,TableStudyPeriods[],5,FALSE))</f>
        <v/>
      </c>
      <c r="F30" s="300" t="str">
        <f>IFERROR(IF(VLOOKUP($A30,TableHandbook[],F$2,FALSE)=0,"",VLOOKUP($A30,TableHandbook[],F$2,FALSE)),"")</f>
        <v/>
      </c>
      <c r="G30" s="298" t="str">
        <f>IFERROR(IF(VLOOKUP($A30,TableHandbook[],G$2,FALSE)=0,"",VLOOKUP($A30,TableHandbook[],G$2,FALSE)),"")</f>
        <v/>
      </c>
      <c r="H30" s="301" t="str">
        <f>IFERROR(VLOOKUP($A30,TableHandbook[],H$2,FALSE),"")</f>
        <v/>
      </c>
      <c r="I30" s="302" t="str">
        <f>IFERROR(VLOOKUP($A30,TableHandbook[],I$2,FALSE),"")</f>
        <v/>
      </c>
      <c r="J30" s="302" t="str">
        <f>IFERROR(VLOOKUP($A30,TableHandbook[],J$2,FALSE),"")</f>
        <v/>
      </c>
      <c r="K30" s="303" t="str">
        <f>IFERROR(VLOOKUP($A30,TableHandbook[],K$2,FALSE),"")</f>
        <v/>
      </c>
      <c r="L30" s="45"/>
      <c r="M30" s="304">
        <v>16</v>
      </c>
      <c r="N30" s="319"/>
      <c r="O30" s="319"/>
    </row>
    <row r="31" spans="1:16" s="320" customFormat="1" ht="20.100000000000001" customHeight="1" x14ac:dyDescent="0.15">
      <c r="A31" s="297" t="str">
        <f>IFERROR(IF(HLOOKUP($L$5,RangeUnitsets,M31,FALSE)=0,"",HLOOKUP($L$5,RangeUnitsets,M31,FALSE)),"")</f>
        <v/>
      </c>
      <c r="B31" s="315" t="str">
        <f>IFERROR(IF(VLOOKUP($A31,TableHandbook[],B$2,FALSE)=0,"",VLOOKUP($A31,TableHandbook[],B$2,FALSE)),"")</f>
        <v/>
      </c>
      <c r="C31" s="315" t="str">
        <f>IFERROR(IF(VLOOKUP($A31,TableHandbook[],C$2,FALSE)=0,"",VLOOKUP($A31,TableHandbook[],C$2,FALSE)),"")</f>
        <v/>
      </c>
      <c r="D31" s="321" t="str">
        <f>IFERROR(IF(VLOOKUP($A31,TableHandbook[],D$2,FALSE)=0,"",VLOOKUP($A31,TableHandbook[],D$2,FALSE)),"")</f>
        <v/>
      </c>
      <c r="E31" s="298" t="str">
        <f>IF(OR(A31="",A31="-"),"",E30)</f>
        <v/>
      </c>
      <c r="F31" s="300" t="str">
        <f>IFERROR(IF(VLOOKUP($A31,TableHandbook[],F$2,FALSE)=0,"",VLOOKUP($A31,TableHandbook[],F$2,FALSE)),"")</f>
        <v/>
      </c>
      <c r="G31" s="298" t="str">
        <f>IFERROR(IF(VLOOKUP($A31,TableHandbook[],G$2,FALSE)=0,"",VLOOKUP($A31,TableHandbook[],G$2,FALSE)),"")</f>
        <v/>
      </c>
      <c r="H31" s="301" t="str">
        <f>IFERROR(VLOOKUP($A31,TableHandbook[],H$2,FALSE),"")</f>
        <v/>
      </c>
      <c r="I31" s="302" t="str">
        <f>IFERROR(VLOOKUP($A31,TableHandbook[],I$2,FALSE),"")</f>
        <v/>
      </c>
      <c r="J31" s="302" t="str">
        <f>IFERROR(VLOOKUP($A31,TableHandbook[],J$2,FALSE),"")</f>
        <v/>
      </c>
      <c r="K31" s="303" t="str">
        <f>IFERROR(VLOOKUP($A31,TableHandbook[],K$2,FALSE),"")</f>
        <v/>
      </c>
      <c r="L31" s="45"/>
      <c r="M31" s="304">
        <v>17</v>
      </c>
      <c r="N31" s="319"/>
      <c r="O31" s="319"/>
    </row>
    <row r="32" spans="1:16" s="291" customFormat="1" ht="21" x14ac:dyDescent="0.25">
      <c r="A32" s="284" t="s">
        <v>28</v>
      </c>
      <c r="B32" s="284"/>
      <c r="C32" s="292" t="s">
        <v>18</v>
      </c>
      <c r="D32" s="293" t="s">
        <v>3</v>
      </c>
      <c r="E32" s="292" t="s">
        <v>19</v>
      </c>
      <c r="F32" s="284" t="s">
        <v>20</v>
      </c>
      <c r="G32" s="284" t="s">
        <v>21</v>
      </c>
      <c r="H32" s="294" t="str">
        <f>H$8</f>
        <v>SP1</v>
      </c>
      <c r="I32" s="295" t="str">
        <f t="shared" ref="I32:L32" si="1">I$8</f>
        <v>SP2</v>
      </c>
      <c r="J32" s="295" t="str">
        <f t="shared" si="1"/>
        <v>SP3</v>
      </c>
      <c r="K32" s="296" t="str">
        <f t="shared" si="1"/>
        <v>SP4</v>
      </c>
      <c r="L32" s="284" t="str">
        <f t="shared" si="1"/>
        <v>Notes / Progress</v>
      </c>
      <c r="M32" s="290"/>
      <c r="N32" s="290"/>
      <c r="O32" s="290"/>
    </row>
    <row r="33" spans="1:16" s="306" customFormat="1" ht="20.100000000000001" customHeight="1" x14ac:dyDescent="0.15">
      <c r="A33" s="297" t="str">
        <f>IFERROR(IF(HLOOKUP($L$5,RangeUnitsets,M33,FALSE)=0,"",HLOOKUP($L$5,RangeUnitsets,M33,FALSE)),"")</f>
        <v/>
      </c>
      <c r="B33" s="315" t="str">
        <f>IFERROR(IF(VLOOKUP($A33,TableHandbook[],B$2,FALSE)=0,"",VLOOKUP($A33,TableHandbook[],B$2,FALSE)),"")</f>
        <v/>
      </c>
      <c r="C33" s="315" t="str">
        <f>IFERROR(IF(VLOOKUP($A33,TableHandbook[],C$2,FALSE)=0,"",VLOOKUP($A33,TableHandbook[],C$2,FALSE)),"")</f>
        <v/>
      </c>
      <c r="D33" s="322" t="str">
        <f>IFERROR(IF(VLOOKUP($A33,TableHandbook[],D$2,FALSE)=0,"",VLOOKUP($A33,TableHandbook[],D$2,FALSE)),"")</f>
        <v/>
      </c>
      <c r="E33" s="315" t="str">
        <f>IF(OR(A33="",A33="-"),"",VLOOKUP($D$6,TableStudyPeriods[],2,FALSE))</f>
        <v/>
      </c>
      <c r="F33" s="300" t="str">
        <f>IFERROR(IF(VLOOKUP($A33,TableHandbook[],F$2,FALSE)=0,"",VLOOKUP($A33,TableHandbook[],F$2,FALSE)),"")</f>
        <v/>
      </c>
      <c r="G33" s="298" t="str">
        <f>IFERROR(IF(VLOOKUP($A33,TableHandbook[],G$2,FALSE)=0,"",VLOOKUP($A33,TableHandbook[],G$2,FALSE)),"")</f>
        <v/>
      </c>
      <c r="H33" s="301" t="str">
        <f>IFERROR(VLOOKUP($A33,TableHandbook[],H$2,FALSE),"")</f>
        <v/>
      </c>
      <c r="I33" s="302" t="str">
        <f>IFERROR(VLOOKUP($A33,TableHandbook[],I$2,FALSE),"")</f>
        <v/>
      </c>
      <c r="J33" s="302" t="str">
        <f>IFERROR(VLOOKUP($A33,TableHandbook[],J$2,FALSE),"")</f>
        <v/>
      </c>
      <c r="K33" s="303" t="str">
        <f>IFERROR(VLOOKUP($A33,TableHandbook[],K$2,FALSE),"")</f>
        <v/>
      </c>
      <c r="L33" s="45"/>
      <c r="M33" s="304">
        <v>18</v>
      </c>
      <c r="N33" s="305"/>
      <c r="O33" s="305"/>
    </row>
    <row r="34" spans="1:16" s="306" customFormat="1" ht="19.5" customHeight="1" x14ac:dyDescent="0.15">
      <c r="A34" s="297" t="str">
        <f>IFERROR(IF(HLOOKUP($L$5,RangeUnitsets,M34,FALSE)=0,"",HLOOKUP($L$5,RangeUnitsets,M34,FALSE)),"")</f>
        <v/>
      </c>
      <c r="B34" s="315" t="str">
        <f>IFERROR(IF(VLOOKUP($A34,TableHandbook[],B$2,FALSE)=0,"",VLOOKUP($A34,TableHandbook[],B$2,FALSE)),"")</f>
        <v/>
      </c>
      <c r="C34" s="315" t="str">
        <f>IFERROR(IF(VLOOKUP($A34,TableHandbook[],C$2,FALSE)=0,"",VLOOKUP($A34,TableHandbook[],C$2,FALSE)),"")</f>
        <v/>
      </c>
      <c r="D34" s="321" t="str">
        <f>IFERROR(IF(VLOOKUP($A34,TableHandbook[],D$2,FALSE)=0,"",VLOOKUP($A34,TableHandbook[],D$2,FALSE)),"")</f>
        <v/>
      </c>
      <c r="E34" s="315" t="str">
        <f>IF(OR(A34="",A34="-"),"",E33)</f>
        <v/>
      </c>
      <c r="F34" s="300" t="str">
        <f>IFERROR(IF(VLOOKUP($A34,TableHandbook[],F$2,FALSE)=0,"",VLOOKUP($A34,TableHandbook[],F$2,FALSE)),"")</f>
        <v/>
      </c>
      <c r="G34" s="298" t="str">
        <f>IFERROR(IF(VLOOKUP($A34,TableHandbook[],G$2,FALSE)=0,"",VLOOKUP($A34,TableHandbook[],G$2,FALSE)),"")</f>
        <v/>
      </c>
      <c r="H34" s="301" t="str">
        <f>IFERROR(VLOOKUP($A34,TableHandbook[],H$2,FALSE),"")</f>
        <v/>
      </c>
      <c r="I34" s="302" t="str">
        <f>IFERROR(VLOOKUP($A34,TableHandbook[],I$2,FALSE),"")</f>
        <v/>
      </c>
      <c r="J34" s="302" t="str">
        <f>IFERROR(VLOOKUP($A34,TableHandbook[],J$2,FALSE),"")</f>
        <v/>
      </c>
      <c r="K34" s="303" t="str">
        <f>IFERROR(VLOOKUP($A34,TableHandbook[],K$2,FALSE),"")</f>
        <v/>
      </c>
      <c r="L34" s="45"/>
      <c r="M34" s="304">
        <v>19</v>
      </c>
      <c r="N34" s="305"/>
      <c r="O34" s="305"/>
    </row>
    <row r="35" spans="1:16" s="306" customFormat="1" ht="5.0999999999999996" customHeight="1" x14ac:dyDescent="0.15">
      <c r="A35" s="307"/>
      <c r="B35" s="308"/>
      <c r="C35" s="308"/>
      <c r="D35" s="309"/>
      <c r="E35" s="308"/>
      <c r="F35" s="310"/>
      <c r="G35" s="308"/>
      <c r="H35" s="311"/>
      <c r="I35" s="312"/>
      <c r="J35" s="312"/>
      <c r="K35" s="313"/>
      <c r="L35" s="189"/>
      <c r="M35" s="314"/>
      <c r="N35" s="305"/>
      <c r="O35" s="305"/>
      <c r="P35" s="305"/>
    </row>
    <row r="36" spans="1:16" s="306" customFormat="1" ht="20.100000000000001" customHeight="1" x14ac:dyDescent="0.15">
      <c r="A36" s="297" t="str">
        <f>IFERROR(IF(HLOOKUP($L$5,RangeUnitsets,M36,FALSE)=0,"",HLOOKUP($L$5,RangeUnitsets,M36,FALSE)),"")</f>
        <v/>
      </c>
      <c r="B36" s="315" t="str">
        <f>IFERROR(IF(VLOOKUP($A36,TableHandbook[],B$2,FALSE)=0,"",VLOOKUP($A36,TableHandbook[],B$2,FALSE)),"")</f>
        <v/>
      </c>
      <c r="C36" s="315" t="str">
        <f>IFERROR(IF(VLOOKUP($A36,TableHandbook[],C$2,FALSE)=0,"",VLOOKUP($A36,TableHandbook[],C$2,FALSE)),"")</f>
        <v/>
      </c>
      <c r="D36" s="321" t="str">
        <f>IFERROR(IF(VLOOKUP($A36,TableHandbook[],D$2,FALSE)=0,"",VLOOKUP($A36,TableHandbook[],D$2,FALSE)),"")</f>
        <v/>
      </c>
      <c r="E36" s="315" t="str">
        <f>IF(OR(A36="",A36="-"),"",VLOOKUP($D$6,TableStudyPeriods[],3,FALSE))</f>
        <v/>
      </c>
      <c r="F36" s="300" t="str">
        <f>IFERROR(IF(VLOOKUP($A36,TableHandbook[],F$2,FALSE)=0,"",VLOOKUP($A36,TableHandbook[],F$2,FALSE)),"")</f>
        <v/>
      </c>
      <c r="G36" s="298" t="str">
        <f>IFERROR(IF(VLOOKUP($A36,TableHandbook[],G$2,FALSE)=0,"",VLOOKUP($A36,TableHandbook[],G$2,FALSE)),"")</f>
        <v/>
      </c>
      <c r="H36" s="301" t="str">
        <f>IFERROR(VLOOKUP($A36,TableHandbook[],H$2,FALSE),"")</f>
        <v/>
      </c>
      <c r="I36" s="302" t="str">
        <f>IFERROR(VLOOKUP($A36,TableHandbook[],I$2,FALSE),"")</f>
        <v/>
      </c>
      <c r="J36" s="302" t="str">
        <f>IFERROR(VLOOKUP($A36,TableHandbook[],J$2,FALSE),"")</f>
        <v/>
      </c>
      <c r="K36" s="303" t="str">
        <f>IFERROR(VLOOKUP($A36,TableHandbook[],K$2,FALSE),"")</f>
        <v/>
      </c>
      <c r="L36" s="45"/>
      <c r="M36" s="304">
        <v>20</v>
      </c>
      <c r="N36" s="305"/>
      <c r="O36" s="305"/>
    </row>
    <row r="37" spans="1:16" s="306" customFormat="1" ht="20.100000000000001" customHeight="1" x14ac:dyDescent="0.15">
      <c r="A37" s="297" t="str">
        <f>IFERROR(IF(HLOOKUP($L$5,RangeUnitsets,M37,FALSE)=0,"",HLOOKUP($L$5,RangeUnitsets,M37,FALSE)),"")</f>
        <v/>
      </c>
      <c r="B37" s="315" t="str">
        <f>IFERROR(IF(VLOOKUP($A37,TableHandbook[],B$2,FALSE)=0,"",VLOOKUP($A37,TableHandbook[],B$2,FALSE)),"")</f>
        <v/>
      </c>
      <c r="C37" s="315" t="str">
        <f>IFERROR(IF(VLOOKUP($A37,TableHandbook[],C$2,FALSE)=0,"",VLOOKUP($A37,TableHandbook[],C$2,FALSE)),"")</f>
        <v/>
      </c>
      <c r="D37" s="321" t="str">
        <f>IFERROR(IF(VLOOKUP($A37,TableHandbook[],D$2,FALSE)=0,"",VLOOKUP($A37,TableHandbook[],D$2,FALSE)),"")</f>
        <v/>
      </c>
      <c r="E37" s="315" t="str">
        <f>IF(OR(A37="",A37="-"),"",E36)</f>
        <v/>
      </c>
      <c r="F37" s="300" t="str">
        <f>IFERROR(IF(VLOOKUP($A37,TableHandbook[],F$2,FALSE)=0,"",VLOOKUP($A37,TableHandbook[],F$2,FALSE)),"")</f>
        <v/>
      </c>
      <c r="G37" s="298" t="str">
        <f>IFERROR(IF(VLOOKUP($A37,TableHandbook[],G$2,FALSE)=0,"",VLOOKUP($A37,TableHandbook[],G$2,FALSE)),"")</f>
        <v/>
      </c>
      <c r="H37" s="301" t="str">
        <f>IFERROR(VLOOKUP($A37,TableHandbook[],H$2,FALSE),"")</f>
        <v/>
      </c>
      <c r="I37" s="302" t="str">
        <f>IFERROR(VLOOKUP($A37,TableHandbook[],I$2,FALSE),"")</f>
        <v/>
      </c>
      <c r="J37" s="302" t="str">
        <f>IFERROR(VLOOKUP($A37,TableHandbook[],J$2,FALSE),"")</f>
        <v/>
      </c>
      <c r="K37" s="303" t="str">
        <f>IFERROR(VLOOKUP($A37,TableHandbook[],K$2,FALSE),"")</f>
        <v/>
      </c>
      <c r="L37" s="45"/>
      <c r="M37" s="304">
        <v>21</v>
      </c>
      <c r="N37" s="305"/>
      <c r="O37" s="305"/>
    </row>
    <row r="38" spans="1:16" s="306" customFormat="1" ht="5.0999999999999996" customHeight="1" x14ac:dyDescent="0.15">
      <c r="A38" s="307"/>
      <c r="B38" s="308"/>
      <c r="C38" s="308"/>
      <c r="D38" s="309"/>
      <c r="E38" s="308"/>
      <c r="F38" s="310"/>
      <c r="G38" s="308"/>
      <c r="H38" s="311"/>
      <c r="I38" s="312"/>
      <c r="J38" s="312"/>
      <c r="K38" s="313"/>
      <c r="L38" s="189"/>
      <c r="M38" s="314"/>
      <c r="N38" s="305"/>
      <c r="O38" s="305"/>
      <c r="P38" s="305"/>
    </row>
    <row r="39" spans="1:16" s="306" customFormat="1" ht="20.100000000000001" customHeight="1" x14ac:dyDescent="0.15">
      <c r="A39" s="297" t="str">
        <f>IFERROR(IF(HLOOKUP($L$5,RangeUnitsets,M39,FALSE)=0,"",HLOOKUP($L$5,RangeUnitsets,M39,FALSE)),"")</f>
        <v/>
      </c>
      <c r="B39" s="315" t="str">
        <f>IFERROR(IF(VLOOKUP($A39,TableHandbook[],B$2,FALSE)=0,"",VLOOKUP($A39,TableHandbook[],B$2,FALSE)),"")</f>
        <v/>
      </c>
      <c r="C39" s="315" t="str">
        <f>IFERROR(IF(VLOOKUP($A39,TableHandbook[],C$2,FALSE)=0,"",VLOOKUP($A39,TableHandbook[],C$2,FALSE)),"")</f>
        <v/>
      </c>
      <c r="D39" s="321" t="str">
        <f>IFERROR(IF(VLOOKUP($A39,TableHandbook[],D$2,FALSE)=0,"",VLOOKUP($A39,TableHandbook[],D$2,FALSE)),"")</f>
        <v/>
      </c>
      <c r="E39" s="315" t="str">
        <f>IF(OR(A39="",A39="-"),"",VLOOKUP($D$6,TableStudyPeriods[],4,FALSE))</f>
        <v/>
      </c>
      <c r="F39" s="300" t="str">
        <f>IFERROR(IF(VLOOKUP($A39,TableHandbook[],F$2,FALSE)=0,"",VLOOKUP($A39,TableHandbook[],F$2,FALSE)),"")</f>
        <v/>
      </c>
      <c r="G39" s="298" t="str">
        <f>IFERROR(IF(VLOOKUP($A39,TableHandbook[],G$2,FALSE)=0,"",VLOOKUP($A39,TableHandbook[],G$2,FALSE)),"")</f>
        <v/>
      </c>
      <c r="H39" s="301" t="str">
        <f>IFERROR(VLOOKUP($A39,TableHandbook[],H$2,FALSE),"")</f>
        <v/>
      </c>
      <c r="I39" s="302" t="str">
        <f>IFERROR(VLOOKUP($A39,TableHandbook[],I$2,FALSE),"")</f>
        <v/>
      </c>
      <c r="J39" s="302" t="str">
        <f>IFERROR(VLOOKUP($A39,TableHandbook[],J$2,FALSE),"")</f>
        <v/>
      </c>
      <c r="K39" s="303" t="str">
        <f>IFERROR(VLOOKUP($A39,TableHandbook[],K$2,FALSE),"")</f>
        <v/>
      </c>
      <c r="L39" s="45"/>
      <c r="M39" s="304">
        <v>22</v>
      </c>
      <c r="N39" s="305"/>
      <c r="O39" s="305"/>
    </row>
    <row r="40" spans="1:16" s="306" customFormat="1" ht="20.100000000000001" customHeight="1" x14ac:dyDescent="0.15">
      <c r="A40" s="297" t="str">
        <f>IFERROR(IF(HLOOKUP($L$5,RangeUnitsets,M40,FALSE)=0,"",HLOOKUP($L$5,RangeUnitsets,M40,FALSE)),"")</f>
        <v/>
      </c>
      <c r="B40" s="315" t="str">
        <f>IFERROR(IF(VLOOKUP($A40,TableHandbook[],B$2,FALSE)=0,"",VLOOKUP($A40,TableHandbook[],B$2,FALSE)),"")</f>
        <v/>
      </c>
      <c r="C40" s="315" t="str">
        <f>IFERROR(IF(VLOOKUP($A40,TableHandbook[],C$2,FALSE)=0,"",VLOOKUP($A40,TableHandbook[],C$2,FALSE)),"")</f>
        <v/>
      </c>
      <c r="D40" s="321" t="str">
        <f>IFERROR(IF(VLOOKUP($A40,TableHandbook[],D$2,FALSE)=0,"",VLOOKUP($A40,TableHandbook[],D$2,FALSE)),"")</f>
        <v/>
      </c>
      <c r="E40" s="315" t="str">
        <f>IF(OR(A40="",A40="-"),"",E39)</f>
        <v/>
      </c>
      <c r="F40" s="300" t="str">
        <f>IFERROR(IF(VLOOKUP($A40,TableHandbook[],F$2,FALSE)=0,"",VLOOKUP($A40,TableHandbook[],F$2,FALSE)),"")</f>
        <v/>
      </c>
      <c r="G40" s="298" t="str">
        <f>IFERROR(IF(VLOOKUP($A40,TableHandbook[],G$2,FALSE)=0,"",VLOOKUP($A40,TableHandbook[],G$2,FALSE)),"")</f>
        <v/>
      </c>
      <c r="H40" s="301" t="str">
        <f>IFERROR(VLOOKUP($A40,TableHandbook[],H$2,FALSE),"")</f>
        <v/>
      </c>
      <c r="I40" s="302" t="str">
        <f>IFERROR(VLOOKUP($A40,TableHandbook[],I$2,FALSE),"")</f>
        <v/>
      </c>
      <c r="J40" s="302" t="str">
        <f>IFERROR(VLOOKUP($A40,TableHandbook[],J$2,FALSE),"")</f>
        <v/>
      </c>
      <c r="K40" s="303" t="str">
        <f>IFERROR(VLOOKUP($A40,TableHandbook[],K$2,FALSE),"")</f>
        <v/>
      </c>
      <c r="L40" s="45"/>
      <c r="M40" s="304">
        <v>23</v>
      </c>
      <c r="N40" s="305"/>
      <c r="O40" s="305"/>
    </row>
    <row r="41" spans="1:16" s="306" customFormat="1" ht="5.0999999999999996" customHeight="1" x14ac:dyDescent="0.15">
      <c r="A41" s="307"/>
      <c r="B41" s="308"/>
      <c r="C41" s="308"/>
      <c r="D41" s="309"/>
      <c r="E41" s="308"/>
      <c r="F41" s="310"/>
      <c r="G41" s="308"/>
      <c r="H41" s="311"/>
      <c r="I41" s="312"/>
      <c r="J41" s="312"/>
      <c r="K41" s="313"/>
      <c r="L41" s="189"/>
      <c r="M41" s="314"/>
      <c r="N41" s="305"/>
      <c r="O41" s="305"/>
      <c r="P41" s="305"/>
    </row>
    <row r="42" spans="1:16" s="320" customFormat="1" ht="20.100000000000001" customHeight="1" x14ac:dyDescent="0.15">
      <c r="A42" s="297" t="str">
        <f>IFERROR(IF(HLOOKUP($L$5,RangeUnitsets,M42,FALSE)=0,"",HLOOKUP($L$5,RangeUnitsets,M42,FALSE)),"")</f>
        <v/>
      </c>
      <c r="B42" s="315" t="str">
        <f>IFERROR(IF(VLOOKUP($A42,TableHandbook[],B$2,FALSE)=0,"",VLOOKUP($A42,TableHandbook[],B$2,FALSE)),"")</f>
        <v/>
      </c>
      <c r="C42" s="315" t="str">
        <f>IFERROR(IF(VLOOKUP($A42,TableHandbook[],C$2,FALSE)=0,"",VLOOKUP($A42,TableHandbook[],C$2,FALSE)),"")</f>
        <v/>
      </c>
      <c r="D42" s="321" t="str">
        <f>IFERROR(IF(VLOOKUP($A42,TableHandbook[],D$2,FALSE)=0,"",VLOOKUP($A42,TableHandbook[],D$2,FALSE)),"")</f>
        <v/>
      </c>
      <c r="E42" s="315" t="str">
        <f>IF(OR(A42="",A42="-"),"",VLOOKUP($D$6,TableStudyPeriods[],5,FALSE))</f>
        <v/>
      </c>
      <c r="F42" s="300" t="str">
        <f>IFERROR(IF(VLOOKUP($A42,TableHandbook[],F$2,FALSE)=0,"",VLOOKUP($A42,TableHandbook[],F$2,FALSE)),"")</f>
        <v/>
      </c>
      <c r="G42" s="298" t="str">
        <f>IFERROR(IF(VLOOKUP($A42,TableHandbook[],G$2,FALSE)=0,"",VLOOKUP($A42,TableHandbook[],G$2,FALSE)),"")</f>
        <v/>
      </c>
      <c r="H42" s="301" t="str">
        <f>IFERROR(VLOOKUP($A42,TableHandbook[],H$2,FALSE),"")</f>
        <v/>
      </c>
      <c r="I42" s="302" t="str">
        <f>IFERROR(VLOOKUP($A42,TableHandbook[],I$2,FALSE),"")</f>
        <v/>
      </c>
      <c r="J42" s="302" t="str">
        <f>IFERROR(VLOOKUP($A42,TableHandbook[],J$2,FALSE),"")</f>
        <v/>
      </c>
      <c r="K42" s="303" t="str">
        <f>IFERROR(VLOOKUP($A42,TableHandbook[],K$2,FALSE),"")</f>
        <v/>
      </c>
      <c r="L42" s="45"/>
      <c r="M42" s="304">
        <v>24</v>
      </c>
      <c r="N42" s="319"/>
      <c r="O42" s="319"/>
    </row>
    <row r="43" spans="1:16" s="320" customFormat="1" ht="20.100000000000001" customHeight="1" x14ac:dyDescent="0.15">
      <c r="A43" s="297" t="str">
        <f>IFERROR(IF(HLOOKUP($L$5,RangeUnitsets,M43,FALSE)=0,"",HLOOKUP($L$5,RangeUnitsets,M43,FALSE)),"")</f>
        <v/>
      </c>
      <c r="B43" s="315" t="str">
        <f>IFERROR(IF(VLOOKUP($A43,TableHandbook[],B$2,FALSE)=0,"",VLOOKUP($A43,TableHandbook[],B$2,FALSE)),"")</f>
        <v/>
      </c>
      <c r="C43" s="315" t="str">
        <f>IFERROR(IF(VLOOKUP($A43,TableHandbook[],C$2,FALSE)=0,"",VLOOKUP($A43,TableHandbook[],C$2,FALSE)),"")</f>
        <v/>
      </c>
      <c r="D43" s="321" t="str">
        <f>IFERROR(IF(VLOOKUP($A43,TableHandbook[],D$2,FALSE)=0,"",VLOOKUP($A43,TableHandbook[],D$2,FALSE)),"")</f>
        <v/>
      </c>
      <c r="E43" s="298" t="str">
        <f>IF(OR(A43="",A43="-"),"",E42)</f>
        <v/>
      </c>
      <c r="F43" s="300" t="str">
        <f>IFERROR(IF(VLOOKUP($A43,TableHandbook[],F$2,FALSE)=0,"",VLOOKUP($A43,TableHandbook[],F$2,FALSE)),"")</f>
        <v/>
      </c>
      <c r="G43" s="298" t="str">
        <f>IFERROR(IF(VLOOKUP($A43,TableHandbook[],G$2,FALSE)=0,"",VLOOKUP($A43,TableHandbook[],G$2,FALSE)),"")</f>
        <v/>
      </c>
      <c r="H43" s="301" t="str">
        <f>IFERROR(VLOOKUP($A43,TableHandbook[],H$2,FALSE),"")</f>
        <v/>
      </c>
      <c r="I43" s="302" t="str">
        <f>IFERROR(VLOOKUP($A43,TableHandbook[],I$2,FALSE),"")</f>
        <v/>
      </c>
      <c r="J43" s="302" t="str">
        <f>IFERROR(VLOOKUP($A43,TableHandbook[],J$2,FALSE),"")</f>
        <v/>
      </c>
      <c r="K43" s="303" t="str">
        <f>IFERROR(VLOOKUP($A43,TableHandbook[],K$2,FALSE),"")</f>
        <v/>
      </c>
      <c r="L43" s="45"/>
      <c r="M43" s="304">
        <v>25</v>
      </c>
      <c r="N43" s="319"/>
      <c r="O43" s="319"/>
    </row>
    <row r="44" spans="1:16" s="291" customFormat="1" ht="21" x14ac:dyDescent="0.25">
      <c r="A44" s="284" t="s">
        <v>29</v>
      </c>
      <c r="B44" s="284"/>
      <c r="C44" s="292" t="s">
        <v>18</v>
      </c>
      <c r="D44" s="293" t="s">
        <v>3</v>
      </c>
      <c r="E44" s="292" t="s">
        <v>19</v>
      </c>
      <c r="F44" s="284" t="s">
        <v>20</v>
      </c>
      <c r="G44" s="284" t="s">
        <v>21</v>
      </c>
      <c r="H44" s="294" t="str">
        <f>H$8</f>
        <v>SP1</v>
      </c>
      <c r="I44" s="295" t="str">
        <f t="shared" ref="I44:L44" si="2">I$8</f>
        <v>SP2</v>
      </c>
      <c r="J44" s="295" t="str">
        <f t="shared" si="2"/>
        <v>SP3</v>
      </c>
      <c r="K44" s="296" t="str">
        <f t="shared" si="2"/>
        <v>SP4</v>
      </c>
      <c r="L44" s="284" t="str">
        <f t="shared" si="2"/>
        <v>Notes / Progress</v>
      </c>
      <c r="M44" s="290"/>
      <c r="N44" s="290"/>
      <c r="O44" s="290"/>
    </row>
    <row r="45" spans="1:16" s="306" customFormat="1" ht="20.100000000000001" customHeight="1" x14ac:dyDescent="0.15">
      <c r="A45" s="297" t="str">
        <f>IFERROR(IF(HLOOKUP($L$5,RangeUnitsets,M45,FALSE)=0,"",HLOOKUP($L$5,RangeUnitsets,M45,FALSE)),"")</f>
        <v/>
      </c>
      <c r="B45" s="315" t="str">
        <f>IFERROR(IF(VLOOKUP($A45,TableHandbook[],B$2,FALSE)=0,"",VLOOKUP($A45,TableHandbook[],B$2,FALSE)),"")</f>
        <v/>
      </c>
      <c r="C45" s="315" t="str">
        <f>IFERROR(IF(VLOOKUP($A45,TableHandbook[],C$2,FALSE)=0,"",VLOOKUP($A45,TableHandbook[],C$2,FALSE)),"")</f>
        <v/>
      </c>
      <c r="D45" s="322" t="str">
        <f>IFERROR(IF(VLOOKUP($A45,TableHandbook[],D$2,FALSE)=0,"",VLOOKUP($A45,TableHandbook[],D$2,FALSE)),"")</f>
        <v/>
      </c>
      <c r="E45" s="315" t="str">
        <f>IF(OR(A45="",A45="-"),"",VLOOKUP($D$6,TableStudyPeriods[],2,FALSE))</f>
        <v/>
      </c>
      <c r="F45" s="300" t="str">
        <f>IFERROR(IF(VLOOKUP($A45,TableHandbook[],F$2,FALSE)=0,"",VLOOKUP($A45,TableHandbook[],F$2,FALSE)),"")</f>
        <v/>
      </c>
      <c r="G45" s="298" t="str">
        <f>IFERROR(IF(VLOOKUP($A45,TableHandbook[],G$2,FALSE)=0,"",VLOOKUP($A45,TableHandbook[],G$2,FALSE)),"")</f>
        <v/>
      </c>
      <c r="H45" s="301" t="str">
        <f>IFERROR(VLOOKUP($A45,TableHandbook[],H$2,FALSE),"")</f>
        <v/>
      </c>
      <c r="I45" s="302" t="str">
        <f>IFERROR(VLOOKUP($A45,TableHandbook[],I$2,FALSE),"")</f>
        <v/>
      </c>
      <c r="J45" s="302" t="str">
        <f>IFERROR(VLOOKUP($A45,TableHandbook[],J$2,FALSE),"")</f>
        <v/>
      </c>
      <c r="K45" s="303" t="str">
        <f>IFERROR(VLOOKUP($A45,TableHandbook[],K$2,FALSE),"")</f>
        <v/>
      </c>
      <c r="L45" s="45"/>
      <c r="M45" s="304">
        <v>26</v>
      </c>
      <c r="N45" s="305"/>
      <c r="O45" s="305"/>
    </row>
    <row r="46" spans="1:16" s="306" customFormat="1" ht="19.5" customHeight="1" x14ac:dyDescent="0.15">
      <c r="A46" s="297" t="str">
        <f>IFERROR(IF(HLOOKUP($L$5,RangeUnitsets,M46,FALSE)=0,"",HLOOKUP($L$5,RangeUnitsets,M46,FALSE)),"")</f>
        <v/>
      </c>
      <c r="B46" s="315" t="str">
        <f>IFERROR(IF(VLOOKUP($A46,TableHandbook[],B$2,FALSE)=0,"",VLOOKUP($A46,TableHandbook[],B$2,FALSE)),"")</f>
        <v/>
      </c>
      <c r="C46" s="315" t="str">
        <f>IFERROR(IF(VLOOKUP($A46,TableHandbook[],C$2,FALSE)=0,"",VLOOKUP($A46,TableHandbook[],C$2,FALSE)),"")</f>
        <v/>
      </c>
      <c r="D46" s="321" t="str">
        <f>IFERROR(IF(VLOOKUP($A46,TableHandbook[],D$2,FALSE)=0,"",VLOOKUP($A46,TableHandbook[],D$2,FALSE)),"")</f>
        <v/>
      </c>
      <c r="E46" s="315" t="str">
        <f>IF(OR(A46="",A46="-"),"",E45)</f>
        <v/>
      </c>
      <c r="F46" s="300" t="str">
        <f>IFERROR(IF(VLOOKUP($A46,TableHandbook[],F$2,FALSE)=0,"",VLOOKUP($A46,TableHandbook[],F$2,FALSE)),"")</f>
        <v/>
      </c>
      <c r="G46" s="298" t="str">
        <f>IFERROR(IF(VLOOKUP($A46,TableHandbook[],G$2,FALSE)=0,"",VLOOKUP($A46,TableHandbook[],G$2,FALSE)),"")</f>
        <v/>
      </c>
      <c r="H46" s="301" t="str">
        <f>IFERROR(VLOOKUP($A46,TableHandbook[],H$2,FALSE),"")</f>
        <v/>
      </c>
      <c r="I46" s="302" t="str">
        <f>IFERROR(VLOOKUP($A46,TableHandbook[],I$2,FALSE),"")</f>
        <v/>
      </c>
      <c r="J46" s="302" t="str">
        <f>IFERROR(VLOOKUP($A46,TableHandbook[],J$2,FALSE),"")</f>
        <v/>
      </c>
      <c r="K46" s="303" t="str">
        <f>IFERROR(VLOOKUP($A46,TableHandbook[],K$2,FALSE),"")</f>
        <v/>
      </c>
      <c r="L46" s="45"/>
      <c r="M46" s="304">
        <v>27</v>
      </c>
      <c r="N46" s="305"/>
      <c r="O46" s="305"/>
    </row>
    <row r="47" spans="1:16" s="306" customFormat="1" ht="5.0999999999999996" customHeight="1" x14ac:dyDescent="0.15">
      <c r="A47" s="307"/>
      <c r="B47" s="308"/>
      <c r="C47" s="308"/>
      <c r="D47" s="309"/>
      <c r="E47" s="308"/>
      <c r="F47" s="310"/>
      <c r="G47" s="308"/>
      <c r="H47" s="311"/>
      <c r="I47" s="312"/>
      <c r="J47" s="312"/>
      <c r="K47" s="313"/>
      <c r="L47" s="189"/>
      <c r="M47" s="314"/>
      <c r="N47" s="305"/>
      <c r="O47" s="305"/>
      <c r="P47" s="305"/>
    </row>
    <row r="48" spans="1:16" s="306" customFormat="1" ht="20.100000000000001" customHeight="1" x14ac:dyDescent="0.15">
      <c r="A48" s="297" t="str">
        <f>IFERROR(IF(HLOOKUP($L$5,RangeUnitsets,M48,FALSE)=0,"",HLOOKUP($L$5,RangeUnitsets,M48,FALSE)),"")</f>
        <v/>
      </c>
      <c r="B48" s="315" t="str">
        <f>IFERROR(IF(VLOOKUP($A48,TableHandbook[],B$2,FALSE)=0,"",VLOOKUP($A48,TableHandbook[],B$2,FALSE)),"")</f>
        <v/>
      </c>
      <c r="C48" s="315" t="str">
        <f>IFERROR(IF(VLOOKUP($A48,TableHandbook[],C$2,FALSE)=0,"",VLOOKUP($A48,TableHandbook[],C$2,FALSE)),"")</f>
        <v/>
      </c>
      <c r="D48" s="321" t="str">
        <f>IFERROR(IF(VLOOKUP($A48,TableHandbook[],D$2,FALSE)=0,"",VLOOKUP($A48,TableHandbook[],D$2,FALSE)),"")</f>
        <v/>
      </c>
      <c r="E48" s="315" t="str">
        <f>IF(OR(A48="",A48="-"),"",VLOOKUP($D$6,TableStudyPeriods[],3,FALSE))</f>
        <v/>
      </c>
      <c r="F48" s="300" t="str">
        <f>IFERROR(IF(VLOOKUP($A48,TableHandbook[],F$2,FALSE)=0,"",VLOOKUP($A48,TableHandbook[],F$2,FALSE)),"")</f>
        <v/>
      </c>
      <c r="G48" s="298" t="str">
        <f>IFERROR(IF(VLOOKUP($A48,TableHandbook[],G$2,FALSE)=0,"",VLOOKUP($A48,TableHandbook[],G$2,FALSE)),"")</f>
        <v/>
      </c>
      <c r="H48" s="301" t="str">
        <f>IFERROR(VLOOKUP($A48,TableHandbook[],H$2,FALSE),"")</f>
        <v/>
      </c>
      <c r="I48" s="302" t="str">
        <f>IFERROR(VLOOKUP($A48,TableHandbook[],I$2,FALSE),"")</f>
        <v/>
      </c>
      <c r="J48" s="302" t="str">
        <f>IFERROR(VLOOKUP($A48,TableHandbook[],J$2,FALSE),"")</f>
        <v/>
      </c>
      <c r="K48" s="303" t="str">
        <f>IFERROR(VLOOKUP($A48,TableHandbook[],K$2,FALSE),"")</f>
        <v/>
      </c>
      <c r="L48" s="45"/>
      <c r="M48" s="304">
        <v>28</v>
      </c>
      <c r="N48" s="305"/>
      <c r="O48" s="305"/>
    </row>
    <row r="49" spans="1:16" s="306" customFormat="1" ht="20.100000000000001" customHeight="1" x14ac:dyDescent="0.15">
      <c r="A49" s="297" t="str">
        <f>IFERROR(IF(HLOOKUP($L$5,RangeUnitsets,M49,FALSE)=0,"",HLOOKUP($L$5,RangeUnitsets,M49,FALSE)),"")</f>
        <v/>
      </c>
      <c r="B49" s="315" t="str">
        <f>IFERROR(IF(VLOOKUP($A49,TableHandbook[],B$2,FALSE)=0,"",VLOOKUP($A49,TableHandbook[],B$2,FALSE)),"")</f>
        <v/>
      </c>
      <c r="C49" s="315" t="str">
        <f>IFERROR(IF(VLOOKUP($A49,TableHandbook[],C$2,FALSE)=0,"",VLOOKUP($A49,TableHandbook[],C$2,FALSE)),"")</f>
        <v/>
      </c>
      <c r="D49" s="321" t="str">
        <f>IFERROR(IF(VLOOKUP($A49,TableHandbook[],D$2,FALSE)=0,"",VLOOKUP($A49,TableHandbook[],D$2,FALSE)),"")</f>
        <v/>
      </c>
      <c r="E49" s="315" t="str">
        <f>IF(OR(A49="",A49="-"),"",E48)</f>
        <v/>
      </c>
      <c r="F49" s="300" t="str">
        <f>IFERROR(IF(VLOOKUP($A49,TableHandbook[],F$2,FALSE)=0,"",VLOOKUP($A49,TableHandbook[],F$2,FALSE)),"")</f>
        <v/>
      </c>
      <c r="G49" s="298" t="str">
        <f>IFERROR(IF(VLOOKUP($A49,TableHandbook[],G$2,FALSE)=0,"",VLOOKUP($A49,TableHandbook[],G$2,FALSE)),"")</f>
        <v/>
      </c>
      <c r="H49" s="301" t="str">
        <f>IFERROR(VLOOKUP($A49,TableHandbook[],H$2,FALSE),"")</f>
        <v/>
      </c>
      <c r="I49" s="302" t="str">
        <f>IFERROR(VLOOKUP($A49,TableHandbook[],I$2,FALSE),"")</f>
        <v/>
      </c>
      <c r="J49" s="302" t="str">
        <f>IFERROR(VLOOKUP($A49,TableHandbook[],J$2,FALSE),"")</f>
        <v/>
      </c>
      <c r="K49" s="303" t="str">
        <f>IFERROR(VLOOKUP($A49,TableHandbook[],K$2,FALSE),"")</f>
        <v/>
      </c>
      <c r="L49" s="45"/>
      <c r="M49" s="304">
        <v>29</v>
      </c>
      <c r="N49" s="305"/>
      <c r="O49" s="305"/>
    </row>
    <row r="50" spans="1:16" s="306" customFormat="1" ht="4.5" customHeight="1" x14ac:dyDescent="0.15">
      <c r="A50" s="307"/>
      <c r="B50" s="308"/>
      <c r="C50" s="308"/>
      <c r="D50" s="309"/>
      <c r="E50" s="308"/>
      <c r="F50" s="310"/>
      <c r="G50" s="308"/>
      <c r="H50" s="311"/>
      <c r="I50" s="312"/>
      <c r="J50" s="312"/>
      <c r="K50" s="313"/>
      <c r="L50" s="189"/>
      <c r="M50" s="314"/>
      <c r="N50" s="305"/>
      <c r="O50" s="305"/>
      <c r="P50" s="305"/>
    </row>
    <row r="51" spans="1:16" s="306" customFormat="1" ht="20.100000000000001" customHeight="1" x14ac:dyDescent="0.15">
      <c r="A51" s="297" t="str">
        <f>IFERROR(IF(HLOOKUP($L$5,RangeUnitsets,M51,FALSE)=0,"",HLOOKUP($L$5,RangeUnitsets,M51,FALSE)),"")</f>
        <v/>
      </c>
      <c r="B51" s="315" t="str">
        <f>IFERROR(IF(VLOOKUP($A51,TableHandbook[],B$2,FALSE)=0,"",VLOOKUP($A51,TableHandbook[],B$2,FALSE)),"")</f>
        <v/>
      </c>
      <c r="C51" s="315" t="str">
        <f>IFERROR(IF(VLOOKUP($A51,TableHandbook[],C$2,FALSE)=0,"",VLOOKUP($A51,TableHandbook[],C$2,FALSE)),"")</f>
        <v/>
      </c>
      <c r="D51" s="321" t="str">
        <f>IFERROR(IF(VLOOKUP($A51,TableHandbook[],D$2,FALSE)=0,"",VLOOKUP($A51,TableHandbook[],D$2,FALSE)),"")</f>
        <v/>
      </c>
      <c r="E51" s="315" t="str">
        <f>IF(OR(A51="",A51="-"),"",VLOOKUP($D$6,TableStudyPeriods[],4,FALSE))</f>
        <v/>
      </c>
      <c r="F51" s="300" t="str">
        <f>IFERROR(IF(VLOOKUP($A51,TableHandbook[],F$2,FALSE)=0,"",VLOOKUP($A51,TableHandbook[],F$2,FALSE)),"")</f>
        <v/>
      </c>
      <c r="G51" s="298" t="str">
        <f>IFERROR(IF(VLOOKUP($A51,TableHandbook[],G$2,FALSE)=0,"",VLOOKUP($A51,TableHandbook[],G$2,FALSE)),"")</f>
        <v/>
      </c>
      <c r="H51" s="301" t="str">
        <f>IFERROR(VLOOKUP($A51,TableHandbook[],H$2,FALSE),"")</f>
        <v/>
      </c>
      <c r="I51" s="302" t="str">
        <f>IFERROR(VLOOKUP($A51,TableHandbook[],I$2,FALSE),"")</f>
        <v/>
      </c>
      <c r="J51" s="302" t="str">
        <f>IFERROR(VLOOKUP($A51,TableHandbook[],J$2,FALSE),"")</f>
        <v/>
      </c>
      <c r="K51" s="303" t="str">
        <f>IFERROR(VLOOKUP($A51,TableHandbook[],K$2,FALSE),"")</f>
        <v/>
      </c>
      <c r="L51" s="45"/>
      <c r="M51" s="304">
        <v>30</v>
      </c>
      <c r="N51" s="305"/>
      <c r="O51" s="305"/>
    </row>
    <row r="52" spans="1:16" s="306" customFormat="1" ht="20.100000000000001" customHeight="1" x14ac:dyDescent="0.15">
      <c r="A52" s="297" t="str">
        <f>IFERROR(IF(HLOOKUP($L$5,RangeUnitsets,M52,FALSE)=0,"",HLOOKUP($L$5,RangeUnitsets,M52,FALSE)),"")</f>
        <v/>
      </c>
      <c r="B52" s="315" t="str">
        <f>IFERROR(IF(VLOOKUP($A52,TableHandbook[],B$2,FALSE)=0,"",VLOOKUP($A52,TableHandbook[],B$2,FALSE)),"")</f>
        <v/>
      </c>
      <c r="C52" s="315" t="str">
        <f>IFERROR(IF(VLOOKUP($A52,TableHandbook[],C$2,FALSE)=0,"",VLOOKUP($A52,TableHandbook[],C$2,FALSE)),"")</f>
        <v/>
      </c>
      <c r="D52" s="321" t="str">
        <f>IFERROR(IF(VLOOKUP($A52,TableHandbook[],D$2,FALSE)=0,"",VLOOKUP($A52,TableHandbook[],D$2,FALSE)),"")</f>
        <v/>
      </c>
      <c r="E52" s="315" t="str">
        <f>IF(OR(A52="",A52="-"),"",E51)</f>
        <v/>
      </c>
      <c r="F52" s="300" t="str">
        <f>IFERROR(IF(VLOOKUP($A52,TableHandbook[],F$2,FALSE)=0,"",VLOOKUP($A52,TableHandbook[],F$2,FALSE)),"")</f>
        <v/>
      </c>
      <c r="G52" s="298" t="str">
        <f>IFERROR(IF(VLOOKUP($A52,TableHandbook[],G$2,FALSE)=0,"",VLOOKUP($A52,TableHandbook[],G$2,FALSE)),"")</f>
        <v/>
      </c>
      <c r="H52" s="301" t="str">
        <f>IFERROR(VLOOKUP($A52,TableHandbook[],H$2,FALSE),"")</f>
        <v/>
      </c>
      <c r="I52" s="302" t="str">
        <f>IFERROR(VLOOKUP($A52,TableHandbook[],I$2,FALSE),"")</f>
        <v/>
      </c>
      <c r="J52" s="302" t="str">
        <f>IFERROR(VLOOKUP($A52,TableHandbook[],J$2,FALSE),"")</f>
        <v/>
      </c>
      <c r="K52" s="303" t="str">
        <f>IFERROR(VLOOKUP($A52,TableHandbook[],K$2,FALSE),"")</f>
        <v/>
      </c>
      <c r="L52" s="45"/>
      <c r="M52" s="304">
        <v>31</v>
      </c>
      <c r="N52" s="305"/>
      <c r="O52" s="305"/>
    </row>
    <row r="53" spans="1:16" s="328" customFormat="1" ht="13.9" customHeight="1" x14ac:dyDescent="0.2">
      <c r="A53" s="323"/>
      <c r="B53" s="323"/>
      <c r="C53" s="323"/>
      <c r="D53" s="324"/>
      <c r="E53" s="325"/>
      <c r="F53" s="326"/>
      <c r="G53" s="326"/>
      <c r="H53" s="326"/>
      <c r="I53" s="326"/>
      <c r="J53" s="326"/>
      <c r="K53" s="326"/>
      <c r="L53" s="326"/>
      <c r="M53" s="327"/>
      <c r="N53" s="327"/>
      <c r="O53" s="327"/>
    </row>
    <row r="54" spans="1:16" ht="16.5" x14ac:dyDescent="0.25">
      <c r="A54" s="329" t="s">
        <v>30</v>
      </c>
      <c r="B54" s="330"/>
      <c r="C54" s="330"/>
      <c r="D54" s="331"/>
      <c r="E54" s="332"/>
      <c r="F54" s="332"/>
      <c r="G54" s="332"/>
      <c r="H54" s="333" t="str">
        <f>H7</f>
        <v>2025 Availabilities</v>
      </c>
      <c r="I54" s="334"/>
      <c r="J54" s="334"/>
      <c r="K54" s="335"/>
      <c r="L54" s="336" t="str">
        <f>VLOOKUP(D5,TableCourses[],2,FALSE)</f>
        <v>OB-EDEC</v>
      </c>
    </row>
    <row r="55" spans="1:16" s="343" customFormat="1" x14ac:dyDescent="0.25">
      <c r="A55" s="337"/>
      <c r="B55" s="337"/>
      <c r="C55" s="337" t="s">
        <v>18</v>
      </c>
      <c r="D55" s="338" t="s">
        <v>3</v>
      </c>
      <c r="E55" s="337"/>
      <c r="F55" s="337" t="s">
        <v>20</v>
      </c>
      <c r="G55" s="337" t="s">
        <v>21</v>
      </c>
      <c r="H55" s="339" t="str">
        <f>H$8</f>
        <v>SP1</v>
      </c>
      <c r="I55" s="340" t="str">
        <f t="shared" ref="I55:L55" si="3">I$8</f>
        <v>SP2</v>
      </c>
      <c r="J55" s="340" t="str">
        <f t="shared" si="3"/>
        <v>SP3</v>
      </c>
      <c r="K55" s="341" t="str">
        <f t="shared" si="3"/>
        <v>SP4</v>
      </c>
      <c r="L55" s="342" t="str">
        <f t="shared" si="3"/>
        <v>Notes / Progress</v>
      </c>
    </row>
    <row r="56" spans="1:16" x14ac:dyDescent="0.25">
      <c r="A56" s="344" t="str">
        <f t="shared" ref="A56:A75" si="4">IFERROR(IF(HLOOKUP($L$54,RangeOptions,$M56,FALSE)=0,"",HLOOKUP($L$54,RangeOptions,$M56,FALSE)),"")</f>
        <v>SE.iStem</v>
      </c>
      <c r="B56" s="345" t="str">
        <f>IFERROR(IF(VLOOKUP($A56,TableHandbook[],2,FALSE)=0,"",VLOOKUP($A56,TableHandbook[],2,FALSE)),"")</f>
        <v/>
      </c>
      <c r="C56" s="346" t="str">
        <f>IFERROR(IF(VLOOKUP($A56,TableHandbook[],3,FALSE)=0,"",VLOOKUP($A56,TableHandbook[],3,FALSE)),"")</f>
        <v/>
      </c>
      <c r="D56" s="347" t="str">
        <f>IFERROR(IF(VLOOKUP($A56,TableHandbook[],4,FALSE)=0,"",VLOOKUP($A56,TableHandbook[],4,FALSE)),"")</f>
        <v>iSTEM Specified Electives</v>
      </c>
      <c r="E56" s="348"/>
      <c r="F56" s="349" t="str">
        <f>IFERROR(IF(VLOOKUP($A56,TableHandbook[],6,FALSE)=0,"",VLOOKUP($A56,TableHandbook[],6,FALSE)),"")</f>
        <v/>
      </c>
      <c r="G56" s="349" t="str">
        <f>IFERROR(IF(VLOOKUP($A56,TableHandbook[],5,FALSE)=0,"",VLOOKUP($A56,TableHandbook[],5,FALSE)),"")</f>
        <v/>
      </c>
      <c r="H56" s="350" t="str">
        <f>IFERROR(VLOOKUP($A56,TableHandbook[],H$2,FALSE),"")</f>
        <v/>
      </c>
      <c r="I56" s="350" t="str">
        <f>IFERROR(VLOOKUP($A56,TableHandbook[],I$2,FALSE),"")</f>
        <v/>
      </c>
      <c r="J56" s="350" t="str">
        <f>IFERROR(VLOOKUP($A56,TableHandbook[],J$2,FALSE),"")</f>
        <v/>
      </c>
      <c r="K56" s="350" t="str">
        <f>IFERROR(VLOOKUP($A56,TableHandbook[],K$2,FALSE),"")</f>
        <v/>
      </c>
      <c r="L56" s="46"/>
      <c r="M56" s="304">
        <v>2</v>
      </c>
    </row>
    <row r="57" spans="1:16" x14ac:dyDescent="0.25">
      <c r="A57" s="344" t="str">
        <f t="shared" si="4"/>
        <v>EDUC4026</v>
      </c>
      <c r="B57" s="345">
        <f>IFERROR(IF(VLOOKUP($A57,TableHandbook[],2,FALSE)=0,"",VLOOKUP($A57,TableHandbook[],2,FALSE)),"")</f>
        <v>1</v>
      </c>
      <c r="C57" s="346" t="str">
        <f>IFERROR(IF(VLOOKUP($A57,TableHandbook[],3,FALSE)=0,"",VLOOKUP($A57,TableHandbook[],3,FALSE)),"")</f>
        <v>EDC488</v>
      </c>
      <c r="D57" s="347" t="str">
        <f>IFERROR(IF(VLOOKUP($A57,TableHandbook[],4,FALSE)=0,"",VLOOKUP($A57,TableHandbook[],4,FALSE)),"")</f>
        <v>Project-based iSTEM Education</v>
      </c>
      <c r="E57" s="348"/>
      <c r="F57" s="349" t="str">
        <f>IFERROR(IF(VLOOKUP($A57,TableHandbook[],6,FALSE)=0,"",VLOOKUP($A57,TableHandbook[],6,FALSE)),"")</f>
        <v>Nil</v>
      </c>
      <c r="G57" s="349">
        <f>IFERROR(IF(VLOOKUP($A57,TableHandbook[],5,FALSE)=0,"",VLOOKUP($A57,TableHandbook[],5,FALSE)),"")</f>
        <v>25</v>
      </c>
      <c r="H57" s="350" t="str">
        <f>IFERROR(VLOOKUP($A57,TableHandbook[],H$2,FALSE),"")</f>
        <v/>
      </c>
      <c r="I57" s="350" t="str">
        <f>IFERROR(VLOOKUP($A57,TableHandbook[],I$2,FALSE),"")</f>
        <v/>
      </c>
      <c r="J57" s="350" t="str">
        <f>IFERROR(VLOOKUP($A57,TableHandbook[],J$2,FALSE),"")</f>
        <v>Y</v>
      </c>
      <c r="K57" s="350" t="str">
        <f>IFERROR(VLOOKUP($A57,TableHandbook[],K$2,FALSE),"")</f>
        <v/>
      </c>
      <c r="L57" s="46"/>
      <c r="M57" s="304">
        <v>3</v>
      </c>
    </row>
    <row r="58" spans="1:16" x14ac:dyDescent="0.25">
      <c r="A58" s="344" t="str">
        <f t="shared" si="4"/>
        <v>EDUC4033</v>
      </c>
      <c r="B58" s="345">
        <f>IFERROR(IF(VLOOKUP($A58,TableHandbook[],2,FALSE)=0,"",VLOOKUP($A58,TableHandbook[],2,FALSE)),"")</f>
        <v>1</v>
      </c>
      <c r="C58" s="346" t="str">
        <f>IFERROR(IF(VLOOKUP($A58,TableHandbook[],3,FALSE)=0,"",VLOOKUP($A58,TableHandbook[],3,FALSE)),"")</f>
        <v>EDC492</v>
      </c>
      <c r="D58" s="347" t="str">
        <f>IFERROR(IF(VLOOKUP($A58,TableHandbook[],4,FALSE)=0,"",VLOOKUP($A58,TableHandbook[],4,FALSE)),"")</f>
        <v>iSTEM Education through Digital Stories</v>
      </c>
      <c r="E58" s="348"/>
      <c r="F58" s="349" t="str">
        <f>IFERROR(IF(VLOOKUP($A58,TableHandbook[],6,FALSE)=0,"",VLOOKUP($A58,TableHandbook[],6,FALSE)),"")</f>
        <v>Nil</v>
      </c>
      <c r="G58" s="349">
        <f>IFERROR(IF(VLOOKUP($A58,TableHandbook[],5,FALSE)=0,"",VLOOKUP($A58,TableHandbook[],5,FALSE)),"")</f>
        <v>25</v>
      </c>
      <c r="H58" s="350" t="str">
        <f>IFERROR(VLOOKUP($A58,TableHandbook[],H$2,FALSE),"")</f>
        <v/>
      </c>
      <c r="I58" s="350" t="str">
        <f>IFERROR(VLOOKUP($A58,TableHandbook[],I$2,FALSE),"")</f>
        <v>Y</v>
      </c>
      <c r="J58" s="350" t="str">
        <f>IFERROR(VLOOKUP($A58,TableHandbook[],J$2,FALSE),"")</f>
        <v/>
      </c>
      <c r="K58" s="350" t="str">
        <f>IFERROR(VLOOKUP($A58,TableHandbook[],K$2,FALSE),"")</f>
        <v/>
      </c>
      <c r="L58" s="46"/>
      <c r="M58" s="304">
        <v>4</v>
      </c>
    </row>
    <row r="59" spans="1:16" x14ac:dyDescent="0.25">
      <c r="A59" s="344" t="str">
        <f t="shared" si="4"/>
        <v>EDUC4035</v>
      </c>
      <c r="B59" s="345">
        <f>IFERROR(IF(VLOOKUP($A59,TableHandbook[],2,FALSE)=0,"",VLOOKUP($A59,TableHandbook[],2,FALSE)),"")</f>
        <v>1</v>
      </c>
      <c r="C59" s="346" t="str">
        <f>IFERROR(IF(VLOOKUP($A59,TableHandbook[],3,FALSE)=0,"",VLOOKUP($A59,TableHandbook[],3,FALSE)),"")</f>
        <v>EDC493</v>
      </c>
      <c r="D59" s="347" t="str">
        <f>IFERROR(IF(VLOOKUP($A59,TableHandbook[],4,FALSE)=0,"",VLOOKUP($A59,TableHandbook[],4,FALSE)),"")</f>
        <v>iSTEM: Social Issues</v>
      </c>
      <c r="E59" s="348"/>
      <c r="F59" s="349" t="str">
        <f>IFERROR(IF(VLOOKUP($A59,TableHandbook[],6,FALSE)=0,"",VLOOKUP($A59,TableHandbook[],6,FALSE)),"")</f>
        <v>Nil</v>
      </c>
      <c r="G59" s="349">
        <f>IFERROR(IF(VLOOKUP($A59,TableHandbook[],5,FALSE)=0,"",VLOOKUP($A59,TableHandbook[],5,FALSE)),"")</f>
        <v>25</v>
      </c>
      <c r="H59" s="350" t="str">
        <f>IFERROR(VLOOKUP($A59,TableHandbook[],H$2,FALSE),"")</f>
        <v>Y</v>
      </c>
      <c r="I59" s="350" t="str">
        <f>IFERROR(VLOOKUP($A59,TableHandbook[],I$2,FALSE),"")</f>
        <v/>
      </c>
      <c r="J59" s="350" t="str">
        <f>IFERROR(VLOOKUP($A59,TableHandbook[],J$2,FALSE),"")</f>
        <v/>
      </c>
      <c r="K59" s="350" t="str">
        <f>IFERROR(VLOOKUP($A59,TableHandbook[],K$2,FALSE),"")</f>
        <v/>
      </c>
      <c r="L59" s="46"/>
      <c r="M59" s="304">
        <v>5</v>
      </c>
    </row>
    <row r="60" spans="1:16" x14ac:dyDescent="0.25">
      <c r="A60" s="344" t="str">
        <f t="shared" si="4"/>
        <v>SE.ELL</v>
      </c>
      <c r="B60" s="345" t="str">
        <f>IFERROR(IF(VLOOKUP($A60,TableHandbook[],2,FALSE)=0,"",VLOOKUP($A60,TableHandbook[],2,FALSE)),"")</f>
        <v/>
      </c>
      <c r="C60" s="346" t="str">
        <f>IFERROR(IF(VLOOKUP($A60,TableHandbook[],3,FALSE)=0,"",VLOOKUP($A60,TableHandbook[],3,FALSE)),"")</f>
        <v/>
      </c>
      <c r="D60" s="347" t="str">
        <f>IFERROR(IF(VLOOKUP($A60,TableHandbook[],4,FALSE)=0,"",VLOOKUP($A60,TableHandbook[],4,FALSE)),"")</f>
        <v>English Language and Literacy Specified Electives</v>
      </c>
      <c r="E60" s="348"/>
      <c r="F60" s="349" t="str">
        <f>IFERROR(IF(VLOOKUP($A60,TableHandbook[],6,FALSE)=0,"",VLOOKUP($A60,TableHandbook[],6,FALSE)),"")</f>
        <v/>
      </c>
      <c r="G60" s="349" t="str">
        <f>IFERROR(IF(VLOOKUP($A60,TableHandbook[],5,FALSE)=0,"",VLOOKUP($A60,TableHandbook[],5,FALSE)),"")</f>
        <v/>
      </c>
      <c r="H60" s="350" t="str">
        <f>IFERROR(VLOOKUP($A60,TableHandbook[],H$2,FALSE),"")</f>
        <v/>
      </c>
      <c r="I60" s="350" t="str">
        <f>IFERROR(VLOOKUP($A60,TableHandbook[],I$2,FALSE),"")</f>
        <v/>
      </c>
      <c r="J60" s="350" t="str">
        <f>IFERROR(VLOOKUP($A60,TableHandbook[],J$2,FALSE),"")</f>
        <v/>
      </c>
      <c r="K60" s="350" t="str">
        <f>IFERROR(VLOOKUP($A60,TableHandbook[],K$2,FALSE),"")</f>
        <v/>
      </c>
      <c r="L60" s="46"/>
      <c r="M60" s="304">
        <v>6</v>
      </c>
    </row>
    <row r="61" spans="1:16" x14ac:dyDescent="0.25">
      <c r="A61" s="344" t="str">
        <f t="shared" si="4"/>
        <v>EDUC4024</v>
      </c>
      <c r="B61" s="345">
        <f>IFERROR(IF(VLOOKUP($A61,TableHandbook[],2,FALSE)=0,"",VLOOKUP($A61,TableHandbook[],2,FALSE)),"")</f>
        <v>1</v>
      </c>
      <c r="C61" s="346" t="str">
        <f>IFERROR(IF(VLOOKUP($A61,TableHandbook[],3,FALSE)=0,"",VLOOKUP($A61,TableHandbook[],3,FALSE)),"")</f>
        <v>EDC486</v>
      </c>
      <c r="D61" s="347" t="str">
        <f>IFERROR(IF(VLOOKUP($A61,TableHandbook[],4,FALSE)=0,"",VLOOKUP($A61,TableHandbook[],4,FALSE)),"")</f>
        <v>Creating and Responding to Literature</v>
      </c>
      <c r="E61" s="348"/>
      <c r="F61" s="349" t="str">
        <f>IFERROR(IF(VLOOKUP($A61,TableHandbook[],6,FALSE)=0,"",VLOOKUP($A61,TableHandbook[],6,FALSE)),"")</f>
        <v>Nil</v>
      </c>
      <c r="G61" s="349">
        <f>IFERROR(IF(VLOOKUP($A61,TableHandbook[],5,FALSE)=0,"",VLOOKUP($A61,TableHandbook[],5,FALSE)),"")</f>
        <v>25</v>
      </c>
      <c r="H61" s="350" t="str">
        <f>IFERROR(VLOOKUP($A61,TableHandbook[],H$2,FALSE),"")</f>
        <v/>
      </c>
      <c r="I61" s="350" t="str">
        <f>IFERROR(VLOOKUP($A61,TableHandbook[],I$2,FALSE),"")</f>
        <v>Y</v>
      </c>
      <c r="J61" s="350" t="str">
        <f>IFERROR(VLOOKUP($A61,TableHandbook[],J$2,FALSE),"")</f>
        <v/>
      </c>
      <c r="K61" s="350" t="str">
        <f>IFERROR(VLOOKUP($A61,TableHandbook[],K$2,FALSE),"")</f>
        <v/>
      </c>
      <c r="L61" s="46"/>
      <c r="M61" s="304">
        <v>7</v>
      </c>
    </row>
    <row r="62" spans="1:16" x14ac:dyDescent="0.25">
      <c r="A62" s="344" t="str">
        <f t="shared" si="4"/>
        <v>EDUC4025</v>
      </c>
      <c r="B62" s="345">
        <f>IFERROR(IF(VLOOKUP($A62,TableHandbook[],2,FALSE)=0,"",VLOOKUP($A62,TableHandbook[],2,FALSE)),"")</f>
        <v>1</v>
      </c>
      <c r="C62" s="346" t="str">
        <f>IFERROR(IF(VLOOKUP($A62,TableHandbook[],3,FALSE)=0,"",VLOOKUP($A62,TableHandbook[],3,FALSE)),"")</f>
        <v>EDC487</v>
      </c>
      <c r="D62" s="347" t="str">
        <f>IFERROR(IF(VLOOKUP($A62,TableHandbook[],4,FALSE)=0,"",VLOOKUP($A62,TableHandbook[],4,FALSE)),"")</f>
        <v>Creative Literacies</v>
      </c>
      <c r="E62" s="351"/>
      <c r="F62" s="349" t="str">
        <f>IFERROR(IF(VLOOKUP($A62,TableHandbook[],6,FALSE)=0,"",VLOOKUP($A62,TableHandbook[],6,FALSE)),"")</f>
        <v>Nil</v>
      </c>
      <c r="G62" s="346">
        <f>IFERROR(IF(VLOOKUP($A62,TableHandbook[],5,FALSE)=0,"",VLOOKUP($A62,TableHandbook[],5,FALSE)),"")</f>
        <v>25</v>
      </c>
      <c r="H62" s="350" t="str">
        <f>IFERROR(VLOOKUP($A62,TableHandbook[],H$2,FALSE),"")</f>
        <v/>
      </c>
      <c r="I62" s="350" t="str">
        <f>IFERROR(VLOOKUP($A62,TableHandbook[],I$2,FALSE),"")</f>
        <v/>
      </c>
      <c r="J62" s="350" t="str">
        <f>IFERROR(VLOOKUP($A62,TableHandbook[],J$2,FALSE),"")</f>
        <v>Y</v>
      </c>
      <c r="K62" s="350" t="str">
        <f>IFERROR(VLOOKUP($A62,TableHandbook[],K$2,FALSE),"")</f>
        <v/>
      </c>
      <c r="L62" s="45"/>
      <c r="M62" s="304">
        <v>8</v>
      </c>
    </row>
    <row r="63" spans="1:16" x14ac:dyDescent="0.25">
      <c r="A63" s="344" t="str">
        <f t="shared" si="4"/>
        <v>EDUC4037</v>
      </c>
      <c r="B63" s="345">
        <f>IFERROR(IF(VLOOKUP($A63,TableHandbook[],2,FALSE)=0,"",VLOOKUP($A63,TableHandbook[],2,FALSE)),"")</f>
        <v>1</v>
      </c>
      <c r="C63" s="346" t="str">
        <f>IFERROR(IF(VLOOKUP($A63,TableHandbook[],3,FALSE)=0,"",VLOOKUP($A63,TableHandbook[],3,FALSE)),"")</f>
        <v>EDC494</v>
      </c>
      <c r="D63" s="347" t="str">
        <f>IFERROR(IF(VLOOKUP($A63,TableHandbook[],4,FALSE)=0,"",VLOOKUP($A63,TableHandbook[],4,FALSE)),"")</f>
        <v>Language and Diversity</v>
      </c>
      <c r="E63" s="348"/>
      <c r="F63" s="349" t="str">
        <f>IFERROR(IF(VLOOKUP($A63,TableHandbook[],6,FALSE)=0,"",VLOOKUP($A63,TableHandbook[],6,FALSE)),"")</f>
        <v>Nil</v>
      </c>
      <c r="G63" s="349">
        <f>IFERROR(IF(VLOOKUP($A63,TableHandbook[],5,FALSE)=0,"",VLOOKUP($A63,TableHandbook[],5,FALSE)),"")</f>
        <v>25</v>
      </c>
      <c r="H63" s="350" t="str">
        <f>IFERROR(VLOOKUP($A63,TableHandbook[],H$2,FALSE),"")</f>
        <v/>
      </c>
      <c r="I63" s="350" t="str">
        <f>IFERROR(VLOOKUP($A63,TableHandbook[],I$2,FALSE),"")</f>
        <v/>
      </c>
      <c r="J63" s="350" t="str">
        <f>IFERROR(VLOOKUP($A63,TableHandbook[],J$2,FALSE),"")</f>
        <v/>
      </c>
      <c r="K63" s="350" t="str">
        <f>IFERROR(VLOOKUP($A63,TableHandbook[],K$2,FALSE),"")</f>
        <v>Y</v>
      </c>
      <c r="L63" s="45"/>
      <c r="M63" s="304">
        <v>9</v>
      </c>
    </row>
    <row r="64" spans="1:16" x14ac:dyDescent="0.25">
      <c r="A64" s="344" t="str">
        <f t="shared" si="4"/>
        <v>SE.LNDP</v>
      </c>
      <c r="B64" s="345" t="str">
        <f>IFERROR(IF(VLOOKUP($A64,TableHandbook[],2,FALSE)=0,"",VLOOKUP($A64,TableHandbook[],2,FALSE)),"")</f>
        <v/>
      </c>
      <c r="C64" s="346" t="str">
        <f>IFERROR(IF(VLOOKUP($A64,TableHandbook[],3,FALSE)=0,"",VLOOKUP($A64,TableHandbook[],3,FALSE)),"")</f>
        <v/>
      </c>
      <c r="D64" s="347" t="str">
        <f>IFERROR(IF(VLOOKUP($A64,TableHandbook[],4,FALSE)=0,"",VLOOKUP($A64,TableHandbook[],4,FALSE)),"")</f>
        <v>Literacy and Numeracy in Diverse Populations Specified Electives</v>
      </c>
      <c r="E64" s="348"/>
      <c r="F64" s="349" t="str">
        <f>IFERROR(IF(VLOOKUP($A64,TableHandbook[],6,FALSE)=0,"",VLOOKUP($A64,TableHandbook[],6,FALSE)),"")</f>
        <v/>
      </c>
      <c r="G64" s="349" t="str">
        <f>IFERROR(IF(VLOOKUP($A64,TableHandbook[],5,FALSE)=0,"",VLOOKUP($A64,TableHandbook[],5,FALSE)),"")</f>
        <v/>
      </c>
      <c r="H64" s="350" t="str">
        <f>IFERROR(VLOOKUP($A64,TableHandbook[],H$2,FALSE),"")</f>
        <v/>
      </c>
      <c r="I64" s="350" t="str">
        <f>IFERROR(VLOOKUP($A64,TableHandbook[],I$2,FALSE),"")</f>
        <v/>
      </c>
      <c r="J64" s="350" t="str">
        <f>IFERROR(VLOOKUP($A64,TableHandbook[],J$2,FALSE),"")</f>
        <v/>
      </c>
      <c r="K64" s="350" t="str">
        <f>IFERROR(VLOOKUP($A64,TableHandbook[],K$2,FALSE),"")</f>
        <v/>
      </c>
      <c r="L64" s="46"/>
      <c r="M64" s="304">
        <v>10</v>
      </c>
    </row>
    <row r="65" spans="1:15" x14ac:dyDescent="0.25">
      <c r="A65" s="344" t="str">
        <f t="shared" si="4"/>
        <v>EDUC4028</v>
      </c>
      <c r="B65" s="345">
        <f>IFERROR(IF(VLOOKUP($A65,TableHandbook[],2,FALSE)=0,"",VLOOKUP($A65,TableHandbook[],2,FALSE)),"")</f>
        <v>1</v>
      </c>
      <c r="C65" s="346" t="str">
        <f>IFERROR(IF(VLOOKUP($A65,TableHandbook[],3,FALSE)=0,"",VLOOKUP($A65,TableHandbook[],3,FALSE)),"")</f>
        <v>EDC490</v>
      </c>
      <c r="D65" s="347" t="str">
        <f>IFERROR(IF(VLOOKUP($A65,TableHandbook[],4,FALSE)=0,"",VLOOKUP($A65,TableHandbook[],4,FALSE)),"")</f>
        <v>Supporting Literacy and Numeracy Development for Diverse Learners</v>
      </c>
      <c r="E65" s="348"/>
      <c r="F65" s="349" t="str">
        <f>IFERROR(IF(VLOOKUP($A65,TableHandbook[],6,FALSE)=0,"",VLOOKUP($A65,TableHandbook[],6,FALSE)),"")</f>
        <v>Nil</v>
      </c>
      <c r="G65" s="349">
        <f>IFERROR(IF(VLOOKUP($A65,TableHandbook[],5,FALSE)=0,"",VLOOKUP($A65,TableHandbook[],5,FALSE)),"")</f>
        <v>25</v>
      </c>
      <c r="H65" s="350" t="str">
        <f>IFERROR(VLOOKUP($A65,TableHandbook[],H$2,FALSE),"")</f>
        <v/>
      </c>
      <c r="I65" s="350" t="str">
        <f>IFERROR(VLOOKUP($A65,TableHandbook[],I$2,FALSE),"")</f>
        <v/>
      </c>
      <c r="J65" s="350" t="str">
        <f>IFERROR(VLOOKUP($A65,TableHandbook[],J$2,FALSE),"")</f>
        <v/>
      </c>
      <c r="K65" s="350" t="str">
        <f>IFERROR(VLOOKUP($A65,TableHandbook[],K$2,FALSE),"")</f>
        <v>Y</v>
      </c>
      <c r="L65" s="46"/>
      <c r="M65" s="304">
        <v>11</v>
      </c>
    </row>
    <row r="66" spans="1:15" x14ac:dyDescent="0.25">
      <c r="A66" s="344" t="str">
        <f t="shared" si="4"/>
        <v>EDUC4043</v>
      </c>
      <c r="B66" s="345">
        <f>IFERROR(IF(VLOOKUP($A66,TableHandbook[],2,FALSE)=0,"",VLOOKUP($A66,TableHandbook[],2,FALSE)),"")</f>
        <v>1</v>
      </c>
      <c r="C66" s="346" t="str">
        <f>IFERROR(IF(VLOOKUP($A66,TableHandbook[],3,FALSE)=0,"",VLOOKUP($A66,TableHandbook[],3,FALSE)),"")</f>
        <v>EDC465</v>
      </c>
      <c r="D66" s="347" t="str">
        <f>IFERROR(IF(VLOOKUP($A66,TableHandbook[],4,FALSE)=0,"",VLOOKUP($A66,TableHandbook[],4,FALSE)),"")</f>
        <v>Alternative Approaches to Teaching Literacy and Numeracy</v>
      </c>
      <c r="E66" s="351"/>
      <c r="F66" s="349" t="str">
        <f>IFERROR(IF(VLOOKUP($A66,TableHandbook[],6,FALSE)=0,"",VLOOKUP($A66,TableHandbook[],6,FALSE)),"")</f>
        <v>Nil</v>
      </c>
      <c r="G66" s="349">
        <f>IFERROR(IF(VLOOKUP($A66,TableHandbook[],5,FALSE)=0,"",VLOOKUP($A66,TableHandbook[],5,FALSE)),"")</f>
        <v>25</v>
      </c>
      <c r="H66" s="350" t="str">
        <f>IFERROR(VLOOKUP($A66,TableHandbook[],H$2,FALSE),"")</f>
        <v/>
      </c>
      <c r="I66" s="350" t="str">
        <f>IFERROR(VLOOKUP($A66,TableHandbook[],I$2,FALSE),"")</f>
        <v>Y</v>
      </c>
      <c r="J66" s="350" t="str">
        <f>IFERROR(VLOOKUP($A66,TableHandbook[],J$2,FALSE),"")</f>
        <v/>
      </c>
      <c r="K66" s="350" t="str">
        <f>IFERROR(VLOOKUP($A66,TableHandbook[],K$2,FALSE),"")</f>
        <v/>
      </c>
      <c r="L66" s="46"/>
      <c r="M66" s="304">
        <v>12</v>
      </c>
    </row>
    <row r="67" spans="1:15" x14ac:dyDescent="0.25">
      <c r="A67" s="344" t="str">
        <f t="shared" si="4"/>
        <v>EDUC4045</v>
      </c>
      <c r="B67" s="345">
        <f>IFERROR(IF(VLOOKUP($A67,TableHandbook[],2,FALSE)=0,"",VLOOKUP($A67,TableHandbook[],2,FALSE)),"")</f>
        <v>2</v>
      </c>
      <c r="C67" s="346" t="str">
        <f>IFERROR(IF(VLOOKUP($A67,TableHandbook[],3,FALSE)=0,"",VLOOKUP($A67,TableHandbook[],3,FALSE)),"")</f>
        <v>EDC460</v>
      </c>
      <c r="D67" s="347" t="str">
        <f>IFERROR(IF(VLOOKUP($A67,TableHandbook[],4,FALSE)=0,"",VLOOKUP($A67,TableHandbook[],4,FALSE)),"")</f>
        <v>Literacy and Numeracy for First Nations Peoples of Australia</v>
      </c>
      <c r="E67" s="351"/>
      <c r="F67" s="349" t="str">
        <f>IFERROR(IF(VLOOKUP($A67,TableHandbook[],6,FALSE)=0,"",VLOOKUP($A67,TableHandbook[],6,FALSE)),"")</f>
        <v>Nil</v>
      </c>
      <c r="G67" s="349">
        <f>IFERROR(IF(VLOOKUP($A67,TableHandbook[],5,FALSE)=0,"",VLOOKUP($A67,TableHandbook[],5,FALSE)),"")</f>
        <v>25</v>
      </c>
      <c r="H67" s="350" t="str">
        <f>IFERROR(VLOOKUP($A67,TableHandbook[],H$2,FALSE),"")</f>
        <v/>
      </c>
      <c r="I67" s="350" t="str">
        <f>IFERROR(VLOOKUP($A67,TableHandbook[],I$2,FALSE),"")</f>
        <v/>
      </c>
      <c r="J67" s="350" t="str">
        <f>IFERROR(VLOOKUP($A67,TableHandbook[],J$2,FALSE),"")</f>
        <v>Y</v>
      </c>
      <c r="K67" s="350" t="str">
        <f>IFERROR(VLOOKUP($A67,TableHandbook[],K$2,FALSE),"")</f>
        <v/>
      </c>
      <c r="L67" s="46"/>
      <c r="M67" s="304">
        <v>13</v>
      </c>
    </row>
    <row r="68" spans="1:15" x14ac:dyDescent="0.25">
      <c r="A68" s="344" t="str">
        <f t="shared" si="4"/>
        <v>SE.T</v>
      </c>
      <c r="B68" s="345" t="str">
        <f>IFERROR(IF(VLOOKUP($A68,TableHandbook[],2,FALSE)=0,"",VLOOKUP($A68,TableHandbook[],2,FALSE)),"")</f>
        <v/>
      </c>
      <c r="C68" s="346" t="str">
        <f>IFERROR(IF(VLOOKUP($A68,TableHandbook[],3,FALSE)=0,"",VLOOKUP($A68,TableHandbook[],3,FALSE)),"")</f>
        <v/>
      </c>
      <c r="D68" s="347" t="str">
        <f>IFERROR(IF(VLOOKUP($A68,TableHandbook[],4,FALSE)=0,"",VLOOKUP($A68,TableHandbook[],4,FALSE)),"")</f>
        <v>Technologies Specified Electives</v>
      </c>
      <c r="E68" s="351"/>
      <c r="F68" s="349" t="str">
        <f>IFERROR(IF(VLOOKUP($A68,TableHandbook[],6,FALSE)=0,"",VLOOKUP($A68,TableHandbook[],6,FALSE)),"")</f>
        <v/>
      </c>
      <c r="G68" s="349" t="str">
        <f>IFERROR(IF(VLOOKUP($A68,TableHandbook[],5,FALSE)=0,"",VLOOKUP($A68,TableHandbook[],5,FALSE)),"")</f>
        <v/>
      </c>
      <c r="H68" s="350" t="str">
        <f>IFERROR(VLOOKUP($A68,TableHandbook[],H$2,FALSE),"")</f>
        <v/>
      </c>
      <c r="I68" s="350" t="str">
        <f>IFERROR(VLOOKUP($A68,TableHandbook[],I$2,FALSE),"")</f>
        <v/>
      </c>
      <c r="J68" s="350" t="str">
        <f>IFERROR(VLOOKUP($A68,TableHandbook[],J$2,FALSE),"")</f>
        <v/>
      </c>
      <c r="K68" s="350" t="str">
        <f>IFERROR(VLOOKUP($A68,TableHandbook[],K$2,FALSE),"")</f>
        <v/>
      </c>
      <c r="L68" s="46"/>
      <c r="M68" s="304">
        <v>14</v>
      </c>
    </row>
    <row r="69" spans="1:15" x14ac:dyDescent="0.25">
      <c r="A69" s="344" t="str">
        <f t="shared" si="4"/>
        <v>EDUC4030</v>
      </c>
      <c r="B69" s="345">
        <f>IFERROR(IF(VLOOKUP($A69,TableHandbook[],2,FALSE)=0,"",VLOOKUP($A69,TableHandbook[],2,FALSE)),"")</f>
        <v>1</v>
      </c>
      <c r="C69" s="346" t="str">
        <f>IFERROR(IF(VLOOKUP($A69,TableHandbook[],3,FALSE)=0,"",VLOOKUP($A69,TableHandbook[],3,FALSE)),"")</f>
        <v>EDC491</v>
      </c>
      <c r="D69" s="347" t="str">
        <f>IFERROR(IF(VLOOKUP($A69,TableHandbook[],4,FALSE)=0,"",VLOOKUP($A69,TableHandbook[],4,FALSE)),"")</f>
        <v>Technologies: Coding for Teachers</v>
      </c>
      <c r="E69" s="351"/>
      <c r="F69" s="349" t="str">
        <f>IFERROR(IF(VLOOKUP($A69,TableHandbook[],6,FALSE)=0,"",VLOOKUP($A69,TableHandbook[],6,FALSE)),"")</f>
        <v>Nil</v>
      </c>
      <c r="G69" s="349">
        <f>IFERROR(IF(VLOOKUP($A69,TableHandbook[],5,FALSE)=0,"",VLOOKUP($A69,TableHandbook[],5,FALSE)),"")</f>
        <v>25</v>
      </c>
      <c r="H69" s="350" t="str">
        <f>IFERROR(VLOOKUP($A69,TableHandbook[],H$2,FALSE),"")</f>
        <v/>
      </c>
      <c r="I69" s="350" t="str">
        <f>IFERROR(VLOOKUP($A69,TableHandbook[],I$2,FALSE),"")</f>
        <v>Y</v>
      </c>
      <c r="J69" s="350" t="str">
        <f>IFERROR(VLOOKUP($A69,TableHandbook[],J$2,FALSE),"")</f>
        <v/>
      </c>
      <c r="K69" s="350" t="str">
        <f>IFERROR(VLOOKUP($A69,TableHandbook[],K$2,FALSE),"")</f>
        <v/>
      </c>
      <c r="L69" s="46"/>
      <c r="M69" s="304">
        <v>15</v>
      </c>
    </row>
    <row r="70" spans="1:15" x14ac:dyDescent="0.25">
      <c r="A70" s="344" t="str">
        <f t="shared" si="4"/>
        <v>EDUC4039</v>
      </c>
      <c r="B70" s="345">
        <f>IFERROR(IF(VLOOKUP($A70,TableHandbook[],2,FALSE)=0,"",VLOOKUP($A70,TableHandbook[],2,FALSE)),"")</f>
        <v>1</v>
      </c>
      <c r="C70" s="346" t="str">
        <f>IFERROR(IF(VLOOKUP($A70,TableHandbook[],3,FALSE)=0,"",VLOOKUP($A70,TableHandbook[],3,FALSE)),"")</f>
        <v>EDC495</v>
      </c>
      <c r="D70" s="347" t="str">
        <f>IFERROR(IF(VLOOKUP($A70,TableHandbook[],4,FALSE)=0,"",VLOOKUP($A70,TableHandbook[],4,FALSE)),"")</f>
        <v>Technologies: Design Solutions</v>
      </c>
      <c r="E70" s="351"/>
      <c r="F70" s="349" t="str">
        <f>IFERROR(IF(VLOOKUP($A70,TableHandbook[],6,FALSE)=0,"",VLOOKUP($A70,TableHandbook[],6,FALSE)),"")</f>
        <v>Nil</v>
      </c>
      <c r="G70" s="349">
        <f>IFERROR(IF(VLOOKUP($A70,TableHandbook[],5,FALSE)=0,"",VLOOKUP($A70,TableHandbook[],5,FALSE)),"")</f>
        <v>25</v>
      </c>
      <c r="H70" s="350" t="str">
        <f>IFERROR(VLOOKUP($A70,TableHandbook[],H$2,FALSE),"")</f>
        <v>Y</v>
      </c>
      <c r="I70" s="350" t="str">
        <f>IFERROR(VLOOKUP($A70,TableHandbook[],I$2,FALSE),"")</f>
        <v/>
      </c>
      <c r="J70" s="350" t="str">
        <f>IFERROR(VLOOKUP($A70,TableHandbook[],J$2,FALSE),"")</f>
        <v/>
      </c>
      <c r="K70" s="350" t="str">
        <f>IFERROR(VLOOKUP($A70,TableHandbook[],K$2,FALSE),"")</f>
        <v/>
      </c>
      <c r="L70" s="46"/>
      <c r="M70" s="304">
        <v>16</v>
      </c>
    </row>
    <row r="71" spans="1:15" x14ac:dyDescent="0.25">
      <c r="A71" s="344" t="str">
        <f t="shared" si="4"/>
        <v>EDUC4047</v>
      </c>
      <c r="B71" s="345">
        <f>IFERROR(IF(VLOOKUP($A71,TableHandbook[],2,FALSE)=0,"",VLOOKUP($A71,TableHandbook[],2,FALSE)),"")</f>
        <v>1</v>
      </c>
      <c r="C71" s="346" t="str">
        <f>IFERROR(IF(VLOOKUP($A71,TableHandbook[],3,FALSE)=0,"",VLOOKUP($A71,TableHandbook[],3,FALSE)),"")</f>
        <v>EDC470</v>
      </c>
      <c r="D71" s="347" t="str">
        <f>IFERROR(IF(VLOOKUP($A71,TableHandbook[],4,FALSE)=0,"",VLOOKUP($A71,TableHandbook[],4,FALSE)),"")</f>
        <v>Technologies: Digital Solutions</v>
      </c>
      <c r="E71" s="351"/>
      <c r="F71" s="349" t="str">
        <f>IFERROR(IF(VLOOKUP($A71,TableHandbook[],6,FALSE)=0,"",VLOOKUP($A71,TableHandbook[],6,FALSE)),"")</f>
        <v>Nil</v>
      </c>
      <c r="G71" s="349">
        <f>IFERROR(IF(VLOOKUP($A71,TableHandbook[],5,FALSE)=0,"",VLOOKUP($A71,TableHandbook[],5,FALSE)),"")</f>
        <v>25</v>
      </c>
      <c r="H71" s="350" t="str">
        <f>IFERROR(VLOOKUP($A71,TableHandbook[],H$2,FALSE),"")</f>
        <v/>
      </c>
      <c r="I71" s="350" t="str">
        <f>IFERROR(VLOOKUP($A71,TableHandbook[],I$2,FALSE),"")</f>
        <v/>
      </c>
      <c r="J71" s="350" t="str">
        <f>IFERROR(VLOOKUP($A71,TableHandbook[],J$2,FALSE),"")</f>
        <v/>
      </c>
      <c r="K71" s="350" t="str">
        <f>IFERROR(VLOOKUP($A71,TableHandbook[],K$2,FALSE),"")</f>
        <v>Y</v>
      </c>
      <c r="L71" s="46"/>
      <c r="M71" s="304">
        <v>17</v>
      </c>
    </row>
    <row r="72" spans="1:15" x14ac:dyDescent="0.25">
      <c r="A72" s="344" t="str">
        <f t="shared" si="4"/>
        <v>SE.CE</v>
      </c>
      <c r="B72" s="345" t="str">
        <f>IFERROR(IF(VLOOKUP($A72,TableHandbook[],2,FALSE)=0,"",VLOOKUP($A72,TableHandbook[],2,FALSE)),"")</f>
        <v/>
      </c>
      <c r="C72" s="346" t="str">
        <f>IFERROR(IF(VLOOKUP($A72,TableHandbook[],3,FALSE)=0,"",VLOOKUP($A72,TableHandbook[],3,FALSE)),"")</f>
        <v/>
      </c>
      <c r="D72" s="347" t="str">
        <f>IFERROR(IF(VLOOKUP($A72,TableHandbook[],4,FALSE)=0,"",VLOOKUP($A72,TableHandbook[],4,FALSE)),"")</f>
        <v>Catholic Education Specified Electives</v>
      </c>
      <c r="E72" s="351"/>
      <c r="F72" s="349" t="str">
        <f>IFERROR(IF(VLOOKUP($A72,TableHandbook[],6,FALSE)=0,"",VLOOKUP($A72,TableHandbook[],6,FALSE)),"")</f>
        <v/>
      </c>
      <c r="G72" s="349" t="str">
        <f>IFERROR(IF(VLOOKUP($A72,TableHandbook[],5,FALSE)=0,"",VLOOKUP($A72,TableHandbook[],5,FALSE)),"")</f>
        <v/>
      </c>
      <c r="H72" s="350" t="str">
        <f>IFERROR(VLOOKUP($A72,TableHandbook[],H$2,FALSE),"")</f>
        <v/>
      </c>
      <c r="I72" s="350" t="str">
        <f>IFERROR(VLOOKUP($A72,TableHandbook[],I$2,FALSE),"")</f>
        <v/>
      </c>
      <c r="J72" s="350" t="str">
        <f>IFERROR(VLOOKUP($A72,TableHandbook[],J$2,FALSE),"")</f>
        <v/>
      </c>
      <c r="K72" s="350" t="str">
        <f>IFERROR(VLOOKUP($A72,TableHandbook[],K$2,FALSE),"")</f>
        <v/>
      </c>
      <c r="L72" s="46"/>
      <c r="M72" s="304">
        <v>18</v>
      </c>
    </row>
    <row r="73" spans="1:15" x14ac:dyDescent="0.25">
      <c r="A73" s="344" t="str">
        <f t="shared" si="4"/>
        <v>CTED4004</v>
      </c>
      <c r="B73" s="345">
        <f>IFERROR(IF(VLOOKUP($A73,TableHandbook[],2,FALSE)=0,"",VLOOKUP($A73,TableHandbook[],2,FALSE)),"")</f>
        <v>2</v>
      </c>
      <c r="C73" s="346" t="str">
        <f>IFERROR(IF(VLOOKUP($A73,TableHandbook[],3,FALSE)=0,"",VLOOKUP($A73,TableHandbook[],3,FALSE)),"")</f>
        <v>EDC484</v>
      </c>
      <c r="D73" s="347" t="str">
        <f>IFERROR(IF(VLOOKUP($A73,TableHandbook[],4,FALSE)=0,"",VLOOKUP($A73,TableHandbook[],4,FALSE)),"")</f>
        <v>Teaching About Sacraments in Catholic Schools</v>
      </c>
      <c r="E73" s="351"/>
      <c r="F73" s="349" t="str">
        <f>IFERROR(IF(VLOOKUP($A73,TableHandbook[],6,FALSE)=0,"",VLOOKUP($A73,TableHandbook[],6,FALSE)),"")</f>
        <v>Nil</v>
      </c>
      <c r="G73" s="349">
        <f>IFERROR(IF(VLOOKUP($A73,TableHandbook[],5,FALSE)=0,"",VLOOKUP($A73,TableHandbook[],5,FALSE)),"")</f>
        <v>25</v>
      </c>
      <c r="H73" s="350" t="str">
        <f>IFERROR(VLOOKUP($A73,TableHandbook[],H$2,FALSE),"")</f>
        <v/>
      </c>
      <c r="I73" s="350" t="str">
        <f>IFERROR(VLOOKUP($A73,TableHandbook[],I$2,FALSE),"")</f>
        <v>Y</v>
      </c>
      <c r="J73" s="350" t="str">
        <f>IFERROR(VLOOKUP($A73,TableHandbook[],J$2,FALSE),"")</f>
        <v/>
      </c>
      <c r="K73" s="350" t="str">
        <f>IFERROR(VLOOKUP($A73,TableHandbook[],K$2,FALSE),"")</f>
        <v/>
      </c>
      <c r="L73" s="46"/>
      <c r="M73" s="304">
        <v>19</v>
      </c>
    </row>
    <row r="74" spans="1:15" x14ac:dyDescent="0.25">
      <c r="A74" s="344" t="str">
        <f t="shared" si="4"/>
        <v>CTED4007</v>
      </c>
      <c r="B74" s="345">
        <f>IFERROR(IF(VLOOKUP($A74,TableHandbook[],2,FALSE)=0,"",VLOOKUP($A74,TableHandbook[],2,FALSE)),"")</f>
        <v>1</v>
      </c>
      <c r="C74" s="346" t="str">
        <f>IFERROR(IF(VLOOKUP($A74,TableHandbook[],3,FALSE)=0,"",VLOOKUP($A74,TableHandbook[],3,FALSE)),"")</f>
        <v>EDC430</v>
      </c>
      <c r="D74" s="347" t="str">
        <f>IFERROR(IF(VLOOKUP($A74,TableHandbook[],4,FALSE)=0,"",VLOOKUP($A74,TableHandbook[],4,FALSE)),"")</f>
        <v>Teaching About Jesus in Catholic Schools</v>
      </c>
      <c r="E74" s="351"/>
      <c r="F74" s="349" t="str">
        <f>IFERROR(IF(VLOOKUP($A74,TableHandbook[],6,FALSE)=0,"",VLOOKUP($A74,TableHandbook[],6,FALSE)),"")</f>
        <v>Nil</v>
      </c>
      <c r="G74" s="349">
        <f>IFERROR(IF(VLOOKUP($A74,TableHandbook[],5,FALSE)=0,"",VLOOKUP($A74,TableHandbook[],5,FALSE)),"")</f>
        <v>25</v>
      </c>
      <c r="H74" s="350" t="str">
        <f>IFERROR(VLOOKUP($A74,TableHandbook[],H$2,FALSE),"")</f>
        <v/>
      </c>
      <c r="I74" s="350" t="str">
        <f>IFERROR(VLOOKUP($A74,TableHandbook[],I$2,FALSE),"")</f>
        <v/>
      </c>
      <c r="J74" s="350" t="str">
        <f>IFERROR(VLOOKUP($A74,TableHandbook[],J$2,FALSE),"")</f>
        <v/>
      </c>
      <c r="K74" s="350" t="str">
        <f>IFERROR(VLOOKUP($A74,TableHandbook[],K$2,FALSE),"")</f>
        <v>Y</v>
      </c>
      <c r="L74" s="46"/>
      <c r="M74" s="304">
        <v>20</v>
      </c>
    </row>
    <row r="75" spans="1:15" x14ac:dyDescent="0.25">
      <c r="A75" s="344" t="str">
        <f t="shared" si="4"/>
        <v>CTED4009</v>
      </c>
      <c r="B75" s="345">
        <f>IFERROR(IF(VLOOKUP($A75,TableHandbook[],2,FALSE)=0,"",VLOOKUP($A75,TableHandbook[],2,FALSE)),"")</f>
        <v>1</v>
      </c>
      <c r="C75" s="346" t="str">
        <f>IFERROR(IF(VLOOKUP($A75,TableHandbook[],3,FALSE)=0,"",VLOOKUP($A75,TableHandbook[],3,FALSE)),"")</f>
        <v>EDC435</v>
      </c>
      <c r="D75" s="347" t="str">
        <f>IFERROR(IF(VLOOKUP($A75,TableHandbook[],4,FALSE)=0,"",VLOOKUP($A75,TableHandbook[],4,FALSE)),"")</f>
        <v>Teaching About the Gospels in Catholic Schools</v>
      </c>
      <c r="E75" s="351"/>
      <c r="F75" s="349" t="str">
        <f>IFERROR(IF(VLOOKUP($A75,TableHandbook[],6,FALSE)=0,"",VLOOKUP($A75,TableHandbook[],6,FALSE)),"")</f>
        <v>Nil</v>
      </c>
      <c r="G75" s="349">
        <f>IFERROR(IF(VLOOKUP($A75,TableHandbook[],5,FALSE)=0,"",VLOOKUP($A75,TableHandbook[],5,FALSE)),"")</f>
        <v>25</v>
      </c>
      <c r="H75" s="350" t="str">
        <f>IFERROR(VLOOKUP($A75,TableHandbook[],H$2,FALSE),"")</f>
        <v>Y</v>
      </c>
      <c r="I75" s="350" t="str">
        <f>IFERROR(VLOOKUP($A75,TableHandbook[],I$2,FALSE),"")</f>
        <v/>
      </c>
      <c r="J75" s="350" t="str">
        <f>IFERROR(VLOOKUP($A75,TableHandbook[],J$2,FALSE),"")</f>
        <v/>
      </c>
      <c r="K75" s="350" t="str">
        <f>IFERROR(VLOOKUP($A75,TableHandbook[],K$2,FALSE),"")</f>
        <v/>
      </c>
      <c r="L75" s="46"/>
      <c r="M75" s="304">
        <v>21</v>
      </c>
    </row>
    <row r="76" spans="1:15" ht="32.25" customHeight="1" x14ac:dyDescent="0.25">
      <c r="A76" s="352" t="s">
        <v>31</v>
      </c>
      <c r="B76" s="352"/>
      <c r="C76" s="352"/>
      <c r="D76" s="352"/>
      <c r="E76" s="352"/>
      <c r="F76" s="352"/>
      <c r="G76" s="352"/>
      <c r="H76" s="352"/>
      <c r="I76" s="352"/>
      <c r="J76" s="352"/>
      <c r="K76" s="352"/>
      <c r="L76" s="352"/>
    </row>
    <row r="77" spans="1:15" s="354" customFormat="1" ht="24.95" customHeight="1" x14ac:dyDescent="0.3">
      <c r="A77" s="53" t="s">
        <v>32</v>
      </c>
      <c r="B77" s="53"/>
      <c r="C77" s="53"/>
      <c r="D77" s="54"/>
      <c r="E77" s="54"/>
      <c r="F77" s="54"/>
      <c r="G77" s="54"/>
      <c r="H77" s="54"/>
      <c r="I77" s="54"/>
      <c r="J77" s="54"/>
      <c r="K77" s="54"/>
      <c r="L77" s="54"/>
      <c r="M77" s="353"/>
      <c r="N77" s="353"/>
      <c r="O77" s="353"/>
    </row>
    <row r="78" spans="1:15" ht="15" customHeight="1" x14ac:dyDescent="0.25">
      <c r="A78" s="355" t="s">
        <v>33</v>
      </c>
      <c r="B78" s="355"/>
      <c r="C78" s="355"/>
      <c r="D78" s="355"/>
      <c r="E78" s="356"/>
      <c r="F78" s="326"/>
      <c r="G78" s="357"/>
      <c r="H78" s="357"/>
      <c r="I78" s="357"/>
      <c r="J78" s="357"/>
      <c r="K78" s="357"/>
      <c r="L78" s="357" t="s">
        <v>34</v>
      </c>
    </row>
  </sheetData>
  <sheetProtection algorithmName="SHA-512" hashValue="MvU5M//5Lee6gX+lAnCYxwtYwyIgwf0lIAIuXPG1bDm4vHruHjAzwYhez53U+jpSQY+KHf8EwmkFo+0jO692JA==" saltValue="N4lOlz3+nHx/rs0MtSSJwA==" spinCount="100000" sheet="1" objects="1" scenarios="1" formatCells="0" formatColumns="0" formatRows="0"/>
  <mergeCells count="2">
    <mergeCell ref="A3:D3"/>
    <mergeCell ref="A76:L76"/>
  </mergeCells>
  <conditionalFormatting sqref="A56:L75">
    <cfRule type="expression" dxfId="40" priority="2">
      <formula>LEFT($D56,8)="Bachelor"</formula>
    </cfRule>
    <cfRule type="expression" dxfId="39" priority="3">
      <formula>RIGHT($D56,9)="Electives"</formula>
    </cfRule>
    <cfRule type="expression" dxfId="38" priority="4">
      <formula>LEFT($D56,5)="Study"</formula>
    </cfRule>
  </conditionalFormatting>
  <conditionalFormatting sqref="D5:D6">
    <cfRule type="containsText" dxfId="37" priority="5" operator="containsText" text="Choose">
      <formula>NOT(ISERROR(SEARCH("Choose",D5)))</formula>
    </cfRule>
  </conditionalFormatting>
  <conditionalFormatting sqref="H9:K52">
    <cfRule type="expression" dxfId="36" priority="1">
      <formula>$E9=H$8</formula>
    </cfRule>
  </conditionalFormatting>
  <dataValidations count="1">
    <dataValidation type="list" allowBlank="1" showInputMessage="1" showErrorMessage="1" sqref="L26 L14 L38 L50 L11 L17 L23 L29 L35 L41 L47" xr:uid="{00000000-0002-0000-0000-000000000000}"/>
  </dataValidations>
  <hyperlinks>
    <hyperlink ref="A77:L7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0" orientation="portrait" r:id="rId2"/>
  <rowBreaks count="1" manualBreakCount="1">
    <brk id="52" max="10" man="1"/>
  </rowBreaks>
  <ignoredErrors>
    <ignoredError sqref="E20 E32 E44 E14 E9:E13 E15: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Unitsets!$A$15:$A$19</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W82"/>
  <sheetViews>
    <sheetView showGridLines="0" topLeftCell="A3" zoomScaleNormal="100" workbookViewId="0">
      <selection activeCell="D6" sqref="D6"/>
    </sheetView>
  </sheetViews>
  <sheetFormatPr defaultColWidth="9" defaultRowHeight="15" x14ac:dyDescent="0.25"/>
  <cols>
    <col min="1" max="1" width="11.375" style="28" customWidth="1"/>
    <col min="2" max="2" width="3.25" style="28" customWidth="1"/>
    <col min="3" max="3" width="11.875" style="28" bestFit="1" customWidth="1"/>
    <col min="4" max="4" width="55.5" style="27" bestFit="1" customWidth="1"/>
    <col min="5" max="5" width="7" style="27" customWidth="1"/>
    <col min="6" max="6" width="22.375" style="27" bestFit="1" customWidth="1"/>
    <col min="7" max="7" width="5.625" style="27" customWidth="1"/>
    <col min="8" max="8" width="3.25" style="27" customWidth="1"/>
    <col min="9" max="11" width="3.25" style="27" bestFit="1" customWidth="1"/>
    <col min="12" max="12" width="18.625" style="27" customWidth="1"/>
    <col min="13" max="13" width="2.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60" t="s">
        <v>8</v>
      </c>
      <c r="B3" s="260"/>
      <c r="C3" s="260"/>
      <c r="D3" s="260"/>
      <c r="E3" s="108"/>
      <c r="F3" s="108"/>
      <c r="G3" s="108"/>
      <c r="H3" s="108"/>
      <c r="I3" s="108"/>
      <c r="J3" s="108"/>
      <c r="K3" s="108"/>
      <c r="L3" s="108"/>
    </row>
    <row r="4" spans="1:23" ht="26.25" x14ac:dyDescent="0.25">
      <c r="A4" s="179"/>
      <c r="B4" s="180"/>
      <c r="C4" s="180"/>
      <c r="D4" s="183" t="s">
        <v>9</v>
      </c>
      <c r="E4" s="181"/>
      <c r="F4" s="180"/>
      <c r="G4" s="182"/>
      <c r="H4" s="182"/>
      <c r="I4" s="182"/>
      <c r="J4" s="182"/>
      <c r="K4" s="182"/>
      <c r="L4" s="182"/>
    </row>
    <row r="5" spans="1:23" ht="20.100000000000001" customHeight="1" x14ac:dyDescent="0.25">
      <c r="B5" s="109"/>
      <c r="C5" s="110" t="s">
        <v>10</v>
      </c>
      <c r="D5" s="111" t="s">
        <v>35</v>
      </c>
      <c r="E5" s="112"/>
      <c r="F5" s="110" t="s">
        <v>12</v>
      </c>
      <c r="G5" s="112" t="str">
        <f>IFERROR(CONCATENATE(VLOOKUP(D5,TableCourses[],2,FALSE)," ",VLOOKUP(D5,TableCourses[],3,FALSE)),"")</f>
        <v>OB-EDPR v.3</v>
      </c>
      <c r="H5" s="112"/>
      <c r="I5" s="112"/>
      <c r="J5" s="112"/>
      <c r="K5" s="112"/>
      <c r="L5" s="184" t="e">
        <f>CONCATENATE(VLOOKUP(D5,TableCourses[],2,FALSE),VLOOKUP(D6,TableStudyPeriods[],2,FALSE))</f>
        <v>#N/A</v>
      </c>
    </row>
    <row r="6" spans="1:23" ht="20.100000000000001" customHeight="1" x14ac:dyDescent="0.25">
      <c r="A6" s="114"/>
      <c r="B6" s="115"/>
      <c r="C6" s="110" t="s">
        <v>13</v>
      </c>
      <c r="D6" s="165" t="s">
        <v>98</v>
      </c>
      <c r="E6" s="116"/>
      <c r="F6" s="110" t="s">
        <v>15</v>
      </c>
      <c r="G6" s="112" t="str">
        <f>IFERROR(VLOOKUP($D$5,TableCourses[],7,FALSE),"")</f>
        <v xml:space="preserve">800 credit points required </v>
      </c>
      <c r="H6" s="117"/>
      <c r="I6" s="117"/>
      <c r="J6" s="117"/>
      <c r="K6" s="117"/>
      <c r="L6" s="185"/>
      <c r="W6" s="29"/>
    </row>
    <row r="7" spans="1:23" s="31" customFormat="1" ht="14.1" customHeight="1" x14ac:dyDescent="0.25">
      <c r="A7" s="118"/>
      <c r="B7" s="118"/>
      <c r="C7" s="118"/>
      <c r="D7" s="119"/>
      <c r="E7" s="120"/>
      <c r="F7" s="118"/>
      <c r="G7" s="118"/>
      <c r="H7" s="121" t="s">
        <v>16</v>
      </c>
      <c r="I7" s="122"/>
      <c r="J7" s="122"/>
      <c r="K7" s="123"/>
      <c r="L7" s="120"/>
      <c r="M7" s="124"/>
      <c r="N7" s="124"/>
      <c r="O7" s="124"/>
      <c r="W7" s="30"/>
    </row>
    <row r="8" spans="1:23" s="31" customFormat="1" ht="21" x14ac:dyDescent="0.25">
      <c r="A8" s="118" t="s">
        <v>17</v>
      </c>
      <c r="B8" s="118"/>
      <c r="C8" s="125" t="s">
        <v>18</v>
      </c>
      <c r="D8" s="119" t="s">
        <v>3</v>
      </c>
      <c r="E8" s="125" t="s">
        <v>19</v>
      </c>
      <c r="F8" s="118" t="s">
        <v>20</v>
      </c>
      <c r="G8" s="118" t="s">
        <v>21</v>
      </c>
      <c r="H8" s="217" t="s">
        <v>22</v>
      </c>
      <c r="I8" s="218" t="s">
        <v>23</v>
      </c>
      <c r="J8" s="218" t="s">
        <v>24</v>
      </c>
      <c r="K8" s="219" t="s">
        <v>25</v>
      </c>
      <c r="L8" s="118" t="s">
        <v>26</v>
      </c>
      <c r="M8" s="124"/>
      <c r="N8" s="124"/>
      <c r="O8" s="124"/>
      <c r="W8" s="30"/>
    </row>
    <row r="9" spans="1:23" s="33" customFormat="1" ht="20.100000000000001" customHeight="1" x14ac:dyDescent="0.15">
      <c r="A9" s="126" t="str">
        <f>IFERROR(IF(HLOOKUP($L$5,RangeUnitsets,M9,FALSE)=0,"",HLOOKUP($L$5,RangeUnitsets,M9,FALSE)),"")</f>
        <v/>
      </c>
      <c r="B9" s="127" t="str">
        <f>IFERROR(IF(VLOOKUP($A9,TableHandbook[],B$2,FALSE)=0,"",VLOOKUP($A9,TableHandbook[],B$2,FALSE)),"")</f>
        <v/>
      </c>
      <c r="C9" s="127" t="str">
        <f>IFERROR(IF(VLOOKUP($A9,TableHandbook[],C$2,FALSE)=0,"",VLOOKUP($A9,TableHandbook[],C$2,FALSE)),"")</f>
        <v/>
      </c>
      <c r="D9" s="128" t="str">
        <f>IFERROR(IF(VLOOKUP($A9,TableHandbook[],D$2,FALSE)=0,"",VLOOKUP($A9,TableHandbook[],D$2,FALSE)),"")</f>
        <v/>
      </c>
      <c r="E9" s="127" t="str">
        <f>IF(OR(A9="",A9="--"),"",VLOOKUP($D$6,TableStudyPeriods[],2,FALSE))</f>
        <v/>
      </c>
      <c r="F9" s="129" t="str">
        <f>IFERROR(IF(VLOOKUP($A9,TableHandbook[],F$2,FALSE)=0,"",VLOOKUP($A9,TableHandbook[],F$2,FALSE)),"")</f>
        <v/>
      </c>
      <c r="G9" s="127" t="str">
        <f>IFERROR(IF(VLOOKUP($A9,TableHandbook[],G$2,FALSE)=0,"",VLOOKUP($A9,TableHandbook[],G$2,FALSE)),"")</f>
        <v/>
      </c>
      <c r="H9" s="220" t="str">
        <f>IFERROR(VLOOKUP($A9,TableHandbook[],H$2,FALSE),"")</f>
        <v/>
      </c>
      <c r="I9" s="221" t="str">
        <f>IFERROR(VLOOKUP($A9,TableHandbook[],I$2,FALSE),"")</f>
        <v/>
      </c>
      <c r="J9" s="221" t="str">
        <f>IFERROR(VLOOKUP($A9,TableHandbook[],J$2,FALSE),"")</f>
        <v/>
      </c>
      <c r="K9" s="222" t="str">
        <f>IFERROR(VLOOKUP($A9,TableHandbook[],K$2,FALSE),"")</f>
        <v/>
      </c>
      <c r="L9" s="45"/>
      <c r="M9" s="166">
        <v>2</v>
      </c>
      <c r="N9" s="131"/>
      <c r="O9" s="131"/>
      <c r="W9" s="32"/>
    </row>
    <row r="10" spans="1:23" s="33" customFormat="1" ht="20.100000000000001" customHeight="1" x14ac:dyDescent="0.15">
      <c r="A10" s="126" t="str">
        <f>IFERROR(IF(HLOOKUP($L$5,RangeUnitsets,M10,FALSE)=0,"",HLOOKUP($L$5,RangeUnitsets,M10,FALSE)),"")</f>
        <v/>
      </c>
      <c r="B10" s="127" t="str">
        <f>IFERROR(IF(VLOOKUP($A10,TableHandbook[],B$2,FALSE)=0,"",VLOOKUP($A10,TableHandbook[],B$2,FALSE)),"")</f>
        <v/>
      </c>
      <c r="C10" s="127" t="str">
        <f>IFERROR(IF(VLOOKUP($A10,TableHandbook[],C$2,FALSE)=0,"",VLOOKUP($A10,TableHandbook[],C$2,FALSE)),"")</f>
        <v/>
      </c>
      <c r="D10" s="128" t="str">
        <f>IFERROR(IF(VLOOKUP($A10,TableHandbook[],D$2,FALSE)=0,"",VLOOKUP($A10,TableHandbook[],D$2,FALSE)),"")</f>
        <v/>
      </c>
      <c r="E10" s="127" t="str">
        <f>IF(OR(A10="",A10="-"),"",E9)</f>
        <v/>
      </c>
      <c r="F10" s="129" t="str">
        <f>IFERROR(IF(VLOOKUP($A10,TableHandbook[],F$2,FALSE)=0,"",VLOOKUP($A10,TableHandbook[],F$2,FALSE)),"")</f>
        <v/>
      </c>
      <c r="G10" s="127" t="str">
        <f>IFERROR(IF(VLOOKUP($A10,TableHandbook[],G$2,FALSE)=0,"",VLOOKUP($A10,TableHandbook[],G$2,FALSE)),"")</f>
        <v/>
      </c>
      <c r="H10" s="220" t="str">
        <f>IFERROR(VLOOKUP($A10,TableHandbook[],H$2,FALSE),"")</f>
        <v/>
      </c>
      <c r="I10" s="221" t="str">
        <f>IFERROR(VLOOKUP($A10,TableHandbook[],I$2,FALSE),"")</f>
        <v/>
      </c>
      <c r="J10" s="221" t="str">
        <f>IFERROR(VLOOKUP($A10,TableHandbook[],J$2,FALSE),"")</f>
        <v/>
      </c>
      <c r="K10" s="222" t="str">
        <f>IFERROR(VLOOKUP($A10,TableHandbook[],K$2,FALSE),"")</f>
        <v/>
      </c>
      <c r="L10" s="45"/>
      <c r="M10" s="166">
        <v>3</v>
      </c>
      <c r="N10" s="131"/>
      <c r="O10" s="131"/>
      <c r="W10" s="32"/>
    </row>
    <row r="11" spans="1:23" s="33" customFormat="1" ht="5.0999999999999996" customHeight="1" x14ac:dyDescent="0.15">
      <c r="A11" s="186"/>
      <c r="B11" s="187"/>
      <c r="C11" s="187"/>
      <c r="D11" s="193"/>
      <c r="E11" s="187"/>
      <c r="F11" s="188"/>
      <c r="G11" s="187"/>
      <c r="H11" s="223"/>
      <c r="I11" s="224"/>
      <c r="J11" s="224"/>
      <c r="K11" s="225"/>
      <c r="L11" s="189"/>
      <c r="M11" s="167"/>
      <c r="N11" s="131"/>
      <c r="O11" s="131"/>
      <c r="P11" s="131"/>
      <c r="W11" s="32"/>
    </row>
    <row r="12" spans="1:23" s="33" customFormat="1" ht="20.100000000000001" customHeight="1" x14ac:dyDescent="0.15">
      <c r="A12" s="126" t="str">
        <f>IFERROR(IF(HLOOKUP($L$5,RangeUnitsets,M12,FALSE)=0,"",HLOOKUP($L$5,RangeUnitsets,M12,FALSE)),"")</f>
        <v/>
      </c>
      <c r="B12" s="127" t="str">
        <f>IFERROR(IF(VLOOKUP($A12,TableHandbook[],B$2,FALSE)=0,"",VLOOKUP($A12,TableHandbook[],B$2,FALSE)),"")</f>
        <v/>
      </c>
      <c r="C12" s="127" t="str">
        <f>IFERROR(IF(VLOOKUP($A12,TableHandbook[],C$2,FALSE)=0,"",VLOOKUP($A12,TableHandbook[],C$2,FALSE)),"")</f>
        <v/>
      </c>
      <c r="D12" s="128" t="str">
        <f>IFERROR(IF(VLOOKUP($A12,TableHandbook[],D$2,FALSE)=0,"",VLOOKUP($A12,TableHandbook[],D$2,FALSE)),"")</f>
        <v/>
      </c>
      <c r="E12" s="127" t="str">
        <f>IF(OR(A12="",A12="--"),"",VLOOKUP($D$6,TableStudyPeriods[],3,FALSE))</f>
        <v/>
      </c>
      <c r="F12" s="129" t="str">
        <f>IFERROR(IF(VLOOKUP($A12,TableHandbook[],F$2,FALSE)=0,"",VLOOKUP($A12,TableHandbook[],F$2,FALSE)),"")</f>
        <v/>
      </c>
      <c r="G12" s="127" t="str">
        <f>IFERROR(IF(VLOOKUP($A12,TableHandbook[],G$2,FALSE)=0,"",VLOOKUP($A12,TableHandbook[],G$2,FALSE)),"")</f>
        <v/>
      </c>
      <c r="H12" s="220" t="str">
        <f>IFERROR(VLOOKUP($A12,TableHandbook[],H$2,FALSE),"")</f>
        <v/>
      </c>
      <c r="I12" s="221" t="str">
        <f>IFERROR(VLOOKUP($A12,TableHandbook[],I$2,FALSE),"")</f>
        <v/>
      </c>
      <c r="J12" s="221" t="str">
        <f>IFERROR(VLOOKUP($A12,TableHandbook[],J$2,FALSE),"")</f>
        <v/>
      </c>
      <c r="K12" s="222" t="str">
        <f>IFERROR(VLOOKUP($A12,TableHandbook[],K$2,FALSE),"")</f>
        <v/>
      </c>
      <c r="L12" s="46"/>
      <c r="M12" s="166">
        <v>4</v>
      </c>
      <c r="N12" s="131"/>
      <c r="O12" s="131"/>
      <c r="W12" s="32"/>
    </row>
    <row r="13" spans="1:23" s="33" customFormat="1" ht="20.100000000000001" customHeight="1" x14ac:dyDescent="0.15">
      <c r="A13" s="126" t="str">
        <f>IFERROR(IF(HLOOKUP($L$5,RangeUnitsets,M13,FALSE)=0,"",HLOOKUP($L$5,RangeUnitsets,M13,FALSE)),"")</f>
        <v/>
      </c>
      <c r="B13" s="127" t="str">
        <f>IFERROR(IF(VLOOKUP($A13,TableHandbook[],B$2,FALSE)=0,"",VLOOKUP($A13,TableHandbook[],B$2,FALSE)),"")</f>
        <v/>
      </c>
      <c r="C13" s="127" t="str">
        <f>IFERROR(IF(VLOOKUP($A13,TableHandbook[],C$2,FALSE)=0,"",VLOOKUP($A13,TableHandbook[],C$2,FALSE)),"")</f>
        <v/>
      </c>
      <c r="D13" s="128" t="str">
        <f>IFERROR(IF(VLOOKUP($A13,TableHandbook[],D$2,FALSE)=0,"",VLOOKUP($A13,TableHandbook[],D$2,FALSE)),"")</f>
        <v/>
      </c>
      <c r="E13" s="127" t="str">
        <f>IF(OR(A13="",A13="-"),"",E12)</f>
        <v/>
      </c>
      <c r="F13" s="129" t="str">
        <f>IFERROR(IF(VLOOKUP($A13,TableHandbook[],F$2,FALSE)=0,"",VLOOKUP($A13,TableHandbook[],F$2,FALSE)),"")</f>
        <v/>
      </c>
      <c r="G13" s="127" t="str">
        <f>IFERROR(IF(VLOOKUP($A13,TableHandbook[],G$2,FALSE)=0,"",VLOOKUP($A13,TableHandbook[],G$2,FALSE)),"")</f>
        <v/>
      </c>
      <c r="H13" s="220" t="str">
        <f>IFERROR(VLOOKUP($A13,TableHandbook[],H$2,FALSE),"")</f>
        <v/>
      </c>
      <c r="I13" s="221" t="str">
        <f>IFERROR(VLOOKUP($A13,TableHandbook[],I$2,FALSE),"")</f>
        <v/>
      </c>
      <c r="J13" s="221" t="str">
        <f>IFERROR(VLOOKUP($A13,TableHandbook[],J$2,FALSE),"")</f>
        <v/>
      </c>
      <c r="K13" s="222" t="str">
        <f>IFERROR(VLOOKUP($A13,TableHandbook[],K$2,FALSE),"")</f>
        <v/>
      </c>
      <c r="L13" s="45"/>
      <c r="M13" s="166">
        <v>5</v>
      </c>
      <c r="N13" s="131"/>
      <c r="O13" s="131"/>
      <c r="W13" s="32"/>
    </row>
    <row r="14" spans="1:23" s="33" customFormat="1" ht="5.0999999999999996" customHeight="1" x14ac:dyDescent="0.15">
      <c r="A14" s="186"/>
      <c r="B14" s="187"/>
      <c r="C14" s="187"/>
      <c r="D14" s="193"/>
      <c r="E14" s="187"/>
      <c r="F14" s="188"/>
      <c r="G14" s="187"/>
      <c r="H14" s="223"/>
      <c r="I14" s="224"/>
      <c r="J14" s="224"/>
      <c r="K14" s="225"/>
      <c r="L14" s="189"/>
      <c r="M14" s="167"/>
      <c r="N14" s="131"/>
      <c r="O14" s="131"/>
      <c r="P14" s="131"/>
      <c r="W14" s="32"/>
    </row>
    <row r="15" spans="1:23" s="33" customFormat="1" ht="20.100000000000001" customHeight="1" x14ac:dyDescent="0.15">
      <c r="A15" s="126" t="str">
        <f>IFERROR(IF(HLOOKUP($L$5,RangeUnitsets,M15,FALSE)=0,"",HLOOKUP($L$5,RangeUnitsets,M15,FALSE)),"")</f>
        <v/>
      </c>
      <c r="B15" s="132" t="str">
        <f>IFERROR(IF(VLOOKUP($A15,TableHandbook[],B$2,FALSE)=0,"",VLOOKUP($A15,TableHandbook[],B$2,FALSE)),"")</f>
        <v/>
      </c>
      <c r="C15" s="132" t="str">
        <f>IFERROR(IF(VLOOKUP($A15,TableHandbook[],C$2,FALSE)=0,"",VLOOKUP($A15,TableHandbook[],C$2,FALSE)),"")</f>
        <v/>
      </c>
      <c r="D15" s="128" t="str">
        <f>IFERROR(IF(VLOOKUP($A15,TableHandbook[],D$2,FALSE)=0,"",VLOOKUP($A15,TableHandbook[],D$2,FALSE)),"")</f>
        <v/>
      </c>
      <c r="E15" s="127" t="str">
        <f>IF(OR(A15="",A15="--"),"",VLOOKUP($D$6,TableStudyPeriods[],4,FALSE))</f>
        <v/>
      </c>
      <c r="F15" s="129" t="str">
        <f>IFERROR(IF(VLOOKUP($A15,TableHandbook[],F$2,FALSE)=0,"",VLOOKUP($A15,TableHandbook[],F$2,FALSE)),"")</f>
        <v/>
      </c>
      <c r="G15" s="132" t="str">
        <f>IFERROR(IF(VLOOKUP($A15,TableHandbook[],G$2,FALSE)=0,"",VLOOKUP($A15,TableHandbook[],G$2,FALSE)),"")</f>
        <v/>
      </c>
      <c r="H15" s="226" t="str">
        <f>IFERROR(VLOOKUP($A15,TableHandbook[],H$2,FALSE),"")</f>
        <v/>
      </c>
      <c r="I15" s="227" t="str">
        <f>IFERROR(VLOOKUP($A15,TableHandbook[],I$2,FALSE),"")</f>
        <v/>
      </c>
      <c r="J15" s="227" t="str">
        <f>IFERROR(VLOOKUP($A15,TableHandbook[],J$2,FALSE),"")</f>
        <v/>
      </c>
      <c r="K15" s="228" t="str">
        <f>IFERROR(VLOOKUP($A15,TableHandbook[],K$2,FALSE),"")</f>
        <v/>
      </c>
      <c r="L15" s="46"/>
      <c r="M15" s="166">
        <v>6</v>
      </c>
      <c r="N15" s="131"/>
      <c r="O15" s="131"/>
      <c r="W15" s="32"/>
    </row>
    <row r="16" spans="1:23" s="35" customFormat="1" ht="20.100000000000001" customHeight="1" x14ac:dyDescent="0.15">
      <c r="A16" s="126" t="str">
        <f>IFERROR(IF(HLOOKUP($L$5,RangeUnitsets,M16,FALSE)=0,"",HLOOKUP($L$5,RangeUnitsets,M16,FALSE)),"")</f>
        <v/>
      </c>
      <c r="B16" s="132" t="str">
        <f>IFERROR(IF(VLOOKUP($A16,TableHandbook[],B$2,FALSE)=0,"",VLOOKUP($A16,TableHandbook[],B$2,FALSE)),"")</f>
        <v/>
      </c>
      <c r="C16" s="132" t="str">
        <f>IFERROR(IF(VLOOKUP($A16,TableHandbook[],C$2,FALSE)=0,"",VLOOKUP($A16,TableHandbook[],C$2,FALSE)),"")</f>
        <v/>
      </c>
      <c r="D16" s="128" t="str">
        <f>IFERROR(IF(VLOOKUP($A16,TableHandbook[],D$2,FALSE)=0,"",VLOOKUP($A16,TableHandbook[],D$2,FALSE)),"")</f>
        <v/>
      </c>
      <c r="E16" s="127" t="str">
        <f>IF(OR(A16="",A16="-"),"",E15)</f>
        <v/>
      </c>
      <c r="F16" s="129" t="str">
        <f>IFERROR(IF(VLOOKUP($A16,TableHandbook[],F$2,FALSE)=0,"",VLOOKUP($A16,TableHandbook[],F$2,FALSE)),"")</f>
        <v/>
      </c>
      <c r="G16" s="132" t="str">
        <f>IFERROR(IF(VLOOKUP($A16,TableHandbook[],G$2,FALSE)=0,"",VLOOKUP($A16,TableHandbook[],G$2,FALSE)),"")</f>
        <v/>
      </c>
      <c r="H16" s="226" t="str">
        <f>IFERROR(VLOOKUP($A16,TableHandbook[],H$2,FALSE),"")</f>
        <v/>
      </c>
      <c r="I16" s="227" t="str">
        <f>IFERROR(VLOOKUP($A16,TableHandbook[],I$2,FALSE),"")</f>
        <v/>
      </c>
      <c r="J16" s="227" t="str">
        <f>IFERROR(VLOOKUP($A16,TableHandbook[],J$2,FALSE),"")</f>
        <v/>
      </c>
      <c r="K16" s="228" t="str">
        <f>IFERROR(VLOOKUP($A16,TableHandbook[],K$2,FALSE),"")</f>
        <v/>
      </c>
      <c r="L16" s="46"/>
      <c r="M16" s="166">
        <v>7</v>
      </c>
      <c r="N16" s="134"/>
      <c r="O16" s="134"/>
      <c r="W16" s="34"/>
    </row>
    <row r="17" spans="1:23" s="33" customFormat="1" ht="5.0999999999999996" customHeight="1" x14ac:dyDescent="0.15">
      <c r="A17" s="186"/>
      <c r="B17" s="187"/>
      <c r="C17" s="187"/>
      <c r="D17" s="193"/>
      <c r="E17" s="187"/>
      <c r="F17" s="188"/>
      <c r="G17" s="187"/>
      <c r="H17" s="223"/>
      <c r="I17" s="224"/>
      <c r="J17" s="224"/>
      <c r="K17" s="225"/>
      <c r="L17" s="189"/>
      <c r="M17" s="167"/>
      <c r="N17" s="131"/>
      <c r="O17" s="131"/>
      <c r="P17" s="131"/>
      <c r="W17" s="32"/>
    </row>
    <row r="18" spans="1:23" s="35" customFormat="1" ht="20.100000000000001" customHeight="1" x14ac:dyDescent="0.15">
      <c r="A18" s="126" t="str">
        <f>IFERROR(IF(HLOOKUP($L$5,RangeUnitsets,M18,FALSE)=0,"",HLOOKUP($L$5,RangeUnitsets,M18,FALSE)),"")</f>
        <v/>
      </c>
      <c r="B18" s="132" t="str">
        <f>IFERROR(IF(VLOOKUP($A18,TableHandbook[],B$2,FALSE)=0,"",VLOOKUP($A18,TableHandbook[],B$2,FALSE)),"")</f>
        <v/>
      </c>
      <c r="C18" s="132" t="str">
        <f>IFERROR(IF(VLOOKUP($A18,TableHandbook[],C$2,FALSE)=0,"",VLOOKUP($A18,TableHandbook[],C$2,FALSE)),"")</f>
        <v/>
      </c>
      <c r="D18" s="128" t="str">
        <f>IFERROR(IF(VLOOKUP($A18,TableHandbook[],D$2,FALSE)=0,"",VLOOKUP($A18,TableHandbook[],D$2,FALSE)),"")</f>
        <v/>
      </c>
      <c r="E18" s="127" t="str">
        <f>IF(OR(A18="",A18="--"),"",VLOOKUP($D$6,TableStudyPeriods[],5,FALSE))</f>
        <v/>
      </c>
      <c r="F18" s="129" t="str">
        <f>IFERROR(IF(VLOOKUP($A18,TableHandbook[],F$2,FALSE)=0,"",VLOOKUP($A18,TableHandbook[],F$2,FALSE)),"")</f>
        <v/>
      </c>
      <c r="G18" s="132" t="str">
        <f>IFERROR(IF(VLOOKUP($A18,TableHandbook[],G$2,FALSE)=0,"",VLOOKUP($A18,TableHandbook[],G$2,FALSE)),"")</f>
        <v/>
      </c>
      <c r="H18" s="226" t="str">
        <f>IFERROR(VLOOKUP($A18,TableHandbook[],H$2,FALSE),"")</f>
        <v/>
      </c>
      <c r="I18" s="227" t="str">
        <f>IFERROR(VLOOKUP($A18,TableHandbook[],I$2,FALSE),"")</f>
        <v/>
      </c>
      <c r="J18" s="227" t="str">
        <f>IFERROR(VLOOKUP($A18,TableHandbook[],J$2,FALSE),"")</f>
        <v/>
      </c>
      <c r="K18" s="228" t="str">
        <f>IFERROR(VLOOKUP($A18,TableHandbook[],K$2,FALSE),"")</f>
        <v/>
      </c>
      <c r="L18" s="46"/>
      <c r="M18" s="166">
        <v>8</v>
      </c>
      <c r="N18" s="134"/>
      <c r="O18" s="134"/>
      <c r="W18" s="34"/>
    </row>
    <row r="19" spans="1:23" s="35" customFormat="1" ht="20.100000000000001" customHeight="1" x14ac:dyDescent="0.15">
      <c r="A19" s="126" t="str">
        <f>IFERROR(IF(HLOOKUP($L$5,RangeUnitsets,M19,FALSE)=0,"",HLOOKUP($L$5,RangeUnitsets,M19,FALSE)),"")</f>
        <v/>
      </c>
      <c r="B19" s="132" t="str">
        <f>IFERROR(IF(VLOOKUP($A19,TableHandbook[],B$2,FALSE)=0,"",VLOOKUP($A19,TableHandbook[],B$2,FALSE)),"")</f>
        <v/>
      </c>
      <c r="C19" s="132" t="str">
        <f>IFERROR(IF(VLOOKUP($A19,TableHandbook[],C$2,FALSE)=0,"",VLOOKUP($A19,TableHandbook[],C$2,FALSE)),"")</f>
        <v/>
      </c>
      <c r="D19" s="139" t="str">
        <f>IFERROR(IF(VLOOKUP($A19,TableHandbook[],D$2,FALSE)=0,"",VLOOKUP($A19,TableHandbook[],D$2,FALSE)),"")</f>
        <v/>
      </c>
      <c r="E19" s="132" t="str">
        <f>IF(OR(A19="",A19="-"),"",E18)</f>
        <v/>
      </c>
      <c r="F19" s="129" t="str">
        <f>IFERROR(IF(VLOOKUP($A19,TableHandbook[],F$2,FALSE)=0,"",VLOOKUP($A19,TableHandbook[],F$2,FALSE)),"")</f>
        <v/>
      </c>
      <c r="G19" s="132" t="str">
        <f>IFERROR(IF(VLOOKUP($A19,TableHandbook[],G$2,FALSE)=0,"",VLOOKUP($A19,TableHandbook[],G$2,FALSE)),"")</f>
        <v/>
      </c>
      <c r="H19" s="226" t="str">
        <f>IFERROR(VLOOKUP($A19,TableHandbook[],H$2,FALSE),"")</f>
        <v/>
      </c>
      <c r="I19" s="227" t="str">
        <f>IFERROR(VLOOKUP($A19,TableHandbook[],I$2,FALSE),"")</f>
        <v/>
      </c>
      <c r="J19" s="227" t="str">
        <f>IFERROR(VLOOKUP($A19,TableHandbook[],J$2,FALSE),"")</f>
        <v/>
      </c>
      <c r="K19" s="228" t="str">
        <f>IFERROR(VLOOKUP($A19,TableHandbook[],K$2,FALSE),"")</f>
        <v/>
      </c>
      <c r="L19" s="46"/>
      <c r="M19" s="166">
        <v>9</v>
      </c>
      <c r="N19" s="134"/>
      <c r="O19" s="134"/>
      <c r="W19" s="34"/>
    </row>
    <row r="20" spans="1:23" s="31" customFormat="1" ht="21" x14ac:dyDescent="0.25">
      <c r="A20" s="118" t="s">
        <v>27</v>
      </c>
      <c r="B20" s="118"/>
      <c r="C20" s="125" t="s">
        <v>18</v>
      </c>
      <c r="D20" s="135" t="s">
        <v>3</v>
      </c>
      <c r="E20" s="125" t="s">
        <v>19</v>
      </c>
      <c r="F20" s="118" t="s">
        <v>20</v>
      </c>
      <c r="G20" s="118" t="s">
        <v>21</v>
      </c>
      <c r="H20" s="217" t="str">
        <f>H$8</f>
        <v>SP1</v>
      </c>
      <c r="I20" s="218" t="str">
        <f t="shared" ref="I20:L20" si="0">I$8</f>
        <v>SP2</v>
      </c>
      <c r="J20" s="218" t="str">
        <f t="shared" si="0"/>
        <v>SP3</v>
      </c>
      <c r="K20" s="219" t="str">
        <f t="shared" si="0"/>
        <v>SP4</v>
      </c>
      <c r="L20" s="118" t="str">
        <f t="shared" si="0"/>
        <v>Notes / Progress</v>
      </c>
      <c r="M20" s="124"/>
      <c r="N20" s="124"/>
      <c r="O20" s="124"/>
      <c r="W20" s="30"/>
    </row>
    <row r="21" spans="1:23" s="33" customFormat="1" ht="20.100000000000001" customHeight="1" x14ac:dyDescent="0.15">
      <c r="A21" s="126" t="str">
        <f>IFERROR(IF(HLOOKUP($L$5,RangeUnitsets,M21,FALSE)=0,"",HLOOKUP($L$5,RangeUnitsets,M21,FALSE)),"")</f>
        <v/>
      </c>
      <c r="B21" s="132" t="str">
        <f>IFERROR(IF(VLOOKUP($A21,TableHandbook[],B$2,FALSE)=0,"",VLOOKUP($A21,TableHandbook[],B$2,FALSE)),"")</f>
        <v/>
      </c>
      <c r="C21" s="132" t="str">
        <f>IFERROR(IF(VLOOKUP($A21,TableHandbook[],C$2,FALSE)=0,"",VLOOKUP($A21,TableHandbook[],C$2,FALSE)),"")</f>
        <v/>
      </c>
      <c r="D21" s="137" t="str">
        <f>IFERROR(IF(VLOOKUP($A21,TableHandbook[],D$2,FALSE)=0,"",VLOOKUP($A21,TableHandbook[],D$2,FALSE)),"")</f>
        <v/>
      </c>
      <c r="E21" s="132" t="str">
        <f>IF(OR(A21="",A21="--"),"",VLOOKUP($D$6,TableStudyPeriods[],2,FALSE))</f>
        <v/>
      </c>
      <c r="F21" s="129" t="str">
        <f>IFERROR(IF(VLOOKUP($A21,TableHandbook[],F$2,FALSE)=0,"",VLOOKUP($A21,TableHandbook[],F$2,FALSE)),"")</f>
        <v/>
      </c>
      <c r="G21" s="127" t="str">
        <f>IFERROR(IF(VLOOKUP($A21,TableHandbook[],G$2,FALSE)=0,"",VLOOKUP($A21,TableHandbook[],G$2,FALSE)),"")</f>
        <v/>
      </c>
      <c r="H21" s="220" t="str">
        <f>IFERROR(VLOOKUP($A21,TableHandbook[],H$2,FALSE),"")</f>
        <v/>
      </c>
      <c r="I21" s="221" t="str">
        <f>IFERROR(VLOOKUP($A21,TableHandbook[],I$2,FALSE),"")</f>
        <v/>
      </c>
      <c r="J21" s="221" t="str">
        <f>IFERROR(VLOOKUP($A21,TableHandbook[],J$2,FALSE),"")</f>
        <v/>
      </c>
      <c r="K21" s="222" t="str">
        <f>IFERROR(VLOOKUP($A21,TableHandbook[],K$2,FALSE),"")</f>
        <v/>
      </c>
      <c r="L21" s="45"/>
      <c r="M21" s="166">
        <v>10</v>
      </c>
      <c r="N21" s="131"/>
      <c r="O21" s="131"/>
      <c r="W21" s="32"/>
    </row>
    <row r="22" spans="1:23" s="33" customFormat="1" ht="19.5" customHeight="1" x14ac:dyDescent="0.15">
      <c r="A22" s="126" t="str">
        <f>IFERROR(IF(HLOOKUP($L$5,RangeUnitsets,M22,FALSE)=0,"",HLOOKUP($L$5,RangeUnitsets,M22,FALSE)),"")</f>
        <v/>
      </c>
      <c r="B22" s="132" t="str">
        <f>IFERROR(IF(VLOOKUP($A22,TableHandbook[],B$2,FALSE)=0,"",VLOOKUP($A22,TableHandbook[],B$2,FALSE)),"")</f>
        <v/>
      </c>
      <c r="C22" s="132" t="str">
        <f>IFERROR(IF(VLOOKUP($A22,TableHandbook[],C$2,FALSE)=0,"",VLOOKUP($A22,TableHandbook[],C$2,FALSE)),"")</f>
        <v/>
      </c>
      <c r="D22" s="139" t="str">
        <f>IFERROR(IF(VLOOKUP($A22,TableHandbook[],D$2,FALSE)=0,"",VLOOKUP($A22,TableHandbook[],D$2,FALSE)),"")</f>
        <v/>
      </c>
      <c r="E22" s="132" t="str">
        <f>IF(OR(A22="",A22="-"),"",E21)</f>
        <v/>
      </c>
      <c r="F22" s="129" t="str">
        <f>IFERROR(IF(VLOOKUP($A22,TableHandbook[],F$2,FALSE)=0,"",VLOOKUP($A22,TableHandbook[],F$2,FALSE)),"")</f>
        <v/>
      </c>
      <c r="G22" s="127" t="str">
        <f>IFERROR(IF(VLOOKUP($A22,TableHandbook[],G$2,FALSE)=0,"",VLOOKUP($A22,TableHandbook[],G$2,FALSE)),"")</f>
        <v/>
      </c>
      <c r="H22" s="220" t="str">
        <f>IFERROR(VLOOKUP($A22,TableHandbook[],H$2,FALSE),"")</f>
        <v/>
      </c>
      <c r="I22" s="221" t="str">
        <f>IFERROR(VLOOKUP($A22,TableHandbook[],I$2,FALSE),"")</f>
        <v/>
      </c>
      <c r="J22" s="221" t="str">
        <f>IFERROR(VLOOKUP($A22,TableHandbook[],J$2,FALSE),"")</f>
        <v/>
      </c>
      <c r="K22" s="222" t="str">
        <f>IFERROR(VLOOKUP($A22,TableHandbook[],K$2,FALSE),"")</f>
        <v/>
      </c>
      <c r="L22" s="45"/>
      <c r="M22" s="166">
        <v>11</v>
      </c>
      <c r="N22" s="131"/>
      <c r="O22" s="131"/>
      <c r="W22" s="32"/>
    </row>
    <row r="23" spans="1:23" s="33" customFormat="1" ht="5.0999999999999996" customHeight="1" x14ac:dyDescent="0.15">
      <c r="A23" s="186"/>
      <c r="B23" s="187"/>
      <c r="C23" s="187"/>
      <c r="D23" s="193"/>
      <c r="E23" s="187"/>
      <c r="F23" s="188"/>
      <c r="G23" s="187"/>
      <c r="H23" s="223"/>
      <c r="I23" s="224"/>
      <c r="J23" s="224"/>
      <c r="K23" s="225"/>
      <c r="L23" s="189"/>
      <c r="M23" s="167"/>
      <c r="N23" s="131"/>
      <c r="O23" s="131"/>
      <c r="P23" s="131"/>
      <c r="W23" s="32"/>
    </row>
    <row r="24" spans="1:23" s="33" customFormat="1" ht="20.100000000000001" customHeight="1" x14ac:dyDescent="0.15">
      <c r="A24" s="126" t="str">
        <f>IFERROR(IF(HLOOKUP($L$5,RangeUnitsets,M24,FALSE)=0,"",HLOOKUP($L$5,RangeUnitsets,M24,FALSE)),"")</f>
        <v/>
      </c>
      <c r="B24" s="132" t="str">
        <f>IFERROR(IF(VLOOKUP($A24,TableHandbook[],B$2,FALSE)=0,"",VLOOKUP($A24,TableHandbook[],B$2,FALSE)),"")</f>
        <v/>
      </c>
      <c r="C24" s="132" t="str">
        <f>IFERROR(IF(VLOOKUP($A24,TableHandbook[],C$2,FALSE)=0,"",VLOOKUP($A24,TableHandbook[],C$2,FALSE)),"")</f>
        <v/>
      </c>
      <c r="D24" s="139" t="str">
        <f>IFERROR(IF(VLOOKUP($A24,TableHandbook[],D$2,FALSE)=0,"",VLOOKUP($A24,TableHandbook[],D$2,FALSE)),"")</f>
        <v/>
      </c>
      <c r="E24" s="132" t="str">
        <f>IF(OR(A24="",A24="--"),"",VLOOKUP($D$6,TableStudyPeriods[],3,FALSE))</f>
        <v/>
      </c>
      <c r="F24" s="129" t="str">
        <f>IFERROR(IF(VLOOKUP($A24,TableHandbook[],F$2,FALSE)=0,"",VLOOKUP($A24,TableHandbook[],F$2,FALSE)),"")</f>
        <v/>
      </c>
      <c r="G24" s="127" t="str">
        <f>IFERROR(IF(VLOOKUP($A24,TableHandbook[],G$2,FALSE)=0,"",VLOOKUP($A24,TableHandbook[],G$2,FALSE)),"")</f>
        <v/>
      </c>
      <c r="H24" s="220" t="str">
        <f>IFERROR(VLOOKUP($A24,TableHandbook[],H$2,FALSE),"")</f>
        <v/>
      </c>
      <c r="I24" s="221" t="str">
        <f>IFERROR(VLOOKUP($A24,TableHandbook[],I$2,FALSE),"")</f>
        <v/>
      </c>
      <c r="J24" s="221" t="str">
        <f>IFERROR(VLOOKUP($A24,TableHandbook[],J$2,FALSE),"")</f>
        <v/>
      </c>
      <c r="K24" s="222" t="str">
        <f>IFERROR(VLOOKUP($A24,TableHandbook[],K$2,FALSE),"")</f>
        <v/>
      </c>
      <c r="L24" s="45"/>
      <c r="M24" s="166">
        <v>12</v>
      </c>
      <c r="N24" s="131"/>
      <c r="O24" s="131"/>
      <c r="W24" s="32"/>
    </row>
    <row r="25" spans="1:23" s="33" customFormat="1" ht="20.100000000000001" customHeight="1" x14ac:dyDescent="0.15">
      <c r="A25" s="126" t="str">
        <f>IFERROR(IF(HLOOKUP($L$5,RangeUnitsets,M25,FALSE)=0,"",HLOOKUP($L$5,RangeUnitsets,M25,FALSE)),"")</f>
        <v/>
      </c>
      <c r="B25" s="132" t="str">
        <f>IFERROR(IF(VLOOKUP($A25,TableHandbook[],B$2,FALSE)=0,"",VLOOKUP($A25,TableHandbook[],B$2,FALSE)),"")</f>
        <v/>
      </c>
      <c r="C25" s="132" t="str">
        <f>IFERROR(IF(VLOOKUP($A25,TableHandbook[],C$2,FALSE)=0,"",VLOOKUP($A25,TableHandbook[],C$2,FALSE)),"")</f>
        <v/>
      </c>
      <c r="D25" s="139" t="str">
        <f>IFERROR(IF(VLOOKUP($A25,TableHandbook[],D$2,FALSE)=0,"",VLOOKUP($A25,TableHandbook[],D$2,FALSE)),"")</f>
        <v/>
      </c>
      <c r="E25" s="132" t="str">
        <f>IF(OR(A25="",A25="-"),"",E24)</f>
        <v/>
      </c>
      <c r="F25" s="129" t="str">
        <f>IFERROR(IF(VLOOKUP($A25,TableHandbook[],F$2,FALSE)=0,"",VLOOKUP($A25,TableHandbook[],F$2,FALSE)),"")</f>
        <v/>
      </c>
      <c r="G25" s="127" t="str">
        <f>IFERROR(IF(VLOOKUP($A25,TableHandbook[],G$2,FALSE)=0,"",VLOOKUP($A25,TableHandbook[],G$2,FALSE)),"")</f>
        <v/>
      </c>
      <c r="H25" s="220" t="str">
        <f>IFERROR(VLOOKUP($A25,TableHandbook[],H$2,FALSE),"")</f>
        <v/>
      </c>
      <c r="I25" s="221" t="str">
        <f>IFERROR(VLOOKUP($A25,TableHandbook[],I$2,FALSE),"")</f>
        <v/>
      </c>
      <c r="J25" s="221" t="str">
        <f>IFERROR(VLOOKUP($A25,TableHandbook[],J$2,FALSE),"")</f>
        <v/>
      </c>
      <c r="K25" s="222" t="str">
        <f>IFERROR(VLOOKUP($A25,TableHandbook[],K$2,FALSE),"")</f>
        <v/>
      </c>
      <c r="L25" s="45"/>
      <c r="M25" s="166">
        <v>13</v>
      </c>
      <c r="N25" s="131"/>
      <c r="O25" s="131"/>
      <c r="W25" s="32"/>
    </row>
    <row r="26" spans="1:23" s="33" customFormat="1" ht="5.0999999999999996" customHeight="1" x14ac:dyDescent="0.15">
      <c r="A26" s="186"/>
      <c r="B26" s="187"/>
      <c r="C26" s="187"/>
      <c r="D26" s="193"/>
      <c r="E26" s="187"/>
      <c r="F26" s="188"/>
      <c r="G26" s="187"/>
      <c r="H26" s="223"/>
      <c r="I26" s="224"/>
      <c r="J26" s="224"/>
      <c r="K26" s="225"/>
      <c r="L26" s="189"/>
      <c r="M26" s="167"/>
      <c r="N26" s="131"/>
      <c r="O26" s="131"/>
      <c r="P26" s="131"/>
      <c r="W26" s="32"/>
    </row>
    <row r="27" spans="1:23" s="33" customFormat="1" ht="20.100000000000001" customHeight="1" x14ac:dyDescent="0.15">
      <c r="A27" s="126" t="str">
        <f>IFERROR(IF(HLOOKUP($L$5,RangeUnitsets,M27,FALSE)=0,"",HLOOKUP($L$5,RangeUnitsets,M27,FALSE)),"")</f>
        <v/>
      </c>
      <c r="B27" s="132" t="str">
        <f>IFERROR(IF(VLOOKUP($A27,TableHandbook[],B$2,FALSE)=0,"",VLOOKUP($A27,TableHandbook[],B$2,FALSE)),"")</f>
        <v/>
      </c>
      <c r="C27" s="132" t="str">
        <f>IFERROR(IF(VLOOKUP($A27,TableHandbook[],C$2,FALSE)=0,"",VLOOKUP($A27,TableHandbook[],C$2,FALSE)),"")</f>
        <v/>
      </c>
      <c r="D27" s="139" t="str">
        <f>IFERROR(IF(VLOOKUP($A27,TableHandbook[],D$2,FALSE)=0,"",VLOOKUP($A27,TableHandbook[],D$2,FALSE)),"")</f>
        <v/>
      </c>
      <c r="E27" s="132" t="str">
        <f>IF(OR(A27="",A27="--"),"",VLOOKUP($D$6,TableStudyPeriods[],4,FALSE))</f>
        <v/>
      </c>
      <c r="F27" s="129" t="str">
        <f>IFERROR(IF(VLOOKUP($A27,TableHandbook[],F$2,FALSE)=0,"",VLOOKUP($A27,TableHandbook[],F$2,FALSE)),"")</f>
        <v/>
      </c>
      <c r="G27" s="127" t="str">
        <f>IFERROR(IF(VLOOKUP($A27,TableHandbook[],G$2,FALSE)=0,"",VLOOKUP($A27,TableHandbook[],G$2,FALSE)),"")</f>
        <v/>
      </c>
      <c r="H27" s="220" t="str">
        <f>IFERROR(VLOOKUP($A27,TableHandbook[],H$2,FALSE),"")</f>
        <v/>
      </c>
      <c r="I27" s="221" t="str">
        <f>IFERROR(VLOOKUP($A27,TableHandbook[],I$2,FALSE),"")</f>
        <v/>
      </c>
      <c r="J27" s="221" t="str">
        <f>IFERROR(VLOOKUP($A27,TableHandbook[],J$2,FALSE),"")</f>
        <v/>
      </c>
      <c r="K27" s="222" t="str">
        <f>IFERROR(VLOOKUP($A27,TableHandbook[],K$2,FALSE),"")</f>
        <v/>
      </c>
      <c r="L27" s="45"/>
      <c r="M27" s="166">
        <v>14</v>
      </c>
      <c r="N27" s="131"/>
      <c r="O27" s="131"/>
      <c r="W27" s="32"/>
    </row>
    <row r="28" spans="1:23" s="33" customFormat="1" ht="20.100000000000001" customHeight="1" x14ac:dyDescent="0.15">
      <c r="A28" s="126" t="str">
        <f>IFERROR(IF(HLOOKUP($L$5,RangeUnitsets,M28,FALSE)=0,"",HLOOKUP($L$5,RangeUnitsets,M28,FALSE)),"")</f>
        <v/>
      </c>
      <c r="B28" s="132" t="str">
        <f>IFERROR(IF(VLOOKUP($A28,TableHandbook[],B$2,FALSE)=0,"",VLOOKUP($A28,TableHandbook[],B$2,FALSE)),"")</f>
        <v/>
      </c>
      <c r="C28" s="132" t="str">
        <f>IFERROR(IF(VLOOKUP($A28,TableHandbook[],C$2,FALSE)=0,"",VLOOKUP($A28,TableHandbook[],C$2,FALSE)),"")</f>
        <v/>
      </c>
      <c r="D28" s="139" t="str">
        <f>IFERROR(IF(VLOOKUP($A28,TableHandbook[],D$2,FALSE)=0,"",VLOOKUP($A28,TableHandbook[],D$2,FALSE)),"")</f>
        <v/>
      </c>
      <c r="E28" s="132" t="str">
        <f>IF(OR(A28="",A28="-"),"",E27)</f>
        <v/>
      </c>
      <c r="F28" s="129" t="str">
        <f>IFERROR(IF(VLOOKUP($A28,TableHandbook[],F$2,FALSE)=0,"",VLOOKUP($A28,TableHandbook[],F$2,FALSE)),"")</f>
        <v/>
      </c>
      <c r="G28" s="127" t="str">
        <f>IFERROR(IF(VLOOKUP($A28,TableHandbook[],G$2,FALSE)=0,"",VLOOKUP($A28,TableHandbook[],G$2,FALSE)),"")</f>
        <v/>
      </c>
      <c r="H28" s="220" t="str">
        <f>IFERROR(VLOOKUP($A28,TableHandbook[],H$2,FALSE),"")</f>
        <v/>
      </c>
      <c r="I28" s="221" t="str">
        <f>IFERROR(VLOOKUP($A28,TableHandbook[],I$2,FALSE),"")</f>
        <v/>
      </c>
      <c r="J28" s="221" t="str">
        <f>IFERROR(VLOOKUP($A28,TableHandbook[],J$2,FALSE),"")</f>
        <v/>
      </c>
      <c r="K28" s="222" t="str">
        <f>IFERROR(VLOOKUP($A28,TableHandbook[],K$2,FALSE),"")</f>
        <v/>
      </c>
      <c r="L28" s="45"/>
      <c r="M28" s="166">
        <v>15</v>
      </c>
      <c r="N28" s="131"/>
      <c r="O28" s="131"/>
      <c r="W28" s="32"/>
    </row>
    <row r="29" spans="1:23" s="33" customFormat="1" ht="5.0999999999999996" customHeight="1" x14ac:dyDescent="0.15">
      <c r="A29" s="186"/>
      <c r="B29" s="187"/>
      <c r="C29" s="187"/>
      <c r="D29" s="193"/>
      <c r="E29" s="187"/>
      <c r="F29" s="188"/>
      <c r="G29" s="187"/>
      <c r="H29" s="223"/>
      <c r="I29" s="224"/>
      <c r="J29" s="224"/>
      <c r="K29" s="225"/>
      <c r="L29" s="189"/>
      <c r="M29" s="167"/>
      <c r="N29" s="131"/>
      <c r="O29" s="131"/>
      <c r="P29" s="131"/>
      <c r="W29" s="32"/>
    </row>
    <row r="30" spans="1:23" s="35" customFormat="1" ht="20.100000000000001" customHeight="1" x14ac:dyDescent="0.15">
      <c r="A30" s="126" t="str">
        <f>IFERROR(IF(HLOOKUP($L$5,RangeUnitsets,M30,FALSE)=0,"",HLOOKUP($L$5,RangeUnitsets,M30,FALSE)),"")</f>
        <v/>
      </c>
      <c r="B30" s="132" t="str">
        <f>IFERROR(IF(VLOOKUP($A30,TableHandbook[],B$2,FALSE)=0,"",VLOOKUP($A30,TableHandbook[],B$2,FALSE)),"")</f>
        <v/>
      </c>
      <c r="C30" s="132" t="str">
        <f>IFERROR(IF(VLOOKUP($A30,TableHandbook[],C$2,FALSE)=0,"",VLOOKUP($A30,TableHandbook[],C$2,FALSE)),"")</f>
        <v/>
      </c>
      <c r="D30" s="139" t="str">
        <f>IFERROR(IF(VLOOKUP($A30,TableHandbook[],D$2,FALSE)=0,"",VLOOKUP($A30,TableHandbook[],D$2,FALSE)),"")</f>
        <v/>
      </c>
      <c r="E30" s="132" t="str">
        <f>IF(OR(A30="",A30="--"),"",VLOOKUP($D$6,TableStudyPeriods[],5,FALSE))</f>
        <v/>
      </c>
      <c r="F30" s="129" t="str">
        <f>IFERROR(IF(VLOOKUP($A30,TableHandbook[],F$2,FALSE)=0,"",VLOOKUP($A30,TableHandbook[],F$2,FALSE)),"")</f>
        <v/>
      </c>
      <c r="G30" s="127" t="str">
        <f>IFERROR(IF(VLOOKUP($A30,TableHandbook[],G$2,FALSE)=0,"",VLOOKUP($A30,TableHandbook[],G$2,FALSE)),"")</f>
        <v/>
      </c>
      <c r="H30" s="220" t="str">
        <f>IFERROR(VLOOKUP($A30,TableHandbook[],H$2,FALSE),"")</f>
        <v/>
      </c>
      <c r="I30" s="221" t="str">
        <f>IFERROR(VLOOKUP($A30,TableHandbook[],I$2,FALSE),"")</f>
        <v/>
      </c>
      <c r="J30" s="221" t="str">
        <f>IFERROR(VLOOKUP($A30,TableHandbook[],J$2,FALSE),"")</f>
        <v/>
      </c>
      <c r="K30" s="222" t="str">
        <f>IFERROR(VLOOKUP($A30,TableHandbook[],K$2,FALSE),"")</f>
        <v/>
      </c>
      <c r="L30" s="45"/>
      <c r="M30" s="166">
        <v>16</v>
      </c>
      <c r="N30" s="134"/>
      <c r="O30" s="134"/>
      <c r="W30" s="34"/>
    </row>
    <row r="31" spans="1:23" s="35" customFormat="1" ht="20.100000000000001" customHeight="1" x14ac:dyDescent="0.15">
      <c r="A31" s="126" t="str">
        <f>IFERROR(IF(HLOOKUP($L$5,RangeUnitsets,M31,FALSE)=0,"",HLOOKUP($L$5,RangeUnitsets,M31,FALSE)),"")</f>
        <v/>
      </c>
      <c r="B31" s="132" t="str">
        <f>IFERROR(IF(VLOOKUP($A31,TableHandbook[],B$2,FALSE)=0,"",VLOOKUP($A31,TableHandbook[],B$2,FALSE)),"")</f>
        <v/>
      </c>
      <c r="C31" s="132" t="str">
        <f>IFERROR(IF(VLOOKUP($A31,TableHandbook[],C$2,FALSE)=0,"",VLOOKUP($A31,TableHandbook[],C$2,FALSE)),"")</f>
        <v/>
      </c>
      <c r="D31" s="139" t="str">
        <f>IFERROR(IF(VLOOKUP($A31,TableHandbook[],D$2,FALSE)=0,"",VLOOKUP($A31,TableHandbook[],D$2,FALSE)),"")</f>
        <v/>
      </c>
      <c r="E31" s="127" t="str">
        <f>IF(OR(A31="",A31="-"),"",E30)</f>
        <v/>
      </c>
      <c r="F31" s="129" t="str">
        <f>IFERROR(IF(VLOOKUP($A31,TableHandbook[],F$2,FALSE)=0,"",VLOOKUP($A31,TableHandbook[],F$2,FALSE)),"")</f>
        <v/>
      </c>
      <c r="G31" s="127" t="str">
        <f>IFERROR(IF(VLOOKUP($A31,TableHandbook[],G$2,FALSE)=0,"",VLOOKUP($A31,TableHandbook[],G$2,FALSE)),"")</f>
        <v/>
      </c>
      <c r="H31" s="220" t="str">
        <f>IFERROR(VLOOKUP($A31,TableHandbook[],H$2,FALSE),"")</f>
        <v/>
      </c>
      <c r="I31" s="221" t="str">
        <f>IFERROR(VLOOKUP($A31,TableHandbook[],I$2,FALSE),"")</f>
        <v/>
      </c>
      <c r="J31" s="221" t="str">
        <f>IFERROR(VLOOKUP($A31,TableHandbook[],J$2,FALSE),"")</f>
        <v/>
      </c>
      <c r="K31" s="222" t="str">
        <f>IFERROR(VLOOKUP($A31,TableHandbook[],K$2,FALSE),"")</f>
        <v/>
      </c>
      <c r="L31" s="45"/>
      <c r="M31" s="166">
        <v>17</v>
      </c>
      <c r="N31" s="134"/>
      <c r="O31" s="134"/>
      <c r="W31" s="34"/>
    </row>
    <row r="32" spans="1:23" s="31" customFormat="1" ht="21" x14ac:dyDescent="0.25">
      <c r="A32" s="118" t="s">
        <v>28</v>
      </c>
      <c r="B32" s="118"/>
      <c r="C32" s="125" t="s">
        <v>18</v>
      </c>
      <c r="D32" s="135" t="s">
        <v>3</v>
      </c>
      <c r="E32" s="125" t="s">
        <v>19</v>
      </c>
      <c r="F32" s="118" t="s">
        <v>20</v>
      </c>
      <c r="G32" s="118" t="s">
        <v>21</v>
      </c>
      <c r="H32" s="217" t="str">
        <f>H$8</f>
        <v>SP1</v>
      </c>
      <c r="I32" s="218" t="str">
        <f t="shared" ref="I32:L32" si="1">I$8</f>
        <v>SP2</v>
      </c>
      <c r="J32" s="218" t="str">
        <f t="shared" si="1"/>
        <v>SP3</v>
      </c>
      <c r="K32" s="219" t="str">
        <f t="shared" si="1"/>
        <v>SP4</v>
      </c>
      <c r="L32" s="118" t="str">
        <f t="shared" si="1"/>
        <v>Notes / Progress</v>
      </c>
      <c r="M32" s="124"/>
      <c r="N32" s="124"/>
      <c r="O32" s="124"/>
      <c r="W32" s="30"/>
    </row>
    <row r="33" spans="1:23" s="33" customFormat="1" ht="20.100000000000001" customHeight="1" x14ac:dyDescent="0.15">
      <c r="A33" s="126" t="str">
        <f>IFERROR(IF(HLOOKUP($L$5,RangeUnitsets,M33,FALSE)=0,"",HLOOKUP($L$5,RangeUnitsets,M33,FALSE)),"")</f>
        <v/>
      </c>
      <c r="B33" s="132" t="str">
        <f>IFERROR(IF(VLOOKUP($A33,TableHandbook[],B$2,FALSE)=0,"",VLOOKUP($A33,TableHandbook[],B$2,FALSE)),"")</f>
        <v/>
      </c>
      <c r="C33" s="132" t="str">
        <f>IFERROR(IF(VLOOKUP($A33,TableHandbook[],C$2,FALSE)=0,"",VLOOKUP($A33,TableHandbook[],C$2,FALSE)),"")</f>
        <v/>
      </c>
      <c r="D33" s="137" t="str">
        <f>IFERROR(IF(VLOOKUP($A33,TableHandbook[],D$2,FALSE)=0,"",VLOOKUP($A33,TableHandbook[],D$2,FALSE)),"")</f>
        <v/>
      </c>
      <c r="E33" s="132" t="str">
        <f>IF(OR(A33="",A33="--"),"",VLOOKUP($D$6,TableStudyPeriods[],2,FALSE))</f>
        <v/>
      </c>
      <c r="F33" s="129" t="str">
        <f>IFERROR(IF(VLOOKUP($A33,TableHandbook[],F$2,FALSE)=0,"",VLOOKUP($A33,TableHandbook[],F$2,FALSE)),"")</f>
        <v/>
      </c>
      <c r="G33" s="127" t="str">
        <f>IFERROR(IF(VLOOKUP($A33,TableHandbook[],G$2,FALSE)=0,"",VLOOKUP($A33,TableHandbook[],G$2,FALSE)),"")</f>
        <v/>
      </c>
      <c r="H33" s="220" t="str">
        <f>IFERROR(VLOOKUP($A33,TableHandbook[],H$2,FALSE),"")</f>
        <v/>
      </c>
      <c r="I33" s="221" t="str">
        <f>IFERROR(VLOOKUP($A33,TableHandbook[],I$2,FALSE),"")</f>
        <v/>
      </c>
      <c r="J33" s="221" t="str">
        <f>IFERROR(VLOOKUP($A33,TableHandbook[],J$2,FALSE),"")</f>
        <v/>
      </c>
      <c r="K33" s="222" t="str">
        <f>IFERROR(VLOOKUP($A33,TableHandbook[],K$2,FALSE),"")</f>
        <v/>
      </c>
      <c r="L33" s="45"/>
      <c r="M33" s="166">
        <v>18</v>
      </c>
      <c r="N33" s="131"/>
      <c r="O33" s="131"/>
      <c r="W33" s="32"/>
    </row>
    <row r="34" spans="1:23" s="33" customFormat="1" ht="19.5" customHeight="1" x14ac:dyDescent="0.15">
      <c r="A34" s="126" t="str">
        <f>IFERROR(IF(HLOOKUP($L$5,RangeUnitsets,M34,FALSE)=0,"",HLOOKUP($L$5,RangeUnitsets,M34,FALSE)),"")</f>
        <v/>
      </c>
      <c r="B34" s="132" t="str">
        <f>IFERROR(IF(VLOOKUP($A34,TableHandbook[],B$2,FALSE)=0,"",VLOOKUP($A34,TableHandbook[],B$2,FALSE)),"")</f>
        <v/>
      </c>
      <c r="C34" s="132" t="str">
        <f>IFERROR(IF(VLOOKUP($A34,TableHandbook[],C$2,FALSE)=0,"",VLOOKUP($A34,TableHandbook[],C$2,FALSE)),"")</f>
        <v/>
      </c>
      <c r="D34" s="139" t="str">
        <f>IFERROR(IF(VLOOKUP($A34,TableHandbook[],D$2,FALSE)=0,"",VLOOKUP($A34,TableHandbook[],D$2,FALSE)),"")</f>
        <v/>
      </c>
      <c r="E34" s="132" t="str">
        <f>IF(OR(A34="",A34="-"),"",E33)</f>
        <v/>
      </c>
      <c r="F34" s="129" t="str">
        <f>IFERROR(IF(VLOOKUP($A34,TableHandbook[],F$2,FALSE)=0,"",VLOOKUP($A34,TableHandbook[],F$2,FALSE)),"")</f>
        <v/>
      </c>
      <c r="G34" s="127" t="str">
        <f>IFERROR(IF(VLOOKUP($A34,TableHandbook[],G$2,FALSE)=0,"",VLOOKUP($A34,TableHandbook[],G$2,FALSE)),"")</f>
        <v/>
      </c>
      <c r="H34" s="220" t="str">
        <f>IFERROR(VLOOKUP($A34,TableHandbook[],H$2,FALSE),"")</f>
        <v/>
      </c>
      <c r="I34" s="221" t="str">
        <f>IFERROR(VLOOKUP($A34,TableHandbook[],I$2,FALSE),"")</f>
        <v/>
      </c>
      <c r="J34" s="221" t="str">
        <f>IFERROR(VLOOKUP($A34,TableHandbook[],J$2,FALSE),"")</f>
        <v/>
      </c>
      <c r="K34" s="222" t="str">
        <f>IFERROR(VLOOKUP($A34,TableHandbook[],K$2,FALSE),"")</f>
        <v/>
      </c>
      <c r="L34" s="45"/>
      <c r="M34" s="166">
        <v>19</v>
      </c>
      <c r="N34" s="131"/>
      <c r="O34" s="131"/>
      <c r="W34" s="32"/>
    </row>
    <row r="35" spans="1:23" s="33" customFormat="1" ht="5.0999999999999996" customHeight="1" x14ac:dyDescent="0.15">
      <c r="A35" s="186"/>
      <c r="B35" s="187"/>
      <c r="C35" s="187"/>
      <c r="D35" s="193"/>
      <c r="E35" s="187"/>
      <c r="F35" s="188"/>
      <c r="G35" s="187"/>
      <c r="H35" s="223"/>
      <c r="I35" s="224"/>
      <c r="J35" s="224"/>
      <c r="K35" s="225"/>
      <c r="L35" s="189"/>
      <c r="M35" s="167"/>
      <c r="N35" s="131"/>
      <c r="O35" s="131"/>
      <c r="P35" s="131"/>
      <c r="W35" s="32"/>
    </row>
    <row r="36" spans="1:23" s="33" customFormat="1" ht="20.100000000000001" customHeight="1" x14ac:dyDescent="0.15">
      <c r="A36" s="126" t="str">
        <f>IFERROR(IF(HLOOKUP($L$5,RangeUnitsets,M36,FALSE)=0,"",HLOOKUP($L$5,RangeUnitsets,M36,FALSE)),"")</f>
        <v/>
      </c>
      <c r="B36" s="132" t="str">
        <f>IFERROR(IF(VLOOKUP($A36,TableHandbook[],B$2,FALSE)=0,"",VLOOKUP($A36,TableHandbook[],B$2,FALSE)),"")</f>
        <v/>
      </c>
      <c r="C36" s="132" t="str">
        <f>IFERROR(IF(VLOOKUP($A36,TableHandbook[],C$2,FALSE)=0,"",VLOOKUP($A36,TableHandbook[],C$2,FALSE)),"")</f>
        <v/>
      </c>
      <c r="D36" s="139" t="str">
        <f>IFERROR(IF(VLOOKUP($A36,TableHandbook[],D$2,FALSE)=0,"",VLOOKUP($A36,TableHandbook[],D$2,FALSE)),"")</f>
        <v/>
      </c>
      <c r="E36" s="132" t="str">
        <f>IF(OR(A36="",A36="--"),"",VLOOKUP($D$6,TableStudyPeriods[],3,FALSE))</f>
        <v/>
      </c>
      <c r="F36" s="129" t="str">
        <f>IFERROR(IF(VLOOKUP($A36,TableHandbook[],F$2,FALSE)=0,"",VLOOKUP($A36,TableHandbook[],F$2,FALSE)),"")</f>
        <v/>
      </c>
      <c r="G36" s="127" t="str">
        <f>IFERROR(IF(VLOOKUP($A36,TableHandbook[],G$2,FALSE)=0,"",VLOOKUP($A36,TableHandbook[],G$2,FALSE)),"")</f>
        <v/>
      </c>
      <c r="H36" s="220" t="str">
        <f>IFERROR(VLOOKUP($A36,TableHandbook[],H$2,FALSE),"")</f>
        <v/>
      </c>
      <c r="I36" s="221" t="str">
        <f>IFERROR(VLOOKUP($A36,TableHandbook[],I$2,FALSE),"")</f>
        <v/>
      </c>
      <c r="J36" s="221" t="str">
        <f>IFERROR(VLOOKUP($A36,TableHandbook[],J$2,FALSE),"")</f>
        <v/>
      </c>
      <c r="K36" s="222" t="str">
        <f>IFERROR(VLOOKUP($A36,TableHandbook[],K$2,FALSE),"")</f>
        <v/>
      </c>
      <c r="L36" s="45"/>
      <c r="M36" s="166">
        <v>20</v>
      </c>
      <c r="N36" s="131"/>
      <c r="O36" s="131"/>
      <c r="W36" s="32"/>
    </row>
    <row r="37" spans="1:23" s="33" customFormat="1" ht="20.100000000000001" customHeight="1" x14ac:dyDescent="0.15">
      <c r="A37" s="126" t="str">
        <f>IFERROR(IF(HLOOKUP($L$5,RangeUnitsets,M37,FALSE)=0,"",HLOOKUP($L$5,RangeUnitsets,M37,FALSE)),"")</f>
        <v/>
      </c>
      <c r="B37" s="132" t="str">
        <f>IFERROR(IF(VLOOKUP($A37,TableHandbook[],B$2,FALSE)=0,"",VLOOKUP($A37,TableHandbook[],B$2,FALSE)),"")</f>
        <v/>
      </c>
      <c r="C37" s="132" t="str">
        <f>IFERROR(IF(VLOOKUP($A37,TableHandbook[],C$2,FALSE)=0,"",VLOOKUP($A37,TableHandbook[],C$2,FALSE)),"")</f>
        <v/>
      </c>
      <c r="D37" s="139" t="str">
        <f>IFERROR(IF(VLOOKUP($A37,TableHandbook[],D$2,FALSE)=0,"",VLOOKUP($A37,TableHandbook[],D$2,FALSE)),"")</f>
        <v/>
      </c>
      <c r="E37" s="132" t="str">
        <f>IF(OR(A37="",A37="-"),"",E36)</f>
        <v/>
      </c>
      <c r="F37" s="129" t="str">
        <f>IFERROR(IF(VLOOKUP($A37,TableHandbook[],F$2,FALSE)=0,"",VLOOKUP($A37,TableHandbook[],F$2,FALSE)),"")</f>
        <v/>
      </c>
      <c r="G37" s="127" t="str">
        <f>IFERROR(IF(VLOOKUP($A37,TableHandbook[],G$2,FALSE)=0,"",VLOOKUP($A37,TableHandbook[],G$2,FALSE)),"")</f>
        <v/>
      </c>
      <c r="H37" s="220" t="str">
        <f>IFERROR(VLOOKUP($A37,TableHandbook[],H$2,FALSE),"")</f>
        <v/>
      </c>
      <c r="I37" s="221" t="str">
        <f>IFERROR(VLOOKUP($A37,TableHandbook[],I$2,FALSE),"")</f>
        <v/>
      </c>
      <c r="J37" s="221" t="str">
        <f>IFERROR(VLOOKUP($A37,TableHandbook[],J$2,FALSE),"")</f>
        <v/>
      </c>
      <c r="K37" s="222" t="str">
        <f>IFERROR(VLOOKUP($A37,TableHandbook[],K$2,FALSE),"")</f>
        <v/>
      </c>
      <c r="L37" s="45"/>
      <c r="M37" s="166">
        <v>21</v>
      </c>
      <c r="N37" s="131"/>
      <c r="O37" s="131"/>
      <c r="W37" s="32"/>
    </row>
    <row r="38" spans="1:23" s="33" customFormat="1" ht="5.0999999999999996" customHeight="1" x14ac:dyDescent="0.15">
      <c r="A38" s="186"/>
      <c r="B38" s="187"/>
      <c r="C38" s="187"/>
      <c r="D38" s="193"/>
      <c r="E38" s="187"/>
      <c r="F38" s="188"/>
      <c r="G38" s="187"/>
      <c r="H38" s="223"/>
      <c r="I38" s="224"/>
      <c r="J38" s="224"/>
      <c r="K38" s="225"/>
      <c r="L38" s="189"/>
      <c r="M38" s="167"/>
      <c r="N38" s="131"/>
      <c r="O38" s="131"/>
      <c r="P38" s="131"/>
      <c r="W38" s="32"/>
    </row>
    <row r="39" spans="1:23" s="33" customFormat="1" ht="20.100000000000001" customHeight="1" x14ac:dyDescent="0.15">
      <c r="A39" s="126" t="str">
        <f>IFERROR(IF(HLOOKUP($L$5,RangeUnitsets,M39,FALSE)=0,"",HLOOKUP($L$5,RangeUnitsets,M39,FALSE)),"")</f>
        <v/>
      </c>
      <c r="B39" s="132" t="str">
        <f>IFERROR(IF(VLOOKUP($A39,TableHandbook[],B$2,FALSE)=0,"",VLOOKUP($A39,TableHandbook[],B$2,FALSE)),"")</f>
        <v/>
      </c>
      <c r="C39" s="132" t="str">
        <f>IFERROR(IF(VLOOKUP($A39,TableHandbook[],C$2,FALSE)=0,"",VLOOKUP($A39,TableHandbook[],C$2,FALSE)),"")</f>
        <v/>
      </c>
      <c r="D39" s="139" t="str">
        <f>IFERROR(IF(VLOOKUP($A39,TableHandbook[],D$2,FALSE)=0,"",VLOOKUP($A39,TableHandbook[],D$2,FALSE)),"")</f>
        <v/>
      </c>
      <c r="E39" s="132" t="str">
        <f>IF(OR(A39="",A39="--"),"",VLOOKUP($D$6,TableStudyPeriods[],4,FALSE))</f>
        <v/>
      </c>
      <c r="F39" s="129" t="str">
        <f>IFERROR(IF(VLOOKUP($A39,TableHandbook[],F$2,FALSE)=0,"",VLOOKUP($A39,TableHandbook[],F$2,FALSE)),"")</f>
        <v/>
      </c>
      <c r="G39" s="127" t="str">
        <f>IFERROR(IF(VLOOKUP($A39,TableHandbook[],G$2,FALSE)=0,"",VLOOKUP($A39,TableHandbook[],G$2,FALSE)),"")</f>
        <v/>
      </c>
      <c r="H39" s="220" t="str">
        <f>IFERROR(VLOOKUP($A39,TableHandbook[],H$2,FALSE),"")</f>
        <v/>
      </c>
      <c r="I39" s="221" t="str">
        <f>IFERROR(VLOOKUP($A39,TableHandbook[],I$2,FALSE),"")</f>
        <v/>
      </c>
      <c r="J39" s="221" t="str">
        <f>IFERROR(VLOOKUP($A39,TableHandbook[],J$2,FALSE),"")</f>
        <v/>
      </c>
      <c r="K39" s="222" t="str">
        <f>IFERROR(VLOOKUP($A39,TableHandbook[],K$2,FALSE),"")</f>
        <v/>
      </c>
      <c r="L39" s="45"/>
      <c r="M39" s="166">
        <v>22</v>
      </c>
      <c r="N39" s="131"/>
      <c r="O39" s="131"/>
      <c r="W39" s="32"/>
    </row>
    <row r="40" spans="1:23" s="33" customFormat="1" ht="20.100000000000001" customHeight="1" x14ac:dyDescent="0.15">
      <c r="A40" s="126" t="str">
        <f>IFERROR(IF(HLOOKUP($L$5,RangeUnitsets,M40,FALSE)=0,"",HLOOKUP($L$5,RangeUnitsets,M40,FALSE)),"")</f>
        <v/>
      </c>
      <c r="B40" s="132" t="str">
        <f>IFERROR(IF(VLOOKUP($A40,TableHandbook[],B$2,FALSE)=0,"",VLOOKUP($A40,TableHandbook[],B$2,FALSE)),"")</f>
        <v/>
      </c>
      <c r="C40" s="132" t="str">
        <f>IFERROR(IF(VLOOKUP($A40,TableHandbook[],C$2,FALSE)=0,"",VLOOKUP($A40,TableHandbook[],C$2,FALSE)),"")</f>
        <v/>
      </c>
      <c r="D40" s="139" t="str">
        <f>IFERROR(IF(VLOOKUP($A40,TableHandbook[],D$2,FALSE)=0,"",VLOOKUP($A40,TableHandbook[],D$2,FALSE)),"")</f>
        <v/>
      </c>
      <c r="E40" s="132" t="str">
        <f>IF(OR(A40="",A40="-"),"",E39)</f>
        <v/>
      </c>
      <c r="F40" s="129" t="str">
        <f>IFERROR(IF(VLOOKUP($A40,TableHandbook[],F$2,FALSE)=0,"",VLOOKUP($A40,TableHandbook[],F$2,FALSE)),"")</f>
        <v/>
      </c>
      <c r="G40" s="127" t="str">
        <f>IFERROR(IF(VLOOKUP($A40,TableHandbook[],G$2,FALSE)=0,"",VLOOKUP($A40,TableHandbook[],G$2,FALSE)),"")</f>
        <v/>
      </c>
      <c r="H40" s="220" t="str">
        <f>IFERROR(VLOOKUP($A40,TableHandbook[],H$2,FALSE),"")</f>
        <v/>
      </c>
      <c r="I40" s="221" t="str">
        <f>IFERROR(VLOOKUP($A40,TableHandbook[],I$2,FALSE),"")</f>
        <v/>
      </c>
      <c r="J40" s="221" t="str">
        <f>IFERROR(VLOOKUP($A40,TableHandbook[],J$2,FALSE),"")</f>
        <v/>
      </c>
      <c r="K40" s="222" t="str">
        <f>IFERROR(VLOOKUP($A40,TableHandbook[],K$2,FALSE),"")</f>
        <v/>
      </c>
      <c r="L40" s="45"/>
      <c r="M40" s="166">
        <v>23</v>
      </c>
      <c r="N40" s="131"/>
      <c r="O40" s="131"/>
      <c r="W40" s="32"/>
    </row>
    <row r="41" spans="1:23" s="33" customFormat="1" ht="5.0999999999999996" customHeight="1" x14ac:dyDescent="0.15">
      <c r="A41" s="186"/>
      <c r="B41" s="187"/>
      <c r="C41" s="187"/>
      <c r="D41" s="193"/>
      <c r="E41" s="187"/>
      <c r="F41" s="188"/>
      <c r="G41" s="187"/>
      <c r="H41" s="223"/>
      <c r="I41" s="224"/>
      <c r="J41" s="224"/>
      <c r="K41" s="225"/>
      <c r="L41" s="189"/>
      <c r="M41" s="167"/>
      <c r="N41" s="131"/>
      <c r="O41" s="131"/>
      <c r="P41" s="131"/>
      <c r="W41" s="32"/>
    </row>
    <row r="42" spans="1:23" s="35" customFormat="1" ht="20.100000000000001" customHeight="1" x14ac:dyDescent="0.15">
      <c r="A42" s="126" t="str">
        <f>IFERROR(IF(HLOOKUP($L$5,RangeUnitsets,M42,FALSE)=0,"",HLOOKUP($L$5,RangeUnitsets,M42,FALSE)),"")</f>
        <v/>
      </c>
      <c r="B42" s="132" t="str">
        <f>IFERROR(IF(VLOOKUP($A42,TableHandbook[],B$2,FALSE)=0,"",VLOOKUP($A42,TableHandbook[],B$2,FALSE)),"")</f>
        <v/>
      </c>
      <c r="C42" s="132" t="str">
        <f>IFERROR(IF(VLOOKUP($A42,TableHandbook[],C$2,FALSE)=0,"",VLOOKUP($A42,TableHandbook[],C$2,FALSE)),"")</f>
        <v/>
      </c>
      <c r="D42" s="139" t="str">
        <f>IFERROR(IF(VLOOKUP($A42,TableHandbook[],D$2,FALSE)=0,"",VLOOKUP($A42,TableHandbook[],D$2,FALSE)),"")</f>
        <v/>
      </c>
      <c r="E42" s="132" t="str">
        <f>IF(OR(A42="",A42="--"),"",VLOOKUP($D$6,TableStudyPeriods[],5,FALSE))</f>
        <v/>
      </c>
      <c r="F42" s="129" t="str">
        <f>IFERROR(IF(VLOOKUP($A42,TableHandbook[],F$2,FALSE)=0,"",VLOOKUP($A42,TableHandbook[],F$2,FALSE)),"")</f>
        <v/>
      </c>
      <c r="G42" s="127" t="str">
        <f>IFERROR(IF(VLOOKUP($A42,TableHandbook[],G$2,FALSE)=0,"",VLOOKUP($A42,TableHandbook[],G$2,FALSE)),"")</f>
        <v/>
      </c>
      <c r="H42" s="220" t="str">
        <f>IFERROR(VLOOKUP($A42,TableHandbook[],H$2,FALSE),"")</f>
        <v/>
      </c>
      <c r="I42" s="221" t="str">
        <f>IFERROR(VLOOKUP($A42,TableHandbook[],I$2,FALSE),"")</f>
        <v/>
      </c>
      <c r="J42" s="221" t="str">
        <f>IFERROR(VLOOKUP($A42,TableHandbook[],J$2,FALSE),"")</f>
        <v/>
      </c>
      <c r="K42" s="222" t="str">
        <f>IFERROR(VLOOKUP($A42,TableHandbook[],K$2,FALSE),"")</f>
        <v/>
      </c>
      <c r="L42" s="45"/>
      <c r="M42" s="166">
        <v>24</v>
      </c>
      <c r="N42" s="134"/>
      <c r="O42" s="134"/>
      <c r="W42" s="34"/>
    </row>
    <row r="43" spans="1:23" s="35" customFormat="1" ht="20.100000000000001" customHeight="1" x14ac:dyDescent="0.15">
      <c r="A43" s="126" t="str">
        <f>IFERROR(IF(HLOOKUP($L$5,RangeUnitsets,M43,FALSE)=0,"",HLOOKUP($L$5,RangeUnitsets,M43,FALSE)),"")</f>
        <v/>
      </c>
      <c r="B43" s="132" t="str">
        <f>IFERROR(IF(VLOOKUP($A43,TableHandbook[],B$2,FALSE)=0,"",VLOOKUP($A43,TableHandbook[],B$2,FALSE)),"")</f>
        <v/>
      </c>
      <c r="C43" s="132" t="str">
        <f>IFERROR(IF(VLOOKUP($A43,TableHandbook[],C$2,FALSE)=0,"",VLOOKUP($A43,TableHandbook[],C$2,FALSE)),"")</f>
        <v/>
      </c>
      <c r="D43" s="139" t="str">
        <f>IFERROR(IF(VLOOKUP($A43,TableHandbook[],D$2,FALSE)=0,"",VLOOKUP($A43,TableHandbook[],D$2,FALSE)),"")</f>
        <v/>
      </c>
      <c r="E43" s="127" t="str">
        <f>IF(OR(A43="",A43="-"),"",E42)</f>
        <v/>
      </c>
      <c r="F43" s="129" t="str">
        <f>IFERROR(IF(VLOOKUP($A43,TableHandbook[],F$2,FALSE)=0,"",VLOOKUP($A43,TableHandbook[],F$2,FALSE)),"")</f>
        <v/>
      </c>
      <c r="G43" s="127" t="str">
        <f>IFERROR(IF(VLOOKUP($A43,TableHandbook[],G$2,FALSE)=0,"",VLOOKUP($A43,TableHandbook[],G$2,FALSE)),"")</f>
        <v/>
      </c>
      <c r="H43" s="220" t="str">
        <f>IFERROR(VLOOKUP($A43,TableHandbook[],H$2,FALSE),"")</f>
        <v/>
      </c>
      <c r="I43" s="221" t="str">
        <f>IFERROR(VLOOKUP($A43,TableHandbook[],I$2,FALSE),"")</f>
        <v/>
      </c>
      <c r="J43" s="221" t="str">
        <f>IFERROR(VLOOKUP($A43,TableHandbook[],J$2,FALSE),"")</f>
        <v/>
      </c>
      <c r="K43" s="222" t="str">
        <f>IFERROR(VLOOKUP($A43,TableHandbook[],K$2,FALSE),"")</f>
        <v/>
      </c>
      <c r="L43" s="45"/>
      <c r="M43" s="166">
        <v>25</v>
      </c>
      <c r="N43" s="134"/>
      <c r="O43" s="134"/>
      <c r="W43" s="34"/>
    </row>
    <row r="44" spans="1:23" s="31" customFormat="1" ht="21" x14ac:dyDescent="0.25">
      <c r="A44" s="118" t="s">
        <v>29</v>
      </c>
      <c r="B44" s="118"/>
      <c r="C44" s="125" t="s">
        <v>18</v>
      </c>
      <c r="D44" s="135" t="s">
        <v>3</v>
      </c>
      <c r="E44" s="125" t="s">
        <v>19</v>
      </c>
      <c r="F44" s="118" t="s">
        <v>20</v>
      </c>
      <c r="G44" s="118" t="s">
        <v>21</v>
      </c>
      <c r="H44" s="217" t="str">
        <f>H$8</f>
        <v>SP1</v>
      </c>
      <c r="I44" s="218" t="str">
        <f t="shared" ref="I44:L44" si="2">I$8</f>
        <v>SP2</v>
      </c>
      <c r="J44" s="218" t="str">
        <f t="shared" si="2"/>
        <v>SP3</v>
      </c>
      <c r="K44" s="219" t="str">
        <f t="shared" si="2"/>
        <v>SP4</v>
      </c>
      <c r="L44" s="118" t="str">
        <f t="shared" si="2"/>
        <v>Notes / Progress</v>
      </c>
      <c r="M44" s="124"/>
      <c r="N44" s="124"/>
      <c r="O44" s="124"/>
      <c r="W44" s="30"/>
    </row>
    <row r="45" spans="1:23" s="33" customFormat="1" ht="20.100000000000001" customHeight="1" x14ac:dyDescent="0.15">
      <c r="A45" s="126" t="str">
        <f>IFERROR(IF(HLOOKUP($L$5,RangeUnitsets,M45,FALSE)=0,"",HLOOKUP($L$5,RangeUnitsets,M45,FALSE)),"")</f>
        <v/>
      </c>
      <c r="B45" s="132" t="str">
        <f>IFERROR(IF(VLOOKUP($A45,TableHandbook[],B$2,FALSE)=0,"",VLOOKUP($A45,TableHandbook[],B$2,FALSE)),"")</f>
        <v/>
      </c>
      <c r="C45" s="132" t="str">
        <f>IFERROR(IF(VLOOKUP($A45,TableHandbook[],C$2,FALSE)=0,"",VLOOKUP($A45,TableHandbook[],C$2,FALSE)),"")</f>
        <v/>
      </c>
      <c r="D45" s="137" t="str">
        <f>IFERROR(IF(VLOOKUP($A45,TableHandbook[],D$2,FALSE)=0,"",VLOOKUP($A45,TableHandbook[],D$2,FALSE)),"")</f>
        <v/>
      </c>
      <c r="E45" s="132" t="str">
        <f>IF(OR(A45="",A45="--"),"",VLOOKUP($D$6,TableStudyPeriods[],2,FALSE))</f>
        <v/>
      </c>
      <c r="F45" s="129" t="str">
        <f>IFERROR(IF(VLOOKUP($A45,TableHandbook[],F$2,FALSE)=0,"",VLOOKUP($A45,TableHandbook[],F$2,FALSE)),"")</f>
        <v/>
      </c>
      <c r="G45" s="127" t="str">
        <f>IFERROR(IF(VLOOKUP($A45,TableHandbook[],G$2,FALSE)=0,"",VLOOKUP($A45,TableHandbook[],G$2,FALSE)),"")</f>
        <v/>
      </c>
      <c r="H45" s="220" t="str">
        <f>IFERROR(VLOOKUP($A45,TableHandbook[],H$2,FALSE),"")</f>
        <v/>
      </c>
      <c r="I45" s="221" t="str">
        <f>IFERROR(VLOOKUP($A45,TableHandbook[],I$2,FALSE),"")</f>
        <v/>
      </c>
      <c r="J45" s="221" t="str">
        <f>IFERROR(VLOOKUP($A45,TableHandbook[],J$2,FALSE),"")</f>
        <v/>
      </c>
      <c r="K45" s="222" t="str">
        <f>IFERROR(VLOOKUP($A45,TableHandbook[],K$2,FALSE),"")</f>
        <v/>
      </c>
      <c r="L45" s="45"/>
      <c r="M45" s="166">
        <v>26</v>
      </c>
      <c r="N45" s="131"/>
      <c r="O45" s="131"/>
      <c r="W45" s="32"/>
    </row>
    <row r="46" spans="1:23" s="33" customFormat="1" ht="19.5" customHeight="1" x14ac:dyDescent="0.15">
      <c r="A46" s="126" t="str">
        <f>IFERROR(IF(HLOOKUP($L$5,RangeUnitsets,M46,FALSE)=0,"",HLOOKUP($L$5,RangeUnitsets,M46,FALSE)),"")</f>
        <v/>
      </c>
      <c r="B46" s="132" t="str">
        <f>IFERROR(IF(VLOOKUP($A46,TableHandbook[],B$2,FALSE)=0,"",VLOOKUP($A46,TableHandbook[],B$2,FALSE)),"")</f>
        <v/>
      </c>
      <c r="C46" s="132" t="str">
        <f>IFERROR(IF(VLOOKUP($A46,TableHandbook[],C$2,FALSE)=0,"",VLOOKUP($A46,TableHandbook[],C$2,FALSE)),"")</f>
        <v/>
      </c>
      <c r="D46" s="139" t="str">
        <f>IFERROR(IF(VLOOKUP($A46,TableHandbook[],D$2,FALSE)=0,"",VLOOKUP($A46,TableHandbook[],D$2,FALSE)),"")</f>
        <v/>
      </c>
      <c r="E46" s="132" t="str">
        <f>IF(OR(A46="",A46="-"),"",E45)</f>
        <v/>
      </c>
      <c r="F46" s="129" t="str">
        <f>IFERROR(IF(VLOOKUP($A46,TableHandbook[],F$2,FALSE)=0,"",VLOOKUP($A46,TableHandbook[],F$2,FALSE)),"")</f>
        <v/>
      </c>
      <c r="G46" s="127" t="str">
        <f>IFERROR(IF(VLOOKUP($A46,TableHandbook[],G$2,FALSE)=0,"",VLOOKUP($A46,TableHandbook[],G$2,FALSE)),"")</f>
        <v/>
      </c>
      <c r="H46" s="220" t="str">
        <f>IFERROR(VLOOKUP($A46,TableHandbook[],H$2,FALSE),"")</f>
        <v/>
      </c>
      <c r="I46" s="221" t="str">
        <f>IFERROR(VLOOKUP($A46,TableHandbook[],I$2,FALSE),"")</f>
        <v/>
      </c>
      <c r="J46" s="221" t="str">
        <f>IFERROR(VLOOKUP($A46,TableHandbook[],J$2,FALSE),"")</f>
        <v/>
      </c>
      <c r="K46" s="222" t="str">
        <f>IFERROR(VLOOKUP($A46,TableHandbook[],K$2,FALSE),"")</f>
        <v/>
      </c>
      <c r="L46" s="45"/>
      <c r="M46" s="166">
        <v>27</v>
      </c>
      <c r="N46" s="131"/>
      <c r="O46" s="131"/>
      <c r="W46" s="32"/>
    </row>
    <row r="47" spans="1:23" s="33" customFormat="1" ht="5.0999999999999996" customHeight="1" x14ac:dyDescent="0.15">
      <c r="A47" s="186"/>
      <c r="B47" s="187"/>
      <c r="C47" s="187"/>
      <c r="D47" s="193"/>
      <c r="E47" s="187"/>
      <c r="F47" s="188"/>
      <c r="G47" s="187"/>
      <c r="H47" s="223"/>
      <c r="I47" s="224"/>
      <c r="J47" s="224"/>
      <c r="K47" s="225"/>
      <c r="L47" s="189"/>
      <c r="M47" s="167"/>
      <c r="N47" s="131"/>
      <c r="O47" s="131"/>
      <c r="P47" s="131"/>
      <c r="W47" s="32"/>
    </row>
    <row r="48" spans="1:23" s="33" customFormat="1" ht="20.100000000000001" customHeight="1" x14ac:dyDescent="0.15">
      <c r="A48" s="126" t="str">
        <f>IFERROR(IF(HLOOKUP($L$5,RangeUnitsets,M48,FALSE)=0,"",HLOOKUP($L$5,RangeUnitsets,M48,FALSE)),"")</f>
        <v/>
      </c>
      <c r="B48" s="132" t="str">
        <f>IFERROR(IF(VLOOKUP($A48,TableHandbook[],B$2,FALSE)=0,"",VLOOKUP($A48,TableHandbook[],B$2,FALSE)),"")</f>
        <v/>
      </c>
      <c r="C48" s="132" t="str">
        <f>IFERROR(IF(VLOOKUP($A48,TableHandbook[],C$2,FALSE)=0,"",VLOOKUP($A48,TableHandbook[],C$2,FALSE)),"")</f>
        <v/>
      </c>
      <c r="D48" s="139" t="str">
        <f>IFERROR(IF(VLOOKUP($A48,TableHandbook[],D$2,FALSE)=0,"",VLOOKUP($A48,TableHandbook[],D$2,FALSE)),"")</f>
        <v/>
      </c>
      <c r="E48" s="132" t="str">
        <f>IF(OR(A48="",A48="--"),"",VLOOKUP($D$6,TableStudyPeriods[],3,FALSE))</f>
        <v/>
      </c>
      <c r="F48" s="129" t="str">
        <f>IFERROR(IF(VLOOKUP($A48,TableHandbook[],F$2,FALSE)=0,"",VLOOKUP($A48,TableHandbook[],F$2,FALSE)),"")</f>
        <v/>
      </c>
      <c r="G48" s="127" t="str">
        <f>IFERROR(IF(VLOOKUP($A48,TableHandbook[],G$2,FALSE)=0,"",VLOOKUP($A48,TableHandbook[],G$2,FALSE)),"")</f>
        <v/>
      </c>
      <c r="H48" s="220" t="str">
        <f>IFERROR(VLOOKUP($A48,TableHandbook[],H$2,FALSE),"")</f>
        <v/>
      </c>
      <c r="I48" s="221" t="str">
        <f>IFERROR(VLOOKUP($A48,TableHandbook[],I$2,FALSE),"")</f>
        <v/>
      </c>
      <c r="J48" s="221" t="str">
        <f>IFERROR(VLOOKUP($A48,TableHandbook[],J$2,FALSE),"")</f>
        <v/>
      </c>
      <c r="K48" s="222" t="str">
        <f>IFERROR(VLOOKUP($A48,TableHandbook[],K$2,FALSE),"")</f>
        <v/>
      </c>
      <c r="L48" s="45"/>
      <c r="M48" s="166">
        <v>28</v>
      </c>
      <c r="N48" s="131"/>
      <c r="O48" s="131"/>
      <c r="W48" s="32"/>
    </row>
    <row r="49" spans="1:23" s="33" customFormat="1" ht="20.100000000000001" customHeight="1" x14ac:dyDescent="0.15">
      <c r="A49" s="126" t="str">
        <f>IFERROR(IF(HLOOKUP($L$5,RangeUnitsets,M49,FALSE)=0,"",HLOOKUP($L$5,RangeUnitsets,M49,FALSE)),"")</f>
        <v/>
      </c>
      <c r="B49" s="132" t="str">
        <f>IFERROR(IF(VLOOKUP($A49,TableHandbook[],B$2,FALSE)=0,"",VLOOKUP($A49,TableHandbook[],B$2,FALSE)),"")</f>
        <v/>
      </c>
      <c r="C49" s="132" t="str">
        <f>IFERROR(IF(VLOOKUP($A49,TableHandbook[],C$2,FALSE)=0,"",VLOOKUP($A49,TableHandbook[],C$2,FALSE)),"")</f>
        <v/>
      </c>
      <c r="D49" s="139" t="str">
        <f>IFERROR(IF(VLOOKUP($A49,TableHandbook[],D$2,FALSE)=0,"",VLOOKUP($A49,TableHandbook[],D$2,FALSE)),"")</f>
        <v/>
      </c>
      <c r="E49" s="132" t="str">
        <f>IF(OR(A49="",A49="-"),"",E48)</f>
        <v/>
      </c>
      <c r="F49" s="129" t="str">
        <f>IFERROR(IF(VLOOKUP($A49,TableHandbook[],F$2,FALSE)=0,"",VLOOKUP($A49,TableHandbook[],F$2,FALSE)),"")</f>
        <v/>
      </c>
      <c r="G49" s="127" t="str">
        <f>IFERROR(IF(VLOOKUP($A49,TableHandbook[],G$2,FALSE)=0,"",VLOOKUP($A49,TableHandbook[],G$2,FALSE)),"")</f>
        <v/>
      </c>
      <c r="H49" s="220" t="str">
        <f>IFERROR(VLOOKUP($A49,TableHandbook[],H$2,FALSE),"")</f>
        <v/>
      </c>
      <c r="I49" s="221" t="str">
        <f>IFERROR(VLOOKUP($A49,TableHandbook[],I$2,FALSE),"")</f>
        <v/>
      </c>
      <c r="J49" s="221" t="str">
        <f>IFERROR(VLOOKUP($A49,TableHandbook[],J$2,FALSE),"")</f>
        <v/>
      </c>
      <c r="K49" s="222" t="str">
        <f>IFERROR(VLOOKUP($A49,TableHandbook[],K$2,FALSE),"")</f>
        <v/>
      </c>
      <c r="L49" s="45"/>
      <c r="M49" s="166">
        <v>29</v>
      </c>
      <c r="N49" s="131"/>
      <c r="O49" s="131"/>
      <c r="W49" s="32"/>
    </row>
    <row r="50" spans="1:23" s="33" customFormat="1" ht="5.0999999999999996" customHeight="1" x14ac:dyDescent="0.15">
      <c r="A50" s="186"/>
      <c r="B50" s="187"/>
      <c r="C50" s="187"/>
      <c r="D50" s="193"/>
      <c r="E50" s="187"/>
      <c r="F50" s="188"/>
      <c r="G50" s="187"/>
      <c r="H50" s="223"/>
      <c r="I50" s="224"/>
      <c r="J50" s="224"/>
      <c r="K50" s="225"/>
      <c r="L50" s="189"/>
      <c r="M50" s="167"/>
      <c r="N50" s="131"/>
      <c r="O50" s="131"/>
      <c r="P50" s="131"/>
      <c r="W50" s="32"/>
    </row>
    <row r="51" spans="1:23" s="33" customFormat="1" ht="20.100000000000001" customHeight="1" x14ac:dyDescent="0.15">
      <c r="A51" s="126" t="str">
        <f>IFERROR(IF(HLOOKUP($L$5,RangeUnitsets,M51,FALSE)=0,"",HLOOKUP($L$5,RangeUnitsets,M51,FALSE)),"")</f>
        <v/>
      </c>
      <c r="B51" s="132" t="str">
        <f>IFERROR(IF(VLOOKUP($A51,TableHandbook[],B$2,FALSE)=0,"",VLOOKUP($A51,TableHandbook[],B$2,FALSE)),"")</f>
        <v/>
      </c>
      <c r="C51" s="132" t="str">
        <f>IFERROR(IF(VLOOKUP($A51,TableHandbook[],C$2,FALSE)=0,"",VLOOKUP($A51,TableHandbook[],C$2,FALSE)),"")</f>
        <v/>
      </c>
      <c r="D51" s="139" t="str">
        <f>IFERROR(IF(VLOOKUP($A51,TableHandbook[],D$2,FALSE)=0,"",VLOOKUP($A51,TableHandbook[],D$2,FALSE)),"")</f>
        <v/>
      </c>
      <c r="E51" s="132" t="str">
        <f>IF(OR(A51="",A51="--"),"",VLOOKUP($D$6,TableStudyPeriods[],4,FALSE))</f>
        <v/>
      </c>
      <c r="F51" s="129" t="str">
        <f>IFERROR(IF(VLOOKUP($A51,TableHandbook[],F$2,FALSE)=0,"",VLOOKUP($A51,TableHandbook[],F$2,FALSE)),"")</f>
        <v/>
      </c>
      <c r="G51" s="127" t="str">
        <f>IFERROR(IF(VLOOKUP($A51,TableHandbook[],G$2,FALSE)=0,"",VLOOKUP($A51,TableHandbook[],G$2,FALSE)),"")</f>
        <v/>
      </c>
      <c r="H51" s="220" t="str">
        <f>IFERROR(VLOOKUP($A51,TableHandbook[],H$2,FALSE),"")</f>
        <v/>
      </c>
      <c r="I51" s="221" t="str">
        <f>IFERROR(VLOOKUP($A51,TableHandbook[],I$2,FALSE),"")</f>
        <v/>
      </c>
      <c r="J51" s="221" t="str">
        <f>IFERROR(VLOOKUP($A51,TableHandbook[],J$2,FALSE),"")</f>
        <v/>
      </c>
      <c r="K51" s="222" t="str">
        <f>IFERROR(VLOOKUP($A51,TableHandbook[],K$2,FALSE),"")</f>
        <v/>
      </c>
      <c r="L51" s="45"/>
      <c r="M51" s="166">
        <v>30</v>
      </c>
      <c r="N51" s="131"/>
      <c r="O51" s="131"/>
      <c r="W51" s="32"/>
    </row>
    <row r="52" spans="1:23" s="33" customFormat="1" ht="20.100000000000001" customHeight="1" x14ac:dyDescent="0.15">
      <c r="A52" s="126" t="str">
        <f>IFERROR(IF(HLOOKUP($L$5,RangeUnitsets,M52,FALSE)=0,"",HLOOKUP($L$5,RangeUnitsets,M52,FALSE)),"")</f>
        <v/>
      </c>
      <c r="B52" s="132" t="str">
        <f>IFERROR(IF(VLOOKUP($A52,TableHandbook[],B$2,FALSE)=0,"",VLOOKUP($A52,TableHandbook[],B$2,FALSE)),"")</f>
        <v/>
      </c>
      <c r="C52" s="132" t="str">
        <f>IFERROR(IF(VLOOKUP($A52,TableHandbook[],C$2,FALSE)=0,"",VLOOKUP($A52,TableHandbook[],C$2,FALSE)),"")</f>
        <v/>
      </c>
      <c r="D52" s="139" t="str">
        <f>IFERROR(IF(VLOOKUP($A52,TableHandbook[],D$2,FALSE)=0,"",VLOOKUP($A52,TableHandbook[],D$2,FALSE)),"")</f>
        <v/>
      </c>
      <c r="E52" s="132" t="str">
        <f>IF(OR(A52="",A52="-"),"",E51)</f>
        <v/>
      </c>
      <c r="F52" s="129" t="str">
        <f>IFERROR(IF(VLOOKUP($A52,TableHandbook[],F$2,FALSE)=0,"",VLOOKUP($A52,TableHandbook[],F$2,FALSE)),"")</f>
        <v/>
      </c>
      <c r="G52" s="127" t="str">
        <f>IFERROR(IF(VLOOKUP($A52,TableHandbook[],G$2,FALSE)=0,"",VLOOKUP($A52,TableHandbook[],G$2,FALSE)),"")</f>
        <v/>
      </c>
      <c r="H52" s="220" t="str">
        <f>IFERROR(VLOOKUP($A52,TableHandbook[],H$2,FALSE),"")</f>
        <v/>
      </c>
      <c r="I52" s="221" t="str">
        <f>IFERROR(VLOOKUP($A52,TableHandbook[],I$2,FALSE),"")</f>
        <v/>
      </c>
      <c r="J52" s="221" t="str">
        <f>IFERROR(VLOOKUP($A52,TableHandbook[],J$2,FALSE),"")</f>
        <v/>
      </c>
      <c r="K52" s="222" t="str">
        <f>IFERROR(VLOOKUP($A52,TableHandbook[],K$2,FALSE),"")</f>
        <v/>
      </c>
      <c r="L52" s="45"/>
      <c r="M52" s="166">
        <v>31</v>
      </c>
      <c r="N52" s="131"/>
      <c r="O52" s="131"/>
      <c r="W52" s="32"/>
    </row>
    <row r="53" spans="1:23" s="39" customFormat="1" ht="13.9" customHeight="1" x14ac:dyDescent="0.2">
      <c r="A53" s="141"/>
      <c r="B53" s="141"/>
      <c r="C53" s="141"/>
      <c r="D53" s="142"/>
      <c r="E53" s="142"/>
      <c r="F53" s="143"/>
      <c r="G53" s="143"/>
      <c r="H53" s="143"/>
      <c r="I53" s="143"/>
      <c r="J53" s="143"/>
      <c r="K53" s="143"/>
      <c r="L53" s="258"/>
      <c r="M53" s="145"/>
      <c r="N53" s="145"/>
      <c r="O53" s="145"/>
      <c r="W53" s="38"/>
    </row>
    <row r="54" spans="1:23" ht="16.5" x14ac:dyDescent="0.25">
      <c r="A54" s="146" t="s">
        <v>30</v>
      </c>
      <c r="B54" s="147"/>
      <c r="C54" s="147"/>
      <c r="D54" s="148"/>
      <c r="E54" s="149"/>
      <c r="F54" s="149"/>
      <c r="G54" s="149"/>
      <c r="H54" s="150" t="str">
        <f>H7</f>
        <v>2025 Availabilities</v>
      </c>
      <c r="I54" s="191"/>
      <c r="J54" s="191"/>
      <c r="K54" s="192"/>
      <c r="L54" s="259" t="str">
        <f>VLOOKUP(D5,TableCourses[],2,FALSE)</f>
        <v>OB-EDPR</v>
      </c>
      <c r="W54" s="29"/>
    </row>
    <row r="55" spans="1:23" s="41" customFormat="1" x14ac:dyDescent="0.25">
      <c r="A55" s="153"/>
      <c r="B55" s="153"/>
      <c r="C55" s="153" t="s">
        <v>18</v>
      </c>
      <c r="D55" s="154" t="s">
        <v>3</v>
      </c>
      <c r="E55" s="153"/>
      <c r="F55" s="153" t="s">
        <v>20</v>
      </c>
      <c r="G55" s="153" t="s">
        <v>21</v>
      </c>
      <c r="H55" s="247" t="str">
        <f>H$8</f>
        <v>SP1</v>
      </c>
      <c r="I55" s="248" t="str">
        <f t="shared" ref="I55:L55" si="3">I$8</f>
        <v>SP2</v>
      </c>
      <c r="J55" s="248" t="str">
        <f t="shared" si="3"/>
        <v>SP3</v>
      </c>
      <c r="K55" s="249" t="str">
        <f t="shared" si="3"/>
        <v>SP4</v>
      </c>
      <c r="L55" s="194" t="str">
        <f t="shared" si="3"/>
        <v>Notes / Progress</v>
      </c>
      <c r="W55" s="40"/>
    </row>
    <row r="56" spans="1:23" x14ac:dyDescent="0.25">
      <c r="A56" s="155" t="str">
        <f t="shared" ref="A56:A79" si="4">IFERROR(IF(HLOOKUP($L$54,RangeOptions,$M56,FALSE)=0,"",HLOOKUP($L$54,RangeOptions,$M56,FALSE)),"")</f>
        <v>SE.iStem</v>
      </c>
      <c r="B56" s="156" t="str">
        <f>IFERROR(IF(VLOOKUP($A56,TableHandbook[],2,FALSE)=0,"",VLOOKUP($A56,TableHandbook[],2,FALSE)),"")</f>
        <v/>
      </c>
      <c r="C56" s="160" t="str">
        <f>IFERROR(IF(VLOOKUP($A56,TableHandbook[],3,FALSE)=0,"",VLOOKUP($A56,TableHandbook[],3,FALSE)),"")</f>
        <v/>
      </c>
      <c r="D56" s="158" t="str">
        <f>IFERROR(IF(VLOOKUP($A56,TableHandbook[],4,FALSE)=0,"",VLOOKUP($A56,TableHandbook[],4,FALSE)),"")</f>
        <v>iSTEM Specified Electives</v>
      </c>
      <c r="E56" s="158"/>
      <c r="F56" s="159" t="str">
        <f>IFERROR(IF(VLOOKUP($A56,TableHandbook[],6,FALSE)=0,"",VLOOKUP($A56,TableHandbook[],6,FALSE)),"")</f>
        <v/>
      </c>
      <c r="G56" s="159" t="str">
        <f>IFERROR(IF(VLOOKUP($A56,TableHandbook[],5,FALSE)=0,"",VLOOKUP($A56,TableHandbook[],5,FALSE)),"")</f>
        <v/>
      </c>
      <c r="H56" s="220" t="str">
        <f>IFERROR(VLOOKUP($A56,TableHandbook[],H$2,FALSE),"")</f>
        <v/>
      </c>
      <c r="I56" s="221" t="str">
        <f>IFERROR(VLOOKUP($A56,TableHandbook[],I$2,FALSE),"")</f>
        <v/>
      </c>
      <c r="J56" s="221" t="str">
        <f>IFERROR(VLOOKUP($A56,TableHandbook[],J$2,FALSE),"")</f>
        <v/>
      </c>
      <c r="K56" s="222" t="str">
        <f>IFERROR(VLOOKUP($A56,TableHandbook[],K$2,FALSE),"")</f>
        <v/>
      </c>
      <c r="L56" s="46"/>
      <c r="M56" s="166">
        <v>2</v>
      </c>
      <c r="W56" s="29"/>
    </row>
    <row r="57" spans="1:23" x14ac:dyDescent="0.25">
      <c r="A57" s="155" t="str">
        <f t="shared" si="4"/>
        <v>EDUC4026</v>
      </c>
      <c r="B57" s="156">
        <f>IFERROR(IF(VLOOKUP($A57,TableHandbook[],2,FALSE)=0,"",VLOOKUP($A57,TableHandbook[],2,FALSE)),"")</f>
        <v>1</v>
      </c>
      <c r="C57" s="160" t="str">
        <f>IFERROR(IF(VLOOKUP($A57,TableHandbook[],3,FALSE)=0,"",VLOOKUP($A57,TableHandbook[],3,FALSE)),"")</f>
        <v>EDC488</v>
      </c>
      <c r="D57" s="157" t="str">
        <f>IFERROR(IF(VLOOKUP($A57,TableHandbook[],4,FALSE)=0,"",VLOOKUP($A57,TableHandbook[],4,FALSE)),"")</f>
        <v>Project-based iSTEM Education</v>
      </c>
      <c r="E57" s="158"/>
      <c r="F57" s="159" t="str">
        <f>IFERROR(IF(VLOOKUP($A57,TableHandbook[],6,FALSE)=0,"",VLOOKUP($A57,TableHandbook[],6,FALSE)),"")</f>
        <v>Nil</v>
      </c>
      <c r="G57" s="159">
        <f>IFERROR(IF(VLOOKUP($A57,TableHandbook[],5,FALSE)=0,"",VLOOKUP($A57,TableHandbook[],5,FALSE)),"")</f>
        <v>25</v>
      </c>
      <c r="H57" s="220" t="str">
        <f>IFERROR(VLOOKUP($A57,TableHandbook[],H$2,FALSE),"")</f>
        <v/>
      </c>
      <c r="I57" s="221" t="str">
        <f>IFERROR(VLOOKUP($A57,TableHandbook[],I$2,FALSE),"")</f>
        <v/>
      </c>
      <c r="J57" s="221" t="str">
        <f>IFERROR(VLOOKUP($A57,TableHandbook[],J$2,FALSE),"")</f>
        <v>Y</v>
      </c>
      <c r="K57" s="222" t="str">
        <f>IFERROR(VLOOKUP($A57,TableHandbook[],K$2,FALSE),"")</f>
        <v/>
      </c>
      <c r="L57" s="46"/>
      <c r="M57" s="166">
        <v>3</v>
      </c>
      <c r="W57" s="29"/>
    </row>
    <row r="58" spans="1:23" x14ac:dyDescent="0.25">
      <c r="A58" s="155" t="str">
        <f t="shared" si="4"/>
        <v>EDUC4033</v>
      </c>
      <c r="B58" s="156">
        <f>IFERROR(IF(VLOOKUP($A58,TableHandbook[],2,FALSE)=0,"",VLOOKUP($A58,TableHandbook[],2,FALSE)),"")</f>
        <v>1</v>
      </c>
      <c r="C58" s="160" t="str">
        <f>IFERROR(IF(VLOOKUP($A58,TableHandbook[],3,FALSE)=0,"",VLOOKUP($A58,TableHandbook[],3,FALSE)),"")</f>
        <v>EDC492</v>
      </c>
      <c r="D58" s="157" t="str">
        <f>IFERROR(IF(VLOOKUP($A58,TableHandbook[],4,FALSE)=0,"",VLOOKUP($A58,TableHandbook[],4,FALSE)),"")</f>
        <v>iSTEM Education through Digital Stories</v>
      </c>
      <c r="E58" s="158"/>
      <c r="F58" s="159" t="str">
        <f>IFERROR(IF(VLOOKUP($A58,TableHandbook[],6,FALSE)=0,"",VLOOKUP($A58,TableHandbook[],6,FALSE)),"")</f>
        <v>Nil</v>
      </c>
      <c r="G58" s="159">
        <f>IFERROR(IF(VLOOKUP($A58,TableHandbook[],5,FALSE)=0,"",VLOOKUP($A58,TableHandbook[],5,FALSE)),"")</f>
        <v>25</v>
      </c>
      <c r="H58" s="220" t="str">
        <f>IFERROR(VLOOKUP($A58,TableHandbook[],H$2,FALSE),"")</f>
        <v/>
      </c>
      <c r="I58" s="221" t="str">
        <f>IFERROR(VLOOKUP($A58,TableHandbook[],I$2,FALSE),"")</f>
        <v>Y</v>
      </c>
      <c r="J58" s="221" t="str">
        <f>IFERROR(VLOOKUP($A58,TableHandbook[],J$2,FALSE),"")</f>
        <v/>
      </c>
      <c r="K58" s="222" t="str">
        <f>IFERROR(VLOOKUP($A58,TableHandbook[],K$2,FALSE),"")</f>
        <v/>
      </c>
      <c r="L58" s="46"/>
      <c r="M58" s="166">
        <v>4</v>
      </c>
      <c r="W58" s="29"/>
    </row>
    <row r="59" spans="1:23" x14ac:dyDescent="0.25">
      <c r="A59" s="155" t="str">
        <f t="shared" si="4"/>
        <v>EDUC4035</v>
      </c>
      <c r="B59" s="156">
        <f>IFERROR(IF(VLOOKUP($A59,TableHandbook[],2,FALSE)=0,"",VLOOKUP($A59,TableHandbook[],2,FALSE)),"")</f>
        <v>1</v>
      </c>
      <c r="C59" s="160" t="str">
        <f>IFERROR(IF(VLOOKUP($A59,TableHandbook[],3,FALSE)=0,"",VLOOKUP($A59,TableHandbook[],3,FALSE)),"")</f>
        <v>EDC493</v>
      </c>
      <c r="D59" s="157" t="str">
        <f>IFERROR(IF(VLOOKUP($A59,TableHandbook[],4,FALSE)=0,"",VLOOKUP($A59,TableHandbook[],4,FALSE)),"")</f>
        <v>iSTEM: Social Issues</v>
      </c>
      <c r="E59" s="158"/>
      <c r="F59" s="159" t="str">
        <f>IFERROR(IF(VLOOKUP($A59,TableHandbook[],6,FALSE)=0,"",VLOOKUP($A59,TableHandbook[],6,FALSE)),"")</f>
        <v>Nil</v>
      </c>
      <c r="G59" s="159">
        <f>IFERROR(IF(VLOOKUP($A59,TableHandbook[],5,FALSE)=0,"",VLOOKUP($A59,TableHandbook[],5,FALSE)),"")</f>
        <v>25</v>
      </c>
      <c r="H59" s="220" t="str">
        <f>IFERROR(VLOOKUP($A59,TableHandbook[],H$2,FALSE),"")</f>
        <v>Y</v>
      </c>
      <c r="I59" s="221" t="str">
        <f>IFERROR(VLOOKUP($A59,TableHandbook[],I$2,FALSE),"")</f>
        <v/>
      </c>
      <c r="J59" s="221" t="str">
        <f>IFERROR(VLOOKUP($A59,TableHandbook[],J$2,FALSE),"")</f>
        <v/>
      </c>
      <c r="K59" s="222" t="str">
        <f>IFERROR(VLOOKUP($A59,TableHandbook[],K$2,FALSE),"")</f>
        <v/>
      </c>
      <c r="L59" s="46"/>
      <c r="M59" s="166">
        <v>5</v>
      </c>
      <c r="W59" s="29"/>
    </row>
    <row r="60" spans="1:23" x14ac:dyDescent="0.25">
      <c r="A60" s="155" t="str">
        <f t="shared" si="4"/>
        <v>SE.ELL</v>
      </c>
      <c r="B60" s="156" t="str">
        <f>IFERROR(IF(VLOOKUP($A60,TableHandbook[],2,FALSE)=0,"",VLOOKUP($A60,TableHandbook[],2,FALSE)),"")</f>
        <v/>
      </c>
      <c r="C60" s="160" t="str">
        <f>IFERROR(IF(VLOOKUP($A60,TableHandbook[],3,FALSE)=0,"",VLOOKUP($A60,TableHandbook[],3,FALSE)),"")</f>
        <v/>
      </c>
      <c r="D60" s="157" t="str">
        <f>IFERROR(IF(VLOOKUP($A60,TableHandbook[],4,FALSE)=0,"",VLOOKUP($A60,TableHandbook[],4,FALSE)),"")</f>
        <v>English Language and Literacy Specified Electives</v>
      </c>
      <c r="E60" s="158"/>
      <c r="F60" s="159" t="str">
        <f>IFERROR(IF(VLOOKUP($A60,TableHandbook[],6,FALSE)=0,"",VLOOKUP($A60,TableHandbook[],6,FALSE)),"")</f>
        <v/>
      </c>
      <c r="G60" s="159" t="str">
        <f>IFERROR(IF(VLOOKUP($A60,TableHandbook[],5,FALSE)=0,"",VLOOKUP($A60,TableHandbook[],5,FALSE)),"")</f>
        <v/>
      </c>
      <c r="H60" s="220" t="str">
        <f>IFERROR(VLOOKUP($A60,TableHandbook[],H$2,FALSE),"")</f>
        <v/>
      </c>
      <c r="I60" s="221" t="str">
        <f>IFERROR(VLOOKUP($A60,TableHandbook[],I$2,FALSE),"")</f>
        <v/>
      </c>
      <c r="J60" s="221" t="str">
        <f>IFERROR(VLOOKUP($A60,TableHandbook[],J$2,FALSE),"")</f>
        <v/>
      </c>
      <c r="K60" s="222" t="str">
        <f>IFERROR(VLOOKUP($A60,TableHandbook[],K$2,FALSE),"")</f>
        <v/>
      </c>
      <c r="L60" s="46"/>
      <c r="M60" s="166">
        <v>6</v>
      </c>
      <c r="W60" s="29"/>
    </row>
    <row r="61" spans="1:23" x14ac:dyDescent="0.25">
      <c r="A61" s="155" t="str">
        <f t="shared" si="4"/>
        <v>EDUC4024</v>
      </c>
      <c r="B61" s="156">
        <f>IFERROR(IF(VLOOKUP($A61,TableHandbook[],2,FALSE)=0,"",VLOOKUP($A61,TableHandbook[],2,FALSE)),"")</f>
        <v>1</v>
      </c>
      <c r="C61" s="160" t="str">
        <f>IFERROR(IF(VLOOKUP($A61,TableHandbook[],3,FALSE)=0,"",VLOOKUP($A61,TableHandbook[],3,FALSE)),"")</f>
        <v>EDC486</v>
      </c>
      <c r="D61" s="157" t="str">
        <f>IFERROR(IF(VLOOKUP($A61,TableHandbook[],4,FALSE)=0,"",VLOOKUP($A61,TableHandbook[],4,FALSE)),"")</f>
        <v>Creating and Responding to Literature</v>
      </c>
      <c r="E61" s="158"/>
      <c r="F61" s="159" t="str">
        <f>IFERROR(IF(VLOOKUP($A61,TableHandbook[],6,FALSE)=0,"",VLOOKUP($A61,TableHandbook[],6,FALSE)),"")</f>
        <v>Nil</v>
      </c>
      <c r="G61" s="159">
        <f>IFERROR(IF(VLOOKUP($A61,TableHandbook[],5,FALSE)=0,"",VLOOKUP($A61,TableHandbook[],5,FALSE)),"")</f>
        <v>25</v>
      </c>
      <c r="H61" s="220" t="str">
        <f>IFERROR(VLOOKUP($A61,TableHandbook[],H$2,FALSE),"")</f>
        <v/>
      </c>
      <c r="I61" s="221" t="str">
        <f>IFERROR(VLOOKUP($A61,TableHandbook[],I$2,FALSE),"")</f>
        <v>Y</v>
      </c>
      <c r="J61" s="221" t="str">
        <f>IFERROR(VLOOKUP($A61,TableHandbook[],J$2,FALSE),"")</f>
        <v/>
      </c>
      <c r="K61" s="222" t="str">
        <f>IFERROR(VLOOKUP($A61,TableHandbook[],K$2,FALSE),"")</f>
        <v/>
      </c>
      <c r="L61" s="46"/>
      <c r="M61" s="166">
        <v>7</v>
      </c>
      <c r="W61" s="29"/>
    </row>
    <row r="62" spans="1:23" x14ac:dyDescent="0.25">
      <c r="A62" s="155" t="str">
        <f t="shared" si="4"/>
        <v>EDUC4025</v>
      </c>
      <c r="B62" s="156">
        <f>IFERROR(IF(VLOOKUP($A62,TableHandbook[],2,FALSE)=0,"",VLOOKUP($A62,TableHandbook[],2,FALSE)),"")</f>
        <v>1</v>
      </c>
      <c r="C62" s="160" t="str">
        <f>IFERROR(IF(VLOOKUP($A62,TableHandbook[],3,FALSE)=0,"",VLOOKUP($A62,TableHandbook[],3,FALSE)),"")</f>
        <v>EDC487</v>
      </c>
      <c r="D62" s="157" t="str">
        <f>IFERROR(IF(VLOOKUP($A62,TableHandbook[],4,FALSE)=0,"",VLOOKUP($A62,TableHandbook[],4,FALSE)),"")</f>
        <v>Creative Literacies</v>
      </c>
      <c r="E62" s="157"/>
      <c r="F62" s="159" t="str">
        <f>IFERROR(IF(VLOOKUP($A62,TableHandbook[],6,FALSE)=0,"",VLOOKUP($A62,TableHandbook[],6,FALSE)),"")</f>
        <v>Nil</v>
      </c>
      <c r="G62" s="160">
        <f>IFERROR(IF(VLOOKUP($A62,TableHandbook[],5,FALSE)=0,"",VLOOKUP($A62,TableHandbook[],5,FALSE)),"")</f>
        <v>25</v>
      </c>
      <c r="H62" s="220" t="str">
        <f>IFERROR(VLOOKUP($A62,TableHandbook[],H$2,FALSE),"")</f>
        <v/>
      </c>
      <c r="I62" s="221" t="str">
        <f>IFERROR(VLOOKUP($A62,TableHandbook[],I$2,FALSE),"")</f>
        <v/>
      </c>
      <c r="J62" s="221" t="str">
        <f>IFERROR(VLOOKUP($A62,TableHandbook[],J$2,FALSE),"")</f>
        <v>Y</v>
      </c>
      <c r="K62" s="222" t="str">
        <f>IFERROR(VLOOKUP($A62,TableHandbook[],K$2,FALSE),"")</f>
        <v/>
      </c>
      <c r="L62" s="45"/>
      <c r="M62" s="166">
        <v>8</v>
      </c>
      <c r="W62" s="29"/>
    </row>
    <row r="63" spans="1:23" x14ac:dyDescent="0.25">
      <c r="A63" s="155" t="str">
        <f t="shared" si="4"/>
        <v>EDUC4037</v>
      </c>
      <c r="B63" s="156">
        <f>IFERROR(IF(VLOOKUP($A63,TableHandbook[],2,FALSE)=0,"",VLOOKUP($A63,TableHandbook[],2,FALSE)),"")</f>
        <v>1</v>
      </c>
      <c r="C63" s="160" t="str">
        <f>IFERROR(IF(VLOOKUP($A63,TableHandbook[],3,FALSE)=0,"",VLOOKUP($A63,TableHandbook[],3,FALSE)),"")</f>
        <v>EDC494</v>
      </c>
      <c r="D63" s="157" t="str">
        <f>IFERROR(IF(VLOOKUP($A63,TableHandbook[],4,FALSE)=0,"",VLOOKUP($A63,TableHandbook[],4,FALSE)),"")</f>
        <v>Language and Diversity</v>
      </c>
      <c r="E63" s="158"/>
      <c r="F63" s="159" t="str">
        <f>IFERROR(IF(VLOOKUP($A63,TableHandbook[],6,FALSE)=0,"",VLOOKUP($A63,TableHandbook[],6,FALSE)),"")</f>
        <v>Nil</v>
      </c>
      <c r="G63" s="159">
        <f>IFERROR(IF(VLOOKUP($A63,TableHandbook[],5,FALSE)=0,"",VLOOKUP($A63,TableHandbook[],5,FALSE)),"")</f>
        <v>25</v>
      </c>
      <c r="H63" s="220" t="str">
        <f>IFERROR(VLOOKUP($A63,TableHandbook[],H$2,FALSE),"")</f>
        <v/>
      </c>
      <c r="I63" s="221" t="str">
        <f>IFERROR(VLOOKUP($A63,TableHandbook[],I$2,FALSE),"")</f>
        <v/>
      </c>
      <c r="J63" s="221" t="str">
        <f>IFERROR(VLOOKUP($A63,TableHandbook[],J$2,FALSE),"")</f>
        <v/>
      </c>
      <c r="K63" s="222" t="str">
        <f>IFERROR(VLOOKUP($A63,TableHandbook[],K$2,FALSE),"")</f>
        <v>Y</v>
      </c>
      <c r="L63" s="45"/>
      <c r="M63" s="166">
        <v>9</v>
      </c>
      <c r="W63" s="29"/>
    </row>
    <row r="64" spans="1:23" x14ac:dyDescent="0.25">
      <c r="A64" s="155" t="str">
        <f t="shared" si="4"/>
        <v>SE.LNDP</v>
      </c>
      <c r="B64" s="156" t="str">
        <f>IFERROR(IF(VLOOKUP($A64,TableHandbook[],2,FALSE)=0,"",VLOOKUP($A64,TableHandbook[],2,FALSE)),"")</f>
        <v/>
      </c>
      <c r="C64" s="160" t="str">
        <f>IFERROR(IF(VLOOKUP($A64,TableHandbook[],3,FALSE)=0,"",VLOOKUP($A64,TableHandbook[],3,FALSE)),"")</f>
        <v/>
      </c>
      <c r="D64" s="157" t="str">
        <f>IFERROR(IF(VLOOKUP($A64,TableHandbook[],4,FALSE)=0,"",VLOOKUP($A64,TableHandbook[],4,FALSE)),"")</f>
        <v>Literacy and Numeracy in Diverse Populations Specified Electives</v>
      </c>
      <c r="E64" s="158"/>
      <c r="F64" s="159" t="str">
        <f>IFERROR(IF(VLOOKUP($A64,TableHandbook[],6,FALSE)=0,"",VLOOKUP($A64,TableHandbook[],6,FALSE)),"")</f>
        <v/>
      </c>
      <c r="G64" s="159" t="str">
        <f>IFERROR(IF(VLOOKUP($A64,TableHandbook[],5,FALSE)=0,"",VLOOKUP($A64,TableHandbook[],5,FALSE)),"")</f>
        <v/>
      </c>
      <c r="H64" s="220" t="str">
        <f>IFERROR(VLOOKUP($A64,TableHandbook[],H$2,FALSE),"")</f>
        <v/>
      </c>
      <c r="I64" s="221" t="str">
        <f>IFERROR(VLOOKUP($A64,TableHandbook[],I$2,FALSE),"")</f>
        <v/>
      </c>
      <c r="J64" s="221" t="str">
        <f>IFERROR(VLOOKUP($A64,TableHandbook[],J$2,FALSE),"")</f>
        <v/>
      </c>
      <c r="K64" s="222" t="str">
        <f>IFERROR(VLOOKUP($A64,TableHandbook[],K$2,FALSE),"")</f>
        <v/>
      </c>
      <c r="L64" s="46"/>
      <c r="M64" s="166">
        <v>10</v>
      </c>
      <c r="W64" s="29"/>
    </row>
    <row r="65" spans="1:23" x14ac:dyDescent="0.25">
      <c r="A65" s="155" t="str">
        <f t="shared" si="4"/>
        <v>EDUC4028</v>
      </c>
      <c r="B65" s="156">
        <f>IFERROR(IF(VLOOKUP($A65,TableHandbook[],2,FALSE)=0,"",VLOOKUP($A65,TableHandbook[],2,FALSE)),"")</f>
        <v>1</v>
      </c>
      <c r="C65" s="160" t="str">
        <f>IFERROR(IF(VLOOKUP($A65,TableHandbook[],3,FALSE)=0,"",VLOOKUP($A65,TableHandbook[],3,FALSE)),"")</f>
        <v>EDC490</v>
      </c>
      <c r="D65" s="157" t="str">
        <f>IFERROR(IF(VLOOKUP($A65,TableHandbook[],4,FALSE)=0,"",VLOOKUP($A65,TableHandbook[],4,FALSE)),"")</f>
        <v>Supporting Literacy and Numeracy Development for Diverse Learners</v>
      </c>
      <c r="E65" s="158"/>
      <c r="F65" s="159" t="str">
        <f>IFERROR(IF(VLOOKUP($A65,TableHandbook[],6,FALSE)=0,"",VLOOKUP($A65,TableHandbook[],6,FALSE)),"")</f>
        <v>Nil</v>
      </c>
      <c r="G65" s="159">
        <f>IFERROR(IF(VLOOKUP($A65,TableHandbook[],5,FALSE)=0,"",VLOOKUP($A65,TableHandbook[],5,FALSE)),"")</f>
        <v>25</v>
      </c>
      <c r="H65" s="220" t="str">
        <f>IFERROR(VLOOKUP($A65,TableHandbook[],H$2,FALSE),"")</f>
        <v/>
      </c>
      <c r="I65" s="221" t="str">
        <f>IFERROR(VLOOKUP($A65,TableHandbook[],I$2,FALSE),"")</f>
        <v/>
      </c>
      <c r="J65" s="221" t="str">
        <f>IFERROR(VLOOKUP($A65,TableHandbook[],J$2,FALSE),"")</f>
        <v/>
      </c>
      <c r="K65" s="222" t="str">
        <f>IFERROR(VLOOKUP($A65,TableHandbook[],K$2,FALSE),"")</f>
        <v>Y</v>
      </c>
      <c r="L65" s="46"/>
      <c r="M65" s="166">
        <v>11</v>
      </c>
      <c r="W65" s="29"/>
    </row>
    <row r="66" spans="1:23" x14ac:dyDescent="0.25">
      <c r="A66" s="155" t="str">
        <f t="shared" si="4"/>
        <v>EDUC4043</v>
      </c>
      <c r="B66" s="156">
        <f>IFERROR(IF(VLOOKUP($A66,TableHandbook[],2,FALSE)=0,"",VLOOKUP($A66,TableHandbook[],2,FALSE)),"")</f>
        <v>1</v>
      </c>
      <c r="C66" s="160" t="str">
        <f>IFERROR(IF(VLOOKUP($A66,TableHandbook[],3,FALSE)=0,"",VLOOKUP($A66,TableHandbook[],3,FALSE)),"")</f>
        <v>EDC465</v>
      </c>
      <c r="D66" s="157" t="str">
        <f>IFERROR(IF(VLOOKUP($A66,TableHandbook[],4,FALSE)=0,"",VLOOKUP($A66,TableHandbook[],4,FALSE)),"")</f>
        <v>Alternative Approaches to Teaching Literacy and Numeracy</v>
      </c>
      <c r="E66" s="157"/>
      <c r="F66" s="159" t="str">
        <f>IFERROR(IF(VLOOKUP($A66,TableHandbook[],6,FALSE)=0,"",VLOOKUP($A66,TableHandbook[],6,FALSE)),"")</f>
        <v>Nil</v>
      </c>
      <c r="G66" s="159">
        <f>IFERROR(IF(VLOOKUP($A66,TableHandbook[],5,FALSE)=0,"",VLOOKUP($A66,TableHandbook[],5,FALSE)),"")</f>
        <v>25</v>
      </c>
      <c r="H66" s="220" t="str">
        <f>IFERROR(VLOOKUP($A66,TableHandbook[],H$2,FALSE),"")</f>
        <v/>
      </c>
      <c r="I66" s="221" t="str">
        <f>IFERROR(VLOOKUP($A66,TableHandbook[],I$2,FALSE),"")</f>
        <v>Y</v>
      </c>
      <c r="J66" s="221" t="str">
        <f>IFERROR(VLOOKUP($A66,TableHandbook[],J$2,FALSE),"")</f>
        <v/>
      </c>
      <c r="K66" s="222" t="str">
        <f>IFERROR(VLOOKUP($A66,TableHandbook[],K$2,FALSE),"")</f>
        <v/>
      </c>
      <c r="L66" s="46"/>
      <c r="M66" s="166">
        <v>12</v>
      </c>
      <c r="W66" s="29"/>
    </row>
    <row r="67" spans="1:23" x14ac:dyDescent="0.25">
      <c r="A67" s="155" t="str">
        <f t="shared" si="4"/>
        <v>EDUC4045</v>
      </c>
      <c r="B67" s="156">
        <f>IFERROR(IF(VLOOKUP($A67,TableHandbook[],2,FALSE)=0,"",VLOOKUP($A67,TableHandbook[],2,FALSE)),"")</f>
        <v>2</v>
      </c>
      <c r="C67" s="160" t="str">
        <f>IFERROR(IF(VLOOKUP($A67,TableHandbook[],3,FALSE)=0,"",VLOOKUP($A67,TableHandbook[],3,FALSE)),"")</f>
        <v>EDC460</v>
      </c>
      <c r="D67" s="157" t="str">
        <f>IFERROR(IF(VLOOKUP($A67,TableHandbook[],4,FALSE)=0,"",VLOOKUP($A67,TableHandbook[],4,FALSE)),"")</f>
        <v>Literacy and Numeracy for First Nations Peoples of Australia</v>
      </c>
      <c r="E67" s="157"/>
      <c r="F67" s="159" t="str">
        <f>IFERROR(IF(VLOOKUP($A67,TableHandbook[],6,FALSE)=0,"",VLOOKUP($A67,TableHandbook[],6,FALSE)),"")</f>
        <v>Nil</v>
      </c>
      <c r="G67" s="159">
        <f>IFERROR(IF(VLOOKUP($A67,TableHandbook[],5,FALSE)=0,"",VLOOKUP($A67,TableHandbook[],5,FALSE)),"")</f>
        <v>25</v>
      </c>
      <c r="H67" s="220" t="str">
        <f>IFERROR(VLOOKUP($A67,TableHandbook[],H$2,FALSE),"")</f>
        <v/>
      </c>
      <c r="I67" s="221" t="str">
        <f>IFERROR(VLOOKUP($A67,TableHandbook[],I$2,FALSE),"")</f>
        <v/>
      </c>
      <c r="J67" s="221" t="str">
        <f>IFERROR(VLOOKUP($A67,TableHandbook[],J$2,FALSE),"")</f>
        <v>Y</v>
      </c>
      <c r="K67" s="222" t="str">
        <f>IFERROR(VLOOKUP($A67,TableHandbook[],K$2,FALSE),"")</f>
        <v/>
      </c>
      <c r="L67" s="46"/>
      <c r="M67" s="166">
        <v>13</v>
      </c>
      <c r="W67" s="29"/>
    </row>
    <row r="68" spans="1:23" x14ac:dyDescent="0.25">
      <c r="A68" s="155" t="str">
        <f t="shared" si="4"/>
        <v>SE.T</v>
      </c>
      <c r="B68" s="156" t="str">
        <f>IFERROR(IF(VLOOKUP($A68,TableHandbook[],2,FALSE)=0,"",VLOOKUP($A68,TableHandbook[],2,FALSE)),"")</f>
        <v/>
      </c>
      <c r="C68" s="160" t="str">
        <f>IFERROR(IF(VLOOKUP($A68,TableHandbook[],3,FALSE)=0,"",VLOOKUP($A68,TableHandbook[],3,FALSE)),"")</f>
        <v/>
      </c>
      <c r="D68" s="157" t="str">
        <f>IFERROR(IF(VLOOKUP($A68,TableHandbook[],4,FALSE)=0,"",VLOOKUP($A68,TableHandbook[],4,FALSE)),"")</f>
        <v>Technologies Specified Electives</v>
      </c>
      <c r="E68" s="157"/>
      <c r="F68" s="159" t="str">
        <f>IFERROR(IF(VLOOKUP($A68,TableHandbook[],6,FALSE)=0,"",VLOOKUP($A68,TableHandbook[],6,FALSE)),"")</f>
        <v/>
      </c>
      <c r="G68" s="159" t="str">
        <f>IFERROR(IF(VLOOKUP($A68,TableHandbook[],5,FALSE)=0,"",VLOOKUP($A68,TableHandbook[],5,FALSE)),"")</f>
        <v/>
      </c>
      <c r="H68" s="220" t="str">
        <f>IFERROR(VLOOKUP($A68,TableHandbook[],H$2,FALSE),"")</f>
        <v/>
      </c>
      <c r="I68" s="221" t="str">
        <f>IFERROR(VLOOKUP($A68,TableHandbook[],I$2,FALSE),"")</f>
        <v/>
      </c>
      <c r="J68" s="221" t="str">
        <f>IFERROR(VLOOKUP($A68,TableHandbook[],J$2,FALSE),"")</f>
        <v/>
      </c>
      <c r="K68" s="222" t="str">
        <f>IFERROR(VLOOKUP($A68,TableHandbook[],K$2,FALSE),"")</f>
        <v/>
      </c>
      <c r="L68" s="46"/>
      <c r="M68" s="166">
        <v>14</v>
      </c>
      <c r="W68" s="29"/>
    </row>
    <row r="69" spans="1:23" x14ac:dyDescent="0.25">
      <c r="A69" s="155" t="str">
        <f t="shared" si="4"/>
        <v>EDUC4030</v>
      </c>
      <c r="B69" s="156">
        <f>IFERROR(IF(VLOOKUP($A69,TableHandbook[],2,FALSE)=0,"",VLOOKUP($A69,TableHandbook[],2,FALSE)),"")</f>
        <v>1</v>
      </c>
      <c r="C69" s="160" t="str">
        <f>IFERROR(IF(VLOOKUP($A69,TableHandbook[],3,FALSE)=0,"",VLOOKUP($A69,TableHandbook[],3,FALSE)),"")</f>
        <v>EDC491</v>
      </c>
      <c r="D69" s="157" t="str">
        <f>IFERROR(IF(VLOOKUP($A69,TableHandbook[],4,FALSE)=0,"",VLOOKUP($A69,TableHandbook[],4,FALSE)),"")</f>
        <v>Technologies: Coding for Teachers</v>
      </c>
      <c r="E69" s="157"/>
      <c r="F69" s="159" t="str">
        <f>IFERROR(IF(VLOOKUP($A69,TableHandbook[],6,FALSE)=0,"",VLOOKUP($A69,TableHandbook[],6,FALSE)),"")</f>
        <v>Nil</v>
      </c>
      <c r="G69" s="159">
        <f>IFERROR(IF(VLOOKUP($A69,TableHandbook[],5,FALSE)=0,"",VLOOKUP($A69,TableHandbook[],5,FALSE)),"")</f>
        <v>25</v>
      </c>
      <c r="H69" s="220" t="str">
        <f>IFERROR(VLOOKUP($A69,TableHandbook[],H$2,FALSE),"")</f>
        <v/>
      </c>
      <c r="I69" s="221" t="str">
        <f>IFERROR(VLOOKUP($A69,TableHandbook[],I$2,FALSE),"")</f>
        <v>Y</v>
      </c>
      <c r="J69" s="221" t="str">
        <f>IFERROR(VLOOKUP($A69,TableHandbook[],J$2,FALSE),"")</f>
        <v/>
      </c>
      <c r="K69" s="222" t="str">
        <f>IFERROR(VLOOKUP($A69,TableHandbook[],K$2,FALSE),"")</f>
        <v/>
      </c>
      <c r="L69" s="46"/>
      <c r="M69" s="166">
        <v>15</v>
      </c>
      <c r="W69" s="29"/>
    </row>
    <row r="70" spans="1:23" x14ac:dyDescent="0.25">
      <c r="A70" s="155" t="str">
        <f t="shared" si="4"/>
        <v>EDUC4039</v>
      </c>
      <c r="B70" s="156">
        <f>IFERROR(IF(VLOOKUP($A70,TableHandbook[],2,FALSE)=0,"",VLOOKUP($A70,TableHandbook[],2,FALSE)),"")</f>
        <v>1</v>
      </c>
      <c r="C70" s="160" t="str">
        <f>IFERROR(IF(VLOOKUP($A70,TableHandbook[],3,FALSE)=0,"",VLOOKUP($A70,TableHandbook[],3,FALSE)),"")</f>
        <v>EDC495</v>
      </c>
      <c r="D70" s="157" t="str">
        <f>IFERROR(IF(VLOOKUP($A70,TableHandbook[],4,FALSE)=0,"",VLOOKUP($A70,TableHandbook[],4,FALSE)),"")</f>
        <v>Technologies: Design Solutions</v>
      </c>
      <c r="E70" s="157"/>
      <c r="F70" s="159" t="str">
        <f>IFERROR(IF(VLOOKUP($A70,TableHandbook[],6,FALSE)=0,"",VLOOKUP($A70,TableHandbook[],6,FALSE)),"")</f>
        <v>Nil</v>
      </c>
      <c r="G70" s="159">
        <f>IFERROR(IF(VLOOKUP($A70,TableHandbook[],5,FALSE)=0,"",VLOOKUP($A70,TableHandbook[],5,FALSE)),"")</f>
        <v>25</v>
      </c>
      <c r="H70" s="220" t="str">
        <f>IFERROR(VLOOKUP($A70,TableHandbook[],H$2,FALSE),"")</f>
        <v>Y</v>
      </c>
      <c r="I70" s="221" t="str">
        <f>IFERROR(VLOOKUP($A70,TableHandbook[],I$2,FALSE),"")</f>
        <v/>
      </c>
      <c r="J70" s="221" t="str">
        <f>IFERROR(VLOOKUP($A70,TableHandbook[],J$2,FALSE),"")</f>
        <v/>
      </c>
      <c r="K70" s="222" t="str">
        <f>IFERROR(VLOOKUP($A70,TableHandbook[],K$2,FALSE),"")</f>
        <v/>
      </c>
      <c r="L70" s="46"/>
      <c r="M70" s="166">
        <v>16</v>
      </c>
      <c r="W70" s="29"/>
    </row>
    <row r="71" spans="1:23" x14ac:dyDescent="0.25">
      <c r="A71" s="155" t="str">
        <f t="shared" si="4"/>
        <v>EDUC4047</v>
      </c>
      <c r="B71" s="156">
        <f>IFERROR(IF(VLOOKUP($A71,TableHandbook[],2,FALSE)=0,"",VLOOKUP($A71,TableHandbook[],2,FALSE)),"")</f>
        <v>1</v>
      </c>
      <c r="C71" s="160" t="str">
        <f>IFERROR(IF(VLOOKUP($A71,TableHandbook[],3,FALSE)=0,"",VLOOKUP($A71,TableHandbook[],3,FALSE)),"")</f>
        <v>EDC470</v>
      </c>
      <c r="D71" s="157" t="str">
        <f>IFERROR(IF(VLOOKUP($A71,TableHandbook[],4,FALSE)=0,"",VLOOKUP($A71,TableHandbook[],4,FALSE)),"")</f>
        <v>Technologies: Digital Solutions</v>
      </c>
      <c r="E71" s="157"/>
      <c r="F71" s="159" t="str">
        <f>IFERROR(IF(VLOOKUP($A71,TableHandbook[],6,FALSE)=0,"",VLOOKUP($A71,TableHandbook[],6,FALSE)),"")</f>
        <v>Nil</v>
      </c>
      <c r="G71" s="159">
        <f>IFERROR(IF(VLOOKUP($A71,TableHandbook[],5,FALSE)=0,"",VLOOKUP($A71,TableHandbook[],5,FALSE)),"")</f>
        <v>25</v>
      </c>
      <c r="H71" s="220" t="str">
        <f>IFERROR(VLOOKUP($A71,TableHandbook[],H$2,FALSE),"")</f>
        <v/>
      </c>
      <c r="I71" s="221" t="str">
        <f>IFERROR(VLOOKUP($A71,TableHandbook[],I$2,FALSE),"")</f>
        <v/>
      </c>
      <c r="J71" s="221" t="str">
        <f>IFERROR(VLOOKUP($A71,TableHandbook[],J$2,FALSE),"")</f>
        <v/>
      </c>
      <c r="K71" s="222" t="str">
        <f>IFERROR(VLOOKUP($A71,TableHandbook[],K$2,FALSE),"")</f>
        <v>Y</v>
      </c>
      <c r="L71" s="46"/>
      <c r="M71" s="166">
        <v>17</v>
      </c>
      <c r="W71" s="29"/>
    </row>
    <row r="72" spans="1:23" x14ac:dyDescent="0.25">
      <c r="A72" s="155" t="str">
        <f t="shared" si="4"/>
        <v>SE.CE</v>
      </c>
      <c r="B72" s="156" t="str">
        <f>IFERROR(IF(VLOOKUP($A72,TableHandbook[],2,FALSE)=0,"",VLOOKUP($A72,TableHandbook[],2,FALSE)),"")</f>
        <v/>
      </c>
      <c r="C72" s="160" t="str">
        <f>IFERROR(IF(VLOOKUP($A72,TableHandbook[],3,FALSE)=0,"",VLOOKUP($A72,TableHandbook[],3,FALSE)),"")</f>
        <v/>
      </c>
      <c r="D72" s="157" t="str">
        <f>IFERROR(IF(VLOOKUP($A72,TableHandbook[],4,FALSE)=0,"",VLOOKUP($A72,TableHandbook[],4,FALSE)),"")</f>
        <v>Catholic Education Specified Electives</v>
      </c>
      <c r="E72" s="157"/>
      <c r="F72" s="159" t="str">
        <f>IFERROR(IF(VLOOKUP($A72,TableHandbook[],6,FALSE)=0,"",VLOOKUP($A72,TableHandbook[],6,FALSE)),"")</f>
        <v/>
      </c>
      <c r="G72" s="159" t="str">
        <f>IFERROR(IF(VLOOKUP($A72,TableHandbook[],5,FALSE)=0,"",VLOOKUP($A72,TableHandbook[],5,FALSE)),"")</f>
        <v/>
      </c>
      <c r="H72" s="220" t="str">
        <f>IFERROR(VLOOKUP($A72,TableHandbook[],H$2,FALSE),"")</f>
        <v/>
      </c>
      <c r="I72" s="221" t="str">
        <f>IFERROR(VLOOKUP($A72,TableHandbook[],I$2,FALSE),"")</f>
        <v/>
      </c>
      <c r="J72" s="221" t="str">
        <f>IFERROR(VLOOKUP($A72,TableHandbook[],J$2,FALSE),"")</f>
        <v/>
      </c>
      <c r="K72" s="222" t="str">
        <f>IFERROR(VLOOKUP($A72,TableHandbook[],K$2,FALSE),"")</f>
        <v/>
      </c>
      <c r="L72" s="46"/>
      <c r="M72" s="166">
        <v>18</v>
      </c>
      <c r="W72" s="29"/>
    </row>
    <row r="73" spans="1:23" x14ac:dyDescent="0.25">
      <c r="A73" s="155" t="str">
        <f t="shared" si="4"/>
        <v>CTED4004</v>
      </c>
      <c r="B73" s="156">
        <f>IFERROR(IF(VLOOKUP($A73,TableHandbook[],2,FALSE)=0,"",VLOOKUP($A73,TableHandbook[],2,FALSE)),"")</f>
        <v>2</v>
      </c>
      <c r="C73" s="160" t="str">
        <f>IFERROR(IF(VLOOKUP($A73,TableHandbook[],3,FALSE)=0,"",VLOOKUP($A73,TableHandbook[],3,FALSE)),"")</f>
        <v>EDC484</v>
      </c>
      <c r="D73" s="157" t="str">
        <f>IFERROR(IF(VLOOKUP($A73,TableHandbook[],4,FALSE)=0,"",VLOOKUP($A73,TableHandbook[],4,FALSE)),"")</f>
        <v>Teaching About Sacraments in Catholic Schools</v>
      </c>
      <c r="E73" s="157"/>
      <c r="F73" s="159" t="str">
        <f>IFERROR(IF(VLOOKUP($A73,TableHandbook[],6,FALSE)=0,"",VLOOKUP($A73,TableHandbook[],6,FALSE)),"")</f>
        <v>Nil</v>
      </c>
      <c r="G73" s="159">
        <f>IFERROR(IF(VLOOKUP($A73,TableHandbook[],5,FALSE)=0,"",VLOOKUP($A73,TableHandbook[],5,FALSE)),"")</f>
        <v>25</v>
      </c>
      <c r="H73" s="220" t="str">
        <f>IFERROR(VLOOKUP($A73,TableHandbook[],H$2,FALSE),"")</f>
        <v/>
      </c>
      <c r="I73" s="221" t="str">
        <f>IFERROR(VLOOKUP($A73,TableHandbook[],I$2,FALSE),"")</f>
        <v>Y</v>
      </c>
      <c r="J73" s="221" t="str">
        <f>IFERROR(VLOOKUP($A73,TableHandbook[],J$2,FALSE),"")</f>
        <v/>
      </c>
      <c r="K73" s="222" t="str">
        <f>IFERROR(VLOOKUP($A73,TableHandbook[],K$2,FALSE),"")</f>
        <v/>
      </c>
      <c r="L73" s="46"/>
      <c r="M73" s="166">
        <v>19</v>
      </c>
      <c r="W73" s="29"/>
    </row>
    <row r="74" spans="1:23" x14ac:dyDescent="0.25">
      <c r="A74" s="155" t="str">
        <f t="shared" si="4"/>
        <v>CTED4007</v>
      </c>
      <c r="B74" s="156">
        <f>IFERROR(IF(VLOOKUP($A74,TableHandbook[],2,FALSE)=0,"",VLOOKUP($A74,TableHandbook[],2,FALSE)),"")</f>
        <v>1</v>
      </c>
      <c r="C74" s="160" t="str">
        <f>IFERROR(IF(VLOOKUP($A74,TableHandbook[],3,FALSE)=0,"",VLOOKUP($A74,TableHandbook[],3,FALSE)),"")</f>
        <v>EDC430</v>
      </c>
      <c r="D74" s="157" t="str">
        <f>IFERROR(IF(VLOOKUP($A74,TableHandbook[],4,FALSE)=0,"",VLOOKUP($A74,TableHandbook[],4,FALSE)),"")</f>
        <v>Teaching About Jesus in Catholic Schools</v>
      </c>
      <c r="E74" s="157"/>
      <c r="F74" s="159" t="str">
        <f>IFERROR(IF(VLOOKUP($A74,TableHandbook[],6,FALSE)=0,"",VLOOKUP($A74,TableHandbook[],6,FALSE)),"")</f>
        <v>Nil</v>
      </c>
      <c r="G74" s="159">
        <f>IFERROR(IF(VLOOKUP($A74,TableHandbook[],5,FALSE)=0,"",VLOOKUP($A74,TableHandbook[],5,FALSE)),"")</f>
        <v>25</v>
      </c>
      <c r="H74" s="220" t="str">
        <f>IFERROR(VLOOKUP($A74,TableHandbook[],H$2,FALSE),"")</f>
        <v/>
      </c>
      <c r="I74" s="221" t="str">
        <f>IFERROR(VLOOKUP($A74,TableHandbook[],I$2,FALSE),"")</f>
        <v/>
      </c>
      <c r="J74" s="221" t="str">
        <f>IFERROR(VLOOKUP($A74,TableHandbook[],J$2,FALSE),"")</f>
        <v/>
      </c>
      <c r="K74" s="222" t="str">
        <f>IFERROR(VLOOKUP($A74,TableHandbook[],K$2,FALSE),"")</f>
        <v>Y</v>
      </c>
      <c r="L74" s="46"/>
      <c r="M74" s="166">
        <v>20</v>
      </c>
      <c r="W74" s="29"/>
    </row>
    <row r="75" spans="1:23" x14ac:dyDescent="0.25">
      <c r="A75" s="155" t="str">
        <f t="shared" si="4"/>
        <v>CTED4009</v>
      </c>
      <c r="B75" s="156">
        <f>IFERROR(IF(VLOOKUP($A75,TableHandbook[],2,FALSE)=0,"",VLOOKUP($A75,TableHandbook[],2,FALSE)),"")</f>
        <v>1</v>
      </c>
      <c r="C75" s="160" t="str">
        <f>IFERROR(IF(VLOOKUP($A75,TableHandbook[],3,FALSE)=0,"",VLOOKUP($A75,TableHandbook[],3,FALSE)),"")</f>
        <v>EDC435</v>
      </c>
      <c r="D75" s="157" t="str">
        <f>IFERROR(IF(VLOOKUP($A75,TableHandbook[],4,FALSE)=0,"",VLOOKUP($A75,TableHandbook[],4,FALSE)),"")</f>
        <v>Teaching About the Gospels in Catholic Schools</v>
      </c>
      <c r="E75" s="157"/>
      <c r="F75" s="159" t="str">
        <f>IFERROR(IF(VLOOKUP($A75,TableHandbook[],6,FALSE)=0,"",VLOOKUP($A75,TableHandbook[],6,FALSE)),"")</f>
        <v>Nil</v>
      </c>
      <c r="G75" s="159">
        <f>IFERROR(IF(VLOOKUP($A75,TableHandbook[],5,FALSE)=0,"",VLOOKUP($A75,TableHandbook[],5,FALSE)),"")</f>
        <v>25</v>
      </c>
      <c r="H75" s="220" t="str">
        <f>IFERROR(VLOOKUP($A75,TableHandbook[],H$2,FALSE),"")</f>
        <v>Y</v>
      </c>
      <c r="I75" s="221" t="str">
        <f>IFERROR(VLOOKUP($A75,TableHandbook[],I$2,FALSE),"")</f>
        <v/>
      </c>
      <c r="J75" s="221" t="str">
        <f>IFERROR(VLOOKUP($A75,TableHandbook[],J$2,FALSE),"")</f>
        <v/>
      </c>
      <c r="K75" s="222" t="str">
        <f>IFERROR(VLOOKUP($A75,TableHandbook[],K$2,FALSE),"")</f>
        <v/>
      </c>
      <c r="L75" s="46"/>
      <c r="M75" s="166">
        <v>21</v>
      </c>
      <c r="W75" s="29"/>
    </row>
    <row r="76" spans="1:23" x14ac:dyDescent="0.25">
      <c r="A76" s="155" t="str">
        <f t="shared" si="4"/>
        <v>SE.HPE</v>
      </c>
      <c r="B76" s="156" t="str">
        <f>IFERROR(IF(VLOOKUP($A76,TableHandbook[],2,FALSE)=0,"",VLOOKUP($A76,TableHandbook[],2,FALSE)),"")</f>
        <v/>
      </c>
      <c r="C76" s="160" t="str">
        <f>IFERROR(IF(VLOOKUP($A76,TableHandbook[],3,FALSE)=0,"",VLOOKUP($A76,TableHandbook[],3,FALSE)),"")</f>
        <v/>
      </c>
      <c r="D76" s="157" t="str">
        <f>IFERROR(IF(VLOOKUP($A76,TableHandbook[],4,FALSE)=0,"",VLOOKUP($A76,TableHandbook[],4,FALSE)),"")</f>
        <v>Health and Physical Education Specified Electives</v>
      </c>
      <c r="E76" s="157"/>
      <c r="F76" s="159" t="str">
        <f>IFERROR(IF(VLOOKUP($A76,TableHandbook[],6,FALSE)=0,"",VLOOKUP($A76,TableHandbook[],6,FALSE)),"")</f>
        <v/>
      </c>
      <c r="G76" s="159" t="str">
        <f>IFERROR(IF(VLOOKUP($A76,TableHandbook[],5,FALSE)=0,"",VLOOKUP($A76,TableHandbook[],5,FALSE)),"")</f>
        <v/>
      </c>
      <c r="H76" s="220" t="str">
        <f>IFERROR(VLOOKUP($A76,TableHandbook[],H$2,FALSE),"")</f>
        <v/>
      </c>
      <c r="I76" s="221" t="str">
        <f>IFERROR(VLOOKUP($A76,TableHandbook[],I$2,FALSE),"")</f>
        <v/>
      </c>
      <c r="J76" s="221" t="str">
        <f>IFERROR(VLOOKUP($A76,TableHandbook[],J$2,FALSE),"")</f>
        <v/>
      </c>
      <c r="K76" s="222" t="str">
        <f>IFERROR(VLOOKUP($A76,TableHandbook[],K$2,FALSE),"")</f>
        <v/>
      </c>
      <c r="L76" s="46"/>
      <c r="M76" s="166">
        <v>22</v>
      </c>
      <c r="W76" s="29"/>
    </row>
    <row r="77" spans="1:23" x14ac:dyDescent="0.25">
      <c r="A77" s="155" t="str">
        <f t="shared" si="4"/>
        <v>EDUC4003</v>
      </c>
      <c r="B77" s="156">
        <f>IFERROR(IF(VLOOKUP($A77,TableHandbook[],2,FALSE)=0,"",VLOOKUP($A77,TableHandbook[],2,FALSE)),"")</f>
        <v>1</v>
      </c>
      <c r="C77" s="160" t="str">
        <f>IFERROR(IF(VLOOKUP($A77,TableHandbook[],3,FALSE)=0,"",VLOOKUP($A77,TableHandbook[],3,FALSE)),"")</f>
        <v>EDC420</v>
      </c>
      <c r="D77" s="157" t="str">
        <f>IFERROR(IF(VLOOKUP($A77,TableHandbook[],4,FALSE)=0,"",VLOOKUP($A77,TableHandbook[],4,FALSE)),"")</f>
        <v>Physical Education Pedagogy (details coming)</v>
      </c>
      <c r="E77" s="157"/>
      <c r="F77" s="159" t="str">
        <f>IFERROR(IF(VLOOKUP($A77,TableHandbook[],6,FALSE)=0,"",VLOOKUP($A77,TableHandbook[],6,FALSE)),"")</f>
        <v>100CP</v>
      </c>
      <c r="G77" s="159">
        <f>IFERROR(IF(VLOOKUP($A77,TableHandbook[],5,FALSE)=0,"",VLOOKUP($A77,TableHandbook[],5,FALSE)),"")</f>
        <v>25</v>
      </c>
      <c r="H77" s="220" t="str">
        <f>IFERROR(VLOOKUP($A77,TableHandbook[],H$2,FALSE),"")</f>
        <v/>
      </c>
      <c r="I77" s="221" t="str">
        <f>IFERROR(VLOOKUP($A77,TableHandbook[],I$2,FALSE),"")</f>
        <v/>
      </c>
      <c r="J77" s="221" t="str">
        <f>IFERROR(VLOOKUP($A77,TableHandbook[],J$2,FALSE),"")</f>
        <v/>
      </c>
      <c r="K77" s="222" t="str">
        <f>IFERROR(VLOOKUP($A77,TableHandbook[],K$2,FALSE),"")</f>
        <v/>
      </c>
      <c r="L77" s="46"/>
      <c r="M77" s="166">
        <v>23</v>
      </c>
      <c r="W77" s="29"/>
    </row>
    <row r="78" spans="1:23" x14ac:dyDescent="0.25">
      <c r="A78" s="155" t="str">
        <f t="shared" si="4"/>
        <v>EDUC4010</v>
      </c>
      <c r="B78" s="156">
        <f>IFERROR(IF(VLOOKUP($A78,TableHandbook[],2,FALSE)=0,"",VLOOKUP($A78,TableHandbook[],2,FALSE)),"")</f>
        <v>1</v>
      </c>
      <c r="C78" s="160" t="str">
        <f>IFERROR(IF(VLOOKUP($A78,TableHandbook[],3,FALSE)=0,"",VLOOKUP($A78,TableHandbook[],3,FALSE)),"")</f>
        <v>EDC425</v>
      </c>
      <c r="D78" s="157" t="str">
        <f>IFERROR(IF(VLOOKUP($A78,TableHandbook[],4,FALSE)=0,"",VLOOKUP($A78,TableHandbook[],4,FALSE)),"")</f>
        <v>Primary Physical Education: Curriculum &amp; Assessment (details coming)</v>
      </c>
      <c r="E78" s="157"/>
      <c r="F78" s="159" t="str">
        <f>IFERROR(IF(VLOOKUP($A78,TableHandbook[],6,FALSE)=0,"",VLOOKUP($A78,TableHandbook[],6,FALSE)),"")</f>
        <v>100CP</v>
      </c>
      <c r="G78" s="159">
        <f>IFERROR(IF(VLOOKUP($A78,TableHandbook[],5,FALSE)=0,"",VLOOKUP($A78,TableHandbook[],5,FALSE)),"")</f>
        <v>25</v>
      </c>
      <c r="H78" s="220" t="str">
        <f>IFERROR(VLOOKUP($A78,TableHandbook[],H$2,FALSE),"")</f>
        <v/>
      </c>
      <c r="I78" s="221" t="str">
        <f>IFERROR(VLOOKUP($A78,TableHandbook[],I$2,FALSE),"")</f>
        <v/>
      </c>
      <c r="J78" s="221" t="str">
        <f>IFERROR(VLOOKUP($A78,TableHandbook[],J$2,FALSE),"")</f>
        <v/>
      </c>
      <c r="K78" s="222" t="str">
        <f>IFERROR(VLOOKUP($A78,TableHandbook[],K$2,FALSE),"")</f>
        <v/>
      </c>
      <c r="L78" s="46"/>
      <c r="M78" s="166">
        <v>24</v>
      </c>
      <c r="W78" s="29"/>
    </row>
    <row r="79" spans="1:23" x14ac:dyDescent="0.25">
      <c r="A79" s="155" t="str">
        <f t="shared" si="4"/>
        <v>EDUC4054</v>
      </c>
      <c r="B79" s="156">
        <f>IFERROR(IF(VLOOKUP($A79,TableHandbook[],2,FALSE)=0,"",VLOOKUP($A79,TableHandbook[],2,FALSE)),"")</f>
        <v>1</v>
      </c>
      <c r="C79" s="160" t="str">
        <f>IFERROR(IF(VLOOKUP($A79,TableHandbook[],3,FALSE)=0,"",VLOOKUP($A79,TableHandbook[],3,FALSE)),"")</f>
        <v>EDC440</v>
      </c>
      <c r="D79" s="157" t="str">
        <f>IFERROR(IF(VLOOKUP($A79,TableHandbook[],4,FALSE)=0,"",VLOOKUP($A79,TableHandbook[],4,FALSE)),"")</f>
        <v>Teaching Health Education in Primary Schools (details coming)</v>
      </c>
      <c r="E79" s="157"/>
      <c r="F79" s="159" t="str">
        <f>IFERROR(IF(VLOOKUP($A79,TableHandbook[],6,FALSE)=0,"",VLOOKUP($A79,TableHandbook[],6,FALSE)),"")</f>
        <v>100CP</v>
      </c>
      <c r="G79" s="159">
        <f>IFERROR(IF(VLOOKUP($A79,TableHandbook[],5,FALSE)=0,"",VLOOKUP($A79,TableHandbook[],5,FALSE)),"")</f>
        <v>25</v>
      </c>
      <c r="H79" s="220" t="str">
        <f>IFERROR(VLOOKUP($A79,TableHandbook[],H$2,FALSE),"")</f>
        <v/>
      </c>
      <c r="I79" s="221" t="str">
        <f>IFERROR(VLOOKUP($A79,TableHandbook[],I$2,FALSE),"")</f>
        <v/>
      </c>
      <c r="J79" s="221" t="str">
        <f>IFERROR(VLOOKUP($A79,TableHandbook[],J$2,FALSE),"")</f>
        <v/>
      </c>
      <c r="K79" s="222" t="str">
        <f>IFERROR(VLOOKUP($A79,TableHandbook[],K$2,FALSE),"")</f>
        <v/>
      </c>
      <c r="L79" s="46"/>
      <c r="M79" s="166">
        <v>25</v>
      </c>
      <c r="W79" s="29"/>
    </row>
    <row r="80" spans="1:23" s="29" customFormat="1" ht="32.25" customHeight="1" x14ac:dyDescent="0.25">
      <c r="A80" s="261" t="s">
        <v>31</v>
      </c>
      <c r="B80" s="261"/>
      <c r="C80" s="261"/>
      <c r="D80" s="261"/>
      <c r="E80" s="261"/>
      <c r="F80" s="261"/>
      <c r="G80" s="261"/>
      <c r="H80" s="261"/>
      <c r="I80" s="261"/>
      <c r="J80" s="261"/>
      <c r="K80" s="261"/>
      <c r="L80" s="261"/>
      <c r="M80" s="27"/>
      <c r="N80" s="27"/>
      <c r="O80" s="27"/>
      <c r="P80" s="27"/>
      <c r="Q80" s="27"/>
      <c r="R80" s="27"/>
      <c r="S80" s="27"/>
      <c r="T80" s="27"/>
      <c r="U80" s="27"/>
      <c r="V80" s="27"/>
    </row>
    <row r="81" spans="1:23" s="37" customFormat="1" ht="24.95" customHeight="1" x14ac:dyDescent="0.3">
      <c r="A81" s="53" t="s">
        <v>32</v>
      </c>
      <c r="B81" s="53"/>
      <c r="C81" s="53"/>
      <c r="D81" s="54"/>
      <c r="E81" s="54"/>
      <c r="F81" s="54"/>
      <c r="G81" s="54"/>
      <c r="H81" s="54"/>
      <c r="I81" s="54"/>
      <c r="J81" s="54"/>
      <c r="K81" s="54"/>
      <c r="L81" s="54"/>
      <c r="M81" s="161"/>
      <c r="N81" s="161"/>
      <c r="O81" s="161"/>
      <c r="W81" s="36"/>
    </row>
    <row r="82" spans="1:23" s="29" customFormat="1" ht="15" customHeight="1" x14ac:dyDescent="0.25">
      <c r="A82" s="162" t="s">
        <v>33</v>
      </c>
      <c r="B82" s="162"/>
      <c r="C82" s="162"/>
      <c r="D82" s="162"/>
      <c r="E82" s="163"/>
      <c r="F82" s="143"/>
      <c r="G82" s="164"/>
      <c r="H82" s="164"/>
      <c r="I82" s="164"/>
      <c r="J82" s="164"/>
      <c r="K82" s="164"/>
      <c r="L82" s="164" t="s">
        <v>34</v>
      </c>
      <c r="M82" s="27"/>
      <c r="N82" s="27"/>
      <c r="O82" s="27"/>
      <c r="P82" s="27"/>
      <c r="Q82" s="27"/>
      <c r="R82" s="27"/>
      <c r="S82" s="27"/>
      <c r="T82" s="27"/>
      <c r="U82" s="27"/>
      <c r="V82" s="27"/>
    </row>
  </sheetData>
  <sheetProtection formatCells="0"/>
  <mergeCells count="2">
    <mergeCell ref="A3:D3"/>
    <mergeCell ref="A80:L80"/>
  </mergeCells>
  <conditionalFormatting sqref="A56:L79">
    <cfRule type="expression" dxfId="35" priority="2">
      <formula>LEFT($D56,8)="Bachelor"</formula>
    </cfRule>
    <cfRule type="expression" dxfId="34" priority="3">
      <formula>RIGHT($D56,9)="Electives"</formula>
    </cfRule>
    <cfRule type="expression" dxfId="33" priority="4">
      <formula>LEFT($D56,5)="Study"</formula>
    </cfRule>
  </conditionalFormatting>
  <conditionalFormatting sqref="D5:D6">
    <cfRule type="containsText" dxfId="32" priority="5" operator="containsText" text="Choose">
      <formula>NOT(ISERROR(SEARCH("Choose",D5)))</formula>
    </cfRule>
  </conditionalFormatting>
  <conditionalFormatting sqref="H9:K52">
    <cfRule type="expression" dxfId="31" priority="1">
      <formula>$E9=H$8</formula>
    </cfRule>
  </conditionalFormatting>
  <dataValidations count="1">
    <dataValidation type="list" allowBlank="1" showInputMessage="1" showErrorMessage="1" sqref="L26 L14 L38 L50 L11 L17 L23 L29 L35 L41 L47" xr:uid="{00000000-0002-0000-0100-000000000000}"/>
  </dataValidations>
  <hyperlinks>
    <hyperlink ref="A81:L81"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2" max="10" man="1"/>
  </rowBreaks>
  <ignoredErrors>
    <ignoredError sqref="E9: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Unitsets!$A$15:$A$19</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249977111117893"/>
  </sheetPr>
  <dimension ref="A1:AI73"/>
  <sheetViews>
    <sheetView zoomScale="80" zoomScaleNormal="80" workbookViewId="0">
      <selection activeCell="D6" sqref="D6"/>
    </sheetView>
  </sheetViews>
  <sheetFormatPr defaultRowHeight="15.75" x14ac:dyDescent="0.25"/>
  <cols>
    <col min="1" max="1" width="68.375" style="18" customWidth="1"/>
    <col min="2" max="2" width="9.25" style="10" bestFit="1" customWidth="1"/>
    <col min="3" max="3" width="13.625" style="10" bestFit="1" customWidth="1"/>
    <col min="4" max="4" width="18.375" style="10" bestFit="1" customWidth="1"/>
    <col min="5" max="5" width="15.75" style="10" bestFit="1" customWidth="1"/>
    <col min="6" max="6" width="20.25" style="10" bestFit="1" customWidth="1"/>
    <col min="7" max="7" width="21.125" style="10" bestFit="1" customWidth="1"/>
    <col min="8" max="8" width="17.625" style="10" bestFit="1" customWidth="1"/>
    <col min="9" max="9" width="16.5" style="10" customWidth="1"/>
    <col min="10" max="10" width="14" style="10" bestFit="1" customWidth="1"/>
    <col min="11" max="11" width="3.625" customWidth="1"/>
    <col min="12" max="13" width="11.5" bestFit="1" customWidth="1"/>
    <col min="14" max="14" width="11.125" bestFit="1" customWidth="1"/>
    <col min="15" max="15" width="11.75" bestFit="1" customWidth="1"/>
    <col min="16" max="16" width="6.125" bestFit="1" customWidth="1"/>
    <col min="17" max="17" width="11.25" bestFit="1" customWidth="1"/>
    <col min="18" max="18" width="6.125" bestFit="1" customWidth="1"/>
    <col min="19" max="19" width="11.75" bestFit="1" customWidth="1"/>
    <col min="20" max="20" width="6.125" bestFit="1" customWidth="1"/>
    <col min="21" max="21" width="11.5" bestFit="1" customWidth="1"/>
    <col min="22" max="22" width="6.125" bestFit="1" customWidth="1"/>
    <col min="23" max="23" width="11.75" bestFit="1" customWidth="1"/>
    <col min="24" max="24" width="6.125" bestFit="1" customWidth="1"/>
    <col min="25" max="25" width="11.5" bestFit="1" customWidth="1"/>
    <col min="26" max="26" width="6.125" bestFit="1" customWidth="1"/>
    <col min="27" max="27" width="11.75" bestFit="1" customWidth="1"/>
    <col min="28" max="28" width="11.25" customWidth="1"/>
  </cols>
  <sheetData>
    <row r="1" spans="1:35" x14ac:dyDescent="0.25">
      <c r="A1" s="19" t="s">
        <v>36</v>
      </c>
      <c r="B1" s="20"/>
      <c r="C1" s="20"/>
      <c r="D1" s="20"/>
    </row>
    <row r="2" spans="1:35" x14ac:dyDescent="0.25">
      <c r="L2" s="42"/>
      <c r="M2" s="13"/>
      <c r="N2" s="14"/>
      <c r="O2" s="13"/>
      <c r="P2" s="12"/>
      <c r="Q2" s="13"/>
      <c r="R2" s="14"/>
      <c r="S2" s="13"/>
      <c r="T2" s="13"/>
      <c r="U2" s="13"/>
      <c r="V2" s="13"/>
      <c r="W2" s="13"/>
      <c r="X2" s="43"/>
      <c r="Y2" s="13"/>
      <c r="Z2" s="14"/>
      <c r="AA2" s="14"/>
      <c r="AB2" s="14"/>
      <c r="AC2" s="25"/>
      <c r="AD2" s="25"/>
      <c r="AE2" s="25"/>
      <c r="AF2" s="25"/>
      <c r="AG2" s="25"/>
      <c r="AH2" s="25"/>
      <c r="AI2" s="25"/>
    </row>
    <row r="3" spans="1:35" x14ac:dyDescent="0.25">
      <c r="J3" s="52" t="s">
        <v>37</v>
      </c>
      <c r="K3" s="3">
        <v>1</v>
      </c>
      <c r="L3" s="1"/>
      <c r="M3" s="15" t="s">
        <v>38</v>
      </c>
      <c r="N3" s="26"/>
      <c r="O3" s="16" t="s">
        <v>39</v>
      </c>
      <c r="P3" s="1"/>
      <c r="Q3" s="17" t="s">
        <v>40</v>
      </c>
      <c r="R3" s="2"/>
      <c r="S3" s="17" t="s">
        <v>41</v>
      </c>
      <c r="T3" s="44"/>
      <c r="U3" s="15" t="s">
        <v>42</v>
      </c>
      <c r="V3" s="44"/>
      <c r="W3" s="17" t="s">
        <v>43</v>
      </c>
      <c r="X3" s="44"/>
      <c r="Y3" s="15" t="s">
        <v>44</v>
      </c>
      <c r="Z3" s="44"/>
      <c r="AA3" s="17" t="s">
        <v>45</v>
      </c>
      <c r="AD3" s="25"/>
      <c r="AE3" s="25"/>
      <c r="AF3" s="25"/>
      <c r="AG3" s="25"/>
      <c r="AH3" s="25"/>
      <c r="AI3" s="25"/>
    </row>
    <row r="4" spans="1:35" x14ac:dyDescent="0.25">
      <c r="B4"/>
      <c r="C4"/>
      <c r="D4"/>
      <c r="E4"/>
      <c r="F4"/>
      <c r="G4"/>
      <c r="H4"/>
      <c r="K4" s="23">
        <v>2</v>
      </c>
      <c r="L4" s="70" t="s">
        <v>46</v>
      </c>
      <c r="M4" s="69" t="s">
        <v>47</v>
      </c>
      <c r="N4" s="85" t="s">
        <v>48</v>
      </c>
      <c r="O4" s="69" t="s">
        <v>49</v>
      </c>
      <c r="P4" s="70" t="s">
        <v>50</v>
      </c>
      <c r="Q4" s="77" t="str">
        <f>M4</f>
        <v>EDUC1020</v>
      </c>
      <c r="R4" s="70" t="s">
        <v>51</v>
      </c>
      <c r="S4" s="77" t="str">
        <f>O4</f>
        <v>EDUC1024</v>
      </c>
      <c r="T4" s="70" t="s">
        <v>46</v>
      </c>
      <c r="U4" s="69" t="s">
        <v>52</v>
      </c>
      <c r="V4" s="70" t="s">
        <v>48</v>
      </c>
      <c r="W4" s="69" t="s">
        <v>49</v>
      </c>
      <c r="X4" s="70" t="s">
        <v>50</v>
      </c>
      <c r="Y4" s="69" t="s">
        <v>52</v>
      </c>
      <c r="Z4" s="70" t="s">
        <v>51</v>
      </c>
      <c r="AA4" s="69" t="s">
        <v>49</v>
      </c>
      <c r="AD4" s="25"/>
      <c r="AE4" s="25"/>
      <c r="AF4" s="25"/>
      <c r="AG4" s="25"/>
      <c r="AH4" s="25"/>
      <c r="AI4" s="25"/>
    </row>
    <row r="5" spans="1:35" x14ac:dyDescent="0.25">
      <c r="A5" s="74" t="s">
        <v>53</v>
      </c>
      <c r="K5" s="23">
        <v>3</v>
      </c>
      <c r="L5" s="72" t="s">
        <v>46</v>
      </c>
      <c r="M5" s="67" t="s">
        <v>52</v>
      </c>
      <c r="N5" s="72" t="s">
        <v>48</v>
      </c>
      <c r="O5" s="67" t="s">
        <v>54</v>
      </c>
      <c r="P5" s="72" t="s">
        <v>50</v>
      </c>
      <c r="Q5" s="88" t="str">
        <f t="shared" ref="Q5:S33" si="0">M5</f>
        <v>EDUC1022</v>
      </c>
      <c r="R5" s="72" t="s">
        <v>51</v>
      </c>
      <c r="S5" s="88" t="str">
        <f t="shared" si="0"/>
        <v>EDUC1026</v>
      </c>
      <c r="T5" s="72" t="s">
        <v>46</v>
      </c>
      <c r="U5" s="67" t="s">
        <v>47</v>
      </c>
      <c r="V5" s="72" t="s">
        <v>48</v>
      </c>
      <c r="W5" s="67" t="s">
        <v>54</v>
      </c>
      <c r="X5" s="72" t="s">
        <v>50</v>
      </c>
      <c r="Y5" s="67" t="s">
        <v>47</v>
      </c>
      <c r="Z5" s="72" t="s">
        <v>51</v>
      </c>
      <c r="AA5" s="67" t="s">
        <v>54</v>
      </c>
      <c r="AD5" s="25"/>
      <c r="AE5" s="25"/>
      <c r="AF5" s="25"/>
      <c r="AG5" s="25"/>
      <c r="AH5" s="25"/>
      <c r="AI5" s="25"/>
    </row>
    <row r="6" spans="1:35" x14ac:dyDescent="0.25">
      <c r="A6" s="10" t="s">
        <v>55</v>
      </c>
      <c r="B6" s="18" t="s">
        <v>0</v>
      </c>
      <c r="C6" s="10" t="s">
        <v>56</v>
      </c>
      <c r="D6" s="10" t="s">
        <v>57</v>
      </c>
      <c r="E6" s="10" t="s">
        <v>58</v>
      </c>
      <c r="F6" s="10" t="s">
        <v>59</v>
      </c>
      <c r="G6" s="10" t="s">
        <v>60</v>
      </c>
      <c r="H6" s="10" t="s">
        <v>61</v>
      </c>
      <c r="K6" s="23">
        <v>4</v>
      </c>
      <c r="L6" s="84" t="s">
        <v>48</v>
      </c>
      <c r="M6" s="68" t="s">
        <v>49</v>
      </c>
      <c r="N6" s="71" t="s">
        <v>50</v>
      </c>
      <c r="O6" s="68" t="s">
        <v>47</v>
      </c>
      <c r="P6" s="71" t="s">
        <v>51</v>
      </c>
      <c r="Q6" s="78" t="str">
        <f t="shared" si="0"/>
        <v>EDUC1024</v>
      </c>
      <c r="R6" s="71" t="s">
        <v>46</v>
      </c>
      <c r="S6" s="78" t="str">
        <f t="shared" si="0"/>
        <v>EDUC1020</v>
      </c>
      <c r="T6" s="71" t="s">
        <v>48</v>
      </c>
      <c r="U6" s="68" t="s">
        <v>49</v>
      </c>
      <c r="V6" s="71" t="s">
        <v>50</v>
      </c>
      <c r="W6" s="68" t="s">
        <v>52</v>
      </c>
      <c r="X6" s="71" t="s">
        <v>51</v>
      </c>
      <c r="Y6" s="68" t="s">
        <v>49</v>
      </c>
      <c r="Z6" s="71" t="s">
        <v>46</v>
      </c>
      <c r="AA6" s="68" t="s">
        <v>52</v>
      </c>
      <c r="AD6" s="25"/>
      <c r="AE6" s="25"/>
      <c r="AF6" s="25"/>
      <c r="AG6" s="25"/>
      <c r="AH6" s="25"/>
      <c r="AI6" s="25"/>
    </row>
    <row r="7" spans="1:35" x14ac:dyDescent="0.25">
      <c r="A7" s="10" t="s">
        <v>62</v>
      </c>
      <c r="B7" s="197" t="s">
        <v>63</v>
      </c>
      <c r="C7" s="195" t="s">
        <v>64</v>
      </c>
      <c r="D7" s="196">
        <v>45658</v>
      </c>
      <c r="E7" s="195">
        <v>7</v>
      </c>
      <c r="F7" s="196">
        <v>45658</v>
      </c>
      <c r="G7" s="11" t="s">
        <v>65</v>
      </c>
      <c r="H7" s="197" t="s">
        <v>66</v>
      </c>
      <c r="K7" s="23">
        <v>5</v>
      </c>
      <c r="L7" s="72" t="s">
        <v>48</v>
      </c>
      <c r="M7" s="67" t="s">
        <v>54</v>
      </c>
      <c r="N7" s="72" t="s">
        <v>50</v>
      </c>
      <c r="O7" s="67" t="s">
        <v>52</v>
      </c>
      <c r="P7" s="72" t="s">
        <v>51</v>
      </c>
      <c r="Q7" s="88" t="str">
        <f t="shared" si="0"/>
        <v>EDUC1026</v>
      </c>
      <c r="R7" s="72" t="s">
        <v>46</v>
      </c>
      <c r="S7" s="88" t="str">
        <f t="shared" si="0"/>
        <v>EDUC1022</v>
      </c>
      <c r="T7" s="72" t="s">
        <v>48</v>
      </c>
      <c r="U7" s="67" t="s">
        <v>67</v>
      </c>
      <c r="V7" s="72" t="s">
        <v>50</v>
      </c>
      <c r="W7" s="67" t="s">
        <v>47</v>
      </c>
      <c r="X7" s="72" t="s">
        <v>51</v>
      </c>
      <c r="Y7" s="67" t="s">
        <v>67</v>
      </c>
      <c r="Z7" s="72" t="s">
        <v>46</v>
      </c>
      <c r="AA7" s="67" t="s">
        <v>47</v>
      </c>
      <c r="AB7" s="75">
        <v>45604</v>
      </c>
      <c r="AC7" t="s">
        <v>68</v>
      </c>
      <c r="AD7" s="6"/>
      <c r="AE7" s="7"/>
      <c r="AF7" s="6"/>
      <c r="AG7" s="7"/>
      <c r="AH7" s="7"/>
    </row>
    <row r="8" spans="1:35" x14ac:dyDescent="0.25">
      <c r="A8" s="10" t="s">
        <v>11</v>
      </c>
      <c r="B8" s="197" t="s">
        <v>69</v>
      </c>
      <c r="C8" s="195" t="s">
        <v>64</v>
      </c>
      <c r="D8" s="196">
        <v>45658</v>
      </c>
      <c r="E8" s="195">
        <v>8</v>
      </c>
      <c r="F8" s="196">
        <v>45658</v>
      </c>
      <c r="G8" s="11" t="s">
        <v>65</v>
      </c>
      <c r="H8" s="197" t="s">
        <v>66</v>
      </c>
      <c r="K8" s="23">
        <v>6</v>
      </c>
      <c r="L8" s="70" t="s">
        <v>50</v>
      </c>
      <c r="M8" s="69" t="s">
        <v>70</v>
      </c>
      <c r="N8" s="70" t="s">
        <v>51</v>
      </c>
      <c r="O8" s="69" t="s">
        <v>67</v>
      </c>
      <c r="P8" s="70" t="s">
        <v>46</v>
      </c>
      <c r="Q8" s="77" t="str">
        <f t="shared" si="0"/>
        <v>EDUC1028</v>
      </c>
      <c r="R8" s="70" t="s">
        <v>48</v>
      </c>
      <c r="S8" s="77" t="str">
        <f t="shared" si="0"/>
        <v>EDUC1032</v>
      </c>
      <c r="T8" s="70" t="s">
        <v>50</v>
      </c>
      <c r="U8" s="69" t="s">
        <v>70</v>
      </c>
      <c r="V8" s="70" t="s">
        <v>51</v>
      </c>
      <c r="W8" s="69" t="s">
        <v>67</v>
      </c>
      <c r="X8" s="70" t="s">
        <v>46</v>
      </c>
      <c r="Y8" s="69" t="s">
        <v>70</v>
      </c>
      <c r="Z8" s="70" t="s">
        <v>48</v>
      </c>
      <c r="AA8" s="69" t="s">
        <v>67</v>
      </c>
      <c r="AD8" s="6"/>
      <c r="AE8" s="7"/>
      <c r="AF8" s="6"/>
      <c r="AG8" s="24"/>
      <c r="AH8" s="7"/>
    </row>
    <row r="9" spans="1:35" x14ac:dyDescent="0.25">
      <c r="A9" s="10" t="s">
        <v>71</v>
      </c>
      <c r="B9" s="197" t="s">
        <v>72</v>
      </c>
      <c r="C9" s="195" t="s">
        <v>64</v>
      </c>
      <c r="D9" s="196">
        <v>45658</v>
      </c>
      <c r="E9" s="195">
        <v>7</v>
      </c>
      <c r="F9" s="196">
        <v>45658</v>
      </c>
      <c r="G9" s="11" t="s">
        <v>65</v>
      </c>
      <c r="H9" s="197" t="s">
        <v>66</v>
      </c>
      <c r="K9" s="23">
        <v>7</v>
      </c>
      <c r="L9" s="72" t="s">
        <v>50</v>
      </c>
      <c r="M9" s="67" t="s">
        <v>73</v>
      </c>
      <c r="N9" s="72" t="s">
        <v>51</v>
      </c>
      <c r="O9" s="67" t="s">
        <v>74</v>
      </c>
      <c r="P9" s="72" t="s">
        <v>46</v>
      </c>
      <c r="Q9" s="88" t="str">
        <f t="shared" si="0"/>
        <v>EDUC1030</v>
      </c>
      <c r="R9" s="72" t="s">
        <v>48</v>
      </c>
      <c r="S9" s="88" t="str">
        <f t="shared" si="0"/>
        <v>EDUC1038</v>
      </c>
      <c r="T9" s="72" t="s">
        <v>50</v>
      </c>
      <c r="U9" s="67" t="s">
        <v>73</v>
      </c>
      <c r="V9" s="72" t="s">
        <v>51</v>
      </c>
      <c r="W9" s="67" t="s">
        <v>74</v>
      </c>
      <c r="X9" s="72" t="s">
        <v>46</v>
      </c>
      <c r="Y9" s="67" t="s">
        <v>73</v>
      </c>
      <c r="Z9" s="72" t="s">
        <v>48</v>
      </c>
      <c r="AA9" s="67" t="s">
        <v>74</v>
      </c>
      <c r="AG9" s="7"/>
      <c r="AH9" s="7"/>
    </row>
    <row r="10" spans="1:35" x14ac:dyDescent="0.25">
      <c r="A10" s="10" t="s">
        <v>35</v>
      </c>
      <c r="B10" s="197" t="s">
        <v>75</v>
      </c>
      <c r="C10" s="195" t="s">
        <v>64</v>
      </c>
      <c r="D10" s="196">
        <v>45658</v>
      </c>
      <c r="E10" s="195">
        <v>8</v>
      </c>
      <c r="F10" s="196">
        <v>45658</v>
      </c>
      <c r="G10" s="11" t="s">
        <v>65</v>
      </c>
      <c r="H10" s="201" t="s">
        <v>66</v>
      </c>
      <c r="I10" s="10" t="s">
        <v>76</v>
      </c>
      <c r="K10" s="23">
        <v>8</v>
      </c>
      <c r="L10" s="71" t="s">
        <v>51</v>
      </c>
      <c r="M10" s="68" t="s">
        <v>67</v>
      </c>
      <c r="N10" s="71" t="s">
        <v>46</v>
      </c>
      <c r="O10" s="68" t="s">
        <v>70</v>
      </c>
      <c r="P10" s="71" t="s">
        <v>48</v>
      </c>
      <c r="Q10" s="78" t="str">
        <f t="shared" si="0"/>
        <v>EDUC1032</v>
      </c>
      <c r="R10" s="71" t="s">
        <v>50</v>
      </c>
      <c r="S10" s="78" t="str">
        <f t="shared" si="0"/>
        <v>EDUC1028</v>
      </c>
      <c r="T10" s="71" t="s">
        <v>51</v>
      </c>
      <c r="U10" s="68" t="s">
        <v>54</v>
      </c>
      <c r="V10" s="71" t="s">
        <v>46</v>
      </c>
      <c r="W10" s="68" t="s">
        <v>70</v>
      </c>
      <c r="X10" s="71" t="s">
        <v>48</v>
      </c>
      <c r="Y10" s="68" t="s">
        <v>54</v>
      </c>
      <c r="Z10" s="71" t="s">
        <v>50</v>
      </c>
      <c r="AA10" s="68" t="s">
        <v>70</v>
      </c>
      <c r="AG10" s="7"/>
      <c r="AH10" s="7"/>
    </row>
    <row r="11" spans="1:35" x14ac:dyDescent="0.25">
      <c r="A11" s="10" t="s">
        <v>77</v>
      </c>
      <c r="B11" s="197" t="s">
        <v>78</v>
      </c>
      <c r="C11" s="195" t="s">
        <v>79</v>
      </c>
      <c r="D11" s="196">
        <v>45658</v>
      </c>
      <c r="E11" s="195">
        <v>6</v>
      </c>
      <c r="F11" s="196">
        <v>45658</v>
      </c>
      <c r="G11" s="177" t="s">
        <v>65</v>
      </c>
      <c r="H11" s="201" t="s">
        <v>80</v>
      </c>
      <c r="I11" s="10" t="s">
        <v>81</v>
      </c>
      <c r="K11" s="23">
        <v>9</v>
      </c>
      <c r="L11" s="72" t="s">
        <v>51</v>
      </c>
      <c r="M11" s="67" t="s">
        <v>74</v>
      </c>
      <c r="N11" s="72" t="s">
        <v>46</v>
      </c>
      <c r="O11" s="67" t="s">
        <v>73</v>
      </c>
      <c r="P11" s="72" t="s">
        <v>48</v>
      </c>
      <c r="Q11" s="88" t="str">
        <f t="shared" si="0"/>
        <v>EDUC1038</v>
      </c>
      <c r="R11" s="72" t="s">
        <v>50</v>
      </c>
      <c r="S11" s="88" t="str">
        <f t="shared" si="0"/>
        <v>EDUC1030</v>
      </c>
      <c r="T11" s="72" t="s">
        <v>51</v>
      </c>
      <c r="U11" s="67" t="s">
        <v>74</v>
      </c>
      <c r="V11" s="72" t="s">
        <v>46</v>
      </c>
      <c r="W11" s="67" t="s">
        <v>73</v>
      </c>
      <c r="X11" s="72" t="s">
        <v>48</v>
      </c>
      <c r="Y11" s="67" t="s">
        <v>74</v>
      </c>
      <c r="Z11" s="72" t="s">
        <v>50</v>
      </c>
      <c r="AA11" s="67" t="s">
        <v>73</v>
      </c>
      <c r="AG11" s="7"/>
      <c r="AH11" s="7"/>
    </row>
    <row r="12" spans="1:35" x14ac:dyDescent="0.25">
      <c r="A12" s="10" t="s">
        <v>82</v>
      </c>
      <c r="B12" s="197" t="s">
        <v>83</v>
      </c>
      <c r="C12" s="195" t="s">
        <v>79</v>
      </c>
      <c r="D12" s="196">
        <v>45658</v>
      </c>
      <c r="E12" s="195">
        <v>6</v>
      </c>
      <c r="F12" s="196">
        <v>45658</v>
      </c>
      <c r="G12" s="177" t="s">
        <v>65</v>
      </c>
      <c r="H12" s="197" t="s">
        <v>80</v>
      </c>
      <c r="K12" s="23">
        <v>10</v>
      </c>
      <c r="L12" s="70" t="s">
        <v>84</v>
      </c>
      <c r="M12" s="69" t="s">
        <v>85</v>
      </c>
      <c r="N12" s="70" t="s">
        <v>86</v>
      </c>
      <c r="O12" s="69" t="s">
        <v>87</v>
      </c>
      <c r="P12" s="70" t="s">
        <v>88</v>
      </c>
      <c r="Q12" s="77" t="str">
        <f t="shared" si="0"/>
        <v>EDUC2006</v>
      </c>
      <c r="R12" s="70" t="s">
        <v>89</v>
      </c>
      <c r="S12" s="77" t="str">
        <f t="shared" si="0"/>
        <v>EDEC2018</v>
      </c>
      <c r="T12" s="70" t="s">
        <v>84</v>
      </c>
      <c r="U12" s="69" t="s">
        <v>90</v>
      </c>
      <c r="V12" s="70" t="s">
        <v>86</v>
      </c>
      <c r="W12" s="69" t="s">
        <v>91</v>
      </c>
      <c r="X12" s="70" t="s">
        <v>88</v>
      </c>
      <c r="Y12" s="69" t="s">
        <v>90</v>
      </c>
      <c r="Z12" s="70" t="s">
        <v>89</v>
      </c>
      <c r="AA12" s="69" t="s">
        <v>92</v>
      </c>
      <c r="AG12" s="7"/>
      <c r="AH12" s="7"/>
    </row>
    <row r="13" spans="1:35" x14ac:dyDescent="0.25">
      <c r="K13" s="23">
        <v>11</v>
      </c>
      <c r="L13" s="72" t="s">
        <v>84</v>
      </c>
      <c r="M13" s="67" t="s">
        <v>90</v>
      </c>
      <c r="N13" s="72" t="s">
        <v>86</v>
      </c>
      <c r="O13" s="67" t="s">
        <v>93</v>
      </c>
      <c r="P13" s="72" t="s">
        <v>88</v>
      </c>
      <c r="Q13" s="88" t="str">
        <f t="shared" si="0"/>
        <v>EDUC2008</v>
      </c>
      <c r="R13" s="72" t="s">
        <v>89</v>
      </c>
      <c r="S13" s="88" t="str">
        <f t="shared" si="0"/>
        <v>EDEC2022</v>
      </c>
      <c r="T13" s="72" t="s">
        <v>84</v>
      </c>
      <c r="U13" s="67" t="s">
        <v>94</v>
      </c>
      <c r="V13" s="72" t="s">
        <v>86</v>
      </c>
      <c r="W13" s="67" t="s">
        <v>95</v>
      </c>
      <c r="X13" s="72" t="s">
        <v>88</v>
      </c>
      <c r="Y13" s="67" t="s">
        <v>94</v>
      </c>
      <c r="Z13" s="72" t="s">
        <v>89</v>
      </c>
      <c r="AA13" s="67" t="s">
        <v>95</v>
      </c>
      <c r="AG13" s="7"/>
      <c r="AH13" s="7"/>
    </row>
    <row r="14" spans="1:35" x14ac:dyDescent="0.25">
      <c r="A14" s="74" t="s">
        <v>96</v>
      </c>
      <c r="F14"/>
      <c r="K14" s="23">
        <v>12</v>
      </c>
      <c r="L14" s="71" t="s">
        <v>86</v>
      </c>
      <c r="M14" s="68" t="s">
        <v>87</v>
      </c>
      <c r="N14" s="71" t="s">
        <v>88</v>
      </c>
      <c r="O14" s="68" t="s">
        <v>85</v>
      </c>
      <c r="P14" s="71" t="s">
        <v>89</v>
      </c>
      <c r="Q14" s="78" t="str">
        <f t="shared" si="0"/>
        <v>EDEC2018</v>
      </c>
      <c r="R14" s="71" t="s">
        <v>84</v>
      </c>
      <c r="S14" s="78" t="str">
        <f t="shared" si="0"/>
        <v>EDUC2006</v>
      </c>
      <c r="T14" s="71" t="s">
        <v>86</v>
      </c>
      <c r="U14" s="68" t="s">
        <v>91</v>
      </c>
      <c r="V14" s="71" t="s">
        <v>88</v>
      </c>
      <c r="W14" s="68" t="s">
        <v>97</v>
      </c>
      <c r="X14" s="71" t="s">
        <v>89</v>
      </c>
      <c r="Y14" s="68" t="s">
        <v>92</v>
      </c>
      <c r="Z14" s="71" t="s">
        <v>84</v>
      </c>
      <c r="AA14" s="68" t="s">
        <v>91</v>
      </c>
      <c r="AG14" s="7"/>
      <c r="AH14" s="7"/>
    </row>
    <row r="15" spans="1:35" x14ac:dyDescent="0.25">
      <c r="A15" s="80" t="s">
        <v>98</v>
      </c>
      <c r="B15" s="81" t="s">
        <v>99</v>
      </c>
      <c r="C15" s="81" t="s">
        <v>100</v>
      </c>
      <c r="D15" s="81" t="s">
        <v>101</v>
      </c>
      <c r="E15" s="81" t="s">
        <v>102</v>
      </c>
      <c r="F15"/>
      <c r="K15" s="23">
        <v>13</v>
      </c>
      <c r="L15" s="71" t="s">
        <v>86</v>
      </c>
      <c r="M15" s="68" t="s">
        <v>93</v>
      </c>
      <c r="N15" s="71" t="s">
        <v>88</v>
      </c>
      <c r="O15" s="68" t="s">
        <v>103</v>
      </c>
      <c r="P15" s="71" t="s">
        <v>89</v>
      </c>
      <c r="Q15" s="78" t="str">
        <f t="shared" si="0"/>
        <v>EDEC2022</v>
      </c>
      <c r="R15" s="71" t="s">
        <v>84</v>
      </c>
      <c r="S15" s="78" t="str">
        <f t="shared" si="0"/>
        <v>EDEC2020</v>
      </c>
      <c r="T15" s="71" t="s">
        <v>86</v>
      </c>
      <c r="U15" s="68" t="s">
        <v>95</v>
      </c>
      <c r="V15" s="71" t="s">
        <v>88</v>
      </c>
      <c r="W15" s="68" t="s">
        <v>90</v>
      </c>
      <c r="X15" s="71" t="s">
        <v>89</v>
      </c>
      <c r="Y15" s="68" t="s">
        <v>95</v>
      </c>
      <c r="Z15" s="71" t="s">
        <v>84</v>
      </c>
      <c r="AA15" s="68" t="s">
        <v>90</v>
      </c>
      <c r="AG15" s="7"/>
      <c r="AH15" s="7"/>
    </row>
    <row r="16" spans="1:35" x14ac:dyDescent="0.25">
      <c r="A16" s="6" t="s">
        <v>14</v>
      </c>
      <c r="B16" s="7" t="s">
        <v>22</v>
      </c>
      <c r="C16" s="7" t="s">
        <v>23</v>
      </c>
      <c r="D16" s="7" t="s">
        <v>24</v>
      </c>
      <c r="E16" s="7" t="s">
        <v>25</v>
      </c>
      <c r="F16"/>
      <c r="K16" s="23">
        <v>14</v>
      </c>
      <c r="L16" s="70" t="s">
        <v>88</v>
      </c>
      <c r="M16" s="69" t="s">
        <v>104</v>
      </c>
      <c r="N16" s="70" t="s">
        <v>89</v>
      </c>
      <c r="O16" s="69" t="s">
        <v>105</v>
      </c>
      <c r="P16" s="70" t="s">
        <v>84</v>
      </c>
      <c r="Q16" s="77" t="str">
        <f t="shared" si="0"/>
        <v>EDEC2026</v>
      </c>
      <c r="R16" s="70" t="s">
        <v>86</v>
      </c>
      <c r="S16" s="77" t="str">
        <f t="shared" si="0"/>
        <v>EDEC2024</v>
      </c>
      <c r="T16" s="70" t="s">
        <v>88</v>
      </c>
      <c r="U16" s="69" t="s">
        <v>97</v>
      </c>
      <c r="V16" s="70" t="s">
        <v>89</v>
      </c>
      <c r="W16" s="69" t="s">
        <v>92</v>
      </c>
      <c r="X16" s="70" t="s">
        <v>84</v>
      </c>
      <c r="Y16" s="69" t="s">
        <v>91</v>
      </c>
      <c r="Z16" s="70" t="s">
        <v>86</v>
      </c>
      <c r="AA16" s="69" t="s">
        <v>97</v>
      </c>
      <c r="AD16" s="6"/>
      <c r="AE16" s="7"/>
      <c r="AF16" s="9"/>
      <c r="AG16" s="7"/>
      <c r="AH16" s="7"/>
    </row>
    <row r="17" spans="1:34" x14ac:dyDescent="0.25">
      <c r="A17" s="6" t="s">
        <v>106</v>
      </c>
      <c r="B17" s="7" t="s">
        <v>23</v>
      </c>
      <c r="C17" s="7" t="s">
        <v>24</v>
      </c>
      <c r="D17" s="7" t="s">
        <v>25</v>
      </c>
      <c r="E17" s="7" t="s">
        <v>22</v>
      </c>
      <c r="F17"/>
      <c r="K17" s="23">
        <v>15</v>
      </c>
      <c r="L17" s="72" t="s">
        <v>88</v>
      </c>
      <c r="M17" s="67" t="s">
        <v>103</v>
      </c>
      <c r="N17" s="72" t="s">
        <v>89</v>
      </c>
      <c r="O17" s="67" t="s">
        <v>107</v>
      </c>
      <c r="P17" s="72" t="s">
        <v>84</v>
      </c>
      <c r="Q17" s="88" t="str">
        <f t="shared" si="0"/>
        <v>EDEC2020</v>
      </c>
      <c r="R17" s="72" t="s">
        <v>86</v>
      </c>
      <c r="S17" s="88" t="str">
        <f t="shared" si="0"/>
        <v>EDEC2028</v>
      </c>
      <c r="T17" s="72" t="s">
        <v>88</v>
      </c>
      <c r="U17" s="67" t="s">
        <v>85</v>
      </c>
      <c r="V17" s="72" t="s">
        <v>89</v>
      </c>
      <c r="W17" s="67" t="s">
        <v>108</v>
      </c>
      <c r="X17" s="72" t="s">
        <v>84</v>
      </c>
      <c r="Y17" s="67" t="s">
        <v>85</v>
      </c>
      <c r="Z17" s="72" t="s">
        <v>86</v>
      </c>
      <c r="AA17" s="67" t="s">
        <v>108</v>
      </c>
      <c r="AD17" s="6"/>
      <c r="AE17" s="7"/>
      <c r="AF17" s="9"/>
      <c r="AG17" s="7"/>
      <c r="AH17" s="7"/>
    </row>
    <row r="18" spans="1:34" x14ac:dyDescent="0.25">
      <c r="A18" s="6" t="s">
        <v>109</v>
      </c>
      <c r="B18" s="7" t="s">
        <v>24</v>
      </c>
      <c r="C18" s="7" t="s">
        <v>25</v>
      </c>
      <c r="D18" s="7" t="s">
        <v>22</v>
      </c>
      <c r="E18" s="7" t="s">
        <v>23</v>
      </c>
      <c r="F18"/>
      <c r="K18" s="23">
        <v>16</v>
      </c>
      <c r="L18" s="71" t="s">
        <v>89</v>
      </c>
      <c r="M18" s="68" t="s">
        <v>105</v>
      </c>
      <c r="N18" s="71" t="s">
        <v>84</v>
      </c>
      <c r="O18" s="68" t="s">
        <v>104</v>
      </c>
      <c r="P18" s="71" t="s">
        <v>86</v>
      </c>
      <c r="Q18" s="78" t="str">
        <f t="shared" si="0"/>
        <v>EDEC2024</v>
      </c>
      <c r="R18" s="71" t="s">
        <v>88</v>
      </c>
      <c r="S18" s="78" t="str">
        <f t="shared" si="0"/>
        <v>EDEC2026</v>
      </c>
      <c r="T18" s="71" t="s">
        <v>89</v>
      </c>
      <c r="U18" s="68" t="s">
        <v>92</v>
      </c>
      <c r="V18" s="71" t="s">
        <v>84</v>
      </c>
      <c r="W18" s="68" t="s">
        <v>85</v>
      </c>
      <c r="X18" s="71" t="s">
        <v>86</v>
      </c>
      <c r="Y18" s="68" t="s">
        <v>97</v>
      </c>
      <c r="Z18" s="71" t="s">
        <v>88</v>
      </c>
      <c r="AA18" s="68" t="s">
        <v>85</v>
      </c>
      <c r="AD18" s="6"/>
      <c r="AE18" s="7"/>
      <c r="AF18" s="9"/>
      <c r="AG18" s="7"/>
      <c r="AH18" s="7"/>
    </row>
    <row r="19" spans="1:34" x14ac:dyDescent="0.25">
      <c r="A19" s="6" t="s">
        <v>110</v>
      </c>
      <c r="B19" s="7" t="s">
        <v>25</v>
      </c>
      <c r="C19" s="7" t="s">
        <v>22</v>
      </c>
      <c r="D19" s="7" t="s">
        <v>23</v>
      </c>
      <c r="E19" s="7" t="s">
        <v>24</v>
      </c>
      <c r="F19"/>
      <c r="K19" s="23">
        <v>17</v>
      </c>
      <c r="L19" s="72" t="s">
        <v>89</v>
      </c>
      <c r="M19" s="67" t="s">
        <v>107</v>
      </c>
      <c r="N19" s="72" t="s">
        <v>84</v>
      </c>
      <c r="O19" s="67" t="s">
        <v>90</v>
      </c>
      <c r="P19" s="72" t="s">
        <v>86</v>
      </c>
      <c r="Q19" s="88" t="str">
        <f t="shared" si="0"/>
        <v>EDEC2028</v>
      </c>
      <c r="R19" s="72" t="s">
        <v>88</v>
      </c>
      <c r="S19" s="88" t="str">
        <f t="shared" si="0"/>
        <v>EDUC2008</v>
      </c>
      <c r="T19" s="72" t="s">
        <v>89</v>
      </c>
      <c r="U19" s="67" t="s">
        <v>108</v>
      </c>
      <c r="V19" s="72" t="s">
        <v>84</v>
      </c>
      <c r="W19" s="67" t="s">
        <v>94</v>
      </c>
      <c r="X19" s="72" t="s">
        <v>86</v>
      </c>
      <c r="Y19" s="67" t="s">
        <v>108</v>
      </c>
      <c r="Z19" s="72" t="s">
        <v>88</v>
      </c>
      <c r="AA19" s="67" t="s">
        <v>94</v>
      </c>
      <c r="AD19" s="6"/>
      <c r="AE19" s="7"/>
      <c r="AF19" s="8"/>
      <c r="AG19" s="7"/>
      <c r="AH19" s="24"/>
    </row>
    <row r="20" spans="1:34" x14ac:dyDescent="0.25">
      <c r="F20"/>
      <c r="I20"/>
      <c r="K20" s="23">
        <v>18</v>
      </c>
      <c r="L20" s="70" t="s">
        <v>111</v>
      </c>
      <c r="M20" s="69" t="s">
        <v>112</v>
      </c>
      <c r="N20" s="70" t="s">
        <v>113</v>
      </c>
      <c r="O20" s="69" t="s">
        <v>114</v>
      </c>
      <c r="P20" s="70" t="s">
        <v>115</v>
      </c>
      <c r="Q20" s="77" t="str">
        <f t="shared" si="0"/>
        <v>EDEC3023</v>
      </c>
      <c r="R20" s="70" t="s">
        <v>116</v>
      </c>
      <c r="S20" s="77" t="str">
        <f t="shared" si="0"/>
        <v>EDEC3025</v>
      </c>
      <c r="T20" s="70" t="s">
        <v>111</v>
      </c>
      <c r="U20" s="69" t="s">
        <v>117</v>
      </c>
      <c r="V20" s="70" t="s">
        <v>113</v>
      </c>
      <c r="W20" s="69" t="s">
        <v>118</v>
      </c>
      <c r="X20" s="70" t="s">
        <v>115</v>
      </c>
      <c r="Y20" s="69" t="s">
        <v>117</v>
      </c>
      <c r="Z20" s="70" t="s">
        <v>116</v>
      </c>
      <c r="AA20" s="69" t="s">
        <v>118</v>
      </c>
    </row>
    <row r="21" spans="1:34" x14ac:dyDescent="0.25">
      <c r="A21"/>
      <c r="B21"/>
      <c r="C21"/>
      <c r="D21"/>
      <c r="E21"/>
      <c r="F21"/>
      <c r="G21"/>
      <c r="H21"/>
      <c r="I21"/>
      <c r="K21" s="23">
        <v>19</v>
      </c>
      <c r="L21" s="72" t="s">
        <v>111</v>
      </c>
      <c r="M21" s="67" t="s">
        <v>119</v>
      </c>
      <c r="N21" s="72" t="s">
        <v>113</v>
      </c>
      <c r="O21" s="67" t="s">
        <v>120</v>
      </c>
      <c r="P21" s="72" t="s">
        <v>115</v>
      </c>
      <c r="Q21" s="88" t="str">
        <f t="shared" si="0"/>
        <v>INED3001</v>
      </c>
      <c r="R21" s="72" t="s">
        <v>116</v>
      </c>
      <c r="S21" s="88" t="str">
        <f t="shared" si="0"/>
        <v>EDEC3017</v>
      </c>
      <c r="T21" s="72" t="s">
        <v>111</v>
      </c>
      <c r="U21" s="67" t="s">
        <v>119</v>
      </c>
      <c r="V21" s="72" t="s">
        <v>113</v>
      </c>
      <c r="W21" s="67" t="s">
        <v>121</v>
      </c>
      <c r="X21" s="72" t="s">
        <v>115</v>
      </c>
      <c r="Y21" s="67" t="s">
        <v>119</v>
      </c>
      <c r="Z21" s="72" t="s">
        <v>116</v>
      </c>
      <c r="AA21" s="67" t="s">
        <v>121</v>
      </c>
    </row>
    <row r="22" spans="1:34" x14ac:dyDescent="0.25">
      <c r="A22" s="190" t="s">
        <v>122</v>
      </c>
      <c r="B22"/>
      <c r="C22"/>
      <c r="D22"/>
      <c r="E22"/>
      <c r="F22"/>
      <c r="G22"/>
      <c r="H22"/>
      <c r="I22"/>
      <c r="K22" s="23">
        <v>20</v>
      </c>
      <c r="L22" s="71" t="s">
        <v>113</v>
      </c>
      <c r="M22" s="68" t="s">
        <v>114</v>
      </c>
      <c r="N22" s="71" t="s">
        <v>115</v>
      </c>
      <c r="O22" s="68" t="s">
        <v>112</v>
      </c>
      <c r="P22" s="71" t="s">
        <v>116</v>
      </c>
      <c r="Q22" s="78" t="str">
        <f t="shared" si="0"/>
        <v>EDEC3025</v>
      </c>
      <c r="R22" s="71" t="s">
        <v>111</v>
      </c>
      <c r="S22" s="78" t="str">
        <f t="shared" si="0"/>
        <v>EDEC3023</v>
      </c>
      <c r="T22" s="71" t="s">
        <v>113</v>
      </c>
      <c r="U22" s="68" t="s">
        <v>118</v>
      </c>
      <c r="V22" s="71" t="s">
        <v>115</v>
      </c>
      <c r="W22" s="68" t="s">
        <v>117</v>
      </c>
      <c r="X22" s="71" t="s">
        <v>116</v>
      </c>
      <c r="Y22" s="68" t="s">
        <v>118</v>
      </c>
      <c r="Z22" s="71" t="s">
        <v>111</v>
      </c>
      <c r="AA22" s="68" t="s">
        <v>117</v>
      </c>
    </row>
    <row r="23" spans="1:34" x14ac:dyDescent="0.25">
      <c r="A23"/>
      <c r="B23"/>
      <c r="C23"/>
      <c r="D23"/>
      <c r="E23"/>
      <c r="F23"/>
      <c r="G23"/>
      <c r="H23"/>
      <c r="I23"/>
      <c r="K23" s="23">
        <v>21</v>
      </c>
      <c r="L23" s="71" t="s">
        <v>113</v>
      </c>
      <c r="M23" s="67" t="s">
        <v>120</v>
      </c>
      <c r="N23" s="71" t="s">
        <v>115</v>
      </c>
      <c r="O23" s="67" t="s">
        <v>123</v>
      </c>
      <c r="P23" s="71" t="s">
        <v>116</v>
      </c>
      <c r="Q23" s="88" t="str">
        <f t="shared" si="0"/>
        <v>EDEC3017</v>
      </c>
      <c r="R23" s="71" t="s">
        <v>111</v>
      </c>
      <c r="S23" s="88" t="str">
        <f t="shared" si="0"/>
        <v>EDEC3019</v>
      </c>
      <c r="T23" s="71" t="s">
        <v>113</v>
      </c>
      <c r="U23" s="67" t="s">
        <v>124</v>
      </c>
      <c r="V23" s="71" t="s">
        <v>115</v>
      </c>
      <c r="W23" s="67" t="s">
        <v>119</v>
      </c>
      <c r="X23" s="71" t="s">
        <v>116</v>
      </c>
      <c r="Y23" s="67" t="s">
        <v>124</v>
      </c>
      <c r="Z23" s="71" t="s">
        <v>111</v>
      </c>
      <c r="AA23" s="67" t="s">
        <v>119</v>
      </c>
    </row>
    <row r="24" spans="1:34" x14ac:dyDescent="0.25">
      <c r="A24"/>
      <c r="B24"/>
      <c r="C24"/>
      <c r="D24"/>
      <c r="E24"/>
      <c r="F24"/>
      <c r="G24"/>
      <c r="H24"/>
      <c r="I24"/>
      <c r="K24" s="23">
        <v>22</v>
      </c>
      <c r="L24" s="70" t="s">
        <v>115</v>
      </c>
      <c r="M24" s="69" t="s">
        <v>125</v>
      </c>
      <c r="N24" s="70" t="s">
        <v>116</v>
      </c>
      <c r="O24" s="69" t="s">
        <v>126</v>
      </c>
      <c r="P24" s="70" t="s">
        <v>111</v>
      </c>
      <c r="Q24" s="77" t="str">
        <f t="shared" si="0"/>
        <v>EDEC3021</v>
      </c>
      <c r="R24" s="70" t="s">
        <v>113</v>
      </c>
      <c r="S24" s="77" t="str">
        <f t="shared" si="0"/>
        <v>EDEC3006</v>
      </c>
      <c r="T24" s="70" t="s">
        <v>115</v>
      </c>
      <c r="U24" s="69" t="s">
        <v>127</v>
      </c>
      <c r="V24" s="70" t="s">
        <v>116</v>
      </c>
      <c r="W24" s="69" t="s">
        <v>128</v>
      </c>
      <c r="X24" s="70" t="s">
        <v>111</v>
      </c>
      <c r="Y24" s="69" t="s">
        <v>127</v>
      </c>
      <c r="Z24" s="70" t="s">
        <v>113</v>
      </c>
      <c r="AA24" s="69" t="s">
        <v>128</v>
      </c>
    </row>
    <row r="25" spans="1:34" x14ac:dyDescent="0.25">
      <c r="A25"/>
      <c r="B25"/>
      <c r="C25"/>
      <c r="D25"/>
      <c r="E25"/>
      <c r="F25"/>
      <c r="G25"/>
      <c r="H25"/>
      <c r="I25"/>
      <c r="K25" s="23">
        <v>23</v>
      </c>
      <c r="L25" s="72" t="s">
        <v>115</v>
      </c>
      <c r="M25" s="67" t="s">
        <v>123</v>
      </c>
      <c r="N25" s="72" t="s">
        <v>116</v>
      </c>
      <c r="O25" s="67" t="s">
        <v>108</v>
      </c>
      <c r="P25" s="72" t="s">
        <v>111</v>
      </c>
      <c r="Q25" s="88" t="str">
        <f t="shared" si="0"/>
        <v>EDEC3019</v>
      </c>
      <c r="R25" s="72" t="s">
        <v>113</v>
      </c>
      <c r="S25" s="88" t="str">
        <f t="shared" si="0"/>
        <v>SpecElec</v>
      </c>
      <c r="T25" s="72" t="s">
        <v>115</v>
      </c>
      <c r="U25" s="67" t="s">
        <v>108</v>
      </c>
      <c r="V25" s="72" t="s">
        <v>116</v>
      </c>
      <c r="W25" s="67" t="s">
        <v>124</v>
      </c>
      <c r="X25" s="72" t="s">
        <v>111</v>
      </c>
      <c r="Y25" s="67" t="s">
        <v>108</v>
      </c>
      <c r="Z25" s="72" t="s">
        <v>113</v>
      </c>
      <c r="AA25" s="67" t="s">
        <v>124</v>
      </c>
    </row>
    <row r="26" spans="1:34" x14ac:dyDescent="0.25">
      <c r="A26"/>
      <c r="B26"/>
      <c r="C26"/>
      <c r="D26"/>
      <c r="E26"/>
      <c r="F26"/>
      <c r="G26"/>
      <c r="H26"/>
      <c r="I26"/>
      <c r="K26" s="23">
        <v>24</v>
      </c>
      <c r="L26" s="71" t="s">
        <v>116</v>
      </c>
      <c r="M26" s="68" t="s">
        <v>126</v>
      </c>
      <c r="N26" s="71" t="s">
        <v>111</v>
      </c>
      <c r="O26" s="68" t="s">
        <v>119</v>
      </c>
      <c r="P26" s="71" t="s">
        <v>113</v>
      </c>
      <c r="Q26" s="78" t="str">
        <f t="shared" si="0"/>
        <v>EDEC3006</v>
      </c>
      <c r="R26" s="71" t="s">
        <v>115</v>
      </c>
      <c r="S26" s="78" t="str">
        <f t="shared" si="0"/>
        <v>INED3001</v>
      </c>
      <c r="T26" s="71" t="s">
        <v>116</v>
      </c>
      <c r="U26" s="68" t="s">
        <v>128</v>
      </c>
      <c r="V26" s="71" t="s">
        <v>111</v>
      </c>
      <c r="W26" s="68" t="s">
        <v>127</v>
      </c>
      <c r="X26" s="71" t="s">
        <v>113</v>
      </c>
      <c r="Y26" s="68" t="s">
        <v>128</v>
      </c>
      <c r="Z26" s="71" t="s">
        <v>115</v>
      </c>
      <c r="AA26" s="68" t="s">
        <v>127</v>
      </c>
    </row>
    <row r="27" spans="1:34" x14ac:dyDescent="0.25">
      <c r="A27"/>
      <c r="B27"/>
      <c r="C27"/>
      <c r="D27"/>
      <c r="E27"/>
      <c r="F27"/>
      <c r="G27"/>
      <c r="H27"/>
      <c r="K27" s="23">
        <v>25</v>
      </c>
      <c r="L27" s="72" t="s">
        <v>116</v>
      </c>
      <c r="M27" s="67" t="s">
        <v>108</v>
      </c>
      <c r="N27" s="72" t="s">
        <v>111</v>
      </c>
      <c r="O27" s="67" t="s">
        <v>125</v>
      </c>
      <c r="P27" s="72" t="s">
        <v>113</v>
      </c>
      <c r="Q27" s="88" t="str">
        <f t="shared" si="0"/>
        <v>SpecElec</v>
      </c>
      <c r="R27" s="72" t="s">
        <v>115</v>
      </c>
      <c r="S27" s="88" t="str">
        <f t="shared" si="0"/>
        <v>EDEC3021</v>
      </c>
      <c r="T27" s="72" t="s">
        <v>116</v>
      </c>
      <c r="U27" s="67" t="s">
        <v>121</v>
      </c>
      <c r="V27" s="72" t="s">
        <v>111</v>
      </c>
      <c r="W27" s="67" t="s">
        <v>108</v>
      </c>
      <c r="X27" s="72" t="s">
        <v>113</v>
      </c>
      <c r="Y27" s="67" t="s">
        <v>121</v>
      </c>
      <c r="Z27" s="72" t="s">
        <v>115</v>
      </c>
      <c r="AA27" s="67" t="s">
        <v>108</v>
      </c>
    </row>
    <row r="28" spans="1:34" x14ac:dyDescent="0.25">
      <c r="A28"/>
      <c r="B28"/>
      <c r="C28"/>
      <c r="D28"/>
      <c r="E28"/>
      <c r="F28"/>
      <c r="G28"/>
      <c r="H28"/>
      <c r="K28" s="23">
        <v>26</v>
      </c>
      <c r="L28" s="70" t="s">
        <v>129</v>
      </c>
      <c r="M28" s="73" t="s">
        <v>130</v>
      </c>
      <c r="N28" s="70" t="s">
        <v>131</v>
      </c>
      <c r="O28" s="69" t="s">
        <v>132</v>
      </c>
      <c r="P28" s="70" t="s">
        <v>133</v>
      </c>
      <c r="Q28" s="77" t="str">
        <f t="shared" si="0"/>
        <v>EDEC4007</v>
      </c>
      <c r="R28" s="70" t="s">
        <v>134</v>
      </c>
      <c r="S28" s="77" t="str">
        <f t="shared" si="0"/>
        <v>EDUC4050</v>
      </c>
      <c r="T28" s="70" t="s">
        <v>129</v>
      </c>
      <c r="U28" s="69" t="s">
        <v>135</v>
      </c>
      <c r="V28" s="70" t="s">
        <v>131</v>
      </c>
      <c r="W28" s="69" t="s">
        <v>132</v>
      </c>
      <c r="X28" s="70" t="s">
        <v>133</v>
      </c>
      <c r="Y28" s="69" t="s">
        <v>135</v>
      </c>
      <c r="Z28" s="70" t="s">
        <v>134</v>
      </c>
      <c r="AA28" s="69" t="s">
        <v>132</v>
      </c>
    </row>
    <row r="29" spans="1:34" x14ac:dyDescent="0.25">
      <c r="A29" s="18" t="s">
        <v>136</v>
      </c>
      <c r="B29" s="237">
        <v>45552</v>
      </c>
      <c r="D29"/>
      <c r="K29" s="23">
        <v>27</v>
      </c>
      <c r="L29" s="72" t="s">
        <v>129</v>
      </c>
      <c r="M29" s="67" t="s">
        <v>108</v>
      </c>
      <c r="N29" s="72" t="s">
        <v>131</v>
      </c>
      <c r="O29" s="67" t="s">
        <v>137</v>
      </c>
      <c r="P29" s="72" t="s">
        <v>133</v>
      </c>
      <c r="Q29" s="88" t="str">
        <f t="shared" si="0"/>
        <v>SpecElec</v>
      </c>
      <c r="R29" s="72" t="s">
        <v>134</v>
      </c>
      <c r="S29" s="88" t="str">
        <f t="shared" si="0"/>
        <v>EDEC4005</v>
      </c>
      <c r="T29" s="72" t="s">
        <v>129</v>
      </c>
      <c r="U29" s="67" t="s">
        <v>138</v>
      </c>
      <c r="V29" s="72" t="s">
        <v>131</v>
      </c>
      <c r="W29" s="67" t="s">
        <v>108</v>
      </c>
      <c r="X29" s="72" t="s">
        <v>133</v>
      </c>
      <c r="Y29" s="67" t="s">
        <v>138</v>
      </c>
      <c r="Z29" s="72" t="s">
        <v>134</v>
      </c>
      <c r="AA29" s="67" t="s">
        <v>108</v>
      </c>
    </row>
    <row r="30" spans="1:34" x14ac:dyDescent="0.25">
      <c r="A30" s="18" t="s">
        <v>139</v>
      </c>
      <c r="B30" s="237">
        <v>45552</v>
      </c>
      <c r="D30"/>
      <c r="K30" s="23">
        <v>28</v>
      </c>
      <c r="L30" s="71" t="s">
        <v>131</v>
      </c>
      <c r="M30" s="68" t="s">
        <v>132</v>
      </c>
      <c r="N30" s="71" t="s">
        <v>133</v>
      </c>
      <c r="O30" s="68" t="s">
        <v>130</v>
      </c>
      <c r="P30" s="71" t="s">
        <v>134</v>
      </c>
      <c r="Q30" s="78" t="str">
        <f t="shared" si="0"/>
        <v>EDUC4050</v>
      </c>
      <c r="R30" s="71" t="s">
        <v>129</v>
      </c>
      <c r="S30" s="78" t="str">
        <f t="shared" si="0"/>
        <v>EDEC4007</v>
      </c>
      <c r="T30" s="71" t="s">
        <v>131</v>
      </c>
      <c r="U30" s="68" t="s">
        <v>132</v>
      </c>
      <c r="V30" s="71" t="s">
        <v>133</v>
      </c>
      <c r="W30" s="68" t="s">
        <v>135</v>
      </c>
      <c r="X30" s="71" t="s">
        <v>134</v>
      </c>
      <c r="Y30" s="68" t="s">
        <v>132</v>
      </c>
      <c r="Z30" s="71" t="s">
        <v>129</v>
      </c>
      <c r="AA30" s="68" t="s">
        <v>135</v>
      </c>
    </row>
    <row r="31" spans="1:34" x14ac:dyDescent="0.25">
      <c r="A31" s="18" t="s">
        <v>140</v>
      </c>
      <c r="B31" s="237">
        <v>45552</v>
      </c>
      <c r="D31"/>
      <c r="K31" s="23">
        <v>29</v>
      </c>
      <c r="L31" s="71" t="s">
        <v>131</v>
      </c>
      <c r="M31" s="67" t="s">
        <v>137</v>
      </c>
      <c r="N31" s="71" t="s">
        <v>133</v>
      </c>
      <c r="O31" s="67" t="s">
        <v>108</v>
      </c>
      <c r="P31" s="71" t="s">
        <v>134</v>
      </c>
      <c r="Q31" s="88" t="str">
        <f t="shared" si="0"/>
        <v>EDEC4005</v>
      </c>
      <c r="R31" s="71" t="s">
        <v>129</v>
      </c>
      <c r="S31" s="88" t="str">
        <f t="shared" si="0"/>
        <v>SpecElec</v>
      </c>
      <c r="T31" s="71" t="s">
        <v>131</v>
      </c>
      <c r="U31" s="67" t="s">
        <v>108</v>
      </c>
      <c r="V31" s="71" t="s">
        <v>133</v>
      </c>
      <c r="W31" s="67" t="s">
        <v>138</v>
      </c>
      <c r="X31" s="71" t="s">
        <v>134</v>
      </c>
      <c r="Y31" s="67" t="s">
        <v>108</v>
      </c>
      <c r="Z31" s="71" t="s">
        <v>129</v>
      </c>
      <c r="AA31" s="67" t="s">
        <v>138</v>
      </c>
    </row>
    <row r="32" spans="1:34" x14ac:dyDescent="0.25">
      <c r="A32" s="18" t="s">
        <v>141</v>
      </c>
      <c r="B32" s="237">
        <v>45552</v>
      </c>
      <c r="D32"/>
      <c r="K32" s="23">
        <v>30</v>
      </c>
      <c r="L32" s="70" t="s">
        <v>133</v>
      </c>
      <c r="M32" s="69" t="s">
        <v>142</v>
      </c>
      <c r="N32" s="70" t="s">
        <v>134</v>
      </c>
      <c r="O32" s="69" t="s">
        <v>142</v>
      </c>
      <c r="P32" s="70" t="s">
        <v>129</v>
      </c>
      <c r="Q32" s="77" t="str">
        <f t="shared" si="0"/>
        <v>EDUC4041</v>
      </c>
      <c r="R32" s="70" t="s">
        <v>131</v>
      </c>
      <c r="S32" s="77" t="str">
        <f t="shared" si="0"/>
        <v>EDUC4041</v>
      </c>
      <c r="T32" s="70" t="s">
        <v>133</v>
      </c>
      <c r="U32" s="69" t="s">
        <v>142</v>
      </c>
      <c r="V32" s="70" t="s">
        <v>134</v>
      </c>
      <c r="W32" s="69" t="s">
        <v>142</v>
      </c>
      <c r="X32" s="70" t="s">
        <v>129</v>
      </c>
      <c r="Y32" s="69" t="s">
        <v>142</v>
      </c>
      <c r="Z32" s="70" t="s">
        <v>131</v>
      </c>
      <c r="AA32" s="69" t="s">
        <v>142</v>
      </c>
    </row>
    <row r="33" spans="1:27" x14ac:dyDescent="0.25">
      <c r="A33" s="18" t="s">
        <v>143</v>
      </c>
      <c r="B33" s="237">
        <v>45622</v>
      </c>
      <c r="D33"/>
      <c r="K33" s="23">
        <v>31</v>
      </c>
      <c r="L33" s="72" t="s">
        <v>133</v>
      </c>
      <c r="M33" s="67" t="s">
        <v>144</v>
      </c>
      <c r="N33" s="72" t="s">
        <v>134</v>
      </c>
      <c r="O33" s="67" t="s">
        <v>144</v>
      </c>
      <c r="P33" s="72" t="s">
        <v>129</v>
      </c>
      <c r="Q33" s="89" t="str">
        <f t="shared" si="0"/>
        <v>-</v>
      </c>
      <c r="R33" s="72" t="s">
        <v>131</v>
      </c>
      <c r="S33" s="89" t="str">
        <f t="shared" si="0"/>
        <v>-</v>
      </c>
      <c r="T33" s="72" t="s">
        <v>133</v>
      </c>
      <c r="U33" s="86" t="s">
        <v>144</v>
      </c>
      <c r="V33" s="72" t="s">
        <v>134</v>
      </c>
      <c r="W33" s="67" t="s">
        <v>144</v>
      </c>
      <c r="X33" s="72" t="s">
        <v>129</v>
      </c>
      <c r="Y33" s="86" t="s">
        <v>144</v>
      </c>
      <c r="Z33" s="72" t="s">
        <v>131</v>
      </c>
      <c r="AA33" s="67" t="s">
        <v>144</v>
      </c>
    </row>
    <row r="34" spans="1:27" ht="15.75" customHeight="1" x14ac:dyDescent="0.25">
      <c r="A34" s="18" t="s">
        <v>145</v>
      </c>
      <c r="B34" s="237">
        <v>45572</v>
      </c>
      <c r="D34"/>
      <c r="K34" s="23">
        <v>32</v>
      </c>
      <c r="L34" s="71" t="s">
        <v>134</v>
      </c>
      <c r="M34" s="68"/>
      <c r="N34" s="71" t="s">
        <v>129</v>
      </c>
      <c r="O34" s="68"/>
      <c r="P34" s="71" t="s">
        <v>131</v>
      </c>
      <c r="Q34" s="68"/>
      <c r="R34" s="71" t="s">
        <v>133</v>
      </c>
      <c r="S34" s="68"/>
      <c r="T34" s="71" t="s">
        <v>134</v>
      </c>
      <c r="U34" s="68"/>
      <c r="V34" s="71" t="s">
        <v>129</v>
      </c>
      <c r="W34" s="68"/>
      <c r="X34" s="71" t="s">
        <v>131</v>
      </c>
      <c r="Y34" s="68"/>
      <c r="Z34" s="71" t="s">
        <v>133</v>
      </c>
      <c r="AA34" s="68"/>
    </row>
    <row r="35" spans="1:27" x14ac:dyDescent="0.25">
      <c r="A35" s="18" t="s">
        <v>146</v>
      </c>
      <c r="B35" s="237">
        <v>45604</v>
      </c>
      <c r="C35" s="10" t="s">
        <v>147</v>
      </c>
      <c r="D35"/>
      <c r="K35" s="23">
        <v>33</v>
      </c>
      <c r="L35" s="72" t="s">
        <v>134</v>
      </c>
      <c r="M35" s="67"/>
      <c r="N35" s="72" t="s">
        <v>129</v>
      </c>
      <c r="O35" s="67"/>
      <c r="P35" s="72" t="s">
        <v>131</v>
      </c>
      <c r="Q35" s="67"/>
      <c r="R35" s="72" t="s">
        <v>133</v>
      </c>
      <c r="S35" s="67"/>
      <c r="T35" s="72" t="s">
        <v>134</v>
      </c>
      <c r="U35" s="67"/>
      <c r="V35" s="72" t="s">
        <v>129</v>
      </c>
      <c r="W35" s="67"/>
      <c r="X35" s="72" t="s">
        <v>131</v>
      </c>
      <c r="Y35" s="67"/>
      <c r="Z35" s="72" t="s">
        <v>133</v>
      </c>
      <c r="AA35" s="67"/>
    </row>
    <row r="36" spans="1:27" ht="15.75" customHeight="1" x14ac:dyDescent="0.25">
      <c r="A36" s="18" t="s">
        <v>148</v>
      </c>
      <c r="B36" s="237">
        <v>45604</v>
      </c>
      <c r="D36"/>
    </row>
    <row r="37" spans="1:27" ht="15.75" customHeight="1" thickBot="1" x14ac:dyDescent="0.3">
      <c r="A37" s="18" t="s">
        <v>149</v>
      </c>
      <c r="B37" s="237">
        <v>45604</v>
      </c>
      <c r="D37"/>
      <c r="M37" s="23"/>
      <c r="N37" s="4"/>
      <c r="O37" s="3"/>
    </row>
    <row r="38" spans="1:27" x14ac:dyDescent="0.25">
      <c r="D38"/>
      <c r="J38" s="52" t="s">
        <v>150</v>
      </c>
      <c r="K38" s="3">
        <v>1</v>
      </c>
      <c r="L38" s="55" t="s">
        <v>69</v>
      </c>
      <c r="M38" s="56" t="s">
        <v>75</v>
      </c>
      <c r="Q38" s="4"/>
      <c r="R38" s="3"/>
    </row>
    <row r="39" spans="1:27" x14ac:dyDescent="0.25">
      <c r="J39" s="51"/>
      <c r="K39" s="3">
        <v>2</v>
      </c>
      <c r="L39" s="57" t="s">
        <v>151</v>
      </c>
      <c r="M39" s="58" t="s">
        <v>151</v>
      </c>
      <c r="Q39" s="4"/>
      <c r="R39" s="3"/>
    </row>
    <row r="40" spans="1:27" x14ac:dyDescent="0.25">
      <c r="K40" s="3">
        <v>3</v>
      </c>
      <c r="L40" s="203" t="s">
        <v>152</v>
      </c>
      <c r="M40" s="204" t="s">
        <v>152</v>
      </c>
      <c r="Q40" s="4"/>
    </row>
    <row r="41" spans="1:27" x14ac:dyDescent="0.25">
      <c r="K41" s="3">
        <v>4</v>
      </c>
      <c r="L41" s="203" t="s">
        <v>153</v>
      </c>
      <c r="M41" s="204" t="s">
        <v>153</v>
      </c>
    </row>
    <row r="42" spans="1:27" x14ac:dyDescent="0.25">
      <c r="K42" s="3">
        <v>5</v>
      </c>
      <c r="L42" s="203" t="s">
        <v>154</v>
      </c>
      <c r="M42" s="204" t="s">
        <v>154</v>
      </c>
      <c r="Q42" s="4"/>
      <c r="R42" s="3"/>
    </row>
    <row r="43" spans="1:27" x14ac:dyDescent="0.25">
      <c r="K43" s="3">
        <v>6</v>
      </c>
      <c r="L43" s="57" t="s">
        <v>155</v>
      </c>
      <c r="M43" s="58" t="s">
        <v>155</v>
      </c>
      <c r="Q43" s="4"/>
      <c r="R43" s="3"/>
    </row>
    <row r="44" spans="1:27" x14ac:dyDescent="0.25">
      <c r="K44" s="3">
        <v>7</v>
      </c>
      <c r="L44" s="203" t="s">
        <v>156</v>
      </c>
      <c r="M44" s="204" t="s">
        <v>156</v>
      </c>
    </row>
    <row r="45" spans="1:27" x14ac:dyDescent="0.25">
      <c r="K45" s="3">
        <v>8</v>
      </c>
      <c r="L45" s="203" t="s">
        <v>157</v>
      </c>
      <c r="M45" s="204" t="s">
        <v>157</v>
      </c>
      <c r="P45" s="21"/>
    </row>
    <row r="46" spans="1:27" x14ac:dyDescent="0.25">
      <c r="K46" s="3">
        <v>9</v>
      </c>
      <c r="L46" s="203" t="s">
        <v>158</v>
      </c>
      <c r="M46" s="204" t="s">
        <v>158</v>
      </c>
    </row>
    <row r="47" spans="1:27" x14ac:dyDescent="0.25">
      <c r="K47" s="3">
        <v>10</v>
      </c>
      <c r="L47" s="57" t="s">
        <v>159</v>
      </c>
      <c r="M47" s="58" t="s">
        <v>159</v>
      </c>
    </row>
    <row r="48" spans="1:27" x14ac:dyDescent="0.25">
      <c r="K48" s="3">
        <v>11</v>
      </c>
      <c r="L48" s="203" t="s">
        <v>160</v>
      </c>
      <c r="M48" s="204" t="s">
        <v>160</v>
      </c>
    </row>
    <row r="49" spans="7:13" x14ac:dyDescent="0.25">
      <c r="K49" s="3">
        <v>12</v>
      </c>
      <c r="L49" s="203" t="s">
        <v>161</v>
      </c>
      <c r="M49" s="204" t="s">
        <v>161</v>
      </c>
    </row>
    <row r="50" spans="7:13" x14ac:dyDescent="0.25">
      <c r="I50"/>
      <c r="K50" s="3">
        <v>13</v>
      </c>
      <c r="L50" s="203" t="s">
        <v>162</v>
      </c>
      <c r="M50" s="204" t="s">
        <v>162</v>
      </c>
    </row>
    <row r="51" spans="7:13" x14ac:dyDescent="0.25">
      <c r="G51"/>
      <c r="H51"/>
      <c r="K51" s="3">
        <v>14</v>
      </c>
      <c r="L51" s="57" t="s">
        <v>163</v>
      </c>
      <c r="M51" s="58" t="s">
        <v>163</v>
      </c>
    </row>
    <row r="52" spans="7:13" x14ac:dyDescent="0.25">
      <c r="K52" s="3">
        <v>15</v>
      </c>
      <c r="L52" s="203" t="s">
        <v>164</v>
      </c>
      <c r="M52" s="204" t="s">
        <v>164</v>
      </c>
    </row>
    <row r="53" spans="7:13" x14ac:dyDescent="0.25">
      <c r="K53" s="3">
        <v>16</v>
      </c>
      <c r="L53" s="203" t="s">
        <v>165</v>
      </c>
      <c r="M53" s="204" t="s">
        <v>165</v>
      </c>
    </row>
    <row r="54" spans="7:13" x14ac:dyDescent="0.25">
      <c r="K54" s="3">
        <v>17</v>
      </c>
      <c r="L54" s="203" t="s">
        <v>166</v>
      </c>
      <c r="M54" s="204" t="s">
        <v>166</v>
      </c>
    </row>
    <row r="55" spans="7:13" x14ac:dyDescent="0.25">
      <c r="K55" s="3">
        <v>18</v>
      </c>
      <c r="L55" s="57" t="s">
        <v>167</v>
      </c>
      <c r="M55" s="58" t="s">
        <v>167</v>
      </c>
    </row>
    <row r="56" spans="7:13" x14ac:dyDescent="0.25">
      <c r="K56" s="3">
        <v>19</v>
      </c>
      <c r="L56" s="203" t="s">
        <v>168</v>
      </c>
      <c r="M56" s="204" t="s">
        <v>168</v>
      </c>
    </row>
    <row r="57" spans="7:13" x14ac:dyDescent="0.25">
      <c r="K57" s="3">
        <v>20</v>
      </c>
      <c r="L57" s="203" t="s">
        <v>169</v>
      </c>
      <c r="M57" s="204" t="s">
        <v>169</v>
      </c>
    </row>
    <row r="58" spans="7:13" x14ac:dyDescent="0.25">
      <c r="K58" s="3">
        <v>21</v>
      </c>
      <c r="L58" s="203" t="s">
        <v>170</v>
      </c>
      <c r="M58" s="204" t="s">
        <v>170</v>
      </c>
    </row>
    <row r="59" spans="7:13" x14ac:dyDescent="0.25">
      <c r="K59" s="3">
        <v>22</v>
      </c>
      <c r="L59" s="57"/>
      <c r="M59" s="206" t="s">
        <v>171</v>
      </c>
    </row>
    <row r="60" spans="7:13" x14ac:dyDescent="0.25">
      <c r="K60" s="3">
        <v>23</v>
      </c>
      <c r="L60" s="57"/>
      <c r="M60" s="206" t="s">
        <v>172</v>
      </c>
    </row>
    <row r="61" spans="7:13" x14ac:dyDescent="0.25">
      <c r="K61" s="3">
        <v>24</v>
      </c>
      <c r="L61" s="57"/>
      <c r="M61" s="206" t="s">
        <v>173</v>
      </c>
    </row>
    <row r="62" spans="7:13" x14ac:dyDescent="0.25">
      <c r="K62" s="3">
        <v>25</v>
      </c>
      <c r="L62" s="57"/>
      <c r="M62" s="206" t="s">
        <v>174</v>
      </c>
    </row>
    <row r="63" spans="7:13" ht="16.5" thickBot="1" x14ac:dyDescent="0.3">
      <c r="K63" s="3">
        <v>26</v>
      </c>
      <c r="L63" s="59"/>
      <c r="M63" s="60"/>
    </row>
    <row r="64" spans="7:13" x14ac:dyDescent="0.25">
      <c r="K64" s="3"/>
      <c r="L64" s="5"/>
      <c r="M64" s="5"/>
    </row>
    <row r="65" spans="1:11" x14ac:dyDescent="0.25">
      <c r="K65" s="3"/>
    </row>
    <row r="66" spans="1:11" x14ac:dyDescent="0.25">
      <c r="A66"/>
      <c r="B66"/>
      <c r="C66"/>
      <c r="D66"/>
      <c r="E66"/>
      <c r="F66"/>
      <c r="K66" s="3"/>
    </row>
    <row r="67" spans="1:11" x14ac:dyDescent="0.25">
      <c r="A67"/>
      <c r="B67"/>
      <c r="C67"/>
      <c r="D67"/>
      <c r="E67"/>
      <c r="F67"/>
      <c r="K67" s="3"/>
    </row>
    <row r="68" spans="1:11" x14ac:dyDescent="0.25">
      <c r="A68"/>
      <c r="B68"/>
      <c r="C68"/>
      <c r="D68"/>
      <c r="E68"/>
      <c r="F68"/>
      <c r="K68" s="3"/>
    </row>
    <row r="69" spans="1:11" x14ac:dyDescent="0.25">
      <c r="K69" s="3"/>
    </row>
    <row r="70" spans="1:11" x14ac:dyDescent="0.25">
      <c r="K70" s="3"/>
    </row>
    <row r="71" spans="1:11" x14ac:dyDescent="0.25">
      <c r="A71"/>
      <c r="K71" s="3"/>
    </row>
    <row r="72" spans="1:11" x14ac:dyDescent="0.25">
      <c r="K72" s="3"/>
    </row>
    <row r="73" spans="1:11" x14ac:dyDescent="0.25">
      <c r="K73" s="3"/>
    </row>
  </sheetData>
  <conditionalFormatting sqref="L4:AA35">
    <cfRule type="containsText" dxfId="30" priority="1" operator="containsText" text="INED">
      <formula>NOT(ISERROR(SEARCH("INED",L4)))</formula>
    </cfRule>
  </conditionalFormatting>
  <conditionalFormatting sqref="U4:U33 Y4:Y33">
    <cfRule type="expression" dxfId="29" priority="4">
      <formula>$Y4&lt;&gt;$U4</formula>
    </cfRule>
  </conditionalFormatting>
  <conditionalFormatting sqref="W4:W33 AA4:AA33">
    <cfRule type="expression" dxfId="28" priority="3">
      <formula>$W4&lt;&gt;$AA4</formula>
    </cfRule>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W84"/>
  <sheetViews>
    <sheetView showGridLines="0" topLeftCell="A11" zoomScaleNormal="100" workbookViewId="0">
      <selection activeCell="D6" sqref="D6"/>
    </sheetView>
  </sheetViews>
  <sheetFormatPr defaultColWidth="9" defaultRowHeight="15" x14ac:dyDescent="0.25"/>
  <cols>
    <col min="1" max="1" width="10.125" style="28" customWidth="1"/>
    <col min="2" max="2" width="3.125" style="28" bestFit="1" customWidth="1"/>
    <col min="3" max="3" width="8.25" style="28" customWidth="1"/>
    <col min="4" max="4" width="58.625" style="27" customWidth="1"/>
    <col min="5" max="5" width="7" style="27" customWidth="1"/>
    <col min="6" max="6" width="22.25" style="27" bestFit="1" customWidth="1"/>
    <col min="7" max="7" width="5.5" style="27" customWidth="1"/>
    <col min="8" max="8" width="3.25" style="27" customWidth="1"/>
    <col min="9" max="11" width="3.25" style="27" bestFit="1" customWidth="1"/>
    <col min="12" max="12" width="18.625" style="27" customWidth="1"/>
    <col min="13" max="13" width="2.37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60" t="s">
        <v>8</v>
      </c>
      <c r="B3" s="260"/>
      <c r="C3" s="260"/>
      <c r="D3" s="260"/>
      <c r="E3" s="108"/>
      <c r="F3" s="108"/>
      <c r="G3" s="108"/>
      <c r="H3" s="108"/>
      <c r="I3" s="108"/>
      <c r="J3" s="108"/>
      <c r="K3" s="108"/>
      <c r="L3" s="108"/>
    </row>
    <row r="4" spans="1:23" ht="26.25" x14ac:dyDescent="0.25">
      <c r="A4" s="179"/>
      <c r="B4" s="180"/>
      <c r="C4" s="180"/>
      <c r="D4" s="183" t="s">
        <v>9</v>
      </c>
      <c r="E4" s="181"/>
      <c r="F4" s="180"/>
      <c r="G4" s="182"/>
      <c r="H4" s="182"/>
      <c r="I4" s="182"/>
      <c r="J4" s="182"/>
      <c r="K4" s="182"/>
      <c r="L4" s="182"/>
    </row>
    <row r="5" spans="1:23" ht="20.100000000000001" customHeight="1" x14ac:dyDescent="0.25">
      <c r="B5" s="109"/>
      <c r="C5" s="110" t="s">
        <v>10</v>
      </c>
      <c r="D5" s="236" t="s">
        <v>77</v>
      </c>
      <c r="E5" s="112"/>
      <c r="F5" s="110" t="s">
        <v>12</v>
      </c>
      <c r="G5" s="112" t="str">
        <f>IFERROR(CONCATENATE(VLOOKUP(D5,TableCourses[],2,FALSE)," ",VLOOKUP(D5,TableCourses[],3,FALSE)),"")</f>
        <v>OB-EDSC1 v.4</v>
      </c>
      <c r="H5" s="112"/>
      <c r="I5" s="112"/>
      <c r="J5" s="112"/>
      <c r="K5" s="112"/>
      <c r="L5" s="257" t="str">
        <f>CONCATENATE(VLOOKUP(D5,TableCourses[],2,FALSE),VLOOKUP(D7,TableStudyPeriods[],2,FALSE))</f>
        <v>OB-EDSC1SP3</v>
      </c>
    </row>
    <row r="6" spans="1:23" ht="20.100000000000001" customHeight="1" x14ac:dyDescent="0.25">
      <c r="B6" s="109"/>
      <c r="C6" s="110" t="s">
        <v>175</v>
      </c>
      <c r="D6" s="234" t="s">
        <v>176</v>
      </c>
      <c r="E6" s="112"/>
      <c r="F6" s="110" t="s">
        <v>177</v>
      </c>
      <c r="G6" s="112" t="str">
        <f>IFERROR(CONCATENATE(VLOOKUP(D6,TableMajors[],2,FALSE)," ",VLOOKUP(D6,TableMajors[],3,FALSE)),"")</f>
        <v>OUMU-ENGL1 v.1</v>
      </c>
      <c r="H6" s="112"/>
      <c r="I6" s="112"/>
      <c r="J6" s="112"/>
      <c r="K6" s="113"/>
      <c r="L6" s="257" t="str">
        <f>CONCATENATE(VLOOKUP(D6,TableMajors[],2,FALSE),VLOOKUP(D7,TableStudyPeriods[],2,FALSE))</f>
        <v>OUMU-ENGL1SP3</v>
      </c>
    </row>
    <row r="7" spans="1:23" ht="20.100000000000001" customHeight="1" x14ac:dyDescent="0.25">
      <c r="A7" s="114"/>
      <c r="B7" s="115"/>
      <c r="C7" s="110" t="s">
        <v>13</v>
      </c>
      <c r="D7" s="165" t="s">
        <v>109</v>
      </c>
      <c r="E7" s="116"/>
      <c r="F7" s="110" t="s">
        <v>15</v>
      </c>
      <c r="G7" s="112" t="str">
        <f>IFERROR(VLOOKUP($D$5,#REF!,7,FALSE),"")</f>
        <v/>
      </c>
      <c r="H7" s="117"/>
      <c r="I7" s="117"/>
      <c r="J7" s="117"/>
      <c r="K7" s="117"/>
      <c r="L7" s="185"/>
      <c r="W7" s="29"/>
    </row>
    <row r="8" spans="1:23" s="31" customFormat="1" ht="10.5" x14ac:dyDescent="0.25">
      <c r="A8" s="118"/>
      <c r="B8" s="118"/>
      <c r="C8" s="118"/>
      <c r="D8" s="119"/>
      <c r="E8" s="120"/>
      <c r="F8" s="118"/>
      <c r="G8" s="118"/>
      <c r="H8" s="121" t="s">
        <v>16</v>
      </c>
      <c r="I8" s="122"/>
      <c r="J8" s="122"/>
      <c r="K8" s="123"/>
      <c r="L8" s="120"/>
      <c r="M8" s="124"/>
      <c r="N8" s="124"/>
      <c r="O8" s="124"/>
      <c r="W8" s="30"/>
    </row>
    <row r="9" spans="1:23" s="31" customFormat="1" ht="21" x14ac:dyDescent="0.25">
      <c r="A9" s="118" t="s">
        <v>17</v>
      </c>
      <c r="B9" s="118"/>
      <c r="C9" s="125" t="s">
        <v>18</v>
      </c>
      <c r="D9" s="119" t="s">
        <v>3</v>
      </c>
      <c r="E9" s="125" t="s">
        <v>19</v>
      </c>
      <c r="F9" s="118" t="s">
        <v>20</v>
      </c>
      <c r="G9" s="118" t="s">
        <v>21</v>
      </c>
      <c r="H9" s="217" t="s">
        <v>22</v>
      </c>
      <c r="I9" s="218" t="s">
        <v>23</v>
      </c>
      <c r="J9" s="218" t="s">
        <v>24</v>
      </c>
      <c r="K9" s="219" t="s">
        <v>25</v>
      </c>
      <c r="L9" s="118" t="s">
        <v>26</v>
      </c>
      <c r="M9" s="124"/>
      <c r="N9" s="124"/>
      <c r="O9" s="124"/>
      <c r="W9" s="30"/>
    </row>
    <row r="10" spans="1:23" s="33" customFormat="1" ht="20.100000000000001" customHeight="1" x14ac:dyDescent="0.15">
      <c r="A10" s="126" t="str">
        <f>IFERROR(IF(HLOOKUP($L$6,RangeUnitSetsSec,M10,FALSE)=0,"",HLOOKUP($L$6,RangeUnitSetsSec,M10,FALSE)),"")</f>
        <v>EDUC1022</v>
      </c>
      <c r="B10" s="127">
        <f>IFERROR(IF(VLOOKUP($A10,TableHandbook[],B$2,FALSE)=0,"",VLOOKUP($A10,TableHandbook[],B$2,FALSE)),"")</f>
        <v>1</v>
      </c>
      <c r="C10" s="127" t="str">
        <f>IFERROR(IF(VLOOKUP($A10,TableHandbook[],C$2,FALSE)=0,"",VLOOKUP($A10,TableHandbook[],C$2,FALSE)),"")</f>
        <v>EDC135</v>
      </c>
      <c r="D10" s="128" t="str">
        <f>IFERROR(IF(VLOOKUP($A10,TableHandbook[],D$2,FALSE)=0,"",VLOOKUP($A10,TableHandbook[],D$2,FALSE)),"")</f>
        <v>Child Development for Educators</v>
      </c>
      <c r="E10" s="127" t="str">
        <f>IF(OR(A10="",A10="--"),"",VLOOKUP($D$7,TableStudyPeriods[],2,FALSE))</f>
        <v>SP3</v>
      </c>
      <c r="F10" s="129" t="str">
        <f>IFERROR(IF(VLOOKUP($A10,TableHandbook[],F$2,FALSE)=0,"",VLOOKUP($A10,TableHandbook[],F$2,FALSE)),"")</f>
        <v>Nil</v>
      </c>
      <c r="G10" s="127">
        <f>IFERROR(IF(VLOOKUP($A10,TableHandbook[],G$2,FALSE)=0,"",VLOOKUP($A10,TableHandbook[],G$2,FALSE)),"")</f>
        <v>25</v>
      </c>
      <c r="H10" s="220" t="str">
        <f>IFERROR(VLOOKUP($A10,TableHandbook[],H$2,FALSE),"")</f>
        <v>Y</v>
      </c>
      <c r="I10" s="221" t="str">
        <f>IFERROR(VLOOKUP($A10,TableHandbook[],I$2,FALSE),"")</f>
        <v/>
      </c>
      <c r="J10" s="221" t="str">
        <f>IFERROR(VLOOKUP($A10,TableHandbook[],J$2,FALSE),"")</f>
        <v>Y</v>
      </c>
      <c r="K10" s="222" t="str">
        <f>IFERROR(VLOOKUP($A10,TableHandbook[],K$2,FALSE),"")</f>
        <v/>
      </c>
      <c r="L10" s="45"/>
      <c r="M10" s="130">
        <v>2</v>
      </c>
      <c r="N10" s="131"/>
      <c r="O10" s="131"/>
      <c r="W10" s="32"/>
    </row>
    <row r="11" spans="1:23" s="33" customFormat="1" ht="20.100000000000001" customHeight="1" x14ac:dyDescent="0.15">
      <c r="A11" s="126" t="str">
        <f>IFERROR(IF(HLOOKUP($L$6,RangeUnitSetsSec,M11,FALSE)=0,"",HLOOKUP($L$6,RangeUnitSetsSec,M11,FALSE)),"")</f>
        <v>EDUC1020</v>
      </c>
      <c r="B11" s="127">
        <f>IFERROR(IF(VLOOKUP($A11,TableHandbook[],B$2,FALSE)=0,"",VLOOKUP($A11,TableHandbook[],B$2,FALSE)),"")</f>
        <v>1</v>
      </c>
      <c r="C11" s="127" t="str">
        <f>IFERROR(IF(VLOOKUP($A11,TableHandbook[],C$2,FALSE)=0,"",VLOOKUP($A11,TableHandbook[],C$2,FALSE)),"")</f>
        <v>EDC105</v>
      </c>
      <c r="D11" s="128" t="str">
        <f>IFERROR(IF(VLOOKUP($A11,TableHandbook[],D$2,FALSE)=0,"",VLOOKUP($A11,TableHandbook[],D$2,FALSE)),"")</f>
        <v>Teaching and Learning in the Digital World</v>
      </c>
      <c r="E11" s="127" t="str">
        <f>IF(OR(A11="",A11="-"),"",E10)</f>
        <v>SP3</v>
      </c>
      <c r="F11" s="129" t="str">
        <f>IFERROR(IF(VLOOKUP($A11,TableHandbook[],F$2,FALSE)=0,"",VLOOKUP($A11,TableHandbook[],F$2,FALSE)),"")</f>
        <v>Nil</v>
      </c>
      <c r="G11" s="127">
        <f>IFERROR(IF(VLOOKUP($A11,TableHandbook[],G$2,FALSE)=0,"",VLOOKUP($A11,TableHandbook[],G$2,FALSE)),"")</f>
        <v>25</v>
      </c>
      <c r="H11" s="220" t="str">
        <f>IFERROR(VLOOKUP($A11,TableHandbook[],H$2,FALSE),"")</f>
        <v>Y</v>
      </c>
      <c r="I11" s="221" t="str">
        <f>IFERROR(VLOOKUP($A11,TableHandbook[],I$2,FALSE),"")</f>
        <v/>
      </c>
      <c r="J11" s="221" t="str">
        <f>IFERROR(VLOOKUP($A11,TableHandbook[],J$2,FALSE),"")</f>
        <v>Y</v>
      </c>
      <c r="K11" s="222" t="str">
        <f>IFERROR(VLOOKUP($A11,TableHandbook[],K$2,FALSE),"")</f>
        <v/>
      </c>
      <c r="L11" s="45"/>
      <c r="M11" s="130">
        <v>3</v>
      </c>
      <c r="N11" s="131"/>
      <c r="O11" s="131"/>
      <c r="W11" s="32"/>
    </row>
    <row r="12" spans="1:23" s="33" customFormat="1" ht="5.0999999999999996" customHeight="1" x14ac:dyDescent="0.15">
      <c r="A12" s="186"/>
      <c r="B12" s="187"/>
      <c r="C12" s="187"/>
      <c r="D12" s="193"/>
      <c r="E12" s="187"/>
      <c r="F12" s="188"/>
      <c r="G12" s="187"/>
      <c r="H12" s="223"/>
      <c r="I12" s="224"/>
      <c r="J12" s="224"/>
      <c r="K12" s="225"/>
      <c r="L12" s="189"/>
      <c r="M12" s="130"/>
      <c r="N12" s="131"/>
      <c r="O12" s="131"/>
      <c r="P12" s="131"/>
      <c r="W12" s="32"/>
    </row>
    <row r="13" spans="1:23" s="33" customFormat="1" ht="20.100000000000001" customHeight="1" x14ac:dyDescent="0.15">
      <c r="A13" s="126" t="str">
        <f>IFERROR(IF(HLOOKUP($L$6,RangeUnitSetsSec,M13,FALSE)=0,"",HLOOKUP($L$6,RangeUnitSetsSec,M13,FALSE)),"")</f>
        <v>EDUC1038</v>
      </c>
      <c r="B13" s="127">
        <f>IFERROR(IF(VLOOKUP($A13,TableHandbook[],B$2,FALSE)=0,"",VLOOKUP($A13,TableHandbook[],B$2,FALSE)),"")</f>
        <v>1</v>
      </c>
      <c r="C13" s="127" t="str">
        <f>IFERROR(IF(VLOOKUP($A13,TableHandbook[],C$2,FALSE)=0,"",VLOOKUP($A13,TableHandbook[],C$2,FALSE)),"")</f>
        <v>EDC181</v>
      </c>
      <c r="D13" s="128" t="str">
        <f>IFERROR(IF(VLOOKUP($A13,TableHandbook[],D$2,FALSE)=0,"",VLOOKUP($A13,TableHandbook[],D$2,FALSE)),"")</f>
        <v>Communication Skills for Educators</v>
      </c>
      <c r="E13" s="127" t="str">
        <f>IF(OR(A13="",A13="--"),"",VLOOKUP($D$7,TableStudyPeriods[],3,FALSE))</f>
        <v>SP4</v>
      </c>
      <c r="F13" s="129" t="str">
        <f>IFERROR(IF(VLOOKUP($A13,TableHandbook[],F$2,FALSE)=0,"",VLOOKUP($A13,TableHandbook[],F$2,FALSE)),"")</f>
        <v>Nil</v>
      </c>
      <c r="G13" s="127">
        <f>IFERROR(IF(VLOOKUP($A13,TableHandbook[],G$2,FALSE)=0,"",VLOOKUP($A13,TableHandbook[],G$2,FALSE)),"")</f>
        <v>25</v>
      </c>
      <c r="H13" s="220" t="str">
        <f>IFERROR(VLOOKUP($A13,TableHandbook[],H$2,FALSE),"")</f>
        <v/>
      </c>
      <c r="I13" s="221" t="str">
        <f>IFERROR(VLOOKUP($A13,TableHandbook[],I$2,FALSE),"")</f>
        <v>Y</v>
      </c>
      <c r="J13" s="221" t="str">
        <f>IFERROR(VLOOKUP($A13,TableHandbook[],J$2,FALSE),"")</f>
        <v/>
      </c>
      <c r="K13" s="222" t="str">
        <f>IFERROR(VLOOKUP($A13,TableHandbook[],K$2,FALSE),"")</f>
        <v>Y</v>
      </c>
      <c r="L13" s="46"/>
      <c r="M13" s="130">
        <v>4</v>
      </c>
      <c r="N13" s="131"/>
      <c r="O13" s="131"/>
      <c r="W13" s="32"/>
    </row>
    <row r="14" spans="1:23" s="33" customFormat="1" ht="20.100000000000001" customHeight="1" x14ac:dyDescent="0.15">
      <c r="A14" s="126" t="str">
        <f>IFERROR(IF(HLOOKUP($L$6,RangeUnitSetsSec,M14,FALSE)=0,"",HLOOKUP($L$6,RangeUnitSetsSec,M14,FALSE)),"")</f>
        <v>EDUC1037</v>
      </c>
      <c r="B14" s="127">
        <f>IFERROR(IF(VLOOKUP($A14,TableHandbook[],B$2,FALSE)=0,"",VLOOKUP($A14,TableHandbook[],B$2,FALSE)),"")</f>
        <v>1</v>
      </c>
      <c r="C14" s="127" t="str">
        <f>IFERROR(IF(VLOOKUP($A14,TableHandbook[],C$2,FALSE)=0,"",VLOOKUP($A14,TableHandbook[],C$2,FALSE)),"")</f>
        <v>EDC190</v>
      </c>
      <c r="D14" s="128" t="str">
        <f>IFERROR(IF(VLOOKUP($A14,TableHandbook[],D$2,FALSE)=0,"",VLOOKUP($A14,TableHandbook[],D$2,FALSE)),"")</f>
        <v>Professional Teaching Practice 1</v>
      </c>
      <c r="E14" s="127" t="str">
        <f>IF(OR(A14="",A14="-"),"",E13)</f>
        <v>SP4</v>
      </c>
      <c r="F14" s="129" t="str">
        <f>IFERROR(IF(VLOOKUP($A14,TableHandbook[],F$2,FALSE)=0,"",VLOOKUP($A14,TableHandbook[],F$2,FALSE)),"")</f>
        <v>Nil</v>
      </c>
      <c r="G14" s="127">
        <f>IFERROR(IF(VLOOKUP($A14,TableHandbook[],G$2,FALSE)=0,"",VLOOKUP($A14,TableHandbook[],G$2,FALSE)),"")</f>
        <v>25</v>
      </c>
      <c r="H14" s="220" t="str">
        <f>IFERROR(VLOOKUP($A14,TableHandbook[],H$2,FALSE),"")</f>
        <v/>
      </c>
      <c r="I14" s="221" t="str">
        <f>IFERROR(VLOOKUP($A14,TableHandbook[],I$2,FALSE),"")</f>
        <v>Y</v>
      </c>
      <c r="J14" s="221" t="str">
        <f>IFERROR(VLOOKUP($A14,TableHandbook[],J$2,FALSE),"")</f>
        <v/>
      </c>
      <c r="K14" s="222" t="str">
        <f>IFERROR(VLOOKUP($A14,TableHandbook[],K$2,FALSE),"")</f>
        <v>Y</v>
      </c>
      <c r="L14" s="45"/>
      <c r="M14" s="130">
        <v>5</v>
      </c>
      <c r="N14" s="131"/>
      <c r="O14" s="131"/>
      <c r="W14" s="32"/>
    </row>
    <row r="15" spans="1:23" s="33" customFormat="1" ht="5.0999999999999996" customHeight="1" x14ac:dyDescent="0.15">
      <c r="A15" s="186"/>
      <c r="B15" s="187"/>
      <c r="C15" s="187"/>
      <c r="D15" s="193"/>
      <c r="E15" s="187"/>
      <c r="F15" s="188"/>
      <c r="G15" s="187"/>
      <c r="H15" s="223"/>
      <c r="I15" s="224"/>
      <c r="J15" s="224"/>
      <c r="K15" s="225"/>
      <c r="L15" s="189"/>
      <c r="M15" s="130"/>
      <c r="N15" s="131"/>
      <c r="O15" s="131"/>
      <c r="P15" s="131"/>
      <c r="W15" s="32"/>
    </row>
    <row r="16" spans="1:23" s="33" customFormat="1" ht="20.100000000000001" customHeight="1" x14ac:dyDescent="0.15">
      <c r="A16" s="126" t="str">
        <f>IFERROR(IF(HLOOKUP($L$6,RangeUnitSetsSec,M16,FALSE)=0,"",HLOOKUP($L$6,RangeUnitSetsSec,M16,FALSE)),"")</f>
        <v>EDUC1036</v>
      </c>
      <c r="B16" s="132">
        <f>IFERROR(IF(VLOOKUP($A16,TableHandbook[],B$2,FALSE)=0,"",VLOOKUP($A16,TableHandbook[],B$2,FALSE)),"")</f>
        <v>1</v>
      </c>
      <c r="C16" s="132" t="str">
        <f>IFERROR(IF(VLOOKUP($A16,TableHandbook[],C$2,FALSE)=0,"",VLOOKUP($A16,TableHandbook[],C$2,FALSE)),"")</f>
        <v>EDC185</v>
      </c>
      <c r="D16" s="128" t="str">
        <f>IFERROR(IF(VLOOKUP($A16,TableHandbook[],D$2,FALSE)=0,"",VLOOKUP($A16,TableHandbook[],D$2,FALSE)),"")</f>
        <v>Professional Experience 1 (details coming)</v>
      </c>
      <c r="E16" s="127" t="str">
        <f>IF(OR(A16="",A16="--"),"",VLOOKUP($D$7,TableStudyPeriods[],4,FALSE))</f>
        <v>SP1</v>
      </c>
      <c r="F16" s="129" t="str">
        <f>IFERROR(IF(VLOOKUP($A16,TableHandbook[],F$2,FALSE)=0,"",VLOOKUP($A16,TableHandbook[],F$2,FALSE)),"")</f>
        <v>EDC190</v>
      </c>
      <c r="G16" s="132">
        <f>IFERROR(IF(VLOOKUP($A16,TableHandbook[],G$2,FALSE)=0,"",VLOOKUP($A16,TableHandbook[],G$2,FALSE)),"")</f>
        <v>25</v>
      </c>
      <c r="H16" s="226" t="str">
        <f>IFERROR(VLOOKUP($A16,TableHandbook[],H$2,FALSE),"")</f>
        <v/>
      </c>
      <c r="I16" s="227" t="str">
        <f>IFERROR(VLOOKUP($A16,TableHandbook[],I$2,FALSE),"")</f>
        <v/>
      </c>
      <c r="J16" s="227" t="str">
        <f>IFERROR(VLOOKUP($A16,TableHandbook[],J$2,FALSE),"")</f>
        <v>Y</v>
      </c>
      <c r="K16" s="228" t="str">
        <f>IFERROR(VLOOKUP($A16,TableHandbook[],K$2,FALSE),"")</f>
        <v/>
      </c>
      <c r="L16" s="46"/>
      <c r="M16" s="130">
        <v>6</v>
      </c>
      <c r="N16" s="131"/>
      <c r="O16" s="131"/>
      <c r="W16" s="32"/>
    </row>
    <row r="17" spans="1:23" s="35" customFormat="1" ht="20.100000000000001" customHeight="1" x14ac:dyDescent="0.15">
      <c r="A17" s="138" t="str">
        <f>IFERROR(IF(HLOOKUP($L$6,RangeUnitSetsSec,M17,FALSE)=0,"",HLOOKUP($L$6,RangeUnitSetsSec,M17,FALSE)),"")</f>
        <v>CWRI1004</v>
      </c>
      <c r="B17" s="132">
        <f>IFERROR(IF(VLOOKUP($A17,TableHandbook[],B$2,FALSE)=0,"",VLOOKUP($A17,TableHandbook[],B$2,FALSE)),"")</f>
        <v>4</v>
      </c>
      <c r="C17" s="132" t="str">
        <f>IFERROR(IF(VLOOKUP($A17,TableHandbook[],C$2,FALSE)=0,"",VLOOKUP($A17,TableHandbook[],C$2,FALSE)),"")</f>
        <v>MCA110</v>
      </c>
      <c r="D17" s="137" t="str">
        <f>IFERROR(IF(VLOOKUP($A17,TableHandbook[],D$2,FALSE)=0,"",VLOOKUP($A17,TableHandbook[],D$2,FALSE)),"")</f>
        <v>Engaging Narrative</v>
      </c>
      <c r="E17" s="132" t="str">
        <f>IF(OR(A17="",A17="-"),"",E16)</f>
        <v>SP1</v>
      </c>
      <c r="F17" s="140" t="str">
        <f>IFERROR(IF(VLOOKUP($A17,TableHandbook[],F$2,FALSE)=0,"",VLOOKUP($A17,TableHandbook[],F$2,FALSE)),"")</f>
        <v>Nil</v>
      </c>
      <c r="G17" s="132">
        <f>IFERROR(IF(VLOOKUP($A17,TableHandbook[],G$2,FALSE)=0,"",VLOOKUP($A17,TableHandbook[],G$2,FALSE)),"")</f>
        <v>25</v>
      </c>
      <c r="H17" s="226" t="str">
        <f>IFERROR(VLOOKUP($A17,TableHandbook[],H$2,FALSE),"")</f>
        <v>Y</v>
      </c>
      <c r="I17" s="227" t="str">
        <f>IFERROR(VLOOKUP($A17,TableHandbook[],I$2,FALSE),"")</f>
        <v/>
      </c>
      <c r="J17" s="227" t="str">
        <f>IFERROR(VLOOKUP($A17,TableHandbook[],J$2,FALSE),"")</f>
        <v>Y</v>
      </c>
      <c r="K17" s="228" t="str">
        <f>IFERROR(VLOOKUP($A17,TableHandbook[],K$2,FALSE),"")</f>
        <v/>
      </c>
      <c r="L17" s="46"/>
      <c r="M17" s="133">
        <v>7</v>
      </c>
      <c r="N17" s="134"/>
      <c r="O17" s="134"/>
      <c r="W17" s="34"/>
    </row>
    <row r="18" spans="1:23" s="33" customFormat="1" ht="5.0999999999999996" customHeight="1" x14ac:dyDescent="0.15">
      <c r="A18" s="186"/>
      <c r="B18" s="187"/>
      <c r="C18" s="187"/>
      <c r="D18" s="193"/>
      <c r="E18" s="187"/>
      <c r="F18" s="188"/>
      <c r="G18" s="187"/>
      <c r="H18" s="223"/>
      <c r="I18" s="224"/>
      <c r="J18" s="224"/>
      <c r="K18" s="225"/>
      <c r="L18" s="189"/>
      <c r="M18" s="130"/>
      <c r="N18" s="131"/>
      <c r="O18" s="131"/>
      <c r="P18" s="131"/>
      <c r="W18" s="32"/>
    </row>
    <row r="19" spans="1:23" s="35" customFormat="1" ht="20.100000000000001" customHeight="1" x14ac:dyDescent="0.15">
      <c r="A19" s="138" t="str">
        <f>IFERROR(IF(HLOOKUP($L$6,RangeUnitSetsSec,M19,FALSE)=0,"",HLOOKUP($L$6,RangeUnitSetsSec,M19,FALSE)),"")</f>
        <v>LCST1005</v>
      </c>
      <c r="B19" s="132">
        <f>IFERROR(IF(VLOOKUP($A19,TableHandbook[],B$2,FALSE)=0,"",VLOOKUP($A19,TableHandbook[],B$2,FALSE)),"")</f>
        <v>1</v>
      </c>
      <c r="C19" s="132" t="str">
        <f>IFERROR(IF(VLOOKUP($A19,TableHandbook[],C$2,FALSE)=0,"",VLOOKUP($A19,TableHandbook[],C$2,FALSE)),"")</f>
        <v>ENG100</v>
      </c>
      <c r="D19" s="137" t="str">
        <f>IFERROR(IF(VLOOKUP($A19,TableHandbook[],D$2,FALSE)=0,"",VLOOKUP($A19,TableHandbook[],D$2,FALSE)),"")</f>
        <v>Introduction to Cultural Studies</v>
      </c>
      <c r="E19" s="132" t="str">
        <f>IF(OR(A19="",A19="--"),"",VLOOKUP($D$7,TableStudyPeriods[],5,FALSE))</f>
        <v>SP2</v>
      </c>
      <c r="F19" s="140" t="str">
        <f>IFERROR(IF(VLOOKUP($A19,TableHandbook[],F$2,FALSE)=0,"",VLOOKUP($A19,TableHandbook[],F$2,FALSE)),"")</f>
        <v>Nil</v>
      </c>
      <c r="G19" s="132">
        <f>IFERROR(IF(VLOOKUP($A19,TableHandbook[],G$2,FALSE)=0,"",VLOOKUP($A19,TableHandbook[],G$2,FALSE)),"")</f>
        <v>25</v>
      </c>
      <c r="H19" s="226" t="str">
        <f>IFERROR(VLOOKUP($A19,TableHandbook[],H$2,FALSE),"")</f>
        <v/>
      </c>
      <c r="I19" s="227" t="str">
        <f>IFERROR(VLOOKUP($A19,TableHandbook[],I$2,FALSE),"")</f>
        <v>Y</v>
      </c>
      <c r="J19" s="227" t="str">
        <f>IFERROR(VLOOKUP($A19,TableHandbook[],J$2,FALSE),"")</f>
        <v/>
      </c>
      <c r="K19" s="228" t="str">
        <f>IFERROR(VLOOKUP($A19,TableHandbook[],K$2,FALSE),"")</f>
        <v>Y</v>
      </c>
      <c r="L19" s="46"/>
      <c r="M19" s="133">
        <v>8</v>
      </c>
      <c r="N19" s="134"/>
      <c r="O19" s="134"/>
      <c r="W19" s="34"/>
    </row>
    <row r="20" spans="1:23" s="35" customFormat="1" ht="20.100000000000001" customHeight="1" x14ac:dyDescent="0.15">
      <c r="A20" s="138" t="str">
        <f>IFERROR(IF(HLOOKUP($L$6,RangeUnitSetsSec,M20,FALSE)=0,"",HLOOKUP($L$6,RangeUnitSetsSec,M20,FALSE)),"")</f>
        <v>EDSC4031</v>
      </c>
      <c r="B20" s="132">
        <f>IFERROR(IF(VLOOKUP($A20,TableHandbook[],B$2,FALSE)=0,"",VLOOKUP($A20,TableHandbook[],B$2,FALSE)),"")</f>
        <v>1</v>
      </c>
      <c r="C20" s="132" t="str">
        <f>IFERROR(IF(VLOOKUP($A20,TableHandbook[],C$2,FALSE)=0,"",VLOOKUP($A20,TableHandbook[],C$2,FALSE)),"")</f>
        <v>EDS133</v>
      </c>
      <c r="D20" s="139" t="str">
        <f>IFERROR(IF(VLOOKUP($A20,TableHandbook[],D$2,FALSE)=0,"",VLOOKUP($A20,TableHandbook[],D$2,FALSE)),"")</f>
        <v>Curriculum and Instruction Lower Secondary: English</v>
      </c>
      <c r="E20" s="132" t="str">
        <f>IF(OR(A20="",A20="-"),"",E19)</f>
        <v>SP2</v>
      </c>
      <c r="F20" s="140" t="str">
        <f>IFERROR(IF(VLOOKUP($A20,TableHandbook[],F$2,FALSE)=0,"",VLOOKUP($A20,TableHandbook[],F$2,FALSE)),"")</f>
        <v>Nil</v>
      </c>
      <c r="G20" s="132">
        <f>IFERROR(IF(VLOOKUP($A20,TableHandbook[],G$2,FALSE)=0,"",VLOOKUP($A20,TableHandbook[],G$2,FALSE)),"")</f>
        <v>25</v>
      </c>
      <c r="H20" s="226" t="str">
        <f>IFERROR(VLOOKUP($A20,TableHandbook[],H$2,FALSE),"")</f>
        <v/>
      </c>
      <c r="I20" s="227" t="str">
        <f>IFERROR(VLOOKUP($A20,TableHandbook[],I$2,FALSE),"")</f>
        <v>Y</v>
      </c>
      <c r="J20" s="227" t="str">
        <f>IFERROR(VLOOKUP($A20,TableHandbook[],J$2,FALSE),"")</f>
        <v/>
      </c>
      <c r="K20" s="228" t="str">
        <f>IFERROR(VLOOKUP($A20,TableHandbook[],K$2,FALSE),"")</f>
        <v>Y</v>
      </c>
      <c r="L20" s="46"/>
      <c r="M20" s="133">
        <v>9</v>
      </c>
      <c r="N20" s="134"/>
      <c r="O20" s="134"/>
      <c r="W20" s="34"/>
    </row>
    <row r="21" spans="1:23" s="31" customFormat="1" ht="21" x14ac:dyDescent="0.25">
      <c r="A21" s="118" t="s">
        <v>27</v>
      </c>
      <c r="B21" s="118"/>
      <c r="C21" s="125" t="s">
        <v>18</v>
      </c>
      <c r="D21" s="135" t="s">
        <v>3</v>
      </c>
      <c r="E21" s="125" t="s">
        <v>19</v>
      </c>
      <c r="F21" s="118" t="s">
        <v>20</v>
      </c>
      <c r="G21" s="118" t="s">
        <v>21</v>
      </c>
      <c r="H21" s="217" t="str">
        <f>H$9</f>
        <v>SP1</v>
      </c>
      <c r="I21" s="218" t="str">
        <f t="shared" ref="I21:L21" si="0">I$9</f>
        <v>SP2</v>
      </c>
      <c r="J21" s="218" t="str">
        <f t="shared" si="0"/>
        <v>SP3</v>
      </c>
      <c r="K21" s="219" t="str">
        <f t="shared" si="0"/>
        <v>SP4</v>
      </c>
      <c r="L21" s="118" t="str">
        <f t="shared" si="0"/>
        <v>Notes / Progress</v>
      </c>
      <c r="M21" s="136"/>
      <c r="N21" s="124"/>
      <c r="O21" s="124"/>
      <c r="W21" s="30"/>
    </row>
    <row r="22" spans="1:23" s="33" customFormat="1" ht="20.100000000000001" customHeight="1" x14ac:dyDescent="0.15">
      <c r="A22" s="126" t="str">
        <f>IFERROR(IF(HLOOKUP($L$6,RangeUnitSetsSec,M22,FALSE)=0,"",HLOOKUP($L$6,RangeUnitSetsSec,M22,FALSE)),"")</f>
        <v>EDSC2014</v>
      </c>
      <c r="B22" s="132">
        <f>IFERROR(IF(VLOOKUP($A22,TableHandbook[],B$2,FALSE)=0,"",VLOOKUP($A22,TableHandbook[],B$2,FALSE)),"")</f>
        <v>1</v>
      </c>
      <c r="C22" s="132" t="str">
        <f>IFERROR(IF(VLOOKUP($A22,TableHandbook[],C$2,FALSE)=0,"",VLOOKUP($A22,TableHandbook[],C$2,FALSE)),"")</f>
        <v>EDS215</v>
      </c>
      <c r="D22" s="137" t="str">
        <f>IFERROR(IF(VLOOKUP($A22,TableHandbook[],D$2,FALSE)=0,"",VLOOKUP($A22,TableHandbook[],D$2,FALSE)),"")</f>
        <v>Educating Adolescents: Diversity, Differentiation and Inclusion</v>
      </c>
      <c r="E22" s="132" t="str">
        <f>IF(OR(A22="",A22="--"),"",VLOOKUP($D$7,TableStudyPeriods[],2,FALSE))</f>
        <v>SP3</v>
      </c>
      <c r="F22" s="129" t="str">
        <f>IFERROR(IF(VLOOKUP($A22,TableHandbook[],F$2,FALSE)=0,"",VLOOKUP($A22,TableHandbook[],F$2,FALSE)),"")</f>
        <v>EDC135</v>
      </c>
      <c r="G22" s="127">
        <f>IFERROR(IF(VLOOKUP($A22,TableHandbook[],G$2,FALSE)=0,"",VLOOKUP($A22,TableHandbook[],G$2,FALSE)),"")</f>
        <v>25</v>
      </c>
      <c r="H22" s="220" t="str">
        <f>IFERROR(VLOOKUP($A22,TableHandbook[],H$2,FALSE),"")</f>
        <v>Y</v>
      </c>
      <c r="I22" s="221" t="str">
        <f>IFERROR(VLOOKUP($A22,TableHandbook[],I$2,FALSE),"")</f>
        <v/>
      </c>
      <c r="J22" s="221" t="str">
        <f>IFERROR(VLOOKUP($A22,TableHandbook[],J$2,FALSE),"")</f>
        <v>Y</v>
      </c>
      <c r="K22" s="222" t="str">
        <f>IFERROR(VLOOKUP($A22,TableHandbook[],K$2,FALSE),"")</f>
        <v/>
      </c>
      <c r="L22" s="45"/>
      <c r="M22" s="130">
        <v>10</v>
      </c>
      <c r="N22" s="131"/>
      <c r="O22" s="131"/>
      <c r="W22" s="32"/>
    </row>
    <row r="23" spans="1:23" s="33" customFormat="1" ht="19.5" customHeight="1" x14ac:dyDescent="0.15">
      <c r="A23" s="138" t="str">
        <f>IFERROR(IF(HLOOKUP($L$6,RangeUnitSetsSec,M23,FALSE)=0,"",HLOOKUP($L$6,RangeUnitSetsSec,M23,FALSE)),"")</f>
        <v>PWRP1001</v>
      </c>
      <c r="B23" s="132">
        <f>IFERROR(IF(VLOOKUP($A23,TableHandbook[],B$2,FALSE)=0,"",VLOOKUP($A23,TableHandbook[],B$2,FALSE)),"")</f>
        <v>2</v>
      </c>
      <c r="C23" s="132" t="str">
        <f>IFERROR(IF(VLOOKUP($A23,TableHandbook[],C$2,FALSE)=0,"",VLOOKUP($A23,TableHandbook[],C$2,FALSE)),"")</f>
        <v>PWP110</v>
      </c>
      <c r="D23" s="139" t="str">
        <f>IFERROR(IF(VLOOKUP($A23,TableHandbook[],D$2,FALSE)=0,"",VLOOKUP($A23,TableHandbook[],D$2,FALSE)),"")</f>
        <v>Introduction to Creative and Professional Writing</v>
      </c>
      <c r="E23" s="132" t="str">
        <f>IF(OR(A23="",A23="-"),"",E22)</f>
        <v>SP3</v>
      </c>
      <c r="F23" s="140" t="str">
        <f>IFERROR(IF(VLOOKUP($A23,TableHandbook[],F$2,FALSE)=0,"",VLOOKUP($A23,TableHandbook[],F$2,FALSE)),"")</f>
        <v>Nil</v>
      </c>
      <c r="G23" s="132">
        <f>IFERROR(IF(VLOOKUP($A23,TableHandbook[],G$2,FALSE)=0,"",VLOOKUP($A23,TableHandbook[],G$2,FALSE)),"")</f>
        <v>25</v>
      </c>
      <c r="H23" s="226" t="str">
        <f>IFERROR(VLOOKUP($A23,TableHandbook[],H$2,FALSE),"")</f>
        <v>Y</v>
      </c>
      <c r="I23" s="227" t="str">
        <f>IFERROR(VLOOKUP($A23,TableHandbook[],I$2,FALSE),"")</f>
        <v/>
      </c>
      <c r="J23" s="227" t="str">
        <f>IFERROR(VLOOKUP($A23,TableHandbook[],J$2,FALSE),"")</f>
        <v>Y</v>
      </c>
      <c r="K23" s="228" t="str">
        <f>IFERROR(VLOOKUP($A23,TableHandbook[],K$2,FALSE),"")</f>
        <v/>
      </c>
      <c r="L23" s="46"/>
      <c r="M23" s="133">
        <v>11</v>
      </c>
      <c r="N23" s="131"/>
      <c r="O23" s="131"/>
      <c r="W23" s="32"/>
    </row>
    <row r="24" spans="1:23" s="33" customFormat="1" ht="4.5" customHeight="1" x14ac:dyDescent="0.15">
      <c r="A24" s="186"/>
      <c r="B24" s="187"/>
      <c r="C24" s="187"/>
      <c r="D24" s="187"/>
      <c r="E24" s="187"/>
      <c r="F24" s="188"/>
      <c r="G24" s="187"/>
      <c r="H24" s="223"/>
      <c r="I24" s="224"/>
      <c r="J24" s="224"/>
      <c r="K24" s="225"/>
      <c r="L24" s="189"/>
      <c r="M24" s="130"/>
      <c r="N24" s="131"/>
      <c r="O24" s="131"/>
      <c r="P24" s="131"/>
      <c r="W24" s="32"/>
    </row>
    <row r="25" spans="1:23" s="33" customFormat="1" ht="20.100000000000001" customHeight="1" x14ac:dyDescent="0.15">
      <c r="A25" s="138" t="str">
        <f>IFERROR(IF(HLOOKUP($L$6,RangeUnitSetsSec,M25,FALSE)=0,"",HLOOKUP($L$6,RangeUnitSetsSec,M25,FALSE)),"")</f>
        <v>EDSC2015</v>
      </c>
      <c r="B25" s="132">
        <f>IFERROR(IF(VLOOKUP($A25,TableHandbook[],B$2,FALSE)=0,"",VLOOKUP($A25,TableHandbook[],B$2,FALSE)),"")</f>
        <v>1</v>
      </c>
      <c r="C25" s="132" t="str">
        <f>IFERROR(IF(VLOOKUP($A25,TableHandbook[],C$2,FALSE)=0,"",VLOOKUP($A25,TableHandbook[],C$2,FALSE)),"")</f>
        <v>EDS225</v>
      </c>
      <c r="D25" s="137" t="str">
        <f>IFERROR(IF(VLOOKUP($A25,TableHandbook[],D$2,FALSE)=0,"",VLOOKUP($A25,TableHandbook[],D$2,FALSE)),"")</f>
        <v>Secondary Professional Teaching Practice 2 (details coming)</v>
      </c>
      <c r="E25" s="132" t="str">
        <f>IF(OR(A25="",A25="--"),"",VLOOKUP($D$7,TableStudyPeriods[],3,FALSE))</f>
        <v>SP4</v>
      </c>
      <c r="F25" s="140" t="str">
        <f>IFERROR(IF(VLOOKUP($A25,TableHandbook[],F$2,FALSE)=0,"",VLOOKUP($A25,TableHandbook[],F$2,FALSE)),"")</f>
        <v>EDC185</v>
      </c>
      <c r="G25" s="132">
        <f>IFERROR(IF(VLOOKUP($A25,TableHandbook[],G$2,FALSE)=0,"",VLOOKUP($A25,TableHandbook[],G$2,FALSE)),"")</f>
        <v>25</v>
      </c>
      <c r="H25" s="226" t="str">
        <f>IFERROR(VLOOKUP($A25,TableHandbook[],H$2,FALSE),"")</f>
        <v/>
      </c>
      <c r="I25" s="227" t="str">
        <f>IFERROR(VLOOKUP($A25,TableHandbook[],I$2,FALSE),"")</f>
        <v/>
      </c>
      <c r="J25" s="227" t="str">
        <f>IFERROR(VLOOKUP($A25,TableHandbook[],J$2,FALSE),"")</f>
        <v/>
      </c>
      <c r="K25" s="228" t="str">
        <f>IFERROR(VLOOKUP($A25,TableHandbook[],K$2,FALSE),"")</f>
        <v/>
      </c>
      <c r="L25" s="46"/>
      <c r="M25" s="130">
        <v>12</v>
      </c>
      <c r="N25" s="131"/>
      <c r="O25" s="131"/>
      <c r="W25" s="32"/>
    </row>
    <row r="26" spans="1:23" s="33" customFormat="1" ht="20.100000000000001" customHeight="1" x14ac:dyDescent="0.15">
      <c r="A26" s="138" t="str">
        <f>IFERROR(IF(HLOOKUP($L$6,RangeUnitSetsSec,M26,FALSE)=0,"",HLOOKUP($L$6,RangeUnitSetsSec,M26,FALSE)),"")</f>
        <v>LCST2008</v>
      </c>
      <c r="B26" s="132">
        <f>IFERROR(IF(VLOOKUP($A26,TableHandbook[],B$2,FALSE)=0,"",VLOOKUP($A26,TableHandbook[],B$2,FALSE)),"")</f>
        <v>2</v>
      </c>
      <c r="C26" s="132" t="str">
        <f>IFERROR(IF(VLOOKUP($A26,TableHandbook[],C$2,FALSE)=0,"",VLOOKUP($A26,TableHandbook[],C$2,FALSE)),"")</f>
        <v>ENG200</v>
      </c>
      <c r="D26" s="139" t="str">
        <f>IFERROR(IF(VLOOKUP($A26,TableHandbook[],D$2,FALSE)=0,"",VLOOKUP($A26,TableHandbook[],D$2,FALSE)),"")</f>
        <v>Genre and Classic Texts</v>
      </c>
      <c r="E26" s="132" t="str">
        <f>IF(OR(A26="",A26="-"),"",E25)</f>
        <v>SP4</v>
      </c>
      <c r="F26" s="140" t="str">
        <f>IFERROR(IF(VLOOKUP($A26,TableHandbook[],F$2,FALSE)=0,"",VLOOKUP($A26,TableHandbook[],F$2,FALSE)),"")</f>
        <v>Nil</v>
      </c>
      <c r="G26" s="132">
        <f>IFERROR(IF(VLOOKUP($A26,TableHandbook[],G$2,FALSE)=0,"",VLOOKUP($A26,TableHandbook[],G$2,FALSE)),"")</f>
        <v>25</v>
      </c>
      <c r="H26" s="226" t="str">
        <f>IFERROR(VLOOKUP($A26,TableHandbook[],H$2,FALSE),"")</f>
        <v/>
      </c>
      <c r="I26" s="227" t="str">
        <f>IFERROR(VLOOKUP($A26,TableHandbook[],I$2,FALSE),"")</f>
        <v>Y</v>
      </c>
      <c r="J26" s="227" t="str">
        <f>IFERROR(VLOOKUP($A26,TableHandbook[],J$2,FALSE),"")</f>
        <v/>
      </c>
      <c r="K26" s="228" t="str">
        <f>IFERROR(VLOOKUP($A26,TableHandbook[],K$2,FALSE),"")</f>
        <v>Y</v>
      </c>
      <c r="L26" s="46"/>
      <c r="M26" s="133">
        <v>13</v>
      </c>
      <c r="N26" s="131"/>
      <c r="O26" s="131"/>
      <c r="W26" s="32"/>
    </row>
    <row r="27" spans="1:23" s="33" customFormat="1" ht="5.0999999999999996" customHeight="1" x14ac:dyDescent="0.15">
      <c r="A27" s="186"/>
      <c r="B27" s="187"/>
      <c r="C27" s="187"/>
      <c r="D27" s="193"/>
      <c r="E27" s="187"/>
      <c r="F27" s="188"/>
      <c r="G27" s="187"/>
      <c r="H27" s="223"/>
      <c r="I27" s="224"/>
      <c r="J27" s="224"/>
      <c r="K27" s="225"/>
      <c r="L27" s="189"/>
      <c r="M27" s="130"/>
      <c r="N27" s="131"/>
      <c r="O27" s="131"/>
      <c r="P27" s="131"/>
      <c r="W27" s="32"/>
    </row>
    <row r="28" spans="1:23" s="33" customFormat="1" ht="20.100000000000001" customHeight="1" x14ac:dyDescent="0.15">
      <c r="A28" s="126" t="str">
        <f>IFERROR(IF(HLOOKUP($L$6,RangeUnitSetsSec,M28,FALSE)=0,"",HLOOKUP($L$6,RangeUnitSetsSec,M28,FALSE)),"")</f>
        <v>EDSC2016</v>
      </c>
      <c r="B28" s="132">
        <f>IFERROR(IF(VLOOKUP($A28,TableHandbook[],B$2,FALSE)=0,"",VLOOKUP($A28,TableHandbook[],B$2,FALSE)),"")</f>
        <v>1</v>
      </c>
      <c r="C28" s="132" t="str">
        <f>IFERROR(IF(VLOOKUP($A28,TableHandbook[],C$2,FALSE)=0,"",VLOOKUP($A28,TableHandbook[],C$2,FALSE)),"")</f>
        <v>EDS220</v>
      </c>
      <c r="D28" s="139" t="str">
        <f>IFERROR(IF(VLOOKUP($A28,TableHandbook[],D$2,FALSE)=0,"",VLOOKUP($A28,TableHandbook[],D$2,FALSE)),"")</f>
        <v>Secondary Professional Experience 2 (details coming)</v>
      </c>
      <c r="E28" s="132" t="str">
        <f>IF(OR(A28="",A28="--"),"",VLOOKUP($D$7,TableStudyPeriods[],4,FALSE))</f>
        <v>SP1</v>
      </c>
      <c r="F28" s="129" t="str">
        <f>IFERROR(IF(VLOOKUP($A28,TableHandbook[],F$2,FALSE)=0,"",VLOOKUP($A28,TableHandbook[],F$2,FALSE)),"")</f>
        <v>EDS225 or EDS210</v>
      </c>
      <c r="G28" s="127">
        <f>IFERROR(IF(VLOOKUP($A28,TableHandbook[],G$2,FALSE)=0,"",VLOOKUP($A28,TableHandbook[],G$2,FALSE)),"")</f>
        <v>25</v>
      </c>
      <c r="H28" s="220" t="str">
        <f>IFERROR(VLOOKUP($A28,TableHandbook[],H$2,FALSE),"")</f>
        <v/>
      </c>
      <c r="I28" s="221" t="str">
        <f>IFERROR(VLOOKUP($A28,TableHandbook[],I$2,FALSE),"")</f>
        <v/>
      </c>
      <c r="J28" s="221" t="str">
        <f>IFERROR(VLOOKUP($A28,TableHandbook[],J$2,FALSE),"")</f>
        <v>Y</v>
      </c>
      <c r="K28" s="222" t="str">
        <f>IFERROR(VLOOKUP($A28,TableHandbook[],K$2,FALSE),"")</f>
        <v/>
      </c>
      <c r="L28" s="45"/>
      <c r="M28" s="130">
        <v>14</v>
      </c>
      <c r="N28" s="131"/>
      <c r="O28" s="131"/>
      <c r="W28" s="32"/>
    </row>
    <row r="29" spans="1:23" s="33" customFormat="1" ht="20.100000000000001" customHeight="1" x14ac:dyDescent="0.15">
      <c r="A29" s="138" t="str">
        <f>IFERROR(IF(HLOOKUP($L$6,RangeUnitSetsSec,M29,FALSE)=0,"",HLOOKUP($L$6,RangeUnitSetsSec,M29,FALSE)),"")</f>
        <v>LCST2009</v>
      </c>
      <c r="B29" s="132">
        <f>IFERROR(IF(VLOOKUP($A29,TableHandbook[],B$2,FALSE)=0,"",VLOOKUP($A29,TableHandbook[],B$2,FALSE)),"")</f>
        <v>1</v>
      </c>
      <c r="C29" s="132" t="str">
        <f>IFERROR(IF(VLOOKUP($A29,TableHandbook[],C$2,FALSE)=0,"",VLOOKUP($A29,TableHandbook[],C$2,FALSE)),"")</f>
        <v>ENG210</v>
      </c>
      <c r="D29" s="139" t="str">
        <f>IFERROR(IF(VLOOKUP($A29,TableHandbook[],D$2,FALSE)=0,"",VLOOKUP($A29,TableHandbook[],D$2,FALSE)),"")</f>
        <v>Reading Gender</v>
      </c>
      <c r="E29" s="132" t="str">
        <f>IF(OR(A29="",A29="-"),"",E28)</f>
        <v>SP1</v>
      </c>
      <c r="F29" s="140" t="str">
        <f>IFERROR(IF(VLOOKUP($A29,TableHandbook[],F$2,FALSE)=0,"",VLOOKUP($A29,TableHandbook[],F$2,FALSE)),"")</f>
        <v>Nil</v>
      </c>
      <c r="G29" s="132">
        <f>IFERROR(IF(VLOOKUP($A29,TableHandbook[],G$2,FALSE)=0,"",VLOOKUP($A29,TableHandbook[],G$2,FALSE)),"")</f>
        <v>25</v>
      </c>
      <c r="H29" s="226" t="str">
        <f>IFERROR(VLOOKUP($A29,TableHandbook[],H$2,FALSE),"")</f>
        <v>Y</v>
      </c>
      <c r="I29" s="227" t="str">
        <f>IFERROR(VLOOKUP($A29,TableHandbook[],I$2,FALSE),"")</f>
        <v/>
      </c>
      <c r="J29" s="227" t="str">
        <f>IFERROR(VLOOKUP($A29,TableHandbook[],J$2,FALSE),"")</f>
        <v>Y</v>
      </c>
      <c r="K29" s="228" t="str">
        <f>IFERROR(VLOOKUP($A29,TableHandbook[],K$2,FALSE),"")</f>
        <v/>
      </c>
      <c r="L29" s="46"/>
      <c r="M29" s="133">
        <v>15</v>
      </c>
      <c r="N29" s="131"/>
      <c r="O29" s="131"/>
      <c r="W29" s="32"/>
    </row>
    <row r="30" spans="1:23" s="33" customFormat="1" ht="5.0999999999999996" customHeight="1" x14ac:dyDescent="0.15">
      <c r="A30" s="186"/>
      <c r="B30" s="187"/>
      <c r="C30" s="187"/>
      <c r="D30" s="193"/>
      <c r="E30" s="187"/>
      <c r="F30" s="188"/>
      <c r="G30" s="187"/>
      <c r="H30" s="223"/>
      <c r="I30" s="224"/>
      <c r="J30" s="224"/>
      <c r="K30" s="225"/>
      <c r="L30" s="189"/>
      <c r="M30" s="130"/>
      <c r="N30" s="131"/>
      <c r="O30" s="131"/>
      <c r="P30" s="131"/>
      <c r="W30" s="32"/>
    </row>
    <row r="31" spans="1:23" s="35" customFormat="1" ht="20.100000000000001" customHeight="1" x14ac:dyDescent="0.15">
      <c r="A31" s="138" t="str">
        <f>IFERROR(IF(HLOOKUP($L$6,RangeUnitSetsSec,M31,FALSE)=0,"",HLOOKUP($L$6,RangeUnitSetsSec,M31,FALSE)),"")</f>
        <v>SpecElec</v>
      </c>
      <c r="B31" s="132" t="str">
        <f>IFERROR(IF(VLOOKUP($A31,TableHandbook[],B$2,FALSE)=0,"",VLOOKUP($A31,TableHandbook[],B$2,FALSE)),"")</f>
        <v/>
      </c>
      <c r="C31" s="132" t="str">
        <f>IFERROR(IF(VLOOKUP($A31,TableHandbook[],C$2,FALSE)=0,"",VLOOKUP($A31,TableHandbook[],C$2,FALSE)),"")</f>
        <v/>
      </c>
      <c r="D31" s="139" t="str">
        <f>IFERROR(IF(VLOOKUP($A31,TableHandbook[],D$2,FALSE)=0,"",VLOOKUP($A31,TableHandbook[],D$2,FALSE)),"")</f>
        <v>Study a Specified Elective subject from the list below</v>
      </c>
      <c r="E31" s="132" t="str">
        <f>IF(OR(A31="",A31="--"),"",VLOOKUP($D$7,TableStudyPeriods[],5,FALSE))</f>
        <v>SP2</v>
      </c>
      <c r="F31" s="140" t="str">
        <f>IFERROR(IF(VLOOKUP($A31,TableHandbook[],F$2,FALSE)=0,"",VLOOKUP($A31,TableHandbook[],F$2,FALSE)),"")</f>
        <v>See below</v>
      </c>
      <c r="G31" s="132">
        <f>IFERROR(IF(VLOOKUP($A31,TableHandbook[],G$2,FALSE)=0,"",VLOOKUP($A31,TableHandbook[],G$2,FALSE)),"")</f>
        <v>25</v>
      </c>
      <c r="H31" s="226" t="str">
        <f>IFERROR(VLOOKUP($A31,TableHandbook[],H$2,FALSE),"")</f>
        <v/>
      </c>
      <c r="I31" s="227" t="str">
        <f>IFERROR(VLOOKUP($A31,TableHandbook[],I$2,FALSE),"")</f>
        <v/>
      </c>
      <c r="J31" s="227" t="str">
        <f>IFERROR(VLOOKUP($A31,TableHandbook[],J$2,FALSE),"")</f>
        <v/>
      </c>
      <c r="K31" s="228" t="str">
        <f>IFERROR(VLOOKUP($A31,TableHandbook[],K$2,FALSE),"")</f>
        <v/>
      </c>
      <c r="L31" s="46"/>
      <c r="M31" s="133">
        <v>16</v>
      </c>
      <c r="N31" s="134"/>
      <c r="O31" s="134"/>
      <c r="W31" s="34"/>
    </row>
    <row r="32" spans="1:23" s="35" customFormat="1" ht="20.100000000000001" customHeight="1" x14ac:dyDescent="0.15">
      <c r="A32" s="138" t="str">
        <f>IFERROR(IF(HLOOKUP($L$6,RangeUnitSetsSec,M32,FALSE)=0,"",HLOOKUP($L$6,RangeUnitSetsSec,M32,FALSE)),"")</f>
        <v>EDSC4019</v>
      </c>
      <c r="B32" s="132">
        <f>IFERROR(IF(VLOOKUP($A32,TableHandbook[],B$2,FALSE)=0,"",VLOOKUP($A32,TableHandbook[],B$2,FALSE)),"")</f>
        <v>2</v>
      </c>
      <c r="C32" s="132" t="str">
        <f>IFERROR(IF(VLOOKUP($A32,TableHandbook[],C$2,FALSE)=0,"",VLOOKUP($A32,TableHandbook[],C$2,FALSE)),"")</f>
        <v>EDS365</v>
      </c>
      <c r="D32" s="139" t="str">
        <f>IFERROR(IF(VLOOKUP($A32,TableHandbook[],D$2,FALSE)=0,"",VLOOKUP($A32,TableHandbook[],D$2,FALSE)),"")</f>
        <v>Curriculum and Instruction Senior Secondary: English</v>
      </c>
      <c r="E32" s="132" t="str">
        <f>IF(OR(A32="",A32="-"),"",E31)</f>
        <v>SP2</v>
      </c>
      <c r="F32" s="140" t="str">
        <f>IFERROR(IF(VLOOKUP($A32,TableHandbook[],F$2,FALSE)=0,"",VLOOKUP($A32,TableHandbook[],F$2,FALSE)),"")</f>
        <v>EDS133</v>
      </c>
      <c r="G32" s="132">
        <f>IFERROR(IF(VLOOKUP($A32,TableHandbook[],G$2,FALSE)=0,"",VLOOKUP($A32,TableHandbook[],G$2,FALSE)),"")</f>
        <v>25</v>
      </c>
      <c r="H32" s="226" t="str">
        <f>IFERROR(VLOOKUP($A32,TableHandbook[],H$2,FALSE),"")</f>
        <v/>
      </c>
      <c r="I32" s="227" t="str">
        <f>IFERROR(VLOOKUP($A32,TableHandbook[],I$2,FALSE),"")</f>
        <v>Y</v>
      </c>
      <c r="J32" s="227" t="str">
        <f>IFERROR(VLOOKUP($A32,TableHandbook[],J$2,FALSE),"")</f>
        <v/>
      </c>
      <c r="K32" s="228" t="str">
        <f>IFERROR(VLOOKUP($A32,TableHandbook[],K$2,FALSE),"")</f>
        <v>Y</v>
      </c>
      <c r="L32" s="46"/>
      <c r="M32" s="133">
        <v>17</v>
      </c>
      <c r="N32" s="134"/>
      <c r="O32" s="134"/>
      <c r="W32" s="34"/>
    </row>
    <row r="33" spans="1:23" s="31" customFormat="1" ht="21" x14ac:dyDescent="0.25">
      <c r="A33" s="118" t="s">
        <v>28</v>
      </c>
      <c r="B33" s="118"/>
      <c r="C33" s="125" t="s">
        <v>18</v>
      </c>
      <c r="D33" s="135" t="s">
        <v>3</v>
      </c>
      <c r="E33" s="125" t="s">
        <v>19</v>
      </c>
      <c r="F33" s="118" t="s">
        <v>20</v>
      </c>
      <c r="G33" s="118" t="s">
        <v>21</v>
      </c>
      <c r="H33" s="217" t="str">
        <f>H$9</f>
        <v>SP1</v>
      </c>
      <c r="I33" s="218" t="str">
        <f t="shared" ref="I33:L33" si="1">I$9</f>
        <v>SP2</v>
      </c>
      <c r="J33" s="218" t="str">
        <f t="shared" si="1"/>
        <v>SP3</v>
      </c>
      <c r="K33" s="219" t="str">
        <f t="shared" si="1"/>
        <v>SP4</v>
      </c>
      <c r="L33" s="118" t="str">
        <f t="shared" si="1"/>
        <v>Notes / Progress</v>
      </c>
      <c r="M33" s="136"/>
      <c r="N33" s="124"/>
      <c r="O33" s="124"/>
      <c r="W33" s="30"/>
    </row>
    <row r="34" spans="1:23" s="33" customFormat="1" ht="20.100000000000001" customHeight="1" x14ac:dyDescent="0.15">
      <c r="A34" s="138" t="str">
        <f>IFERROR(IF(HLOOKUP($L$6,RangeUnitSetsSec,M34,FALSE)=0,"",HLOOKUP($L$6,RangeUnitSetsSec,M34,FALSE)),"")</f>
        <v>INED3001</v>
      </c>
      <c r="B34" s="132">
        <f>IFERROR(IF(VLOOKUP($A34,TableHandbook[],B$2,FALSE)=0,"",VLOOKUP($A34,TableHandbook[],B$2,FALSE)),"")</f>
        <v>1</v>
      </c>
      <c r="C34" s="132" t="str">
        <f>IFERROR(IF(VLOOKUP($A34,TableHandbook[],C$2,FALSE)=0,"",VLOOKUP($A34,TableHandbook[],C$2,FALSE)),"")</f>
        <v>INED3001</v>
      </c>
      <c r="D34" s="137" t="str">
        <f>IFERROR(IF(VLOOKUP($A34,TableHandbook[],D$2,FALSE)=0,"",VLOOKUP($A34,TableHandbook[],D$2,FALSE)),"")</f>
        <v>Indigenous Australian Education</v>
      </c>
      <c r="E34" s="132" t="str">
        <f>IF(OR(A34="",A34="--"),"",VLOOKUP($D$7,TableStudyPeriods[],2,FALSE))</f>
        <v>SP3</v>
      </c>
      <c r="F34" s="140" t="str">
        <f>IFERROR(IF(VLOOKUP($A34,TableHandbook[],F$2,FALSE)=0,"",VLOOKUP($A34,TableHandbook[],F$2,FALSE)),"")</f>
        <v>EDC135 + (EDC245 or EDS215)</v>
      </c>
      <c r="G34" s="132">
        <f>IFERROR(IF(VLOOKUP($A34,TableHandbook[],G$2,FALSE)=0,"",VLOOKUP($A34,TableHandbook[],G$2,FALSE)),"")</f>
        <v>25</v>
      </c>
      <c r="H34" s="226" t="str">
        <f>IFERROR(VLOOKUP($A34,TableHandbook[],H$2,FALSE),"")</f>
        <v>Y</v>
      </c>
      <c r="I34" s="227" t="str">
        <f>IFERROR(VLOOKUP($A34,TableHandbook[],I$2,FALSE),"")</f>
        <v/>
      </c>
      <c r="J34" s="227" t="str">
        <f>IFERROR(VLOOKUP($A34,TableHandbook[],J$2,FALSE),"")</f>
        <v>Y</v>
      </c>
      <c r="K34" s="228" t="str">
        <f>IFERROR(VLOOKUP($A34,TableHandbook[],K$2,FALSE),"")</f>
        <v/>
      </c>
      <c r="L34" s="46"/>
      <c r="M34" s="130">
        <v>18</v>
      </c>
      <c r="N34" s="131"/>
      <c r="O34" s="131"/>
      <c r="W34" s="32"/>
    </row>
    <row r="35" spans="1:23" s="33" customFormat="1" ht="19.5" customHeight="1" x14ac:dyDescent="0.15">
      <c r="A35" s="138" t="str">
        <f>IFERROR(IF(HLOOKUP($L$6,RangeUnitSetsSec,M35,FALSE)=0,"",HLOOKUP($L$6,RangeUnitSetsSec,M35,FALSE)),"")</f>
        <v>EDUC4025</v>
      </c>
      <c r="B35" s="132">
        <f>IFERROR(IF(VLOOKUP($A35,TableHandbook[],B$2,FALSE)=0,"",VLOOKUP($A35,TableHandbook[],B$2,FALSE)),"")</f>
        <v>1</v>
      </c>
      <c r="C35" s="132" t="str">
        <f>IFERROR(IF(VLOOKUP($A35,TableHandbook[],C$2,FALSE)=0,"",VLOOKUP($A35,TableHandbook[],C$2,FALSE)),"")</f>
        <v>EDC487</v>
      </c>
      <c r="D35" s="139" t="str">
        <f>IFERROR(IF(VLOOKUP($A35,TableHandbook[],D$2,FALSE)=0,"",VLOOKUP($A35,TableHandbook[],D$2,FALSE)),"")</f>
        <v>Creative Literacies</v>
      </c>
      <c r="E35" s="132" t="str">
        <f>IF(OR(A35="",A35="-"),"",E34)</f>
        <v>SP3</v>
      </c>
      <c r="F35" s="140" t="str">
        <f>IFERROR(IF(VLOOKUP($A35,TableHandbook[],F$2,FALSE)=0,"",VLOOKUP($A35,TableHandbook[],F$2,FALSE)),"")</f>
        <v>Nil</v>
      </c>
      <c r="G35" s="132">
        <f>IFERROR(IF(VLOOKUP($A35,TableHandbook[],G$2,FALSE)=0,"",VLOOKUP($A35,TableHandbook[],G$2,FALSE)),"")</f>
        <v>25</v>
      </c>
      <c r="H35" s="226" t="str">
        <f>IFERROR(VLOOKUP($A35,TableHandbook[],H$2,FALSE),"")</f>
        <v/>
      </c>
      <c r="I35" s="227" t="str">
        <f>IFERROR(VLOOKUP($A35,TableHandbook[],I$2,FALSE),"")</f>
        <v/>
      </c>
      <c r="J35" s="227" t="str">
        <f>IFERROR(VLOOKUP($A35,TableHandbook[],J$2,FALSE),"")</f>
        <v>Y</v>
      </c>
      <c r="K35" s="228" t="str">
        <f>IFERROR(VLOOKUP($A35,TableHandbook[],K$2,FALSE),"")</f>
        <v/>
      </c>
      <c r="L35" s="46"/>
      <c r="M35" s="133">
        <v>19</v>
      </c>
      <c r="N35" s="131"/>
      <c r="O35" s="131"/>
      <c r="W35" s="32"/>
    </row>
    <row r="36" spans="1:23" s="33" customFormat="1" ht="5.0999999999999996" customHeight="1" x14ac:dyDescent="0.15">
      <c r="A36" s="186"/>
      <c r="B36" s="187"/>
      <c r="C36" s="187"/>
      <c r="D36" s="193"/>
      <c r="E36" s="187"/>
      <c r="F36" s="188"/>
      <c r="G36" s="187"/>
      <c r="H36" s="223"/>
      <c r="I36" s="224"/>
      <c r="J36" s="224"/>
      <c r="K36" s="225"/>
      <c r="L36" s="189"/>
      <c r="M36" s="130"/>
      <c r="N36" s="131"/>
      <c r="O36" s="131"/>
      <c r="P36" s="131"/>
      <c r="W36" s="32"/>
    </row>
    <row r="37" spans="1:23" s="33" customFormat="1" ht="20.100000000000001" customHeight="1" x14ac:dyDescent="0.15">
      <c r="A37" s="138" t="str">
        <f>IFERROR(IF(HLOOKUP($L$6,RangeUnitSetsSec,M37,FALSE)=0,"",HLOOKUP($L$6,RangeUnitSetsSec,M37,FALSE)),"")</f>
        <v>EDSC3014</v>
      </c>
      <c r="B37" s="132">
        <f>IFERROR(IF(VLOOKUP($A37,TableHandbook[],B$2,FALSE)=0,"",VLOOKUP($A37,TableHandbook[],B$2,FALSE)),"")</f>
        <v>1</v>
      </c>
      <c r="C37" s="132" t="str">
        <f>IFERROR(IF(VLOOKUP($A37,TableHandbook[],C$2,FALSE)=0,"",VLOOKUP($A37,TableHandbook[],C$2,FALSE)),"")</f>
        <v>EDS320</v>
      </c>
      <c r="D37" s="139" t="str">
        <f>IFERROR(IF(VLOOKUP($A37,TableHandbook[],D$2,FALSE)=0,"",VLOOKUP($A37,TableHandbook[],D$2,FALSE)),"")</f>
        <v>Secondary Professional Teaching Practice 3 (details coming)</v>
      </c>
      <c r="E37" s="132" t="str">
        <f>IF(OR(A37="",A37="--"),"",VLOOKUP($D$7,TableStudyPeriods[],3,FALSE))</f>
        <v>SP4</v>
      </c>
      <c r="F37" s="140" t="str">
        <f>IFERROR(IF(VLOOKUP($A37,TableHandbook[],F$2,FALSE)=0,"",VLOOKUP($A37,TableHandbook[],F$2,FALSE)),"")</f>
        <v>EDS220 or EDS261</v>
      </c>
      <c r="G37" s="132">
        <f>IFERROR(IF(VLOOKUP($A37,TableHandbook[],G$2,FALSE)=0,"",VLOOKUP($A37,TableHandbook[],G$2,FALSE)),"")</f>
        <v>25</v>
      </c>
      <c r="H37" s="226" t="str">
        <f>IFERROR(VLOOKUP($A37,TableHandbook[],H$2,FALSE),"")</f>
        <v/>
      </c>
      <c r="I37" s="227" t="str">
        <f>IFERROR(VLOOKUP($A37,TableHandbook[],I$2,FALSE),"")</f>
        <v/>
      </c>
      <c r="J37" s="227" t="str">
        <f>IFERROR(VLOOKUP($A37,TableHandbook[],J$2,FALSE),"")</f>
        <v/>
      </c>
      <c r="K37" s="228" t="str">
        <f>IFERROR(VLOOKUP($A37,TableHandbook[],K$2,FALSE),"")</f>
        <v/>
      </c>
      <c r="L37" s="46"/>
      <c r="M37" s="130">
        <v>20</v>
      </c>
      <c r="N37" s="131"/>
      <c r="O37" s="131"/>
      <c r="W37" s="32"/>
    </row>
    <row r="38" spans="1:23" s="33" customFormat="1" ht="20.100000000000001" customHeight="1" x14ac:dyDescent="0.15">
      <c r="A38" s="138" t="str">
        <f>IFERROR(IF(HLOOKUP($L$6,RangeUnitSetsSec,M38,FALSE)=0,"",HLOOKUP($L$6,RangeUnitSetsSec,M38,FALSE)),"")</f>
        <v>SpecElec</v>
      </c>
      <c r="B38" s="132" t="str">
        <f>IFERROR(IF(VLOOKUP($A38,TableHandbook[],B$2,FALSE)=0,"",VLOOKUP($A38,TableHandbook[],B$2,FALSE)),"")</f>
        <v/>
      </c>
      <c r="C38" s="132" t="str">
        <f>IFERROR(IF(VLOOKUP($A38,TableHandbook[],C$2,FALSE)=0,"",VLOOKUP($A38,TableHandbook[],C$2,FALSE)),"")</f>
        <v/>
      </c>
      <c r="D38" s="139" t="str">
        <f>IFERROR(IF(VLOOKUP($A38,TableHandbook[],D$2,FALSE)=0,"",VLOOKUP($A38,TableHandbook[],D$2,FALSE)),"")</f>
        <v>Study a Specified Elective subject from the list below</v>
      </c>
      <c r="E38" s="132" t="str">
        <f>IF(OR(A38="",A38="-"),"",E37)</f>
        <v>SP4</v>
      </c>
      <c r="F38" s="140" t="str">
        <f>IFERROR(IF(VLOOKUP($A38,TableHandbook[],F$2,FALSE)=0,"",VLOOKUP($A38,TableHandbook[],F$2,FALSE)),"")</f>
        <v>See below</v>
      </c>
      <c r="G38" s="132">
        <f>IFERROR(IF(VLOOKUP($A38,TableHandbook[],G$2,FALSE)=0,"",VLOOKUP($A38,TableHandbook[],G$2,FALSE)),"")</f>
        <v>25</v>
      </c>
      <c r="H38" s="226" t="str">
        <f>IFERROR(VLOOKUP($A38,TableHandbook[],H$2,FALSE),"")</f>
        <v/>
      </c>
      <c r="I38" s="227" t="str">
        <f>IFERROR(VLOOKUP($A38,TableHandbook[],I$2,FALSE),"")</f>
        <v/>
      </c>
      <c r="J38" s="227" t="str">
        <f>IFERROR(VLOOKUP($A38,TableHandbook[],J$2,FALSE),"")</f>
        <v/>
      </c>
      <c r="K38" s="228" t="str">
        <f>IFERROR(VLOOKUP($A38,TableHandbook[],K$2,FALSE),"")</f>
        <v/>
      </c>
      <c r="L38" s="46"/>
      <c r="M38" s="133">
        <v>21</v>
      </c>
      <c r="N38" s="131"/>
      <c r="O38" s="131"/>
      <c r="W38" s="32"/>
    </row>
    <row r="39" spans="1:23" s="33" customFormat="1" ht="5.0999999999999996" customHeight="1" x14ac:dyDescent="0.15">
      <c r="A39" s="186"/>
      <c r="B39" s="187"/>
      <c r="C39" s="187"/>
      <c r="D39" s="193"/>
      <c r="E39" s="187"/>
      <c r="F39" s="188"/>
      <c r="G39" s="187"/>
      <c r="H39" s="223"/>
      <c r="I39" s="224"/>
      <c r="J39" s="224"/>
      <c r="K39" s="225"/>
      <c r="L39" s="189"/>
      <c r="M39" s="130"/>
      <c r="N39" s="131"/>
      <c r="O39" s="131"/>
      <c r="P39" s="131"/>
      <c r="W39" s="32"/>
    </row>
    <row r="40" spans="1:23" s="33" customFormat="1" ht="20.100000000000001" customHeight="1" x14ac:dyDescent="0.15">
      <c r="A40" s="138" t="str">
        <f>IFERROR(IF(HLOOKUP($L$6,RangeUnitSetsSec,M40,FALSE)=0,"",HLOOKUP($L$6,RangeUnitSetsSec,M40,FALSE)),"")</f>
        <v>EDSC3016</v>
      </c>
      <c r="B40" s="132">
        <f>IFERROR(IF(VLOOKUP($A40,TableHandbook[],B$2,FALSE)=0,"",VLOOKUP($A40,TableHandbook[],B$2,FALSE)),"")</f>
        <v>1</v>
      </c>
      <c r="C40" s="132" t="str">
        <f>IFERROR(IF(VLOOKUP($A40,TableHandbook[],C$2,FALSE)=0,"",VLOOKUP($A40,TableHandbook[],C$2,FALSE)),"")</f>
        <v>EDS315</v>
      </c>
      <c r="D40" s="139" t="str">
        <f>IFERROR(IF(VLOOKUP($A40,TableHandbook[],D$2,FALSE)=0,"",VLOOKUP($A40,TableHandbook[],D$2,FALSE)),"")</f>
        <v>Secondary Professional Experience 3 (details coming)</v>
      </c>
      <c r="E40" s="132" t="str">
        <f>IF(OR(A40="",A40="--"),"",VLOOKUP($D$7,TableStudyPeriods[],4,FALSE))</f>
        <v>SP1</v>
      </c>
      <c r="F40" s="140" t="str">
        <f>IFERROR(IF(VLOOKUP($A40,TableHandbook[],F$2,FALSE)=0,"",VLOOKUP($A40,TableHandbook[],F$2,FALSE)),"")</f>
        <v>EDS320</v>
      </c>
      <c r="G40" s="132">
        <f>IFERROR(IF(VLOOKUP($A40,TableHandbook[],G$2,FALSE)=0,"",VLOOKUP($A40,TableHandbook[],G$2,FALSE)),"")</f>
        <v>25</v>
      </c>
      <c r="H40" s="226" t="str">
        <f>IFERROR(VLOOKUP($A40,TableHandbook[],H$2,FALSE),"")</f>
        <v/>
      </c>
      <c r="I40" s="227" t="str">
        <f>IFERROR(VLOOKUP($A40,TableHandbook[],I$2,FALSE),"")</f>
        <v/>
      </c>
      <c r="J40" s="227" t="str">
        <f>IFERROR(VLOOKUP($A40,TableHandbook[],J$2,FALSE),"")</f>
        <v/>
      </c>
      <c r="K40" s="228" t="str">
        <f>IFERROR(VLOOKUP($A40,TableHandbook[],K$2,FALSE),"")</f>
        <v/>
      </c>
      <c r="L40" s="46"/>
      <c r="M40" s="130">
        <v>22</v>
      </c>
      <c r="N40" s="131"/>
      <c r="O40" s="131"/>
      <c r="W40" s="32"/>
    </row>
    <row r="41" spans="1:23" s="33" customFormat="1" ht="20.100000000000001" customHeight="1" x14ac:dyDescent="0.15">
      <c r="A41" s="138" t="str">
        <f>IFERROR(IF(HLOOKUP($L$6,RangeUnitSetsSec,M41,FALSE)=0,"",HLOOKUP($L$6,RangeUnitSetsSec,M41,FALSE)),"")</f>
        <v>EDSC3008</v>
      </c>
      <c r="B41" s="132">
        <f>IFERROR(IF(VLOOKUP($A41,TableHandbook[],B$2,FALSE)=0,"",VLOOKUP($A41,TableHandbook[],B$2,FALSE)),"")</f>
        <v>1</v>
      </c>
      <c r="C41" s="132" t="str">
        <f>IFERROR(IF(VLOOKUP($A41,TableHandbook[],C$2,FALSE)=0,"",VLOOKUP($A41,TableHandbook[],C$2,FALSE)),"")</f>
        <v>EDS355</v>
      </c>
      <c r="D41" s="139" t="str">
        <f>IFERROR(IF(VLOOKUP($A41,TableHandbook[],D$2,FALSE)=0,"",VLOOKUP($A41,TableHandbook[],D$2,FALSE)),"")</f>
        <v>Curriculum and Culture in Secondary Schools</v>
      </c>
      <c r="E41" s="132" t="str">
        <f>IF(OR(A41="",A41="-"),"",E40)</f>
        <v>SP1</v>
      </c>
      <c r="F41" s="140" t="str">
        <f>IFERROR(IF(VLOOKUP($A41,TableHandbook[],F$2,FALSE)=0,"",VLOOKUP($A41,TableHandbook[],F$2,FALSE)),"")</f>
        <v>Nil</v>
      </c>
      <c r="G41" s="132">
        <f>IFERROR(IF(VLOOKUP($A41,TableHandbook[],G$2,FALSE)=0,"",VLOOKUP($A41,TableHandbook[],G$2,FALSE)),"")</f>
        <v>25</v>
      </c>
      <c r="H41" s="226" t="str">
        <f>IFERROR(VLOOKUP($A41,TableHandbook[],H$2,FALSE),"")</f>
        <v>Y</v>
      </c>
      <c r="I41" s="227" t="str">
        <f>IFERROR(VLOOKUP($A41,TableHandbook[],I$2,FALSE),"")</f>
        <v/>
      </c>
      <c r="J41" s="227" t="str">
        <f>IFERROR(VLOOKUP($A41,TableHandbook[],J$2,FALSE),"")</f>
        <v>Y</v>
      </c>
      <c r="K41" s="228" t="str">
        <f>IFERROR(VLOOKUP($A41,TableHandbook[],K$2,FALSE),"")</f>
        <v/>
      </c>
      <c r="L41" s="46"/>
      <c r="M41" s="130">
        <v>23</v>
      </c>
      <c r="N41" s="131"/>
      <c r="O41" s="131"/>
      <c r="W41" s="32"/>
    </row>
    <row r="42" spans="1:23" s="33" customFormat="1" ht="5.0999999999999996" customHeight="1" x14ac:dyDescent="0.15">
      <c r="A42" s="186"/>
      <c r="B42" s="187"/>
      <c r="C42" s="187"/>
      <c r="D42" s="193"/>
      <c r="E42" s="187"/>
      <c r="F42" s="188"/>
      <c r="G42" s="187"/>
      <c r="H42" s="223"/>
      <c r="I42" s="224"/>
      <c r="J42" s="224"/>
      <c r="K42" s="225"/>
      <c r="L42" s="189"/>
      <c r="M42" s="130"/>
      <c r="N42" s="131"/>
      <c r="O42" s="131"/>
      <c r="P42" s="131"/>
      <c r="W42" s="32"/>
    </row>
    <row r="43" spans="1:23" s="35" customFormat="1" ht="20.100000000000001" customHeight="1" x14ac:dyDescent="0.15">
      <c r="A43" s="138" t="str">
        <f>IFERROR(IF(HLOOKUP($L$6,RangeUnitSetsSec,M43,FALSE)=0,"",HLOOKUP($L$6,RangeUnitSetsSec,M43,FALSE)),"")</f>
        <v>EDUC4024</v>
      </c>
      <c r="B43" s="132">
        <f>IFERROR(IF(VLOOKUP($A43,TableHandbook[],B$2,FALSE)=0,"",VLOOKUP($A43,TableHandbook[],B$2,FALSE)),"")</f>
        <v>1</v>
      </c>
      <c r="C43" s="132" t="str">
        <f>IFERROR(IF(VLOOKUP($A43,TableHandbook[],C$2,FALSE)=0,"",VLOOKUP($A43,TableHandbook[],C$2,FALSE)),"")</f>
        <v>EDC486</v>
      </c>
      <c r="D43" s="139" t="str">
        <f>IFERROR(IF(VLOOKUP($A43,TableHandbook[],D$2,FALSE)=0,"",VLOOKUP($A43,TableHandbook[],D$2,FALSE)),"")</f>
        <v>Creating and Responding to Literature</v>
      </c>
      <c r="E43" s="132" t="str">
        <f>IF(OR(A43="",A43="--"),"",VLOOKUP($D$7,TableStudyPeriods[],5,FALSE))</f>
        <v>SP2</v>
      </c>
      <c r="F43" s="140" t="str">
        <f>IFERROR(IF(VLOOKUP($A43,TableHandbook[],F$2,FALSE)=0,"",VLOOKUP($A43,TableHandbook[],F$2,FALSE)),"")</f>
        <v>Nil</v>
      </c>
      <c r="G43" s="132">
        <f>IFERROR(IF(VLOOKUP($A43,TableHandbook[],G$2,FALSE)=0,"",VLOOKUP($A43,TableHandbook[],G$2,FALSE)),"")</f>
        <v>25</v>
      </c>
      <c r="H43" s="226" t="str">
        <f>IFERROR(VLOOKUP($A43,TableHandbook[],H$2,FALSE),"")</f>
        <v/>
      </c>
      <c r="I43" s="227" t="str">
        <f>IFERROR(VLOOKUP($A43,TableHandbook[],I$2,FALSE),"")</f>
        <v>Y</v>
      </c>
      <c r="J43" s="227" t="str">
        <f>IFERROR(VLOOKUP($A43,TableHandbook[],J$2,FALSE),"")</f>
        <v/>
      </c>
      <c r="K43" s="228" t="str">
        <f>IFERROR(VLOOKUP($A43,TableHandbook[],K$2,FALSE),"")</f>
        <v/>
      </c>
      <c r="L43" s="46"/>
      <c r="M43" s="133">
        <v>24</v>
      </c>
      <c r="N43" s="134"/>
      <c r="O43" s="134"/>
      <c r="W43" s="34"/>
    </row>
    <row r="44" spans="1:23" s="35" customFormat="1" ht="20.100000000000001" customHeight="1" x14ac:dyDescent="0.15">
      <c r="A44" s="138" t="str">
        <f>IFERROR(IF(HLOOKUP($L$6,RangeUnitSetsSec,M44,FALSE)=0,"",HLOOKUP($L$6,RangeUnitSetsSec,M44,FALSE)),"")</f>
        <v>SpecElec</v>
      </c>
      <c r="B44" s="132" t="str">
        <f>IFERROR(IF(VLOOKUP($A44,TableHandbook[],B$2,FALSE)=0,"",VLOOKUP($A44,TableHandbook[],B$2,FALSE)),"")</f>
        <v/>
      </c>
      <c r="C44" s="132" t="str">
        <f>IFERROR(IF(VLOOKUP($A44,TableHandbook[],C$2,FALSE)=0,"",VLOOKUP($A44,TableHandbook[],C$2,FALSE)),"")</f>
        <v/>
      </c>
      <c r="D44" s="139" t="str">
        <f>IFERROR(IF(VLOOKUP($A44,TableHandbook[],D$2,FALSE)=0,"",VLOOKUP($A44,TableHandbook[],D$2,FALSE)),"")</f>
        <v>Study a Specified Elective subject from the list below</v>
      </c>
      <c r="E44" s="132" t="str">
        <f>IF(OR(A44="",A44="-"),"",E43)</f>
        <v>SP2</v>
      </c>
      <c r="F44" s="140" t="str">
        <f>IFERROR(IF(VLOOKUP($A44,TableHandbook[],F$2,FALSE)=0,"",VLOOKUP($A44,TableHandbook[],F$2,FALSE)),"")</f>
        <v>See below</v>
      </c>
      <c r="G44" s="132">
        <f>IFERROR(IF(VLOOKUP($A44,TableHandbook[],G$2,FALSE)=0,"",VLOOKUP($A44,TableHandbook[],G$2,FALSE)),"")</f>
        <v>25</v>
      </c>
      <c r="H44" s="226" t="str">
        <f>IFERROR(VLOOKUP($A44,TableHandbook[],H$2,FALSE),"")</f>
        <v/>
      </c>
      <c r="I44" s="227" t="str">
        <f>IFERROR(VLOOKUP($A44,TableHandbook[],I$2,FALSE),"")</f>
        <v/>
      </c>
      <c r="J44" s="227" t="str">
        <f>IFERROR(VLOOKUP($A44,TableHandbook[],J$2,FALSE),"")</f>
        <v/>
      </c>
      <c r="K44" s="228" t="str">
        <f>IFERROR(VLOOKUP($A44,TableHandbook[],K$2,FALSE),"")</f>
        <v/>
      </c>
      <c r="L44" s="46"/>
      <c r="M44" s="133">
        <v>25</v>
      </c>
      <c r="N44" s="134"/>
      <c r="O44" s="134"/>
      <c r="W44" s="34"/>
    </row>
    <row r="45" spans="1:23" s="31" customFormat="1" ht="21" x14ac:dyDescent="0.25">
      <c r="A45" s="118" t="s">
        <v>29</v>
      </c>
      <c r="B45" s="118"/>
      <c r="C45" s="125" t="s">
        <v>18</v>
      </c>
      <c r="D45" s="135" t="s">
        <v>3</v>
      </c>
      <c r="E45" s="125" t="s">
        <v>19</v>
      </c>
      <c r="F45" s="118" t="s">
        <v>20</v>
      </c>
      <c r="G45" s="118" t="s">
        <v>21</v>
      </c>
      <c r="H45" s="217" t="str">
        <f>H$9</f>
        <v>SP1</v>
      </c>
      <c r="I45" s="218" t="str">
        <f t="shared" ref="I45:L45" si="2">I$9</f>
        <v>SP2</v>
      </c>
      <c r="J45" s="218" t="str">
        <f t="shared" si="2"/>
        <v>SP3</v>
      </c>
      <c r="K45" s="219" t="str">
        <f t="shared" si="2"/>
        <v>SP4</v>
      </c>
      <c r="L45" s="118" t="str">
        <f t="shared" si="2"/>
        <v>Notes / Progress</v>
      </c>
      <c r="M45" s="136"/>
      <c r="N45" s="124"/>
      <c r="O45" s="124"/>
      <c r="W45" s="30"/>
    </row>
    <row r="46" spans="1:23" s="33" customFormat="1" ht="20.100000000000001" customHeight="1" x14ac:dyDescent="0.15">
      <c r="A46" s="138" t="str">
        <f>IFERROR(IF(HLOOKUP($L$6,RangeUnitSetsSec,M46,FALSE)=0,"",HLOOKUP($L$6,RangeUnitSetsSec,M46,FALSE)),"")</f>
        <v>LCST3008</v>
      </c>
      <c r="B46" s="132">
        <f>IFERROR(IF(VLOOKUP($A46,TableHandbook[],B$2,FALSE)=0,"",VLOOKUP($A46,TableHandbook[],B$2,FALSE)),"")</f>
        <v>1</v>
      </c>
      <c r="C46" s="132" t="str">
        <f>IFERROR(IF(VLOOKUP($A46,TableHandbook[],C$2,FALSE)=0,"",VLOOKUP($A46,TableHandbook[],C$2,FALSE)),"")</f>
        <v>ENG300</v>
      </c>
      <c r="D46" s="137" t="str">
        <f>IFERROR(IF(VLOOKUP($A46,TableHandbook[],D$2,FALSE)=0,"",VLOOKUP($A46,TableHandbook[],D$2,FALSE)),"")</f>
        <v>Decolonising Place</v>
      </c>
      <c r="E46" s="132" t="str">
        <f>IF(OR(A46="",A46="--"),"",VLOOKUP($D$7,TableStudyPeriods[],2,FALSE))</f>
        <v>SP3</v>
      </c>
      <c r="F46" s="140" t="str">
        <f>IFERROR(IF(VLOOKUP($A46,TableHandbook[],F$2,FALSE)=0,"",VLOOKUP($A46,TableHandbook[],F$2,FALSE)),"")</f>
        <v>Nil</v>
      </c>
      <c r="G46" s="132">
        <f>IFERROR(IF(VLOOKUP($A46,TableHandbook[],G$2,FALSE)=0,"",VLOOKUP($A46,TableHandbook[],G$2,FALSE)),"")</f>
        <v>25</v>
      </c>
      <c r="H46" s="226" t="str">
        <f>IFERROR(VLOOKUP($A46,TableHandbook[],H$2,FALSE),"")</f>
        <v>Y</v>
      </c>
      <c r="I46" s="227" t="str">
        <f>IFERROR(VLOOKUP($A46,TableHandbook[],I$2,FALSE),"")</f>
        <v/>
      </c>
      <c r="J46" s="227" t="str">
        <f>IFERROR(VLOOKUP($A46,TableHandbook[],J$2,FALSE),"")</f>
        <v>Y</v>
      </c>
      <c r="K46" s="228" t="str">
        <f>IFERROR(VLOOKUP($A46,TableHandbook[],K$2,FALSE),"")</f>
        <v/>
      </c>
      <c r="L46" s="46"/>
      <c r="M46" s="133">
        <v>26</v>
      </c>
      <c r="N46" s="131"/>
      <c r="O46" s="131"/>
      <c r="W46" s="32"/>
    </row>
    <row r="47" spans="1:23" s="33" customFormat="1" ht="19.5" customHeight="1" x14ac:dyDescent="0.15">
      <c r="A47" s="138" t="str">
        <f>IFERROR(IF(HLOOKUP($L$6,RangeUnitSetsSec,M47,FALSE)=0,"",HLOOKUP($L$6,RangeUnitSetsSec,M47,FALSE)),"")</f>
        <v>SpecElec</v>
      </c>
      <c r="B47" s="132" t="str">
        <f>IFERROR(IF(VLOOKUP($A47,TableHandbook[],B$2,FALSE)=0,"",VLOOKUP($A47,TableHandbook[],B$2,FALSE)),"")</f>
        <v/>
      </c>
      <c r="C47" s="132" t="str">
        <f>IFERROR(IF(VLOOKUP($A47,TableHandbook[],C$2,FALSE)=0,"",VLOOKUP($A47,TableHandbook[],C$2,FALSE)),"")</f>
        <v/>
      </c>
      <c r="D47" s="139" t="str">
        <f>IFERROR(IF(VLOOKUP($A47,TableHandbook[],D$2,FALSE)=0,"",VLOOKUP($A47,TableHandbook[],D$2,FALSE)),"")</f>
        <v>Study a Specified Elective subject from the list below</v>
      </c>
      <c r="E47" s="132" t="str">
        <f>IF(OR(A47="",A47="-"),"",E46)</f>
        <v>SP3</v>
      </c>
      <c r="F47" s="140" t="str">
        <f>IFERROR(IF(VLOOKUP($A47,TableHandbook[],F$2,FALSE)=0,"",VLOOKUP($A47,TableHandbook[],F$2,FALSE)),"")</f>
        <v>See below</v>
      </c>
      <c r="G47" s="132">
        <f>IFERROR(IF(VLOOKUP($A47,TableHandbook[],G$2,FALSE)=0,"",VLOOKUP($A47,TableHandbook[],G$2,FALSE)),"")</f>
        <v>25</v>
      </c>
      <c r="H47" s="226" t="str">
        <f>IFERROR(VLOOKUP($A47,TableHandbook[],H$2,FALSE),"")</f>
        <v/>
      </c>
      <c r="I47" s="227" t="str">
        <f>IFERROR(VLOOKUP($A47,TableHandbook[],I$2,FALSE),"")</f>
        <v/>
      </c>
      <c r="J47" s="227" t="str">
        <f>IFERROR(VLOOKUP($A47,TableHandbook[],J$2,FALSE),"")</f>
        <v/>
      </c>
      <c r="K47" s="228" t="str">
        <f>IFERROR(VLOOKUP($A47,TableHandbook[],K$2,FALSE),"")</f>
        <v/>
      </c>
      <c r="L47" s="46"/>
      <c r="M47" s="133">
        <v>27</v>
      </c>
      <c r="N47" s="131"/>
      <c r="O47" s="131"/>
      <c r="W47" s="32"/>
    </row>
    <row r="48" spans="1:23" s="33" customFormat="1" ht="5.0999999999999996" customHeight="1" x14ac:dyDescent="0.15">
      <c r="A48" s="186"/>
      <c r="B48" s="187"/>
      <c r="C48" s="187"/>
      <c r="D48" s="193"/>
      <c r="E48" s="187"/>
      <c r="F48" s="188"/>
      <c r="G48" s="187"/>
      <c r="H48" s="223"/>
      <c r="I48" s="224"/>
      <c r="J48" s="224"/>
      <c r="K48" s="225"/>
      <c r="L48" s="189"/>
      <c r="M48" s="130"/>
      <c r="N48" s="131"/>
      <c r="O48" s="131"/>
      <c r="P48" s="131"/>
      <c r="W48" s="32"/>
    </row>
    <row r="49" spans="1:23" s="33" customFormat="1" ht="20.100000000000001" customHeight="1" x14ac:dyDescent="0.15">
      <c r="A49" s="138" t="str">
        <f>IFERROR(IF(HLOOKUP($L$6,RangeUnitSetsSec,M49,FALSE)=0,"",HLOOKUP($L$6,RangeUnitSetsSec,M49,FALSE)),"")</f>
        <v>LCST3009</v>
      </c>
      <c r="B49" s="132">
        <f>IFERROR(IF(VLOOKUP($A49,TableHandbook[],B$2,FALSE)=0,"",VLOOKUP($A49,TableHandbook[],B$2,FALSE)),"")</f>
        <v>1</v>
      </c>
      <c r="C49" s="132" t="str">
        <f>IFERROR(IF(VLOOKUP($A49,TableHandbook[],C$2,FALSE)=0,"",VLOOKUP($A49,TableHandbook[],C$2,FALSE)),"")</f>
        <v>ENG310</v>
      </c>
      <c r="D49" s="139" t="str">
        <f>IFERROR(IF(VLOOKUP($A49,TableHandbook[],D$2,FALSE)=0,"",VLOOKUP($A49,TableHandbook[],D$2,FALSE)),"")</f>
        <v>Textual Futures</v>
      </c>
      <c r="E49" s="132" t="str">
        <f>IF(OR(A49="",A49="--"),"",VLOOKUP($D$7,TableStudyPeriods[],3,FALSE))</f>
        <v>SP4</v>
      </c>
      <c r="F49" s="140" t="str">
        <f>IFERROR(IF(VLOOKUP($A49,TableHandbook[],F$2,FALSE)=0,"",VLOOKUP($A49,TableHandbook[],F$2,FALSE)),"")</f>
        <v>Nil</v>
      </c>
      <c r="G49" s="132">
        <f>IFERROR(IF(VLOOKUP($A49,TableHandbook[],G$2,FALSE)=0,"",VLOOKUP($A49,TableHandbook[],G$2,FALSE)),"")</f>
        <v>25</v>
      </c>
      <c r="H49" s="226" t="str">
        <f>IFERROR(VLOOKUP($A49,TableHandbook[],H$2,FALSE),"")</f>
        <v/>
      </c>
      <c r="I49" s="227" t="str">
        <f>IFERROR(VLOOKUP($A49,TableHandbook[],I$2,FALSE),"")</f>
        <v>Y</v>
      </c>
      <c r="J49" s="227" t="str">
        <f>IFERROR(VLOOKUP($A49,TableHandbook[],J$2,FALSE),"")</f>
        <v/>
      </c>
      <c r="K49" s="228" t="str">
        <f>IFERROR(VLOOKUP($A49,TableHandbook[],K$2,FALSE),"")</f>
        <v>Y</v>
      </c>
      <c r="L49" s="46"/>
      <c r="M49" s="133">
        <v>28</v>
      </c>
      <c r="N49" s="131"/>
      <c r="O49" s="131"/>
      <c r="W49" s="32"/>
    </row>
    <row r="50" spans="1:23" s="33" customFormat="1" ht="20.100000000000001" customHeight="1" x14ac:dyDescent="0.15">
      <c r="A50" s="138" t="str">
        <f>IFERROR(IF(HLOOKUP($L$6,RangeUnitSetsSec,M50,FALSE)=0,"",HLOOKUP($L$6,RangeUnitSetsSec,M50,FALSE)),"")</f>
        <v>EDUC4050</v>
      </c>
      <c r="B50" s="132">
        <f>IFERROR(IF(VLOOKUP($A50,TableHandbook[],B$2,FALSE)=0,"",VLOOKUP($A50,TableHandbook[],B$2,FALSE)),"")</f>
        <v>1</v>
      </c>
      <c r="C50" s="132" t="str">
        <f>IFERROR(IF(VLOOKUP($A50,TableHandbook[],C$2,FALSE)=0,"",VLOOKUP($A50,TableHandbook[],C$2,FALSE)),"")</f>
        <v>EDC445</v>
      </c>
      <c r="D50" s="139" t="str">
        <f>IFERROR(IF(VLOOKUP($A50,TableHandbook[],D$2,FALSE)=0,"",VLOOKUP($A50,TableHandbook[],D$2,FALSE)),"")</f>
        <v>The Professional Educator: Transition to the Profession</v>
      </c>
      <c r="E50" s="132" t="str">
        <f>IF(OR(A50="",A50="-"),"",E49)</f>
        <v>SP4</v>
      </c>
      <c r="F50" s="140" t="str">
        <f>IFERROR(IF(VLOOKUP($A50,TableHandbook[],F$2,FALSE)=0,"",VLOOKUP($A50,TableHandbook[],F$2,FALSE)),"")</f>
        <v>(EDE310 or EDP320 or EDS360)*</v>
      </c>
      <c r="G50" s="132">
        <f>IFERROR(IF(VLOOKUP($A50,TableHandbook[],G$2,FALSE)=0,"",VLOOKUP($A50,TableHandbook[],G$2,FALSE)),"")</f>
        <v>25</v>
      </c>
      <c r="H50" s="226" t="str">
        <f>IFERROR(VLOOKUP($A50,TableHandbook[],H$2,FALSE),"")</f>
        <v/>
      </c>
      <c r="I50" s="227" t="str">
        <f>IFERROR(VLOOKUP($A50,TableHandbook[],I$2,FALSE),"")</f>
        <v>Y</v>
      </c>
      <c r="J50" s="227" t="str">
        <f>IFERROR(VLOOKUP($A50,TableHandbook[],J$2,FALSE),"")</f>
        <v/>
      </c>
      <c r="K50" s="228" t="str">
        <f>IFERROR(VLOOKUP($A50,TableHandbook[],K$2,FALSE),"")</f>
        <v>Y</v>
      </c>
      <c r="L50" s="46"/>
      <c r="M50" s="130">
        <v>29</v>
      </c>
      <c r="N50" s="131"/>
      <c r="O50" s="131"/>
      <c r="W50" s="32"/>
    </row>
    <row r="51" spans="1:23" s="33" customFormat="1" ht="5.0999999999999996" customHeight="1" x14ac:dyDescent="0.15">
      <c r="A51" s="186"/>
      <c r="B51" s="187"/>
      <c r="C51" s="187"/>
      <c r="D51" s="193"/>
      <c r="E51" s="187"/>
      <c r="F51" s="188"/>
      <c r="G51" s="187"/>
      <c r="H51" s="223"/>
      <c r="I51" s="224"/>
      <c r="J51" s="224"/>
      <c r="K51" s="225"/>
      <c r="L51" s="189"/>
      <c r="M51" s="130"/>
      <c r="N51" s="131"/>
      <c r="O51" s="131"/>
      <c r="P51" s="131"/>
      <c r="W51" s="32"/>
    </row>
    <row r="52" spans="1:23" s="33" customFormat="1" ht="20.100000000000001" customHeight="1" x14ac:dyDescent="0.15">
      <c r="A52" s="126" t="str">
        <f>IFERROR(IF(HLOOKUP($L$6,RangeUnitSetsSec,M52,FALSE)=0,"",HLOOKUP($L$6,RangeUnitSetsSec,M52,FALSE)),"")</f>
        <v>EDUC4041</v>
      </c>
      <c r="B52" s="132">
        <f>IFERROR(IF(VLOOKUP($A52,TableHandbook[],B$2,FALSE)=0,"",VLOOKUP($A52,TableHandbook[],B$2,FALSE)),"")</f>
        <v>1</v>
      </c>
      <c r="C52" s="132" t="str">
        <f>IFERROR(IF(VLOOKUP($A52,TableHandbook[],C$2,FALSE)=0,"",VLOOKUP($A52,TableHandbook[],C$2,FALSE)),"")</f>
        <v>EDC450</v>
      </c>
      <c r="D52" s="139" t="str">
        <f>IFERROR(IF(VLOOKUP($A52,TableHandbook[],D$2,FALSE)=0,"",VLOOKUP($A52,TableHandbook[],D$2,FALSE)),"")</f>
        <v>Professional Experience 4: The Internship</v>
      </c>
      <c r="E52" s="132" t="str">
        <f>IF(OR(A52="",A52="--"),"",VLOOKUP($D$7,TableStudyPeriods[],4,FALSE))</f>
        <v>SP1</v>
      </c>
      <c r="F52" s="129" t="str">
        <f>IFERROR(IF(VLOOKUP($A52,TableHandbook[],F$2,FALSE)=0,"",VLOOKUP($A52,TableHandbook[],F$2,FALSE)),"")</f>
        <v>All other units</v>
      </c>
      <c r="G52" s="127">
        <f>IFERROR(IF(VLOOKUP($A52,TableHandbook[],G$2,FALSE)=0,"",VLOOKUP($A52,TableHandbook[],G$2,FALSE)),"")</f>
        <v>100</v>
      </c>
      <c r="H52" s="220" t="str">
        <f>IFERROR(VLOOKUP($A52,TableHandbook[],H$2,FALSE),"")</f>
        <v>Y</v>
      </c>
      <c r="I52" s="221" t="str">
        <f>IFERROR(VLOOKUP($A52,TableHandbook[],I$2,FALSE),"")</f>
        <v>Y</v>
      </c>
      <c r="J52" s="221" t="str">
        <f>IFERROR(VLOOKUP($A52,TableHandbook[],J$2,FALSE),"")</f>
        <v>Y</v>
      </c>
      <c r="K52" s="222" t="str">
        <f>IFERROR(VLOOKUP($A52,TableHandbook[],K$2,FALSE),"")</f>
        <v>Y</v>
      </c>
      <c r="L52" s="45"/>
      <c r="M52" s="130">
        <v>30</v>
      </c>
      <c r="N52" s="131"/>
      <c r="O52" s="131"/>
      <c r="W52" s="32"/>
    </row>
    <row r="53" spans="1:23" s="33" customFormat="1" ht="20.100000000000001" customHeight="1" x14ac:dyDescent="0.15">
      <c r="A53" s="126" t="str">
        <f>IFERROR(IF(HLOOKUP($L$6,RangeUnitSetsSec,M53,FALSE)=0,"",HLOOKUP($L$6,RangeUnitSetsSec,M53,FALSE)),"")</f>
        <v>-</v>
      </c>
      <c r="B53" s="132" t="str">
        <f>IFERROR(IF(VLOOKUP($A53,TableHandbook[],B$2,FALSE)=0,"",VLOOKUP($A53,TableHandbook[],B$2,FALSE)),"")</f>
        <v/>
      </c>
      <c r="C53" s="132" t="str">
        <f>IFERROR(IF(VLOOKUP($A53,TableHandbook[],C$2,FALSE)=0,"",VLOOKUP($A53,TableHandbook[],C$2,FALSE)),"")</f>
        <v/>
      </c>
      <c r="D53" s="139" t="str">
        <f>IFERROR(IF(VLOOKUP($A53,TableHandbook[],D$2,FALSE)=0,"",VLOOKUP($A53,TableHandbook[],D$2,FALSE)),"")</f>
        <v>Please note this is a 100CP subject</v>
      </c>
      <c r="E53" s="132" t="str">
        <f>IF(OR(A53="",A53="-"),"",E52)</f>
        <v/>
      </c>
      <c r="F53" s="129" t="str">
        <f>IFERROR(IF(VLOOKUP($A53,TableHandbook[],F$2,FALSE)=0,"",VLOOKUP($A53,TableHandbook[],F$2,FALSE)),"")</f>
        <v>-</v>
      </c>
      <c r="G53" s="127" t="str">
        <f>IFERROR(IF(VLOOKUP($A53,TableHandbook[],G$2,FALSE)=0,"",VLOOKUP($A53,TableHandbook[],G$2,FALSE)),"")</f>
        <v/>
      </c>
      <c r="H53" s="220" t="str">
        <f>IFERROR(VLOOKUP($A53,TableHandbook[],H$2,FALSE),"")</f>
        <v/>
      </c>
      <c r="I53" s="221" t="str">
        <f>IFERROR(VLOOKUP($A53,TableHandbook[],I$2,FALSE),"")</f>
        <v/>
      </c>
      <c r="J53" s="221" t="str">
        <f>IFERROR(VLOOKUP($A53,TableHandbook[],J$2,FALSE),"")</f>
        <v/>
      </c>
      <c r="K53" s="222" t="str">
        <f>IFERROR(VLOOKUP($A53,TableHandbook[],K$2,FALSE),"")</f>
        <v/>
      </c>
      <c r="L53" s="45"/>
      <c r="M53" s="130">
        <v>31</v>
      </c>
      <c r="N53" s="131"/>
      <c r="O53" s="131"/>
      <c r="W53" s="32"/>
    </row>
    <row r="54" spans="1:23" s="39" customFormat="1" ht="13.9" customHeight="1" x14ac:dyDescent="0.2">
      <c r="A54" s="141"/>
      <c r="B54" s="141"/>
      <c r="C54" s="141"/>
      <c r="D54" s="142"/>
      <c r="E54" s="142"/>
      <c r="F54" s="143"/>
      <c r="G54" s="143"/>
      <c r="H54" s="143"/>
      <c r="I54" s="143"/>
      <c r="J54" s="143"/>
      <c r="K54" s="143"/>
      <c r="L54" s="143"/>
      <c r="M54" s="144"/>
      <c r="N54" s="145"/>
      <c r="O54" s="145"/>
      <c r="W54" s="38"/>
    </row>
    <row r="55" spans="1:23" ht="16.5" x14ac:dyDescent="0.25">
      <c r="A55" s="146" t="s">
        <v>178</v>
      </c>
      <c r="B55" s="147"/>
      <c r="C55" s="147"/>
      <c r="D55" s="148"/>
      <c r="E55" s="149"/>
      <c r="F55" s="149"/>
      <c r="G55" s="149"/>
      <c r="H55" s="150" t="str">
        <f>H8</f>
        <v>2025 Availabilities</v>
      </c>
      <c r="I55" s="191"/>
      <c r="J55" s="191"/>
      <c r="K55" s="192"/>
      <c r="L55" s="151"/>
      <c r="M55" s="152"/>
      <c r="W55" s="29"/>
    </row>
    <row r="56" spans="1:23" s="41" customFormat="1" x14ac:dyDescent="0.25">
      <c r="A56" s="153"/>
      <c r="B56" s="153"/>
      <c r="C56" s="153" t="s">
        <v>18</v>
      </c>
      <c r="D56" s="154" t="s">
        <v>3</v>
      </c>
      <c r="E56" s="153"/>
      <c r="F56" s="153" t="s">
        <v>20</v>
      </c>
      <c r="G56" s="153" t="s">
        <v>21</v>
      </c>
      <c r="H56" s="229" t="str">
        <f>H$9</f>
        <v>SP1</v>
      </c>
      <c r="I56" s="230" t="str">
        <f t="shared" ref="I56:L56" si="3">I$9</f>
        <v>SP2</v>
      </c>
      <c r="J56" s="230" t="str">
        <f t="shared" si="3"/>
        <v>SP3</v>
      </c>
      <c r="K56" s="231" t="str">
        <f t="shared" si="3"/>
        <v>SP4</v>
      </c>
      <c r="L56" s="194" t="str">
        <f t="shared" si="3"/>
        <v>Notes / Progress</v>
      </c>
      <c r="M56" s="152"/>
      <c r="W56" s="40"/>
    </row>
    <row r="57" spans="1:23" x14ac:dyDescent="0.25">
      <c r="A57" s="155" t="str">
        <f t="shared" ref="A57:A81" si="4">IFERROR(IF(HLOOKUP($L$6,RangeUnitSetsSec,M57,FALSE)=0,"",HLOOKUP($L$6,RangeUnitSetsSec,M57,FALSE)),"")</f>
        <v>Opt-ENGL1</v>
      </c>
      <c r="B57" s="160" t="str">
        <f>IFERROR(IF(VLOOKUP($A57,TableHandbook[],B$2,FALSE)=0,"",VLOOKUP($A57,TableHandbook[],B$2,FALSE)),"")</f>
        <v/>
      </c>
      <c r="C57" s="160" t="str">
        <f>IFERROR(IF(VLOOKUP($A57,TableHandbook[],C$2,FALSE)=0,"",VLOOKUP($A57,TableHandbook[],C$2,FALSE)),"")</f>
        <v/>
      </c>
      <c r="D57" s="158" t="str">
        <f>IFERROR(IF(VLOOKUP($A57,TableHandbook[],D$2,FALSE)=0,"",VLOOKUP($A57,TableHandbook[],D$2,FALSE)),"")</f>
        <v>Study any FOUR specified electives from this list</v>
      </c>
      <c r="E57" s="158"/>
      <c r="F57" s="159" t="str">
        <f>IFERROR(IF(VLOOKUP($A57,TableHandbook[],F$2,FALSE)=0,"",VLOOKUP($A57,TableHandbook[],F$2,FALSE)),"")</f>
        <v/>
      </c>
      <c r="G57" s="159">
        <f>IFERROR(IF(VLOOKUP($A57,TableHandbook[],G$2,FALSE)=0,"",VLOOKUP($A57,TableHandbook[],G$2,FALSE)),"")</f>
        <v>100</v>
      </c>
      <c r="H57" s="232" t="str">
        <f>IFERROR(VLOOKUP($A57,TableHandbook[],H$2,FALSE),"")</f>
        <v/>
      </c>
      <c r="I57" s="232" t="str">
        <f>IFERROR(VLOOKUP($A57,TableHandbook[],I$2,FALSE),"")</f>
        <v/>
      </c>
      <c r="J57" s="232" t="str">
        <f>IFERROR(VLOOKUP($A57,TableHandbook[],J$2,FALSE),"")</f>
        <v/>
      </c>
      <c r="K57" s="232" t="str">
        <f>IFERROR(VLOOKUP($A57,TableHandbook[],K$2,FALSE),"")</f>
        <v/>
      </c>
      <c r="L57" s="46"/>
      <c r="M57" s="130">
        <v>34</v>
      </c>
      <c r="W57" s="29"/>
    </row>
    <row r="58" spans="1:23" x14ac:dyDescent="0.25">
      <c r="A58" s="155" t="str">
        <f t="shared" si="4"/>
        <v>CTED4004</v>
      </c>
      <c r="B58" s="160">
        <f>IFERROR(IF(VLOOKUP($A58,TableHandbook[],B$2,FALSE)=0,"",VLOOKUP($A58,TableHandbook[],B$2,FALSE)),"")</f>
        <v>2</v>
      </c>
      <c r="C58" s="160" t="str">
        <f>IFERROR(IF(VLOOKUP($A58,TableHandbook[],C$2,FALSE)=0,"",VLOOKUP($A58,TableHandbook[],C$2,FALSE)),"")</f>
        <v>EDC484</v>
      </c>
      <c r="D58" s="157" t="str">
        <f>IFERROR(IF(VLOOKUP($A58,TableHandbook[],D$2,FALSE)=0,"",VLOOKUP($A58,TableHandbook[],D$2,FALSE)),"")</f>
        <v>Teaching About Sacraments in Catholic Schools</v>
      </c>
      <c r="E58" s="158"/>
      <c r="F58" s="159" t="str">
        <f>IFERROR(IF(VLOOKUP($A58,TableHandbook[],F$2,FALSE)=0,"",VLOOKUP($A58,TableHandbook[],F$2,FALSE)),"")</f>
        <v>Nil</v>
      </c>
      <c r="G58" s="159">
        <f>IFERROR(IF(VLOOKUP($A58,TableHandbook[],G$2,FALSE)=0,"",VLOOKUP($A58,TableHandbook[],G$2,FALSE)),"")</f>
        <v>25</v>
      </c>
      <c r="H58" s="232" t="str">
        <f>IFERROR(VLOOKUP($A58,TableHandbook[],H$2,FALSE),"")</f>
        <v/>
      </c>
      <c r="I58" s="232" t="str">
        <f>IFERROR(VLOOKUP($A58,TableHandbook[],I$2,FALSE),"")</f>
        <v>Y</v>
      </c>
      <c r="J58" s="232" t="str">
        <f>IFERROR(VLOOKUP($A58,TableHandbook[],J$2,FALSE),"")</f>
        <v/>
      </c>
      <c r="K58" s="232" t="str">
        <f>IFERROR(VLOOKUP($A58,TableHandbook[],K$2,FALSE),"")</f>
        <v/>
      </c>
      <c r="L58" s="46"/>
      <c r="M58" s="130">
        <v>35</v>
      </c>
      <c r="W58" s="29"/>
    </row>
    <row r="59" spans="1:23" x14ac:dyDescent="0.25">
      <c r="A59" s="155" t="str">
        <f t="shared" si="4"/>
        <v>CTED4007</v>
      </c>
      <c r="B59" s="160">
        <f>IFERROR(IF(VLOOKUP($A59,TableHandbook[],B$2,FALSE)=0,"",VLOOKUP($A59,TableHandbook[],B$2,FALSE)),"")</f>
        <v>1</v>
      </c>
      <c r="C59" s="160" t="str">
        <f>IFERROR(IF(VLOOKUP($A59,TableHandbook[],C$2,FALSE)=0,"",VLOOKUP($A59,TableHandbook[],C$2,FALSE)),"")</f>
        <v>EDC430</v>
      </c>
      <c r="D59" s="157" t="str">
        <f>IFERROR(IF(VLOOKUP($A59,TableHandbook[],D$2,FALSE)=0,"",VLOOKUP($A59,TableHandbook[],D$2,FALSE)),"")</f>
        <v>Teaching About Jesus in Catholic Schools</v>
      </c>
      <c r="E59" s="158"/>
      <c r="F59" s="159" t="str">
        <f>IFERROR(IF(VLOOKUP($A59,TableHandbook[],F$2,FALSE)=0,"",VLOOKUP($A59,TableHandbook[],F$2,FALSE)),"")</f>
        <v>Nil</v>
      </c>
      <c r="G59" s="159">
        <f>IFERROR(IF(VLOOKUP($A59,TableHandbook[],G$2,FALSE)=0,"",VLOOKUP($A59,TableHandbook[],G$2,FALSE)),"")</f>
        <v>25</v>
      </c>
      <c r="H59" s="232" t="str">
        <f>IFERROR(VLOOKUP($A59,TableHandbook[],H$2,FALSE),"")</f>
        <v/>
      </c>
      <c r="I59" s="232" t="str">
        <f>IFERROR(VLOOKUP($A59,TableHandbook[],I$2,FALSE),"")</f>
        <v/>
      </c>
      <c r="J59" s="232" t="str">
        <f>IFERROR(VLOOKUP($A59,TableHandbook[],J$2,FALSE),"")</f>
        <v/>
      </c>
      <c r="K59" s="232" t="str">
        <f>IFERROR(VLOOKUP($A59,TableHandbook[],K$2,FALSE),"")</f>
        <v>Y</v>
      </c>
      <c r="L59" s="46"/>
      <c r="M59" s="130">
        <v>36</v>
      </c>
      <c r="W59" s="29"/>
    </row>
    <row r="60" spans="1:23" x14ac:dyDescent="0.25">
      <c r="A60" s="155" t="str">
        <f t="shared" si="4"/>
        <v>CTED4009</v>
      </c>
      <c r="B60" s="160">
        <f>IFERROR(IF(VLOOKUP($A60,TableHandbook[],B$2,FALSE)=0,"",VLOOKUP($A60,TableHandbook[],B$2,FALSE)),"")</f>
        <v>1</v>
      </c>
      <c r="C60" s="160" t="str">
        <f>IFERROR(IF(VLOOKUP($A60,TableHandbook[],C$2,FALSE)=0,"",VLOOKUP($A60,TableHandbook[],C$2,FALSE)),"")</f>
        <v>EDC435</v>
      </c>
      <c r="D60" s="157" t="str">
        <f>IFERROR(IF(VLOOKUP($A60,TableHandbook[],D$2,FALSE)=0,"",VLOOKUP($A60,TableHandbook[],D$2,FALSE)),"")</f>
        <v>Teaching About the Gospels in Catholic Schools</v>
      </c>
      <c r="E60" s="158"/>
      <c r="F60" s="159" t="str">
        <f>IFERROR(IF(VLOOKUP($A60,TableHandbook[],F$2,FALSE)=0,"",VLOOKUP($A60,TableHandbook[],F$2,FALSE)),"")</f>
        <v>Nil</v>
      </c>
      <c r="G60" s="159">
        <f>IFERROR(IF(VLOOKUP($A60,TableHandbook[],G$2,FALSE)=0,"",VLOOKUP($A60,TableHandbook[],G$2,FALSE)),"")</f>
        <v>25</v>
      </c>
      <c r="H60" s="232" t="str">
        <f>IFERROR(VLOOKUP($A60,TableHandbook[],H$2,FALSE),"")</f>
        <v>Y</v>
      </c>
      <c r="I60" s="232" t="str">
        <f>IFERROR(VLOOKUP($A60,TableHandbook[],I$2,FALSE),"")</f>
        <v/>
      </c>
      <c r="J60" s="232" t="str">
        <f>IFERROR(VLOOKUP($A60,TableHandbook[],J$2,FALSE),"")</f>
        <v/>
      </c>
      <c r="K60" s="232" t="str">
        <f>IFERROR(VLOOKUP($A60,TableHandbook[],K$2,FALSE),"")</f>
        <v/>
      </c>
      <c r="L60" s="46"/>
      <c r="M60" s="130">
        <v>37</v>
      </c>
      <c r="W60" s="29"/>
    </row>
    <row r="61" spans="1:23" x14ac:dyDescent="0.25">
      <c r="A61" s="155" t="str">
        <f t="shared" si="4"/>
        <v>EDUC4026</v>
      </c>
      <c r="B61" s="160">
        <f>IFERROR(IF(VLOOKUP($A61,TableHandbook[],B$2,FALSE)=0,"",VLOOKUP($A61,TableHandbook[],B$2,FALSE)),"")</f>
        <v>1</v>
      </c>
      <c r="C61" s="160" t="str">
        <f>IFERROR(IF(VLOOKUP($A61,TableHandbook[],C$2,FALSE)=0,"",VLOOKUP($A61,TableHandbook[],C$2,FALSE)),"")</f>
        <v>EDC488</v>
      </c>
      <c r="D61" s="157" t="str">
        <f>IFERROR(IF(VLOOKUP($A61,TableHandbook[],D$2,FALSE)=0,"",VLOOKUP($A61,TableHandbook[],D$2,FALSE)),"")</f>
        <v>Project-based iSTEM Education</v>
      </c>
      <c r="E61" s="158"/>
      <c r="F61" s="159" t="str">
        <f>IFERROR(IF(VLOOKUP($A61,TableHandbook[],F$2,FALSE)=0,"",VLOOKUP($A61,TableHandbook[],F$2,FALSE)),"")</f>
        <v>Nil</v>
      </c>
      <c r="G61" s="159">
        <f>IFERROR(IF(VLOOKUP($A61,TableHandbook[],G$2,FALSE)=0,"",VLOOKUP($A61,TableHandbook[],G$2,FALSE)),"")</f>
        <v>25</v>
      </c>
      <c r="H61" s="232" t="str">
        <f>IFERROR(VLOOKUP($A61,TableHandbook[],H$2,FALSE),"")</f>
        <v/>
      </c>
      <c r="I61" s="232" t="str">
        <f>IFERROR(VLOOKUP($A61,TableHandbook[],I$2,FALSE),"")</f>
        <v/>
      </c>
      <c r="J61" s="232" t="str">
        <f>IFERROR(VLOOKUP($A61,TableHandbook[],J$2,FALSE),"")</f>
        <v>Y</v>
      </c>
      <c r="K61" s="232" t="str">
        <f>IFERROR(VLOOKUP($A61,TableHandbook[],K$2,FALSE),"")</f>
        <v/>
      </c>
      <c r="L61" s="46"/>
      <c r="M61" s="130">
        <v>38</v>
      </c>
      <c r="W61" s="29"/>
    </row>
    <row r="62" spans="1:23" x14ac:dyDescent="0.25">
      <c r="A62" s="155" t="str">
        <f t="shared" si="4"/>
        <v>EDUC4028</v>
      </c>
      <c r="B62" s="160">
        <f>IFERROR(IF(VLOOKUP($A62,TableHandbook[],B$2,FALSE)=0,"",VLOOKUP($A62,TableHandbook[],B$2,FALSE)),"")</f>
        <v>1</v>
      </c>
      <c r="C62" s="160" t="str">
        <f>IFERROR(IF(VLOOKUP($A62,TableHandbook[],C$2,FALSE)=0,"",VLOOKUP($A62,TableHandbook[],C$2,FALSE)),"")</f>
        <v>EDC490</v>
      </c>
      <c r="D62" s="157" t="str">
        <f>IFERROR(IF(VLOOKUP($A62,TableHandbook[],D$2,FALSE)=0,"",VLOOKUP($A62,TableHandbook[],D$2,FALSE)),"")</f>
        <v>Supporting Literacy and Numeracy Development for Diverse Learners</v>
      </c>
      <c r="E62" s="157"/>
      <c r="F62" s="159" t="str">
        <f>IFERROR(IF(VLOOKUP($A62,TableHandbook[],F$2,FALSE)=0,"",VLOOKUP($A62,TableHandbook[],F$2,FALSE)),"")</f>
        <v>Nil</v>
      </c>
      <c r="G62" s="160">
        <f>IFERROR(IF(VLOOKUP($A62,TableHandbook[],G$2,FALSE)=0,"",VLOOKUP($A62,TableHandbook[],G$2,FALSE)),"")</f>
        <v>25</v>
      </c>
      <c r="H62" s="232" t="str">
        <f>IFERROR(VLOOKUP($A62,TableHandbook[],H$2,FALSE),"")</f>
        <v/>
      </c>
      <c r="I62" s="232" t="str">
        <f>IFERROR(VLOOKUP($A62,TableHandbook[],I$2,FALSE),"")</f>
        <v/>
      </c>
      <c r="J62" s="232" t="str">
        <f>IFERROR(VLOOKUP($A62,TableHandbook[],J$2,FALSE),"")</f>
        <v/>
      </c>
      <c r="K62" s="232" t="str">
        <f>IFERROR(VLOOKUP($A62,TableHandbook[],K$2,FALSE),"")</f>
        <v>Y</v>
      </c>
      <c r="L62" s="46"/>
      <c r="M62" s="130">
        <v>39</v>
      </c>
      <c r="W62" s="29"/>
    </row>
    <row r="63" spans="1:23" x14ac:dyDescent="0.25">
      <c r="A63" s="155" t="str">
        <f t="shared" si="4"/>
        <v>EDUC4030</v>
      </c>
      <c r="B63" s="160">
        <f>IFERROR(IF(VLOOKUP($A63,TableHandbook[],B$2,FALSE)=0,"",VLOOKUP($A63,TableHandbook[],B$2,FALSE)),"")</f>
        <v>1</v>
      </c>
      <c r="C63" s="160" t="str">
        <f>IFERROR(IF(VLOOKUP($A63,TableHandbook[],C$2,FALSE)=0,"",VLOOKUP($A63,TableHandbook[],C$2,FALSE)),"")</f>
        <v>EDC491</v>
      </c>
      <c r="D63" s="157" t="str">
        <f>IFERROR(IF(VLOOKUP($A63,TableHandbook[],D$2,FALSE)=0,"",VLOOKUP($A63,TableHandbook[],D$2,FALSE)),"")</f>
        <v>Technologies: Coding for Teachers</v>
      </c>
      <c r="E63" s="158"/>
      <c r="F63" s="159" t="str">
        <f>IFERROR(IF(VLOOKUP($A63,TableHandbook[],F$2,FALSE)=0,"",VLOOKUP($A63,TableHandbook[],F$2,FALSE)),"")</f>
        <v>Nil</v>
      </c>
      <c r="G63" s="159">
        <f>IFERROR(IF(VLOOKUP($A63,TableHandbook[],G$2,FALSE)=0,"",VLOOKUP($A63,TableHandbook[],G$2,FALSE)),"")</f>
        <v>25</v>
      </c>
      <c r="H63" s="233" t="str">
        <f>IFERROR(VLOOKUP($A63,TableHandbook[],H$2,FALSE),"")</f>
        <v/>
      </c>
      <c r="I63" s="233" t="str">
        <f>IFERROR(VLOOKUP($A63,TableHandbook[],I$2,FALSE),"")</f>
        <v>Y</v>
      </c>
      <c r="J63" s="233" t="str">
        <f>IFERROR(VLOOKUP($A63,TableHandbook[],J$2,FALSE),"")</f>
        <v/>
      </c>
      <c r="K63" s="233" t="str">
        <f>IFERROR(VLOOKUP($A63,TableHandbook[],K$2,FALSE),"")</f>
        <v/>
      </c>
      <c r="L63" s="45"/>
      <c r="M63" s="130">
        <v>40</v>
      </c>
      <c r="W63" s="29"/>
    </row>
    <row r="64" spans="1:23" x14ac:dyDescent="0.25">
      <c r="A64" s="155" t="str">
        <f t="shared" si="4"/>
        <v>EDUC4033</v>
      </c>
      <c r="B64" s="160">
        <f>IFERROR(IF(VLOOKUP($A64,TableHandbook[],B$2,FALSE)=0,"",VLOOKUP($A64,TableHandbook[],B$2,FALSE)),"")</f>
        <v>1</v>
      </c>
      <c r="C64" s="160" t="str">
        <f>IFERROR(IF(VLOOKUP($A64,TableHandbook[],C$2,FALSE)=0,"",VLOOKUP($A64,TableHandbook[],C$2,FALSE)),"")</f>
        <v>EDC492</v>
      </c>
      <c r="D64" s="157" t="str">
        <f>IFERROR(IF(VLOOKUP($A64,TableHandbook[],D$2,FALSE)=0,"",VLOOKUP($A64,TableHandbook[],D$2,FALSE)),"")</f>
        <v>iSTEM Education through Digital Stories</v>
      </c>
      <c r="E64" s="158"/>
      <c r="F64" s="159" t="str">
        <f>IFERROR(IF(VLOOKUP($A64,TableHandbook[],F$2,FALSE)=0,"",VLOOKUP($A64,TableHandbook[],F$2,FALSE)),"")</f>
        <v>Nil</v>
      </c>
      <c r="G64" s="159">
        <f>IFERROR(IF(VLOOKUP($A64,TableHandbook[],G$2,FALSE)=0,"",VLOOKUP($A64,TableHandbook[],G$2,FALSE)),"")</f>
        <v>25</v>
      </c>
      <c r="H64" s="233" t="str">
        <f>IFERROR(VLOOKUP($A64,TableHandbook[],H$2,FALSE),"")</f>
        <v/>
      </c>
      <c r="I64" s="233" t="str">
        <f>IFERROR(VLOOKUP($A64,TableHandbook[],I$2,FALSE),"")</f>
        <v>Y</v>
      </c>
      <c r="J64" s="233" t="str">
        <f>IFERROR(VLOOKUP($A64,TableHandbook[],J$2,FALSE),"")</f>
        <v/>
      </c>
      <c r="K64" s="233" t="str">
        <f>IFERROR(VLOOKUP($A64,TableHandbook[],K$2,FALSE),"")</f>
        <v/>
      </c>
      <c r="L64" s="46"/>
      <c r="M64" s="130">
        <v>41</v>
      </c>
      <c r="W64" s="29"/>
    </row>
    <row r="65" spans="1:23" x14ac:dyDescent="0.25">
      <c r="A65" s="155" t="str">
        <f t="shared" si="4"/>
        <v>EDUC4035</v>
      </c>
      <c r="B65" s="160">
        <f>IFERROR(IF(VLOOKUP($A65,TableHandbook[],B$2,FALSE)=0,"",VLOOKUP($A65,TableHandbook[],B$2,FALSE)),"")</f>
        <v>1</v>
      </c>
      <c r="C65" s="160" t="str">
        <f>IFERROR(IF(VLOOKUP($A65,TableHandbook[],C$2,FALSE)=0,"",VLOOKUP($A65,TableHandbook[],C$2,FALSE)),"")</f>
        <v>EDC493</v>
      </c>
      <c r="D65" s="157" t="str">
        <f>IFERROR(IF(VLOOKUP($A65,TableHandbook[],D$2,FALSE)=0,"",VLOOKUP($A65,TableHandbook[],D$2,FALSE)),"")</f>
        <v>iSTEM: Social Issues</v>
      </c>
      <c r="E65" s="158"/>
      <c r="F65" s="159" t="str">
        <f>IFERROR(IF(VLOOKUP($A65,TableHandbook[],F$2,FALSE)=0,"",VLOOKUP($A65,TableHandbook[],F$2,FALSE)),"")</f>
        <v>Nil</v>
      </c>
      <c r="G65" s="159">
        <f>IFERROR(IF(VLOOKUP($A65,TableHandbook[],G$2,FALSE)=0,"",VLOOKUP($A65,TableHandbook[],G$2,FALSE)),"")</f>
        <v>25</v>
      </c>
      <c r="H65" s="233" t="str">
        <f>IFERROR(VLOOKUP($A65,TableHandbook[],H$2,FALSE),"")</f>
        <v>Y</v>
      </c>
      <c r="I65" s="233" t="str">
        <f>IFERROR(VLOOKUP($A65,TableHandbook[],I$2,FALSE),"")</f>
        <v/>
      </c>
      <c r="J65" s="233" t="str">
        <f>IFERROR(VLOOKUP($A65,TableHandbook[],J$2,FALSE),"")</f>
        <v/>
      </c>
      <c r="K65" s="233" t="str">
        <f>IFERROR(VLOOKUP($A65,TableHandbook[],K$2,FALSE),"")</f>
        <v/>
      </c>
      <c r="L65" s="46"/>
      <c r="M65" s="130">
        <v>42</v>
      </c>
      <c r="W65" s="29"/>
    </row>
    <row r="66" spans="1:23" x14ac:dyDescent="0.25">
      <c r="A66" s="155" t="str">
        <f t="shared" si="4"/>
        <v>EDUC4037</v>
      </c>
      <c r="B66" s="160">
        <f>IFERROR(IF(VLOOKUP($A66,TableHandbook[],B$2,FALSE)=0,"",VLOOKUP($A66,TableHandbook[],B$2,FALSE)),"")</f>
        <v>1</v>
      </c>
      <c r="C66" s="160" t="str">
        <f>IFERROR(IF(VLOOKUP($A66,TableHandbook[],C$2,FALSE)=0,"",VLOOKUP($A66,TableHandbook[],C$2,FALSE)),"")</f>
        <v>EDC494</v>
      </c>
      <c r="D66" s="157" t="str">
        <f>IFERROR(IF(VLOOKUP($A66,TableHandbook[],D$2,FALSE)=0,"",VLOOKUP($A66,TableHandbook[],D$2,FALSE)),"")</f>
        <v>Language and Diversity</v>
      </c>
      <c r="E66" s="157"/>
      <c r="F66" s="159" t="str">
        <f>IFERROR(IF(VLOOKUP($A66,TableHandbook[],F$2,FALSE)=0,"",VLOOKUP($A66,TableHandbook[],F$2,FALSE)),"")</f>
        <v>Nil</v>
      </c>
      <c r="G66" s="159">
        <f>IFERROR(IF(VLOOKUP($A66,TableHandbook[],G$2,FALSE)=0,"",VLOOKUP($A66,TableHandbook[],G$2,FALSE)),"")</f>
        <v>25</v>
      </c>
      <c r="H66" s="233" t="str">
        <f>IFERROR(VLOOKUP($A66,TableHandbook[],H$2,FALSE),"")</f>
        <v/>
      </c>
      <c r="I66" s="233" t="str">
        <f>IFERROR(VLOOKUP($A66,TableHandbook[],I$2,FALSE),"")</f>
        <v/>
      </c>
      <c r="J66" s="233" t="str">
        <f>IFERROR(VLOOKUP($A66,TableHandbook[],J$2,FALSE),"")</f>
        <v/>
      </c>
      <c r="K66" s="233" t="str">
        <f>IFERROR(VLOOKUP($A66,TableHandbook[],K$2,FALSE),"")</f>
        <v>Y</v>
      </c>
      <c r="L66" s="46"/>
      <c r="M66" s="130">
        <v>43</v>
      </c>
      <c r="W66" s="29"/>
    </row>
    <row r="67" spans="1:23" x14ac:dyDescent="0.25">
      <c r="A67" s="155" t="str">
        <f t="shared" si="4"/>
        <v>EDUC4039</v>
      </c>
      <c r="B67" s="160">
        <f>IFERROR(IF(VLOOKUP($A67,TableHandbook[],B$2,FALSE)=0,"",VLOOKUP($A67,TableHandbook[],B$2,FALSE)),"")</f>
        <v>1</v>
      </c>
      <c r="C67" s="160" t="str">
        <f>IFERROR(IF(VLOOKUP($A67,TableHandbook[],C$2,FALSE)=0,"",VLOOKUP($A67,TableHandbook[],C$2,FALSE)),"")</f>
        <v>EDC495</v>
      </c>
      <c r="D67" s="157" t="str">
        <f>IFERROR(IF(VLOOKUP($A67,TableHandbook[],D$2,FALSE)=0,"",VLOOKUP($A67,TableHandbook[],D$2,FALSE)),"")</f>
        <v>Technologies: Design Solutions</v>
      </c>
      <c r="E67" s="157"/>
      <c r="F67" s="159" t="str">
        <f>IFERROR(IF(VLOOKUP($A67,TableHandbook[],F$2,FALSE)=0,"",VLOOKUP($A67,TableHandbook[],F$2,FALSE)),"")</f>
        <v>Nil</v>
      </c>
      <c r="G67" s="159">
        <f>IFERROR(IF(VLOOKUP($A67,TableHandbook[],G$2,FALSE)=0,"",VLOOKUP($A67,TableHandbook[],G$2,FALSE)),"")</f>
        <v>25</v>
      </c>
      <c r="H67" s="233" t="str">
        <f>IFERROR(VLOOKUP($A67,TableHandbook[],H$2,FALSE),"")</f>
        <v>Y</v>
      </c>
      <c r="I67" s="233" t="str">
        <f>IFERROR(VLOOKUP($A67,TableHandbook[],I$2,FALSE),"")</f>
        <v/>
      </c>
      <c r="J67" s="233" t="str">
        <f>IFERROR(VLOOKUP($A67,TableHandbook[],J$2,FALSE),"")</f>
        <v/>
      </c>
      <c r="K67" s="233" t="str">
        <f>IFERROR(VLOOKUP($A67,TableHandbook[],K$2,FALSE),"")</f>
        <v/>
      </c>
      <c r="L67" s="46"/>
      <c r="M67" s="130">
        <v>44</v>
      </c>
      <c r="W67" s="29"/>
    </row>
    <row r="68" spans="1:23" x14ac:dyDescent="0.25">
      <c r="A68" s="155" t="str">
        <f t="shared" si="4"/>
        <v>EDUC4043</v>
      </c>
      <c r="B68" s="160">
        <f>IFERROR(IF(VLOOKUP($A68,TableHandbook[],B$2,FALSE)=0,"",VLOOKUP($A68,TableHandbook[],B$2,FALSE)),"")</f>
        <v>1</v>
      </c>
      <c r="C68" s="160" t="str">
        <f>IFERROR(IF(VLOOKUP($A68,TableHandbook[],C$2,FALSE)=0,"",VLOOKUP($A68,TableHandbook[],C$2,FALSE)),"")</f>
        <v>EDC465</v>
      </c>
      <c r="D68" s="157" t="str">
        <f>IFERROR(IF(VLOOKUP($A68,TableHandbook[],D$2,FALSE)=0,"",VLOOKUP($A68,TableHandbook[],D$2,FALSE)),"")</f>
        <v>Alternative Approaches to Teaching Literacy and Numeracy</v>
      </c>
      <c r="E68" s="157"/>
      <c r="F68" s="159" t="str">
        <f>IFERROR(IF(VLOOKUP($A68,TableHandbook[],F$2,FALSE)=0,"",VLOOKUP($A68,TableHandbook[],F$2,FALSE)),"")</f>
        <v>Nil</v>
      </c>
      <c r="G68" s="159">
        <f>IFERROR(IF(VLOOKUP($A68,TableHandbook[],G$2,FALSE)=0,"",VLOOKUP($A68,TableHandbook[],G$2,FALSE)),"")</f>
        <v>25</v>
      </c>
      <c r="H68" s="233" t="str">
        <f>IFERROR(VLOOKUP($A68,TableHandbook[],H$2,FALSE),"")</f>
        <v/>
      </c>
      <c r="I68" s="233" t="str">
        <f>IFERROR(VLOOKUP($A68,TableHandbook[],I$2,FALSE),"")</f>
        <v>Y</v>
      </c>
      <c r="J68" s="233" t="str">
        <f>IFERROR(VLOOKUP($A68,TableHandbook[],J$2,FALSE),"")</f>
        <v/>
      </c>
      <c r="K68" s="233" t="str">
        <f>IFERROR(VLOOKUP($A68,TableHandbook[],K$2,FALSE),"")</f>
        <v/>
      </c>
      <c r="L68" s="46"/>
      <c r="M68" s="130">
        <v>45</v>
      </c>
      <c r="W68" s="29"/>
    </row>
    <row r="69" spans="1:23" x14ac:dyDescent="0.25">
      <c r="A69" s="155" t="str">
        <f t="shared" si="4"/>
        <v>EDUC4045</v>
      </c>
      <c r="B69" s="160">
        <f>IFERROR(IF(VLOOKUP($A69,TableHandbook[],B$2,FALSE)=0,"",VLOOKUP($A69,TableHandbook[],B$2,FALSE)),"")</f>
        <v>2</v>
      </c>
      <c r="C69" s="160" t="str">
        <f>IFERROR(IF(VLOOKUP($A69,TableHandbook[],C$2,FALSE)=0,"",VLOOKUP($A69,TableHandbook[],C$2,FALSE)),"")</f>
        <v>EDC460</v>
      </c>
      <c r="D69" s="157" t="str">
        <f>IFERROR(IF(VLOOKUP($A69,TableHandbook[],D$2,FALSE)=0,"",VLOOKUP($A69,TableHandbook[],D$2,FALSE)),"")</f>
        <v>Literacy and Numeracy for First Nations Peoples of Australia</v>
      </c>
      <c r="E69" s="157"/>
      <c r="F69" s="159" t="str">
        <f>IFERROR(IF(VLOOKUP($A69,TableHandbook[],F$2,FALSE)=0,"",VLOOKUP($A69,TableHandbook[],F$2,FALSE)),"")</f>
        <v>Nil</v>
      </c>
      <c r="G69" s="159">
        <f>IFERROR(IF(VLOOKUP($A69,TableHandbook[],G$2,FALSE)=0,"",VLOOKUP($A69,TableHandbook[],G$2,FALSE)),"")</f>
        <v>25</v>
      </c>
      <c r="H69" s="233" t="str">
        <f>IFERROR(VLOOKUP($A69,TableHandbook[],H$2,FALSE),"")</f>
        <v/>
      </c>
      <c r="I69" s="233" t="str">
        <f>IFERROR(VLOOKUP($A69,TableHandbook[],I$2,FALSE),"")</f>
        <v/>
      </c>
      <c r="J69" s="233" t="str">
        <f>IFERROR(VLOOKUP($A69,TableHandbook[],J$2,FALSE),"")</f>
        <v>Y</v>
      </c>
      <c r="K69" s="233" t="str">
        <f>IFERROR(VLOOKUP($A69,TableHandbook[],K$2,FALSE),"")</f>
        <v/>
      </c>
      <c r="L69" s="46"/>
      <c r="M69" s="130">
        <v>46</v>
      </c>
      <c r="W69" s="29"/>
    </row>
    <row r="70" spans="1:23" x14ac:dyDescent="0.25">
      <c r="A70" s="155" t="str">
        <f t="shared" si="4"/>
        <v>EDUC4047</v>
      </c>
      <c r="B70" s="160">
        <f>IFERROR(IF(VLOOKUP($A70,TableHandbook[],B$2,FALSE)=0,"",VLOOKUP($A70,TableHandbook[],B$2,FALSE)),"")</f>
        <v>1</v>
      </c>
      <c r="C70" s="160" t="str">
        <f>IFERROR(IF(VLOOKUP($A70,TableHandbook[],C$2,FALSE)=0,"",VLOOKUP($A70,TableHandbook[],C$2,FALSE)),"")</f>
        <v>EDC470</v>
      </c>
      <c r="D70" s="157" t="str">
        <f>IFERROR(IF(VLOOKUP($A70,TableHandbook[],D$2,FALSE)=0,"",VLOOKUP($A70,TableHandbook[],D$2,FALSE)),"")</f>
        <v>Technologies: Digital Solutions</v>
      </c>
      <c r="E70" s="157"/>
      <c r="F70" s="159" t="str">
        <f>IFERROR(IF(VLOOKUP($A70,TableHandbook[],F$2,FALSE)=0,"",VLOOKUP($A70,TableHandbook[],F$2,FALSE)),"")</f>
        <v>Nil</v>
      </c>
      <c r="G70" s="159">
        <f>IFERROR(IF(VLOOKUP($A70,TableHandbook[],G$2,FALSE)=0,"",VLOOKUP($A70,TableHandbook[],G$2,FALSE)),"")</f>
        <v>25</v>
      </c>
      <c r="H70" s="233" t="str">
        <f>IFERROR(VLOOKUP($A70,TableHandbook[],H$2,FALSE),"")</f>
        <v/>
      </c>
      <c r="I70" s="233" t="str">
        <f>IFERROR(VLOOKUP($A70,TableHandbook[],I$2,FALSE),"")</f>
        <v/>
      </c>
      <c r="J70" s="233" t="str">
        <f>IFERROR(VLOOKUP($A70,TableHandbook[],J$2,FALSE),"")</f>
        <v/>
      </c>
      <c r="K70" s="233" t="str">
        <f>IFERROR(VLOOKUP($A70,TableHandbook[],K$2,FALSE),"")</f>
        <v>Y</v>
      </c>
      <c r="L70" s="46"/>
      <c r="M70" s="130">
        <v>47</v>
      </c>
      <c r="W70" s="29"/>
    </row>
    <row r="71" spans="1:23" x14ac:dyDescent="0.25">
      <c r="A71" s="155" t="str">
        <f t="shared" si="4"/>
        <v/>
      </c>
      <c r="B71" s="160" t="str">
        <f>IFERROR(IF(VLOOKUP($A71,TableHandbook[],B$2,FALSE)=0,"",VLOOKUP($A71,TableHandbook[],B$2,FALSE)),"")</f>
        <v/>
      </c>
      <c r="C71" s="160" t="str">
        <f>IFERROR(IF(VLOOKUP($A71,TableHandbook[],C$2,FALSE)=0,"",VLOOKUP($A71,TableHandbook[],C$2,FALSE)),"")</f>
        <v/>
      </c>
      <c r="D71" s="157" t="str">
        <f>IFERROR(IF(VLOOKUP($A71,TableHandbook[],D$2,FALSE)=0,"",VLOOKUP($A71,TableHandbook[],D$2,FALSE)),"")</f>
        <v/>
      </c>
      <c r="E71" s="157"/>
      <c r="F71" s="159" t="str">
        <f>IFERROR(IF(VLOOKUP($A71,TableHandbook[],F$2,FALSE)=0,"",VLOOKUP($A71,TableHandbook[],F$2,FALSE)),"")</f>
        <v/>
      </c>
      <c r="G71" s="159" t="str">
        <f>IFERROR(IF(VLOOKUP($A71,TableHandbook[],G$2,FALSE)=0,"",VLOOKUP($A71,TableHandbook[],G$2,FALSE)),"")</f>
        <v/>
      </c>
      <c r="H71" s="233" t="str">
        <f>IFERROR(VLOOKUP($A71,TableHandbook[],H$2,FALSE),"")</f>
        <v/>
      </c>
      <c r="I71" s="233" t="str">
        <f>IFERROR(VLOOKUP($A71,TableHandbook[],I$2,FALSE),"")</f>
        <v/>
      </c>
      <c r="J71" s="233" t="str">
        <f>IFERROR(VLOOKUP($A71,TableHandbook[],J$2,FALSE),"")</f>
        <v/>
      </c>
      <c r="K71" s="233" t="str">
        <f>IFERROR(VLOOKUP($A71,TableHandbook[],K$2,FALSE),"")</f>
        <v/>
      </c>
      <c r="L71" s="46"/>
      <c r="M71" s="130">
        <v>48</v>
      </c>
      <c r="W71" s="29"/>
    </row>
    <row r="72" spans="1:23" x14ac:dyDescent="0.25">
      <c r="A72" s="155" t="str">
        <f t="shared" si="4"/>
        <v/>
      </c>
      <c r="B72" s="160" t="str">
        <f>IFERROR(IF(VLOOKUP($A72,TableHandbook[],B$2,FALSE)=0,"",VLOOKUP($A72,TableHandbook[],B$2,FALSE)),"")</f>
        <v/>
      </c>
      <c r="C72" s="160" t="str">
        <f>IFERROR(IF(VLOOKUP($A72,TableHandbook[],C$2,FALSE)=0,"",VLOOKUP($A72,TableHandbook[],C$2,FALSE)),"")</f>
        <v/>
      </c>
      <c r="D72" s="157" t="str">
        <f>IFERROR(IF(VLOOKUP($A72,TableHandbook[],D$2,FALSE)=0,"",VLOOKUP($A72,TableHandbook[],D$2,FALSE)),"")</f>
        <v/>
      </c>
      <c r="E72" s="157"/>
      <c r="F72" s="159" t="str">
        <f>IFERROR(IF(VLOOKUP($A72,TableHandbook[],F$2,FALSE)=0,"",VLOOKUP($A72,TableHandbook[],F$2,FALSE)),"")</f>
        <v/>
      </c>
      <c r="G72" s="159" t="str">
        <f>IFERROR(IF(VLOOKUP($A72,TableHandbook[],G$2,FALSE)=0,"",VLOOKUP($A72,TableHandbook[],G$2,FALSE)),"")</f>
        <v/>
      </c>
      <c r="H72" s="233" t="str">
        <f>IFERROR(VLOOKUP($A72,TableHandbook[],H$2,FALSE),"")</f>
        <v/>
      </c>
      <c r="I72" s="233" t="str">
        <f>IFERROR(VLOOKUP($A72,TableHandbook[],I$2,FALSE),"")</f>
        <v/>
      </c>
      <c r="J72" s="233" t="str">
        <f>IFERROR(VLOOKUP($A72,TableHandbook[],J$2,FALSE),"")</f>
        <v/>
      </c>
      <c r="K72" s="233" t="str">
        <f>IFERROR(VLOOKUP($A72,TableHandbook[],K$2,FALSE),"")</f>
        <v/>
      </c>
      <c r="L72" s="46"/>
      <c r="M72" s="130">
        <v>49</v>
      </c>
      <c r="W72" s="29"/>
    </row>
    <row r="73" spans="1:23" x14ac:dyDescent="0.25">
      <c r="A73" s="155" t="str">
        <f t="shared" si="4"/>
        <v/>
      </c>
      <c r="B73" s="160" t="str">
        <f>IFERROR(IF(VLOOKUP($A73,TableHandbook[],B$2,FALSE)=0,"",VLOOKUP($A73,TableHandbook[],B$2,FALSE)),"")</f>
        <v/>
      </c>
      <c r="C73" s="160" t="str">
        <f>IFERROR(IF(VLOOKUP($A73,TableHandbook[],C$2,FALSE)=0,"",VLOOKUP($A73,TableHandbook[],C$2,FALSE)),"")</f>
        <v/>
      </c>
      <c r="D73" s="157" t="str">
        <f>IFERROR(IF(VLOOKUP($A73,TableHandbook[],D$2,FALSE)=0,"",VLOOKUP($A73,TableHandbook[],D$2,FALSE)),"")</f>
        <v/>
      </c>
      <c r="E73" s="157"/>
      <c r="F73" s="159" t="str">
        <f>IFERROR(IF(VLOOKUP($A73,TableHandbook[],F$2,FALSE)=0,"",VLOOKUP($A73,TableHandbook[],F$2,FALSE)),"")</f>
        <v/>
      </c>
      <c r="G73" s="159" t="str">
        <f>IFERROR(IF(VLOOKUP($A73,TableHandbook[],G$2,FALSE)=0,"",VLOOKUP($A73,TableHandbook[],G$2,FALSE)),"")</f>
        <v/>
      </c>
      <c r="H73" s="233" t="str">
        <f>IFERROR(VLOOKUP($A73,TableHandbook[],H$2,FALSE),"")</f>
        <v/>
      </c>
      <c r="I73" s="233" t="str">
        <f>IFERROR(VLOOKUP($A73,TableHandbook[],I$2,FALSE),"")</f>
        <v/>
      </c>
      <c r="J73" s="233" t="str">
        <f>IFERROR(VLOOKUP($A73,TableHandbook[],J$2,FALSE),"")</f>
        <v/>
      </c>
      <c r="K73" s="233" t="str">
        <f>IFERROR(VLOOKUP($A73,TableHandbook[],K$2,FALSE),"")</f>
        <v/>
      </c>
      <c r="L73" s="46"/>
      <c r="M73" s="130">
        <v>50</v>
      </c>
      <c r="W73" s="29"/>
    </row>
    <row r="74" spans="1:23" x14ac:dyDescent="0.25">
      <c r="A74" s="155" t="str">
        <f t="shared" si="4"/>
        <v/>
      </c>
      <c r="B74" s="160" t="str">
        <f>IFERROR(IF(VLOOKUP($A74,TableHandbook[],B$2,FALSE)=0,"",VLOOKUP($A74,TableHandbook[],B$2,FALSE)),"")</f>
        <v/>
      </c>
      <c r="C74" s="160" t="str">
        <f>IFERROR(IF(VLOOKUP($A74,TableHandbook[],C$2,FALSE)=0,"",VLOOKUP($A74,TableHandbook[],C$2,FALSE)),"")</f>
        <v/>
      </c>
      <c r="D74" s="157" t="str">
        <f>IFERROR(IF(VLOOKUP($A74,TableHandbook[],D$2,FALSE)=0,"",VLOOKUP($A74,TableHandbook[],D$2,FALSE)),"")</f>
        <v/>
      </c>
      <c r="E74" s="157"/>
      <c r="F74" s="159" t="str">
        <f>IFERROR(IF(VLOOKUP($A74,TableHandbook[],F$2,FALSE)=0,"",VLOOKUP($A74,TableHandbook[],F$2,FALSE)),"")</f>
        <v/>
      </c>
      <c r="G74" s="159" t="str">
        <f>IFERROR(IF(VLOOKUP($A74,TableHandbook[],G$2,FALSE)=0,"",VLOOKUP($A74,TableHandbook[],G$2,FALSE)),"")</f>
        <v/>
      </c>
      <c r="H74" s="233" t="str">
        <f>IFERROR(VLOOKUP($A74,TableHandbook[],H$2,FALSE),"")</f>
        <v/>
      </c>
      <c r="I74" s="233" t="str">
        <f>IFERROR(VLOOKUP($A74,TableHandbook[],I$2,FALSE),"")</f>
        <v/>
      </c>
      <c r="J74" s="233" t="str">
        <f>IFERROR(VLOOKUP($A74,TableHandbook[],J$2,FALSE),"")</f>
        <v/>
      </c>
      <c r="K74" s="233" t="str">
        <f>IFERROR(VLOOKUP($A74,TableHandbook[],K$2,FALSE),"")</f>
        <v/>
      </c>
      <c r="L74" s="46"/>
      <c r="M74" s="130">
        <v>51</v>
      </c>
      <c r="W74" s="29"/>
    </row>
    <row r="75" spans="1:23" x14ac:dyDescent="0.25">
      <c r="A75" s="155" t="str">
        <f t="shared" si="4"/>
        <v/>
      </c>
      <c r="B75" s="160" t="str">
        <f>IFERROR(IF(VLOOKUP($A75,TableHandbook[],B$2,FALSE)=0,"",VLOOKUP($A75,TableHandbook[],B$2,FALSE)),"")</f>
        <v/>
      </c>
      <c r="C75" s="160" t="str">
        <f>IFERROR(IF(VLOOKUP($A75,TableHandbook[],C$2,FALSE)=0,"",VLOOKUP($A75,TableHandbook[],C$2,FALSE)),"")</f>
        <v/>
      </c>
      <c r="D75" s="157" t="str">
        <f>IFERROR(IF(VLOOKUP($A75,TableHandbook[],D$2,FALSE)=0,"",VLOOKUP($A75,TableHandbook[],D$2,FALSE)),"")</f>
        <v/>
      </c>
      <c r="E75" s="157"/>
      <c r="F75" s="159" t="str">
        <f>IFERROR(IF(VLOOKUP($A75,TableHandbook[],F$2,FALSE)=0,"",VLOOKUP($A75,TableHandbook[],F$2,FALSE)),"")</f>
        <v/>
      </c>
      <c r="G75" s="159" t="str">
        <f>IFERROR(IF(VLOOKUP($A75,TableHandbook[],G$2,FALSE)=0,"",VLOOKUP($A75,TableHandbook[],G$2,FALSE)),"")</f>
        <v/>
      </c>
      <c r="H75" s="233" t="str">
        <f>IFERROR(VLOOKUP($A75,TableHandbook[],H$2,FALSE),"")</f>
        <v/>
      </c>
      <c r="I75" s="233" t="str">
        <f>IFERROR(VLOOKUP($A75,TableHandbook[],I$2,FALSE),"")</f>
        <v/>
      </c>
      <c r="J75" s="233" t="str">
        <f>IFERROR(VLOOKUP($A75,TableHandbook[],J$2,FALSE),"")</f>
        <v/>
      </c>
      <c r="K75" s="233" t="str">
        <f>IFERROR(VLOOKUP($A75,TableHandbook[],K$2,FALSE),"")</f>
        <v/>
      </c>
      <c r="L75" s="46"/>
      <c r="M75" s="130">
        <v>52</v>
      </c>
      <c r="W75" s="29"/>
    </row>
    <row r="76" spans="1:23" x14ac:dyDescent="0.25">
      <c r="A76" s="155" t="str">
        <f t="shared" si="4"/>
        <v/>
      </c>
      <c r="B76" s="160" t="str">
        <f>IFERROR(IF(VLOOKUP($A76,TableHandbook[],B$2,FALSE)=0,"",VLOOKUP($A76,TableHandbook[],B$2,FALSE)),"")</f>
        <v/>
      </c>
      <c r="C76" s="160" t="str">
        <f>IFERROR(IF(VLOOKUP($A76,TableHandbook[],C$2,FALSE)=0,"",VLOOKUP($A76,TableHandbook[],C$2,FALSE)),"")</f>
        <v/>
      </c>
      <c r="D76" s="157" t="str">
        <f>IFERROR(IF(VLOOKUP($A76,TableHandbook[],D$2,FALSE)=0,"",VLOOKUP($A76,TableHandbook[],D$2,FALSE)),"")</f>
        <v/>
      </c>
      <c r="E76" s="157"/>
      <c r="F76" s="159" t="str">
        <f>IFERROR(IF(VLOOKUP($A76,TableHandbook[],F$2,FALSE)=0,"",VLOOKUP($A76,TableHandbook[],F$2,FALSE)),"")</f>
        <v/>
      </c>
      <c r="G76" s="159" t="str">
        <f>IFERROR(IF(VLOOKUP($A76,TableHandbook[],G$2,FALSE)=0,"",VLOOKUP($A76,TableHandbook[],G$2,FALSE)),"")</f>
        <v/>
      </c>
      <c r="H76" s="233" t="str">
        <f>IFERROR(VLOOKUP($A76,TableHandbook[],H$2,FALSE),"")</f>
        <v/>
      </c>
      <c r="I76" s="233" t="str">
        <f>IFERROR(VLOOKUP($A76,TableHandbook[],I$2,FALSE),"")</f>
        <v/>
      </c>
      <c r="J76" s="233" t="str">
        <f>IFERROR(VLOOKUP($A76,TableHandbook[],J$2,FALSE),"")</f>
        <v/>
      </c>
      <c r="K76" s="233" t="str">
        <f>IFERROR(VLOOKUP($A76,TableHandbook[],K$2,FALSE),"")</f>
        <v/>
      </c>
      <c r="L76" s="46"/>
      <c r="M76" s="130">
        <v>53</v>
      </c>
      <c r="W76" s="29"/>
    </row>
    <row r="77" spans="1:23" x14ac:dyDescent="0.25">
      <c r="A77" s="155" t="str">
        <f t="shared" si="4"/>
        <v/>
      </c>
      <c r="B77" s="160" t="str">
        <f>IFERROR(IF(VLOOKUP($A77,TableHandbook[],B$2,FALSE)=0,"",VLOOKUP($A77,TableHandbook[],B$2,FALSE)),"")</f>
        <v/>
      </c>
      <c r="C77" s="160" t="str">
        <f>IFERROR(IF(VLOOKUP($A77,TableHandbook[],C$2,FALSE)=0,"",VLOOKUP($A77,TableHandbook[],C$2,FALSE)),"")</f>
        <v/>
      </c>
      <c r="D77" s="157" t="str">
        <f>IFERROR(IF(VLOOKUP($A77,TableHandbook[],D$2,FALSE)=0,"",VLOOKUP($A77,TableHandbook[],D$2,FALSE)),"")</f>
        <v/>
      </c>
      <c r="E77" s="157"/>
      <c r="F77" s="159" t="str">
        <f>IFERROR(IF(VLOOKUP($A77,TableHandbook[],F$2,FALSE)=0,"",VLOOKUP($A77,TableHandbook[],F$2,FALSE)),"")</f>
        <v/>
      </c>
      <c r="G77" s="159" t="str">
        <f>IFERROR(IF(VLOOKUP($A77,TableHandbook[],G$2,FALSE)=0,"",VLOOKUP($A77,TableHandbook[],G$2,FALSE)),"")</f>
        <v/>
      </c>
      <c r="H77" s="233" t="str">
        <f>IFERROR(VLOOKUP($A77,TableHandbook[],H$2,FALSE),"")</f>
        <v/>
      </c>
      <c r="I77" s="233" t="str">
        <f>IFERROR(VLOOKUP($A77,TableHandbook[],I$2,FALSE),"")</f>
        <v/>
      </c>
      <c r="J77" s="233" t="str">
        <f>IFERROR(VLOOKUP($A77,TableHandbook[],J$2,FALSE),"")</f>
        <v/>
      </c>
      <c r="K77" s="233" t="str">
        <f>IFERROR(VLOOKUP($A77,TableHandbook[],K$2,FALSE),"")</f>
        <v/>
      </c>
      <c r="L77" s="46"/>
      <c r="M77" s="130">
        <v>54</v>
      </c>
      <c r="W77" s="29"/>
    </row>
    <row r="78" spans="1:23" x14ac:dyDescent="0.25">
      <c r="A78" s="155" t="str">
        <f t="shared" si="4"/>
        <v/>
      </c>
      <c r="B78" s="160" t="str">
        <f>IFERROR(IF(VLOOKUP($A78,TableHandbook[],B$2,FALSE)=0,"",VLOOKUP($A78,TableHandbook[],B$2,FALSE)),"")</f>
        <v/>
      </c>
      <c r="C78" s="160" t="str">
        <f>IFERROR(IF(VLOOKUP($A78,TableHandbook[],C$2,FALSE)=0,"",VLOOKUP($A78,TableHandbook[],C$2,FALSE)),"")</f>
        <v/>
      </c>
      <c r="D78" s="157" t="str">
        <f>IFERROR(IF(VLOOKUP($A78,TableHandbook[],D$2,FALSE)=0,"",VLOOKUP($A78,TableHandbook[],D$2,FALSE)),"")</f>
        <v/>
      </c>
      <c r="E78" s="157"/>
      <c r="F78" s="159" t="str">
        <f>IFERROR(IF(VLOOKUP($A78,TableHandbook[],F$2,FALSE)=0,"",VLOOKUP($A78,TableHandbook[],F$2,FALSE)),"")</f>
        <v/>
      </c>
      <c r="G78" s="159" t="str">
        <f>IFERROR(IF(VLOOKUP($A78,TableHandbook[],G$2,FALSE)=0,"",VLOOKUP($A78,TableHandbook[],G$2,FALSE)),"")</f>
        <v/>
      </c>
      <c r="H78" s="233" t="str">
        <f>IFERROR(VLOOKUP($A78,TableHandbook[],H$2,FALSE),"")</f>
        <v/>
      </c>
      <c r="I78" s="233" t="str">
        <f>IFERROR(VLOOKUP($A78,TableHandbook[],I$2,FALSE),"")</f>
        <v/>
      </c>
      <c r="J78" s="233" t="str">
        <f>IFERROR(VLOOKUP($A78,TableHandbook[],J$2,FALSE),"")</f>
        <v/>
      </c>
      <c r="K78" s="233" t="str">
        <f>IFERROR(VLOOKUP($A78,TableHandbook[],K$2,FALSE),"")</f>
        <v/>
      </c>
      <c r="L78" s="46"/>
      <c r="M78" s="130">
        <v>55</v>
      </c>
      <c r="W78" s="29"/>
    </row>
    <row r="79" spans="1:23" x14ac:dyDescent="0.25">
      <c r="A79" s="155" t="str">
        <f t="shared" si="4"/>
        <v/>
      </c>
      <c r="B79" s="160" t="str">
        <f>IFERROR(IF(VLOOKUP($A79,TableHandbook[],B$2,FALSE)=0,"",VLOOKUP($A79,TableHandbook[],B$2,FALSE)),"")</f>
        <v/>
      </c>
      <c r="C79" s="160" t="str">
        <f>IFERROR(IF(VLOOKUP($A79,TableHandbook[],C$2,FALSE)=0,"",VLOOKUP($A79,TableHandbook[],C$2,FALSE)),"")</f>
        <v/>
      </c>
      <c r="D79" s="157" t="str">
        <f>IFERROR(IF(VLOOKUP($A79,TableHandbook[],D$2,FALSE)=0,"",VLOOKUP($A79,TableHandbook[],D$2,FALSE)),"")</f>
        <v/>
      </c>
      <c r="E79" s="157"/>
      <c r="F79" s="159" t="str">
        <f>IFERROR(IF(VLOOKUP($A79,TableHandbook[],F$2,FALSE)=0,"",VLOOKUP($A79,TableHandbook[],F$2,FALSE)),"")</f>
        <v/>
      </c>
      <c r="G79" s="159" t="str">
        <f>IFERROR(IF(VLOOKUP($A79,TableHandbook[],G$2,FALSE)=0,"",VLOOKUP($A79,TableHandbook[],G$2,FALSE)),"")</f>
        <v/>
      </c>
      <c r="H79" s="233" t="str">
        <f>IFERROR(VLOOKUP($A79,TableHandbook[],H$2,FALSE),"")</f>
        <v/>
      </c>
      <c r="I79" s="233" t="str">
        <f>IFERROR(VLOOKUP($A79,TableHandbook[],I$2,FALSE),"")</f>
        <v/>
      </c>
      <c r="J79" s="233" t="str">
        <f>IFERROR(VLOOKUP($A79,TableHandbook[],J$2,FALSE),"")</f>
        <v/>
      </c>
      <c r="K79" s="233" t="str">
        <f>IFERROR(VLOOKUP($A79,TableHandbook[],K$2,FALSE),"")</f>
        <v/>
      </c>
      <c r="L79" s="46"/>
      <c r="M79" s="130">
        <v>56</v>
      </c>
      <c r="W79" s="29"/>
    </row>
    <row r="80" spans="1:23" x14ac:dyDescent="0.25">
      <c r="A80" s="155" t="str">
        <f t="shared" si="4"/>
        <v/>
      </c>
      <c r="B80" s="160" t="str">
        <f>IFERROR(IF(VLOOKUP($A80,TableHandbook[],B$2,FALSE)=0,"",VLOOKUP($A80,TableHandbook[],B$2,FALSE)),"")</f>
        <v/>
      </c>
      <c r="C80" s="160" t="str">
        <f>IFERROR(IF(VLOOKUP($A80,TableHandbook[],C$2,FALSE)=0,"",VLOOKUP($A80,TableHandbook[],C$2,FALSE)),"")</f>
        <v/>
      </c>
      <c r="D80" s="157" t="str">
        <f>IFERROR(IF(VLOOKUP($A80,TableHandbook[],D$2,FALSE)=0,"",VLOOKUP($A80,TableHandbook[],D$2,FALSE)),"")</f>
        <v/>
      </c>
      <c r="E80" s="157"/>
      <c r="F80" s="159" t="str">
        <f>IFERROR(IF(VLOOKUP($A80,TableHandbook[],F$2,FALSE)=0,"",VLOOKUP($A80,TableHandbook[],F$2,FALSE)),"")</f>
        <v/>
      </c>
      <c r="G80" s="159" t="str">
        <f>IFERROR(IF(VLOOKUP($A80,TableHandbook[],G$2,FALSE)=0,"",VLOOKUP($A80,TableHandbook[],G$2,FALSE)),"")</f>
        <v/>
      </c>
      <c r="H80" s="233" t="str">
        <f>IFERROR(VLOOKUP($A80,TableHandbook[],H$2,FALSE),"")</f>
        <v/>
      </c>
      <c r="I80" s="233" t="str">
        <f>IFERROR(VLOOKUP($A80,TableHandbook[],I$2,FALSE),"")</f>
        <v/>
      </c>
      <c r="J80" s="233" t="str">
        <f>IFERROR(VLOOKUP($A80,TableHandbook[],J$2,FALSE),"")</f>
        <v/>
      </c>
      <c r="K80" s="233" t="str">
        <f>IFERROR(VLOOKUP($A80,TableHandbook[],K$2,FALSE),"")</f>
        <v/>
      </c>
      <c r="L80" s="46"/>
      <c r="M80" s="130">
        <v>57</v>
      </c>
      <c r="W80" s="29"/>
    </row>
    <row r="81" spans="1:23" x14ac:dyDescent="0.25">
      <c r="A81" s="155" t="str">
        <f t="shared" si="4"/>
        <v/>
      </c>
      <c r="B81" s="160" t="str">
        <f>IFERROR(IF(VLOOKUP($A81,TableHandbook[],B$2,FALSE)=0,"",VLOOKUP($A81,TableHandbook[],B$2,FALSE)),"")</f>
        <v/>
      </c>
      <c r="C81" s="160" t="str">
        <f>IFERROR(IF(VLOOKUP($A81,TableHandbook[],C$2,FALSE)=0,"",VLOOKUP($A81,TableHandbook[],C$2,FALSE)),"")</f>
        <v/>
      </c>
      <c r="D81" s="157" t="str">
        <f>IFERROR(IF(VLOOKUP($A81,TableHandbook[],D$2,FALSE)=0,"",VLOOKUP($A81,TableHandbook[],D$2,FALSE)),"")</f>
        <v/>
      </c>
      <c r="E81" s="157"/>
      <c r="F81" s="159" t="str">
        <f>IFERROR(IF(VLOOKUP($A81,TableHandbook[],F$2,FALSE)=0,"",VLOOKUP($A81,TableHandbook[],F$2,FALSE)),"")</f>
        <v/>
      </c>
      <c r="G81" s="159" t="str">
        <f>IFERROR(IF(VLOOKUP($A81,TableHandbook[],G$2,FALSE)=0,"",VLOOKUP($A81,TableHandbook[],G$2,FALSE)),"")</f>
        <v/>
      </c>
      <c r="H81" s="233" t="str">
        <f>IFERROR(VLOOKUP($A81,TableHandbook[],H$2,FALSE),"")</f>
        <v/>
      </c>
      <c r="I81" s="233" t="str">
        <f>IFERROR(VLOOKUP($A81,TableHandbook[],I$2,FALSE),"")</f>
        <v/>
      </c>
      <c r="J81" s="233" t="str">
        <f>IFERROR(VLOOKUP($A81,TableHandbook[],J$2,FALSE),"")</f>
        <v/>
      </c>
      <c r="K81" s="233" t="str">
        <f>IFERROR(VLOOKUP($A81,TableHandbook[],K$2,FALSE),"")</f>
        <v/>
      </c>
      <c r="L81" s="46"/>
      <c r="M81" s="130">
        <v>58</v>
      </c>
      <c r="W81" s="29"/>
    </row>
    <row r="82" spans="1:23" s="29" customFormat="1" ht="32.25" customHeight="1" x14ac:dyDescent="0.25">
      <c r="A82" s="261" t="s">
        <v>31</v>
      </c>
      <c r="B82" s="261"/>
      <c r="C82" s="261"/>
      <c r="D82" s="261"/>
      <c r="E82" s="261"/>
      <c r="F82" s="261"/>
      <c r="G82" s="261"/>
      <c r="H82" s="261"/>
      <c r="I82" s="261"/>
      <c r="J82" s="261"/>
      <c r="K82" s="261"/>
      <c r="L82" s="261"/>
      <c r="M82" s="27"/>
      <c r="N82" s="27"/>
      <c r="O82" s="27"/>
      <c r="P82" s="27"/>
      <c r="Q82" s="27"/>
      <c r="R82" s="27"/>
      <c r="S82" s="27"/>
      <c r="T82" s="27"/>
      <c r="U82" s="27"/>
      <c r="V82" s="27"/>
    </row>
    <row r="83" spans="1:23" s="37" customFormat="1" ht="24.95" customHeight="1" x14ac:dyDescent="0.3">
      <c r="A83" s="53" t="s">
        <v>32</v>
      </c>
      <c r="B83" s="53"/>
      <c r="C83" s="53"/>
      <c r="D83" s="54"/>
      <c r="E83" s="54"/>
      <c r="F83" s="54"/>
      <c r="G83" s="54"/>
      <c r="H83" s="54"/>
      <c r="I83" s="54"/>
      <c r="J83" s="54"/>
      <c r="K83" s="54"/>
      <c r="L83" s="54"/>
      <c r="M83" s="161"/>
      <c r="N83" s="161"/>
      <c r="O83" s="161"/>
      <c r="W83" s="36"/>
    </row>
    <row r="84" spans="1:23" s="29" customFormat="1" ht="15" customHeight="1" x14ac:dyDescent="0.25">
      <c r="A84" s="162" t="s">
        <v>33</v>
      </c>
      <c r="B84" s="162"/>
      <c r="C84" s="162"/>
      <c r="D84" s="162"/>
      <c r="E84" s="163"/>
      <c r="F84" s="143"/>
      <c r="G84" s="164"/>
      <c r="H84" s="164"/>
      <c r="I84" s="164"/>
      <c r="J84" s="164"/>
      <c r="K84" s="164"/>
      <c r="L84" s="164" t="s">
        <v>34</v>
      </c>
      <c r="M84" s="27"/>
      <c r="N84" s="27"/>
      <c r="O84" s="27"/>
      <c r="P84" s="27"/>
      <c r="Q84" s="27"/>
      <c r="R84" s="27"/>
      <c r="S84" s="27"/>
      <c r="T84" s="27"/>
      <c r="U84" s="27"/>
      <c r="V84" s="27"/>
    </row>
  </sheetData>
  <sheetProtection formatCells="0"/>
  <mergeCells count="2">
    <mergeCell ref="A3:D3"/>
    <mergeCell ref="A82:L82"/>
  </mergeCells>
  <conditionalFormatting sqref="A57:L81">
    <cfRule type="expression" dxfId="27" priority="1">
      <formula>$A57=""</formula>
    </cfRule>
    <cfRule type="expression" dxfId="26" priority="10">
      <formula>LEFT($D57,5)="Study"</formula>
    </cfRule>
  </conditionalFormatting>
  <conditionalFormatting sqref="D5:D7">
    <cfRule type="containsText" dxfId="25" priority="12" operator="containsText" text="Choose">
      <formula>NOT(ISERROR(SEARCH("Choose",D5)))</formula>
    </cfRule>
  </conditionalFormatting>
  <conditionalFormatting sqref="H10:K53">
    <cfRule type="expression" dxfId="24" priority="2">
      <formula>$E10=H$9</formula>
    </cfRule>
  </conditionalFormatting>
  <dataValidations count="1">
    <dataValidation type="list" allowBlank="1" showInputMessage="1" showErrorMessage="1" sqref="L27 L15 L39 L51 L12 L18 L24 L30 L36 L42 L48" xr:uid="{00000000-0002-0000-0300-000000000000}"/>
  </dataValidations>
  <hyperlinks>
    <hyperlink ref="A83:L83"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54" max="13" man="1"/>
  </rowBreaks>
  <ignoredErrors>
    <ignoredError sqref="E34:E44 E46:E53 E22:E32 E17:E20 E15 E12 E10:E11 E13:E14 E16" 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UnitsetsSecondary!$A$10:$A$12</xm:f>
          </x14:formula1>
          <xm:sqref>D7</xm:sqref>
        </x14:dataValidation>
        <x14:dataValidation type="list" showInputMessage="1" showErrorMessage="1" xr:uid="{00000000-0002-0000-0300-000002000000}">
          <x14:formula1>
            <xm:f>UnitsetsSecondary!$A$4:$A$7</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Y89"/>
  <sheetViews>
    <sheetView topLeftCell="E1" zoomScale="80" zoomScaleNormal="80" workbookViewId="0">
      <selection activeCell="D6" sqref="D6"/>
    </sheetView>
  </sheetViews>
  <sheetFormatPr defaultRowHeight="15.75" x14ac:dyDescent="0.25"/>
  <cols>
    <col min="1" max="1" width="72" bestFit="1" customWidth="1"/>
    <col min="2" max="2" width="12.125" bestFit="1" customWidth="1"/>
    <col min="3" max="3" width="13.625" bestFit="1" customWidth="1"/>
    <col min="4" max="4" width="18.375" bestFit="1" customWidth="1"/>
    <col min="5" max="5" width="15.75" bestFit="1" customWidth="1"/>
    <col min="6" max="6" width="20.25" customWidth="1"/>
    <col min="7" max="7" width="21.125" bestFit="1" customWidth="1"/>
    <col min="8" max="8" width="17.625" bestFit="1" customWidth="1"/>
    <col min="9" max="9" width="20" bestFit="1" customWidth="1"/>
    <col min="10" max="10" width="2.5" bestFit="1" customWidth="1"/>
    <col min="11" max="11" width="9.25" bestFit="1" customWidth="1"/>
    <col min="12" max="12" width="15" bestFit="1" customWidth="1"/>
    <col min="13" max="13" width="5.25" bestFit="1" customWidth="1"/>
    <col min="14" max="14" width="15.25" customWidth="1"/>
    <col min="15" max="15" width="5.25" customWidth="1"/>
    <col min="16" max="16" width="14.875" customWidth="1"/>
    <col min="17" max="17" width="5.25" customWidth="1"/>
    <col min="18" max="18" width="15.125" customWidth="1"/>
    <col min="19" max="19" width="5.25" customWidth="1"/>
    <col min="20" max="20" width="15" customWidth="1"/>
    <col min="21" max="21" width="5.25" customWidth="1"/>
    <col min="22" max="22" width="15.25" customWidth="1"/>
    <col min="23" max="23" width="6.125" bestFit="1" customWidth="1"/>
    <col min="25" max="25" width="10.25" bestFit="1" customWidth="1"/>
    <col min="27" max="27" width="6.125" bestFit="1" customWidth="1"/>
    <col min="31" max="31" width="6.125" bestFit="1" customWidth="1"/>
    <col min="35" max="35" width="6.125" bestFit="1" customWidth="1"/>
    <col min="39" max="39" width="6.125" bestFit="1" customWidth="1"/>
    <col min="43" max="43" width="6.125" bestFit="1" customWidth="1"/>
    <col min="47" max="47" width="6.125" bestFit="1" customWidth="1"/>
    <col min="51" max="51" width="6.125" bestFit="1" customWidth="1"/>
    <col min="55" max="55" width="6.125" bestFit="1" customWidth="1"/>
    <col min="59" max="59" width="6.125" bestFit="1" customWidth="1"/>
    <col min="63" max="63" width="6.125" bestFit="1" customWidth="1"/>
    <col min="67" max="67" width="6.125" bestFit="1" customWidth="1"/>
    <col min="71" max="71" width="6.125" bestFit="1" customWidth="1"/>
    <col min="75" max="75" width="6.125" bestFit="1" customWidth="1"/>
    <col min="79" max="79" width="6.125" bestFit="1" customWidth="1"/>
    <col min="83" max="83" width="6.125" bestFit="1" customWidth="1"/>
    <col min="87" max="87" width="6.125" bestFit="1" customWidth="1"/>
    <col min="91" max="91" width="6.125" bestFit="1" customWidth="1"/>
    <col min="95" max="95" width="6.125" bestFit="1" customWidth="1"/>
    <col min="99" max="99" width="6.125" bestFit="1" customWidth="1"/>
    <col min="103" max="103" width="6.125" bestFit="1" customWidth="1"/>
  </cols>
  <sheetData>
    <row r="1" spans="1:25" x14ac:dyDescent="0.25">
      <c r="A1" s="19" t="s">
        <v>179</v>
      </c>
    </row>
    <row r="2" spans="1:25" x14ac:dyDescent="0.25">
      <c r="A2" s="19"/>
    </row>
    <row r="3" spans="1:25" x14ac:dyDescent="0.25">
      <c r="A3" s="74" t="s">
        <v>180</v>
      </c>
      <c r="D3" s="10"/>
      <c r="E3" s="10"/>
      <c r="F3" s="22"/>
      <c r="G3" s="22"/>
      <c r="I3" s="52" t="s">
        <v>181</v>
      </c>
      <c r="J3" s="3">
        <v>1</v>
      </c>
      <c r="K3" s="93"/>
      <c r="L3" s="94" t="s">
        <v>182</v>
      </c>
      <c r="M3" s="95"/>
      <c r="N3" s="94" t="s">
        <v>183</v>
      </c>
      <c r="O3" s="93"/>
      <c r="P3" s="94" t="s">
        <v>184</v>
      </c>
      <c r="Q3" s="95"/>
      <c r="R3" s="94" t="s">
        <v>185</v>
      </c>
      <c r="S3" s="93"/>
      <c r="T3" s="94" t="s">
        <v>186</v>
      </c>
      <c r="U3" s="95"/>
      <c r="V3" s="94" t="s">
        <v>187</v>
      </c>
    </row>
    <row r="4" spans="1:25" x14ac:dyDescent="0.25">
      <c r="A4" s="10" t="s">
        <v>188</v>
      </c>
      <c r="B4" s="18" t="s">
        <v>0</v>
      </c>
      <c r="C4" s="10" t="s">
        <v>56</v>
      </c>
      <c r="D4" s="10" t="s">
        <v>57</v>
      </c>
      <c r="E4" s="10" t="s">
        <v>58</v>
      </c>
      <c r="F4" s="10" t="s">
        <v>59</v>
      </c>
      <c r="G4" s="10" t="s">
        <v>60</v>
      </c>
      <c r="I4" s="10"/>
      <c r="J4" s="23">
        <v>2</v>
      </c>
      <c r="K4" s="70" t="s">
        <v>46</v>
      </c>
      <c r="L4" s="69" t="s">
        <v>52</v>
      </c>
      <c r="M4" s="90" t="s">
        <v>50</v>
      </c>
      <c r="N4" s="69" t="s">
        <v>52</v>
      </c>
      <c r="O4" s="70" t="s">
        <v>46</v>
      </c>
      <c r="P4" s="69" t="s">
        <v>52</v>
      </c>
      <c r="Q4" s="90" t="s">
        <v>50</v>
      </c>
      <c r="R4" s="69" t="s">
        <v>52</v>
      </c>
      <c r="S4" s="70" t="s">
        <v>46</v>
      </c>
      <c r="T4" s="69" t="s">
        <v>52</v>
      </c>
      <c r="U4" s="90" t="s">
        <v>50</v>
      </c>
      <c r="V4" s="69" t="s">
        <v>52</v>
      </c>
      <c r="X4" s="3" t="s">
        <v>189</v>
      </c>
      <c r="Y4" s="75">
        <v>45604</v>
      </c>
    </row>
    <row r="5" spans="1:25" x14ac:dyDescent="0.25">
      <c r="A5" s="207" t="s">
        <v>190</v>
      </c>
      <c r="B5" s="195" t="s">
        <v>191</v>
      </c>
      <c r="C5" s="195" t="s">
        <v>192</v>
      </c>
      <c r="D5" s="196">
        <v>45658</v>
      </c>
      <c r="E5" s="195">
        <v>1</v>
      </c>
      <c r="F5" s="196">
        <v>45658</v>
      </c>
      <c r="G5" s="195" t="s">
        <v>193</v>
      </c>
      <c r="I5" s="10"/>
      <c r="J5" s="23">
        <v>3</v>
      </c>
      <c r="K5" s="72" t="s">
        <v>46</v>
      </c>
      <c r="L5" s="67" t="s">
        <v>47</v>
      </c>
      <c r="M5" s="91" t="s">
        <v>50</v>
      </c>
      <c r="N5" s="67" t="s">
        <v>47</v>
      </c>
      <c r="O5" s="72" t="s">
        <v>46</v>
      </c>
      <c r="P5" s="67" t="s">
        <v>47</v>
      </c>
      <c r="Q5" s="91" t="s">
        <v>50</v>
      </c>
      <c r="R5" s="67" t="s">
        <v>47</v>
      </c>
      <c r="S5" s="72" t="s">
        <v>46</v>
      </c>
      <c r="T5" s="67" t="s">
        <v>47</v>
      </c>
      <c r="U5" s="91" t="s">
        <v>50</v>
      </c>
      <c r="V5" s="67" t="s">
        <v>47</v>
      </c>
    </row>
    <row r="6" spans="1:25" x14ac:dyDescent="0.25">
      <c r="A6" s="207" t="s">
        <v>176</v>
      </c>
      <c r="B6" s="195" t="s">
        <v>194</v>
      </c>
      <c r="C6" s="195" t="s">
        <v>192</v>
      </c>
      <c r="D6" s="196">
        <v>45658</v>
      </c>
      <c r="E6" s="195">
        <v>1</v>
      </c>
      <c r="F6" s="196">
        <v>45658</v>
      </c>
      <c r="G6" s="195" t="s">
        <v>193</v>
      </c>
      <c r="I6" s="10"/>
      <c r="J6" s="23">
        <v>4</v>
      </c>
      <c r="K6" s="70" t="s">
        <v>48</v>
      </c>
      <c r="L6" s="69" t="s">
        <v>74</v>
      </c>
      <c r="M6" s="90" t="s">
        <v>51</v>
      </c>
      <c r="N6" s="69" t="s">
        <v>74</v>
      </c>
      <c r="O6" s="70" t="s">
        <v>48</v>
      </c>
      <c r="P6" s="69" t="s">
        <v>74</v>
      </c>
      <c r="Q6" s="90" t="s">
        <v>51</v>
      </c>
      <c r="R6" s="69" t="s">
        <v>74</v>
      </c>
      <c r="S6" s="70" t="s">
        <v>48</v>
      </c>
      <c r="T6" s="69" t="s">
        <v>74</v>
      </c>
      <c r="U6" s="90" t="s">
        <v>51</v>
      </c>
      <c r="V6" s="69" t="s">
        <v>74</v>
      </c>
    </row>
    <row r="7" spans="1:25" x14ac:dyDescent="0.25">
      <c r="A7" s="207" t="s">
        <v>195</v>
      </c>
      <c r="B7" s="195" t="s">
        <v>196</v>
      </c>
      <c r="C7" s="195" t="s">
        <v>192</v>
      </c>
      <c r="D7" s="196">
        <v>45658</v>
      </c>
      <c r="E7" s="208">
        <v>2</v>
      </c>
      <c r="F7" s="196">
        <v>45658</v>
      </c>
      <c r="G7" s="195" t="s">
        <v>193</v>
      </c>
      <c r="I7" s="10"/>
      <c r="J7" s="23">
        <v>5</v>
      </c>
      <c r="K7" s="72" t="s">
        <v>48</v>
      </c>
      <c r="L7" s="67" t="s">
        <v>197</v>
      </c>
      <c r="M7" s="91" t="s">
        <v>51</v>
      </c>
      <c r="N7" s="67" t="s">
        <v>197</v>
      </c>
      <c r="O7" s="72" t="s">
        <v>48</v>
      </c>
      <c r="P7" s="67" t="s">
        <v>197</v>
      </c>
      <c r="Q7" s="91" t="s">
        <v>51</v>
      </c>
      <c r="R7" s="67" t="s">
        <v>197</v>
      </c>
      <c r="S7" s="72" t="s">
        <v>48</v>
      </c>
      <c r="T7" s="67" t="s">
        <v>197</v>
      </c>
      <c r="U7" s="91" t="s">
        <v>51</v>
      </c>
      <c r="V7" s="67" t="s">
        <v>197</v>
      </c>
    </row>
    <row r="8" spans="1:25" x14ac:dyDescent="0.25">
      <c r="A8" s="18"/>
      <c r="B8" s="10"/>
      <c r="C8" s="10"/>
      <c r="D8" s="10"/>
      <c r="E8" s="10"/>
      <c r="F8" s="10"/>
      <c r="J8" s="23">
        <v>6</v>
      </c>
      <c r="K8" s="70" t="s">
        <v>50</v>
      </c>
      <c r="L8" s="69" t="s">
        <v>198</v>
      </c>
      <c r="M8" s="90" t="s">
        <v>46</v>
      </c>
      <c r="N8" s="250" t="s">
        <v>198</v>
      </c>
      <c r="O8" s="70" t="s">
        <v>50</v>
      </c>
      <c r="P8" s="69" t="s">
        <v>198</v>
      </c>
      <c r="Q8" s="90" t="s">
        <v>46</v>
      </c>
      <c r="R8" s="250" t="s">
        <v>198</v>
      </c>
      <c r="S8" s="70" t="s">
        <v>50</v>
      </c>
      <c r="T8" s="69" t="s">
        <v>198</v>
      </c>
      <c r="U8" s="90" t="s">
        <v>46</v>
      </c>
      <c r="V8" s="250" t="s">
        <v>198</v>
      </c>
      <c r="X8" s="235" t="s">
        <v>199</v>
      </c>
    </row>
    <row r="9" spans="1:25" x14ac:dyDescent="0.25">
      <c r="A9" s="74" t="s">
        <v>200</v>
      </c>
      <c r="B9" s="10"/>
      <c r="C9" s="10"/>
      <c r="D9" s="10"/>
      <c r="E9" s="10"/>
      <c r="F9" s="10"/>
      <c r="G9" s="10"/>
      <c r="J9" s="23">
        <v>7</v>
      </c>
      <c r="K9" s="72" t="s">
        <v>50</v>
      </c>
      <c r="L9" s="76" t="s">
        <v>201</v>
      </c>
      <c r="M9" s="91" t="s">
        <v>46</v>
      </c>
      <c r="N9" s="76" t="s">
        <v>201</v>
      </c>
      <c r="O9" s="72" t="s">
        <v>50</v>
      </c>
      <c r="P9" s="76" t="s">
        <v>202</v>
      </c>
      <c r="Q9" s="91" t="s">
        <v>46</v>
      </c>
      <c r="R9" s="76" t="s">
        <v>202</v>
      </c>
      <c r="S9" s="72" t="s">
        <v>50</v>
      </c>
      <c r="T9" s="76" t="s">
        <v>203</v>
      </c>
      <c r="U9" s="91" t="s">
        <v>46</v>
      </c>
      <c r="V9" s="76" t="s">
        <v>203</v>
      </c>
    </row>
    <row r="10" spans="1:25" x14ac:dyDescent="0.25">
      <c r="A10" s="80" t="s">
        <v>98</v>
      </c>
      <c r="B10" s="81" t="s">
        <v>99</v>
      </c>
      <c r="C10" s="81" t="s">
        <v>100</v>
      </c>
      <c r="D10" s="81" t="s">
        <v>101</v>
      </c>
      <c r="E10" s="81" t="s">
        <v>102</v>
      </c>
      <c r="J10" s="23">
        <v>8</v>
      </c>
      <c r="K10" s="70" t="s">
        <v>51</v>
      </c>
      <c r="L10" s="211" t="s">
        <v>204</v>
      </c>
      <c r="M10" s="90" t="s">
        <v>48</v>
      </c>
      <c r="N10" s="211" t="s">
        <v>204</v>
      </c>
      <c r="O10" s="70" t="s">
        <v>51</v>
      </c>
      <c r="P10" s="211" t="s">
        <v>205</v>
      </c>
      <c r="Q10" s="90" t="s">
        <v>48</v>
      </c>
      <c r="R10" s="211" t="s">
        <v>205</v>
      </c>
      <c r="S10" s="70" t="s">
        <v>51</v>
      </c>
      <c r="T10" s="211" t="s">
        <v>206</v>
      </c>
      <c r="U10" s="90" t="s">
        <v>48</v>
      </c>
      <c r="V10" s="211" t="s">
        <v>206</v>
      </c>
    </row>
    <row r="11" spans="1:25" x14ac:dyDescent="0.25">
      <c r="A11" s="6" t="s">
        <v>14</v>
      </c>
      <c r="B11" s="7" t="s">
        <v>22</v>
      </c>
      <c r="C11" s="7" t="s">
        <v>23</v>
      </c>
      <c r="D11" s="7" t="s">
        <v>24</v>
      </c>
      <c r="E11" s="7" t="s">
        <v>25</v>
      </c>
      <c r="J11" s="23">
        <v>9</v>
      </c>
      <c r="K11" s="72" t="s">
        <v>51</v>
      </c>
      <c r="L11" s="76" t="s">
        <v>207</v>
      </c>
      <c r="M11" s="91" t="s">
        <v>48</v>
      </c>
      <c r="N11" s="76" t="s">
        <v>207</v>
      </c>
      <c r="O11" s="72" t="s">
        <v>51</v>
      </c>
      <c r="P11" s="76" t="s">
        <v>208</v>
      </c>
      <c r="Q11" s="91" t="s">
        <v>48</v>
      </c>
      <c r="R11" s="76" t="s">
        <v>208</v>
      </c>
      <c r="S11" s="72" t="s">
        <v>51</v>
      </c>
      <c r="T11" s="76" t="s">
        <v>209</v>
      </c>
      <c r="U11" s="91" t="s">
        <v>48</v>
      </c>
      <c r="V11" s="76" t="s">
        <v>209</v>
      </c>
    </row>
    <row r="12" spans="1:25" x14ac:dyDescent="0.25">
      <c r="A12" s="6" t="s">
        <v>109</v>
      </c>
      <c r="B12" s="7" t="s">
        <v>24</v>
      </c>
      <c r="C12" s="7" t="s">
        <v>25</v>
      </c>
      <c r="D12" s="7" t="s">
        <v>22</v>
      </c>
      <c r="E12" s="7" t="s">
        <v>23</v>
      </c>
      <c r="J12" s="23">
        <v>10</v>
      </c>
      <c r="K12" s="70" t="s">
        <v>84</v>
      </c>
      <c r="L12" s="69" t="s">
        <v>210</v>
      </c>
      <c r="M12" s="90" t="s">
        <v>88</v>
      </c>
      <c r="N12" s="69" t="s">
        <v>210</v>
      </c>
      <c r="O12" s="70" t="s">
        <v>84</v>
      </c>
      <c r="P12" s="69" t="s">
        <v>210</v>
      </c>
      <c r="Q12" s="90" t="s">
        <v>88</v>
      </c>
      <c r="R12" s="69" t="s">
        <v>210</v>
      </c>
      <c r="S12" s="70" t="s">
        <v>84</v>
      </c>
      <c r="T12" s="69" t="s">
        <v>210</v>
      </c>
      <c r="U12" s="90" t="s">
        <v>88</v>
      </c>
      <c r="V12" s="69" t="s">
        <v>210</v>
      </c>
    </row>
    <row r="13" spans="1:25" x14ac:dyDescent="0.25">
      <c r="J13" s="23">
        <v>11</v>
      </c>
      <c r="K13" s="72" t="s">
        <v>84</v>
      </c>
      <c r="L13" s="76" t="s">
        <v>211</v>
      </c>
      <c r="M13" s="91" t="s">
        <v>88</v>
      </c>
      <c r="N13" s="76" t="s">
        <v>211</v>
      </c>
      <c r="O13" s="72" t="s">
        <v>84</v>
      </c>
      <c r="P13" s="76" t="s">
        <v>212</v>
      </c>
      <c r="Q13" s="91" t="s">
        <v>88</v>
      </c>
      <c r="R13" s="76" t="s">
        <v>212</v>
      </c>
      <c r="S13" s="72" t="s">
        <v>84</v>
      </c>
      <c r="T13" s="76" t="s">
        <v>213</v>
      </c>
      <c r="U13" s="91" t="s">
        <v>88</v>
      </c>
      <c r="V13" s="76" t="s">
        <v>213</v>
      </c>
    </row>
    <row r="14" spans="1:25" x14ac:dyDescent="0.25">
      <c r="J14" s="23">
        <v>12</v>
      </c>
      <c r="K14" s="70" t="s">
        <v>86</v>
      </c>
      <c r="L14" s="69" t="s">
        <v>214</v>
      </c>
      <c r="M14" s="90" t="s">
        <v>89</v>
      </c>
      <c r="N14" s="69" t="s">
        <v>214</v>
      </c>
      <c r="O14" s="70" t="s">
        <v>86</v>
      </c>
      <c r="P14" s="69" t="s">
        <v>214</v>
      </c>
      <c r="Q14" s="90" t="s">
        <v>89</v>
      </c>
      <c r="R14" s="69" t="s">
        <v>214</v>
      </c>
      <c r="S14" s="70" t="s">
        <v>86</v>
      </c>
      <c r="T14" s="69" t="s">
        <v>214</v>
      </c>
      <c r="U14" s="90" t="s">
        <v>89</v>
      </c>
      <c r="V14" s="69" t="s">
        <v>214</v>
      </c>
    </row>
    <row r="15" spans="1:25" x14ac:dyDescent="0.25">
      <c r="J15" s="23">
        <v>13</v>
      </c>
      <c r="K15" s="72" t="s">
        <v>86</v>
      </c>
      <c r="L15" s="76" t="s">
        <v>215</v>
      </c>
      <c r="M15" s="91" t="s">
        <v>89</v>
      </c>
      <c r="N15" s="76" t="s">
        <v>215</v>
      </c>
      <c r="O15" s="72" t="s">
        <v>86</v>
      </c>
      <c r="P15" s="252" t="s">
        <v>216</v>
      </c>
      <c r="Q15" s="91" t="s">
        <v>89</v>
      </c>
      <c r="R15" s="76" t="s">
        <v>216</v>
      </c>
      <c r="S15" s="72" t="s">
        <v>86</v>
      </c>
      <c r="T15" s="76" t="s">
        <v>217</v>
      </c>
      <c r="U15" s="91" t="s">
        <v>89</v>
      </c>
      <c r="V15" s="76" t="s">
        <v>217</v>
      </c>
    </row>
    <row r="16" spans="1:25" x14ac:dyDescent="0.25">
      <c r="J16" s="23">
        <v>14</v>
      </c>
      <c r="K16" s="70" t="s">
        <v>88</v>
      </c>
      <c r="L16" s="69" t="s">
        <v>218</v>
      </c>
      <c r="M16" s="90" t="s">
        <v>84</v>
      </c>
      <c r="N16" s="250" t="s">
        <v>218</v>
      </c>
      <c r="O16" s="70" t="s">
        <v>88</v>
      </c>
      <c r="P16" s="69" t="s">
        <v>218</v>
      </c>
      <c r="Q16" s="90" t="s">
        <v>84</v>
      </c>
      <c r="R16" s="250" t="s">
        <v>218</v>
      </c>
      <c r="S16" s="70" t="s">
        <v>88</v>
      </c>
      <c r="T16" s="69" t="s">
        <v>218</v>
      </c>
      <c r="U16" s="90" t="s">
        <v>84</v>
      </c>
      <c r="V16" s="250" t="s">
        <v>218</v>
      </c>
      <c r="X16" s="235" t="s">
        <v>199</v>
      </c>
    </row>
    <row r="17" spans="9:24" x14ac:dyDescent="0.25">
      <c r="J17" s="23">
        <v>15</v>
      </c>
      <c r="K17" s="72" t="s">
        <v>88</v>
      </c>
      <c r="L17" s="76" t="s">
        <v>108</v>
      </c>
      <c r="M17" s="91" t="s">
        <v>84</v>
      </c>
      <c r="N17" s="76" t="s">
        <v>108</v>
      </c>
      <c r="O17" s="72" t="s">
        <v>88</v>
      </c>
      <c r="P17" s="76" t="s">
        <v>157</v>
      </c>
      <c r="Q17" s="91" t="s">
        <v>84</v>
      </c>
      <c r="R17" s="76" t="s">
        <v>219</v>
      </c>
      <c r="S17" s="72" t="s">
        <v>88</v>
      </c>
      <c r="T17" s="76" t="s">
        <v>220</v>
      </c>
      <c r="U17" s="91" t="s">
        <v>84</v>
      </c>
      <c r="V17" s="76" t="s">
        <v>220</v>
      </c>
    </row>
    <row r="18" spans="9:24" x14ac:dyDescent="0.25">
      <c r="J18" s="23">
        <v>16</v>
      </c>
      <c r="K18" s="70" t="s">
        <v>89</v>
      </c>
      <c r="L18" s="211" t="s">
        <v>221</v>
      </c>
      <c r="M18" s="90" t="s">
        <v>86</v>
      </c>
      <c r="N18" s="211" t="s">
        <v>221</v>
      </c>
      <c r="O18" s="70" t="s">
        <v>89</v>
      </c>
      <c r="P18" s="251" t="s">
        <v>108</v>
      </c>
      <c r="Q18" s="90" t="s">
        <v>86</v>
      </c>
      <c r="R18" s="211" t="s">
        <v>108</v>
      </c>
      <c r="S18" s="70" t="s">
        <v>89</v>
      </c>
      <c r="T18" s="211" t="s">
        <v>222</v>
      </c>
      <c r="U18" s="90" t="s">
        <v>86</v>
      </c>
      <c r="V18" s="211" t="s">
        <v>222</v>
      </c>
    </row>
    <row r="19" spans="9:24" x14ac:dyDescent="0.25">
      <c r="J19" s="23">
        <v>17</v>
      </c>
      <c r="K19" s="72" t="s">
        <v>89</v>
      </c>
      <c r="L19" s="76" t="s">
        <v>223</v>
      </c>
      <c r="M19" s="91" t="s">
        <v>86</v>
      </c>
      <c r="N19" s="76" t="s">
        <v>223</v>
      </c>
      <c r="O19" s="72" t="s">
        <v>89</v>
      </c>
      <c r="P19" s="76" t="s">
        <v>224</v>
      </c>
      <c r="Q19" s="91" t="s">
        <v>86</v>
      </c>
      <c r="R19" s="76" t="s">
        <v>224</v>
      </c>
      <c r="S19" s="72" t="s">
        <v>89</v>
      </c>
      <c r="T19" s="76" t="s">
        <v>108</v>
      </c>
      <c r="U19" s="91" t="s">
        <v>86</v>
      </c>
      <c r="V19" s="76" t="s">
        <v>108</v>
      </c>
    </row>
    <row r="20" spans="9:24" x14ac:dyDescent="0.25">
      <c r="J20" s="23">
        <v>18</v>
      </c>
      <c r="K20" s="70" t="s">
        <v>111</v>
      </c>
      <c r="L20" s="69" t="s">
        <v>119</v>
      </c>
      <c r="M20" s="90" t="s">
        <v>115</v>
      </c>
      <c r="N20" s="69" t="s">
        <v>119</v>
      </c>
      <c r="O20" s="70" t="s">
        <v>111</v>
      </c>
      <c r="P20" s="69" t="s">
        <v>119</v>
      </c>
      <c r="Q20" s="90" t="s">
        <v>115</v>
      </c>
      <c r="R20" s="69" t="s">
        <v>119</v>
      </c>
      <c r="S20" s="70" t="s">
        <v>111</v>
      </c>
      <c r="T20" s="69" t="s">
        <v>119</v>
      </c>
      <c r="U20" s="90" t="s">
        <v>115</v>
      </c>
      <c r="V20" s="69" t="s">
        <v>119</v>
      </c>
    </row>
    <row r="21" spans="9:24" x14ac:dyDescent="0.25">
      <c r="J21" s="23">
        <v>19</v>
      </c>
      <c r="K21" s="72" t="s">
        <v>111</v>
      </c>
      <c r="L21" s="76" t="s">
        <v>225</v>
      </c>
      <c r="M21" s="91" t="s">
        <v>115</v>
      </c>
      <c r="N21" s="76" t="s">
        <v>225</v>
      </c>
      <c r="O21" s="72" t="s">
        <v>111</v>
      </c>
      <c r="P21" s="252" t="s">
        <v>219</v>
      </c>
      <c r="Q21" s="91" t="s">
        <v>115</v>
      </c>
      <c r="R21" s="76" t="s">
        <v>157</v>
      </c>
      <c r="S21" s="72" t="s">
        <v>111</v>
      </c>
      <c r="T21" s="252" t="s">
        <v>108</v>
      </c>
      <c r="U21" s="91" t="s">
        <v>115</v>
      </c>
      <c r="V21" s="76" t="s">
        <v>108</v>
      </c>
      <c r="X21" s="255" t="s">
        <v>226</v>
      </c>
    </row>
    <row r="22" spans="9:24" x14ac:dyDescent="0.25">
      <c r="J22" s="23">
        <v>20</v>
      </c>
      <c r="K22" s="70" t="s">
        <v>113</v>
      </c>
      <c r="L22" s="69" t="s">
        <v>227</v>
      </c>
      <c r="M22" s="90" t="s">
        <v>116</v>
      </c>
      <c r="N22" s="69" t="s">
        <v>227</v>
      </c>
      <c r="O22" s="70" t="s">
        <v>113</v>
      </c>
      <c r="P22" s="69" t="s">
        <v>227</v>
      </c>
      <c r="Q22" s="90" t="s">
        <v>116</v>
      </c>
      <c r="R22" s="69" t="s">
        <v>227</v>
      </c>
      <c r="S22" s="70" t="s">
        <v>113</v>
      </c>
      <c r="T22" s="69" t="s">
        <v>227</v>
      </c>
      <c r="U22" s="90" t="s">
        <v>116</v>
      </c>
      <c r="V22" s="69" t="s">
        <v>227</v>
      </c>
    </row>
    <row r="23" spans="9:24" x14ac:dyDescent="0.25">
      <c r="I23" s="10"/>
      <c r="J23" s="23">
        <v>21</v>
      </c>
      <c r="K23" s="72" t="s">
        <v>113</v>
      </c>
      <c r="L23" s="76" t="s">
        <v>108</v>
      </c>
      <c r="M23" s="91" t="s">
        <v>116</v>
      </c>
      <c r="N23" s="76" t="s">
        <v>108</v>
      </c>
      <c r="O23" s="72" t="s">
        <v>113</v>
      </c>
      <c r="P23" s="76" t="s">
        <v>156</v>
      </c>
      <c r="Q23" s="91" t="s">
        <v>116</v>
      </c>
      <c r="R23" s="76" t="s">
        <v>108</v>
      </c>
      <c r="S23" s="72" t="s">
        <v>113</v>
      </c>
      <c r="T23" s="76" t="s">
        <v>228</v>
      </c>
      <c r="U23" s="91" t="s">
        <v>116</v>
      </c>
      <c r="V23" s="76" t="s">
        <v>228</v>
      </c>
    </row>
    <row r="24" spans="9:24" x14ac:dyDescent="0.25">
      <c r="I24" s="10"/>
      <c r="J24" s="23">
        <v>22</v>
      </c>
      <c r="K24" s="70" t="s">
        <v>115</v>
      </c>
      <c r="L24" s="69" t="s">
        <v>229</v>
      </c>
      <c r="M24" s="90" t="s">
        <v>111</v>
      </c>
      <c r="N24" s="69" t="s">
        <v>229</v>
      </c>
      <c r="O24" s="70" t="s">
        <v>115</v>
      </c>
      <c r="P24" s="69" t="s">
        <v>229</v>
      </c>
      <c r="Q24" s="90" t="s">
        <v>111</v>
      </c>
      <c r="R24" s="69" t="s">
        <v>229</v>
      </c>
      <c r="S24" s="70" t="s">
        <v>115</v>
      </c>
      <c r="T24" s="69" t="s">
        <v>229</v>
      </c>
      <c r="U24" s="90" t="s">
        <v>111</v>
      </c>
      <c r="V24" s="69" t="s">
        <v>229</v>
      </c>
    </row>
    <row r="25" spans="9:24" x14ac:dyDescent="0.25">
      <c r="I25" s="10"/>
      <c r="J25" s="23">
        <v>23</v>
      </c>
      <c r="K25" s="72" t="s">
        <v>115</v>
      </c>
      <c r="L25" s="67" t="s">
        <v>230</v>
      </c>
      <c r="M25" s="91" t="s">
        <v>111</v>
      </c>
      <c r="N25" s="67" t="s">
        <v>230</v>
      </c>
      <c r="O25" s="72" t="s">
        <v>115</v>
      </c>
      <c r="P25" s="67" t="s">
        <v>230</v>
      </c>
      <c r="Q25" s="91" t="s">
        <v>111</v>
      </c>
      <c r="R25" s="67" t="s">
        <v>230</v>
      </c>
      <c r="S25" s="72" t="s">
        <v>115</v>
      </c>
      <c r="T25" s="67" t="s">
        <v>230</v>
      </c>
      <c r="U25" s="91" t="s">
        <v>111</v>
      </c>
      <c r="V25" s="67" t="s">
        <v>230</v>
      </c>
    </row>
    <row r="26" spans="9:24" x14ac:dyDescent="0.25">
      <c r="I26" s="10"/>
      <c r="J26" s="23">
        <v>24</v>
      </c>
      <c r="K26" s="70" t="s">
        <v>116</v>
      </c>
      <c r="L26" s="211" t="s">
        <v>128</v>
      </c>
      <c r="M26" s="90" t="s">
        <v>113</v>
      </c>
      <c r="N26" s="211" t="s">
        <v>128</v>
      </c>
      <c r="O26" s="70" t="s">
        <v>116</v>
      </c>
      <c r="P26" s="211" t="s">
        <v>108</v>
      </c>
      <c r="Q26" s="90" t="s">
        <v>113</v>
      </c>
      <c r="R26" s="211" t="s">
        <v>156</v>
      </c>
      <c r="S26" s="70" t="s">
        <v>116</v>
      </c>
      <c r="T26" s="251" t="s">
        <v>121</v>
      </c>
      <c r="U26" s="90" t="s">
        <v>113</v>
      </c>
      <c r="V26" s="211" t="s">
        <v>121</v>
      </c>
      <c r="X26" t="s">
        <v>231</v>
      </c>
    </row>
    <row r="27" spans="9:24" x14ac:dyDescent="0.25">
      <c r="I27" s="10"/>
      <c r="J27" s="23">
        <v>25</v>
      </c>
      <c r="K27" s="72" t="s">
        <v>116</v>
      </c>
      <c r="L27" s="76" t="s">
        <v>108</v>
      </c>
      <c r="M27" s="91" t="s">
        <v>113</v>
      </c>
      <c r="N27" s="76" t="s">
        <v>108</v>
      </c>
      <c r="O27" s="72" t="s">
        <v>116</v>
      </c>
      <c r="P27" s="76" t="s">
        <v>108</v>
      </c>
      <c r="Q27" s="91" t="s">
        <v>113</v>
      </c>
      <c r="R27" s="76" t="s">
        <v>108</v>
      </c>
      <c r="S27" s="72" t="s">
        <v>116</v>
      </c>
      <c r="T27" s="76" t="s">
        <v>108</v>
      </c>
      <c r="U27" s="91" t="s">
        <v>113</v>
      </c>
      <c r="V27" s="254" t="s">
        <v>232</v>
      </c>
      <c r="X27" t="s">
        <v>233</v>
      </c>
    </row>
    <row r="28" spans="9:24" x14ac:dyDescent="0.25">
      <c r="I28" s="10"/>
      <c r="J28" s="23">
        <v>26</v>
      </c>
      <c r="K28" s="70" t="s">
        <v>129</v>
      </c>
      <c r="L28" s="96" t="s">
        <v>234</v>
      </c>
      <c r="M28" s="92" t="s">
        <v>133</v>
      </c>
      <c r="N28" s="96" t="s">
        <v>234</v>
      </c>
      <c r="O28" s="70" t="s">
        <v>129</v>
      </c>
      <c r="P28" s="96" t="s">
        <v>235</v>
      </c>
      <c r="Q28" s="92" t="s">
        <v>133</v>
      </c>
      <c r="R28" s="96" t="s">
        <v>235</v>
      </c>
      <c r="S28" s="70" t="s">
        <v>129</v>
      </c>
      <c r="T28" s="96" t="s">
        <v>236</v>
      </c>
      <c r="U28" s="92" t="s">
        <v>133</v>
      </c>
      <c r="V28" s="96" t="s">
        <v>236</v>
      </c>
    </row>
    <row r="29" spans="9:24" x14ac:dyDescent="0.25">
      <c r="I29" s="10"/>
      <c r="J29" s="23">
        <v>27</v>
      </c>
      <c r="K29" s="72" t="s">
        <v>129</v>
      </c>
      <c r="L29" s="76" t="s">
        <v>237</v>
      </c>
      <c r="M29" s="91" t="s">
        <v>133</v>
      </c>
      <c r="N29" s="76" t="s">
        <v>237</v>
      </c>
      <c r="O29" s="72" t="s">
        <v>129</v>
      </c>
      <c r="P29" s="76" t="s">
        <v>108</v>
      </c>
      <c r="Q29" s="91" t="s">
        <v>133</v>
      </c>
      <c r="R29" s="76" t="s">
        <v>108</v>
      </c>
      <c r="S29" s="72" t="s">
        <v>129</v>
      </c>
      <c r="T29" s="76" t="s">
        <v>108</v>
      </c>
      <c r="U29" s="91" t="s">
        <v>133</v>
      </c>
      <c r="V29" s="76" t="s">
        <v>108</v>
      </c>
    </row>
    <row r="30" spans="9:24" x14ac:dyDescent="0.25">
      <c r="I30" s="10"/>
      <c r="J30" s="23">
        <v>28</v>
      </c>
      <c r="K30" s="70" t="s">
        <v>131</v>
      </c>
      <c r="L30" s="211" t="s">
        <v>108</v>
      </c>
      <c r="M30" s="90" t="s">
        <v>134</v>
      </c>
      <c r="N30" s="211" t="s">
        <v>108</v>
      </c>
      <c r="O30" s="70" t="s">
        <v>131</v>
      </c>
      <c r="P30" s="211" t="s">
        <v>238</v>
      </c>
      <c r="Q30" s="90" t="s">
        <v>134</v>
      </c>
      <c r="R30" s="211" t="s">
        <v>238</v>
      </c>
      <c r="S30" s="70" t="s">
        <v>131</v>
      </c>
      <c r="T30" s="211" t="s">
        <v>232</v>
      </c>
      <c r="U30" s="90" t="s">
        <v>134</v>
      </c>
      <c r="V30" s="253" t="s">
        <v>108</v>
      </c>
    </row>
    <row r="31" spans="9:24" x14ac:dyDescent="0.25">
      <c r="I31" s="10"/>
      <c r="J31" s="23">
        <v>29</v>
      </c>
      <c r="K31" s="72" t="s">
        <v>131</v>
      </c>
      <c r="L31" s="67" t="s">
        <v>132</v>
      </c>
      <c r="M31" s="91" t="s">
        <v>134</v>
      </c>
      <c r="N31" s="67" t="s">
        <v>132</v>
      </c>
      <c r="O31" s="72" t="s">
        <v>131</v>
      </c>
      <c r="P31" s="67" t="s">
        <v>132</v>
      </c>
      <c r="Q31" s="91" t="s">
        <v>134</v>
      </c>
      <c r="R31" s="67" t="s">
        <v>132</v>
      </c>
      <c r="S31" s="72" t="s">
        <v>131</v>
      </c>
      <c r="T31" s="67" t="s">
        <v>132</v>
      </c>
      <c r="U31" s="91" t="s">
        <v>134</v>
      </c>
      <c r="V31" s="67" t="s">
        <v>132</v>
      </c>
    </row>
    <row r="32" spans="9:24" x14ac:dyDescent="0.25">
      <c r="I32" s="10"/>
      <c r="J32" s="23">
        <v>30</v>
      </c>
      <c r="K32" s="70" t="s">
        <v>133</v>
      </c>
      <c r="L32" s="69" t="s">
        <v>142</v>
      </c>
      <c r="M32" s="90" t="s">
        <v>129</v>
      </c>
      <c r="N32" s="69" t="s">
        <v>142</v>
      </c>
      <c r="O32" s="70" t="s">
        <v>133</v>
      </c>
      <c r="P32" s="69" t="s">
        <v>142</v>
      </c>
      <c r="Q32" s="90" t="s">
        <v>129</v>
      </c>
      <c r="R32" s="69" t="s">
        <v>142</v>
      </c>
      <c r="S32" s="70" t="s">
        <v>133</v>
      </c>
      <c r="T32" s="69" t="s">
        <v>142</v>
      </c>
      <c r="U32" s="90" t="s">
        <v>129</v>
      </c>
      <c r="V32" s="69" t="s">
        <v>142</v>
      </c>
    </row>
    <row r="33" spans="9:22" x14ac:dyDescent="0.25">
      <c r="I33" s="10"/>
      <c r="J33" s="23">
        <v>31</v>
      </c>
      <c r="K33" s="72" t="s">
        <v>133</v>
      </c>
      <c r="L33" s="86" t="s">
        <v>144</v>
      </c>
      <c r="M33" s="212" t="s">
        <v>129</v>
      </c>
      <c r="N33" s="86" t="s">
        <v>144</v>
      </c>
      <c r="O33" s="72" t="s">
        <v>133</v>
      </c>
      <c r="P33" s="86" t="s">
        <v>144</v>
      </c>
      <c r="Q33" s="212" t="s">
        <v>129</v>
      </c>
      <c r="R33" s="86" t="s">
        <v>144</v>
      </c>
      <c r="S33" s="72" t="s">
        <v>133</v>
      </c>
      <c r="T33" s="86" t="s">
        <v>144</v>
      </c>
      <c r="U33" s="212" t="s">
        <v>129</v>
      </c>
      <c r="V33" s="86" t="s">
        <v>144</v>
      </c>
    </row>
    <row r="34" spans="9:22" x14ac:dyDescent="0.25">
      <c r="I34" s="10"/>
      <c r="J34" s="23">
        <v>32</v>
      </c>
      <c r="K34" s="70" t="s">
        <v>134</v>
      </c>
      <c r="L34" s="69"/>
      <c r="M34" s="90" t="s">
        <v>131</v>
      </c>
      <c r="N34" s="69"/>
      <c r="O34" s="70" t="s">
        <v>134</v>
      </c>
      <c r="P34" s="69"/>
      <c r="Q34" s="90" t="s">
        <v>131</v>
      </c>
      <c r="R34" s="69"/>
      <c r="S34" s="70" t="s">
        <v>134</v>
      </c>
      <c r="T34" s="69"/>
      <c r="U34" s="90" t="s">
        <v>131</v>
      </c>
      <c r="V34" s="69"/>
    </row>
    <row r="35" spans="9:22" x14ac:dyDescent="0.25">
      <c r="I35" s="10"/>
      <c r="J35" s="23">
        <v>33</v>
      </c>
      <c r="K35" s="72" t="s">
        <v>134</v>
      </c>
      <c r="L35" s="67"/>
      <c r="M35" s="91" t="s">
        <v>131</v>
      </c>
      <c r="N35" s="67"/>
      <c r="O35" s="72" t="s">
        <v>134</v>
      </c>
      <c r="P35" s="67"/>
      <c r="Q35" s="91" t="s">
        <v>131</v>
      </c>
      <c r="R35" s="67"/>
      <c r="S35" s="72" t="s">
        <v>134</v>
      </c>
      <c r="T35" s="67"/>
      <c r="U35" s="91" t="s">
        <v>131</v>
      </c>
      <c r="V35" s="67"/>
    </row>
    <row r="36" spans="9:22" x14ac:dyDescent="0.25">
      <c r="J36" s="23">
        <v>34</v>
      </c>
      <c r="K36" s="213"/>
      <c r="L36" s="214" t="s">
        <v>211</v>
      </c>
      <c r="M36" s="213"/>
      <c r="N36" s="98" t="str">
        <f>L36</f>
        <v>AC-ARVA1</v>
      </c>
      <c r="O36" s="213"/>
      <c r="P36" s="214" t="s">
        <v>239</v>
      </c>
      <c r="Q36" s="213"/>
      <c r="R36" s="98" t="str">
        <f>P36</f>
        <v>Opt-ENGL1</v>
      </c>
      <c r="S36" s="213"/>
      <c r="T36" s="214" t="s">
        <v>220</v>
      </c>
      <c r="U36" s="213"/>
      <c r="V36" s="98" t="str">
        <f t="shared" ref="V36:V58" si="0">T36</f>
        <v>AC-HSGE11</v>
      </c>
    </row>
    <row r="37" spans="9:22" x14ac:dyDescent="0.25">
      <c r="J37" s="23">
        <v>35</v>
      </c>
      <c r="K37" s="215"/>
      <c r="L37" s="216" t="s">
        <v>240</v>
      </c>
      <c r="M37" s="215"/>
      <c r="N37" s="98" t="str">
        <f t="shared" ref="N37:N54" si="1">L37</f>
        <v>VISA2011</v>
      </c>
      <c r="O37" s="215"/>
      <c r="P37" s="216" t="s">
        <v>168</v>
      </c>
      <c r="Q37" s="215"/>
      <c r="R37" s="98" t="str">
        <f t="shared" ref="R37:R49" si="2">P37</f>
        <v>CTED4004</v>
      </c>
      <c r="S37" s="215"/>
      <c r="T37" s="216" t="s">
        <v>241</v>
      </c>
      <c r="U37" s="215"/>
      <c r="V37" s="98" t="str">
        <f t="shared" si="0"/>
        <v>GEOG2005</v>
      </c>
    </row>
    <row r="38" spans="9:22" x14ac:dyDescent="0.25">
      <c r="I38" s="10"/>
      <c r="J38" s="23">
        <v>36</v>
      </c>
      <c r="K38" s="71"/>
      <c r="L38" s="68" t="s">
        <v>242</v>
      </c>
      <c r="M38" s="71"/>
      <c r="N38" s="98" t="str">
        <f t="shared" si="1"/>
        <v>VISA2012</v>
      </c>
      <c r="O38" s="71"/>
      <c r="P38" s="68" t="s">
        <v>169</v>
      </c>
      <c r="Q38" s="71"/>
      <c r="R38" s="98" t="str">
        <f t="shared" si="2"/>
        <v>CTED4007</v>
      </c>
      <c r="S38" s="71"/>
      <c r="T38" s="68" t="s">
        <v>243</v>
      </c>
      <c r="U38" s="71"/>
      <c r="V38" s="98" t="str">
        <f t="shared" si="0"/>
        <v>PHGY2001</v>
      </c>
    </row>
    <row r="39" spans="9:22" x14ac:dyDescent="0.25">
      <c r="I39" s="10"/>
      <c r="J39" s="23">
        <v>37</v>
      </c>
      <c r="K39" s="71"/>
      <c r="L39" s="68" t="s">
        <v>244</v>
      </c>
      <c r="M39" s="71"/>
      <c r="N39" s="98" t="str">
        <f t="shared" si="1"/>
        <v xml:space="preserve"> </v>
      </c>
      <c r="O39" s="71"/>
      <c r="P39" s="68" t="s">
        <v>170</v>
      </c>
      <c r="Q39" s="71"/>
      <c r="R39" s="98" t="str">
        <f t="shared" si="2"/>
        <v>CTED4009</v>
      </c>
      <c r="S39" s="71"/>
      <c r="T39" s="68" t="s">
        <v>228</v>
      </c>
      <c r="U39" s="71"/>
      <c r="V39" s="98" t="str">
        <f t="shared" si="0"/>
        <v>AC-HSGE12</v>
      </c>
    </row>
    <row r="40" spans="9:22" x14ac:dyDescent="0.25">
      <c r="I40" s="10"/>
      <c r="J40" s="23">
        <v>38</v>
      </c>
      <c r="K40" s="71"/>
      <c r="L40" s="68" t="s">
        <v>245</v>
      </c>
      <c r="M40" s="71"/>
      <c r="N40" s="98" t="str">
        <f t="shared" si="1"/>
        <v>Opt-ARVA1</v>
      </c>
      <c r="O40" s="71"/>
      <c r="P40" s="68" t="s">
        <v>152</v>
      </c>
      <c r="Q40" s="71"/>
      <c r="R40" s="98" t="str">
        <f t="shared" si="2"/>
        <v>EDUC4026</v>
      </c>
      <c r="S40" s="71"/>
      <c r="T40" s="68" t="s">
        <v>246</v>
      </c>
      <c r="U40" s="71"/>
      <c r="V40" s="98" t="str">
        <f t="shared" si="0"/>
        <v>GEOG2003</v>
      </c>
    </row>
    <row r="41" spans="9:22" x14ac:dyDescent="0.25">
      <c r="I41" s="10"/>
      <c r="J41" s="23">
        <v>39</v>
      </c>
      <c r="K41" s="71"/>
      <c r="L41" s="68" t="s">
        <v>168</v>
      </c>
      <c r="M41" s="71"/>
      <c r="N41" s="98" t="str">
        <f t="shared" si="1"/>
        <v>CTED4004</v>
      </c>
      <c r="O41" s="71"/>
      <c r="P41" s="68" t="s">
        <v>160</v>
      </c>
      <c r="Q41" s="71"/>
      <c r="R41" s="98" t="str">
        <f t="shared" si="2"/>
        <v>EDUC4028</v>
      </c>
      <c r="S41" s="71"/>
      <c r="T41" s="68" t="s">
        <v>247</v>
      </c>
      <c r="U41" s="71"/>
      <c r="V41" s="98" t="str">
        <f t="shared" si="0"/>
        <v>GEOG2004</v>
      </c>
    </row>
    <row r="42" spans="9:22" x14ac:dyDescent="0.25">
      <c r="I42" s="10"/>
      <c r="J42" s="23">
        <v>40</v>
      </c>
      <c r="K42" s="71"/>
      <c r="L42" s="68" t="s">
        <v>169</v>
      </c>
      <c r="M42" s="71"/>
      <c r="N42" s="98" t="str">
        <f t="shared" si="1"/>
        <v>CTED4007</v>
      </c>
      <c r="O42" s="71"/>
      <c r="P42" s="68" t="s">
        <v>164</v>
      </c>
      <c r="Q42" s="71"/>
      <c r="R42" s="98" t="str">
        <f t="shared" si="2"/>
        <v>EDUC4030</v>
      </c>
      <c r="S42" s="71"/>
      <c r="T42" s="68" t="s">
        <v>236</v>
      </c>
      <c r="U42" s="71"/>
      <c r="V42" s="98" t="str">
        <f t="shared" si="0"/>
        <v>AC-HSGE13</v>
      </c>
    </row>
    <row r="43" spans="9:22" x14ac:dyDescent="0.25">
      <c r="I43" s="10"/>
      <c r="J43" s="23">
        <v>41</v>
      </c>
      <c r="K43" s="71"/>
      <c r="L43" s="68" t="s">
        <v>170</v>
      </c>
      <c r="M43" s="71"/>
      <c r="N43" s="98" t="str">
        <f t="shared" si="1"/>
        <v>CTED4009</v>
      </c>
      <c r="O43" s="71"/>
      <c r="P43" s="68" t="s">
        <v>153</v>
      </c>
      <c r="Q43" s="71"/>
      <c r="R43" s="98" t="str">
        <f t="shared" si="2"/>
        <v>EDUC4033</v>
      </c>
      <c r="S43" s="71"/>
      <c r="T43" s="68" t="s">
        <v>248</v>
      </c>
      <c r="U43" s="71"/>
      <c r="V43" s="98" t="str">
        <f t="shared" si="0"/>
        <v>GEOG3002</v>
      </c>
    </row>
    <row r="44" spans="9:22" x14ac:dyDescent="0.25">
      <c r="I44" s="10"/>
      <c r="J44" s="23">
        <v>42</v>
      </c>
      <c r="K44" s="71"/>
      <c r="L44" s="68" t="s">
        <v>156</v>
      </c>
      <c r="M44" s="71"/>
      <c r="N44" s="98" t="str">
        <f t="shared" si="1"/>
        <v>EDUC4024</v>
      </c>
      <c r="O44" s="71"/>
      <c r="P44" s="68" t="s">
        <v>154</v>
      </c>
      <c r="Q44" s="71"/>
      <c r="R44" s="98" t="str">
        <f t="shared" si="2"/>
        <v>EDUC4035</v>
      </c>
      <c r="S44" s="71"/>
      <c r="T44" s="68" t="s">
        <v>249</v>
      </c>
      <c r="U44" s="71"/>
      <c r="V44" s="98" t="str">
        <f t="shared" si="0"/>
        <v>PHGY3001</v>
      </c>
    </row>
    <row r="45" spans="9:22" x14ac:dyDescent="0.25">
      <c r="I45" s="10"/>
      <c r="J45" s="23">
        <v>43</v>
      </c>
      <c r="K45" s="71"/>
      <c r="L45" s="68" t="s">
        <v>157</v>
      </c>
      <c r="M45" s="71"/>
      <c r="N45" s="98" t="str">
        <f t="shared" si="1"/>
        <v>EDUC4025</v>
      </c>
      <c r="O45" s="71"/>
      <c r="P45" s="68" t="s">
        <v>158</v>
      </c>
      <c r="Q45" s="71"/>
      <c r="R45" s="98" t="str">
        <f t="shared" si="2"/>
        <v>EDUC4037</v>
      </c>
      <c r="S45" s="71"/>
      <c r="T45" s="68" t="s">
        <v>244</v>
      </c>
      <c r="U45" s="71"/>
      <c r="V45" s="98" t="str">
        <f t="shared" si="0"/>
        <v xml:space="preserve"> </v>
      </c>
    </row>
    <row r="46" spans="9:22" x14ac:dyDescent="0.25">
      <c r="I46" s="10"/>
      <c r="J46" s="23">
        <v>44</v>
      </c>
      <c r="K46" s="71"/>
      <c r="L46" s="68" t="s">
        <v>152</v>
      </c>
      <c r="M46" s="71"/>
      <c r="N46" s="98" t="str">
        <f t="shared" si="1"/>
        <v>EDUC4026</v>
      </c>
      <c r="O46" s="71"/>
      <c r="P46" s="68" t="s">
        <v>165</v>
      </c>
      <c r="Q46" s="71"/>
      <c r="R46" s="98" t="str">
        <f t="shared" si="2"/>
        <v>EDUC4039</v>
      </c>
      <c r="S46" s="71"/>
      <c r="T46" s="68" t="s">
        <v>250</v>
      </c>
      <c r="U46" s="71"/>
      <c r="V46" s="98" t="str">
        <f t="shared" si="0"/>
        <v>Opt-HSGE1</v>
      </c>
    </row>
    <row r="47" spans="9:22" x14ac:dyDescent="0.25">
      <c r="I47" s="10"/>
      <c r="J47" s="23">
        <v>45</v>
      </c>
      <c r="K47" s="71"/>
      <c r="L47" s="68" t="s">
        <v>160</v>
      </c>
      <c r="M47" s="71"/>
      <c r="N47" s="98" t="str">
        <f t="shared" si="1"/>
        <v>EDUC4028</v>
      </c>
      <c r="O47" s="71"/>
      <c r="P47" s="68" t="s">
        <v>161</v>
      </c>
      <c r="Q47" s="71"/>
      <c r="R47" s="98" t="str">
        <f t="shared" si="2"/>
        <v>EDUC4043</v>
      </c>
      <c r="S47" s="71"/>
      <c r="T47" s="68" t="s">
        <v>168</v>
      </c>
      <c r="U47" s="71"/>
      <c r="V47" s="98" t="str">
        <f t="shared" si="0"/>
        <v>CTED4004</v>
      </c>
    </row>
    <row r="48" spans="9:22" x14ac:dyDescent="0.25">
      <c r="I48" s="10"/>
      <c r="J48" s="23">
        <v>46</v>
      </c>
      <c r="K48" s="71"/>
      <c r="L48" s="68" t="s">
        <v>164</v>
      </c>
      <c r="M48" s="71"/>
      <c r="N48" s="98" t="str">
        <f t="shared" si="1"/>
        <v>EDUC4030</v>
      </c>
      <c r="O48" s="71"/>
      <c r="P48" s="68" t="s">
        <v>162</v>
      </c>
      <c r="Q48" s="71"/>
      <c r="R48" s="98" t="str">
        <f t="shared" si="2"/>
        <v>EDUC4045</v>
      </c>
      <c r="S48" s="71"/>
      <c r="T48" s="68" t="s">
        <v>169</v>
      </c>
      <c r="U48" s="71"/>
      <c r="V48" s="98" t="str">
        <f t="shared" si="0"/>
        <v>CTED4007</v>
      </c>
    </row>
    <row r="49" spans="9:22" x14ac:dyDescent="0.25">
      <c r="I49" s="10"/>
      <c r="J49" s="23">
        <v>47</v>
      </c>
      <c r="K49" s="71"/>
      <c r="L49" s="68" t="s">
        <v>153</v>
      </c>
      <c r="M49" s="71"/>
      <c r="N49" s="98" t="str">
        <f t="shared" si="1"/>
        <v>EDUC4033</v>
      </c>
      <c r="O49" s="71"/>
      <c r="P49" s="68" t="s">
        <v>166</v>
      </c>
      <c r="Q49" s="71"/>
      <c r="R49" s="98" t="str">
        <f t="shared" si="2"/>
        <v>EDUC4047</v>
      </c>
      <c r="S49" s="71"/>
      <c r="T49" s="68" t="s">
        <v>170</v>
      </c>
      <c r="U49" s="71"/>
      <c r="V49" s="98" t="str">
        <f t="shared" si="0"/>
        <v>CTED4009</v>
      </c>
    </row>
    <row r="50" spans="9:22" x14ac:dyDescent="0.25">
      <c r="I50" s="10"/>
      <c r="J50" s="23">
        <v>48</v>
      </c>
      <c r="K50" s="71"/>
      <c r="L50" s="68" t="s">
        <v>154</v>
      </c>
      <c r="M50" s="71"/>
      <c r="N50" s="98" t="str">
        <f t="shared" si="1"/>
        <v>EDUC4035</v>
      </c>
      <c r="O50" s="71"/>
      <c r="P50" s="68"/>
      <c r="Q50" s="71"/>
      <c r="R50" s="98"/>
      <c r="S50" s="71"/>
      <c r="T50" s="68" t="s">
        <v>156</v>
      </c>
      <c r="U50" s="71"/>
      <c r="V50" s="98" t="str">
        <f t="shared" si="0"/>
        <v>EDUC4024</v>
      </c>
    </row>
    <row r="51" spans="9:22" x14ac:dyDescent="0.25">
      <c r="I51" s="10"/>
      <c r="J51" s="23">
        <v>49</v>
      </c>
      <c r="K51" s="71"/>
      <c r="L51" s="68" t="s">
        <v>158</v>
      </c>
      <c r="M51" s="71"/>
      <c r="N51" s="98" t="str">
        <f t="shared" si="1"/>
        <v>EDUC4037</v>
      </c>
      <c r="O51" s="71"/>
      <c r="P51" s="68"/>
      <c r="Q51" s="71"/>
      <c r="R51" s="98"/>
      <c r="S51" s="71"/>
      <c r="T51" s="68" t="s">
        <v>157</v>
      </c>
      <c r="U51" s="71"/>
      <c r="V51" s="98" t="str">
        <f t="shared" si="0"/>
        <v>EDUC4025</v>
      </c>
    </row>
    <row r="52" spans="9:22" x14ac:dyDescent="0.25">
      <c r="I52" s="10"/>
      <c r="J52" s="23">
        <v>50</v>
      </c>
      <c r="K52" s="71"/>
      <c r="L52" s="68" t="s">
        <v>165</v>
      </c>
      <c r="M52" s="71"/>
      <c r="N52" s="98" t="str">
        <f t="shared" si="1"/>
        <v>EDUC4039</v>
      </c>
      <c r="O52" s="71"/>
      <c r="P52" s="68"/>
      <c r="Q52" s="71"/>
      <c r="R52" s="98"/>
      <c r="S52" s="71"/>
      <c r="T52" s="68" t="s">
        <v>152</v>
      </c>
      <c r="U52" s="71"/>
      <c r="V52" s="98" t="str">
        <f t="shared" si="0"/>
        <v>EDUC4026</v>
      </c>
    </row>
    <row r="53" spans="9:22" x14ac:dyDescent="0.25">
      <c r="I53" s="10"/>
      <c r="J53" s="23">
        <v>51</v>
      </c>
      <c r="K53" s="71"/>
      <c r="L53" s="68" t="s">
        <v>161</v>
      </c>
      <c r="M53" s="71"/>
      <c r="N53" s="98" t="str">
        <f t="shared" si="1"/>
        <v>EDUC4043</v>
      </c>
      <c r="O53" s="71"/>
      <c r="P53" s="68"/>
      <c r="Q53" s="71"/>
      <c r="R53" s="98"/>
      <c r="S53" s="71"/>
      <c r="T53" s="68" t="s">
        <v>164</v>
      </c>
      <c r="U53" s="71"/>
      <c r="V53" s="98" t="str">
        <f t="shared" si="0"/>
        <v>EDUC4030</v>
      </c>
    </row>
    <row r="54" spans="9:22" x14ac:dyDescent="0.25">
      <c r="I54" s="10"/>
      <c r="J54" s="23">
        <v>52</v>
      </c>
      <c r="K54" s="71"/>
      <c r="L54" s="68" t="s">
        <v>162</v>
      </c>
      <c r="M54" s="71"/>
      <c r="N54" s="98" t="str">
        <f t="shared" si="1"/>
        <v>EDUC4045</v>
      </c>
      <c r="O54" s="71"/>
      <c r="P54" s="68"/>
      <c r="Q54" s="71"/>
      <c r="R54" s="98"/>
      <c r="S54" s="71"/>
      <c r="T54" s="68" t="s">
        <v>153</v>
      </c>
      <c r="U54" s="71"/>
      <c r="V54" s="98" t="str">
        <f t="shared" si="0"/>
        <v>EDUC4033</v>
      </c>
    </row>
    <row r="55" spans="9:22" x14ac:dyDescent="0.25">
      <c r="I55" s="10"/>
      <c r="J55" s="23">
        <v>53</v>
      </c>
      <c r="K55" s="71"/>
      <c r="L55" s="68" t="s">
        <v>166</v>
      </c>
      <c r="M55" s="71"/>
      <c r="N55" s="98"/>
      <c r="O55" s="71"/>
      <c r="P55" s="68"/>
      <c r="Q55" s="71"/>
      <c r="R55" s="98"/>
      <c r="S55" s="71"/>
      <c r="T55" s="68" t="s">
        <v>154</v>
      </c>
      <c r="U55" s="71"/>
      <c r="V55" s="98" t="str">
        <f t="shared" si="0"/>
        <v>EDUC4035</v>
      </c>
    </row>
    <row r="56" spans="9:22" x14ac:dyDescent="0.25">
      <c r="I56" s="10"/>
      <c r="J56" s="23">
        <v>54</v>
      </c>
      <c r="K56" s="71"/>
      <c r="L56" s="68"/>
      <c r="M56" s="71"/>
      <c r="N56" s="98"/>
      <c r="O56" s="71"/>
      <c r="P56" s="68"/>
      <c r="Q56" s="71"/>
      <c r="R56" s="98"/>
      <c r="S56" s="71"/>
      <c r="T56" s="68" t="s">
        <v>158</v>
      </c>
      <c r="U56" s="71"/>
      <c r="V56" s="98" t="str">
        <f t="shared" si="0"/>
        <v>EDUC4037</v>
      </c>
    </row>
    <row r="57" spans="9:22" x14ac:dyDescent="0.25">
      <c r="I57" s="10"/>
      <c r="J57" s="23">
        <v>55</v>
      </c>
      <c r="K57" s="71"/>
      <c r="L57" s="68"/>
      <c r="M57" s="71"/>
      <c r="N57" s="98"/>
      <c r="O57" s="71"/>
      <c r="P57" s="68"/>
      <c r="Q57" s="71"/>
      <c r="R57" s="98"/>
      <c r="S57" s="71"/>
      <c r="T57" s="68" t="s">
        <v>165</v>
      </c>
      <c r="U57" s="71"/>
      <c r="V57" s="98" t="str">
        <f t="shared" si="0"/>
        <v>EDUC4039</v>
      </c>
    </row>
    <row r="58" spans="9:22" x14ac:dyDescent="0.25">
      <c r="I58" s="10"/>
      <c r="J58" s="23">
        <v>56</v>
      </c>
      <c r="K58" s="71"/>
      <c r="L58" s="68"/>
      <c r="M58" s="71"/>
      <c r="N58" s="98"/>
      <c r="O58" s="71"/>
      <c r="P58" s="68"/>
      <c r="Q58" s="71"/>
      <c r="R58" s="98"/>
      <c r="S58" s="71"/>
      <c r="T58" s="68" t="s">
        <v>161</v>
      </c>
      <c r="U58" s="71"/>
      <c r="V58" s="98" t="str">
        <f t="shared" si="0"/>
        <v>EDUC4043</v>
      </c>
    </row>
    <row r="59" spans="9:22" x14ac:dyDescent="0.25">
      <c r="I59" s="10"/>
      <c r="J59" s="23">
        <v>57</v>
      </c>
      <c r="K59" s="71"/>
      <c r="L59" s="68"/>
      <c r="M59" s="71"/>
      <c r="N59" s="98"/>
      <c r="O59" s="71"/>
      <c r="P59" s="68"/>
      <c r="Q59" s="71"/>
      <c r="R59" s="98"/>
      <c r="S59" s="71"/>
      <c r="T59" s="68" t="s">
        <v>162</v>
      </c>
      <c r="U59" s="71"/>
      <c r="V59" s="98" t="str">
        <f t="shared" ref="V59:V60" si="3">T59</f>
        <v>EDUC4045</v>
      </c>
    </row>
    <row r="60" spans="9:22" x14ac:dyDescent="0.25">
      <c r="I60" s="10"/>
      <c r="J60" s="23">
        <v>58</v>
      </c>
      <c r="K60" s="72"/>
      <c r="L60" s="67"/>
      <c r="M60" s="72"/>
      <c r="N60" s="99"/>
      <c r="O60" s="72"/>
      <c r="P60" s="67"/>
      <c r="Q60" s="72"/>
      <c r="R60" s="99"/>
      <c r="S60" s="72"/>
      <c r="T60" s="67" t="s">
        <v>166</v>
      </c>
      <c r="U60" s="72"/>
      <c r="V60" s="99" t="str">
        <f t="shared" si="3"/>
        <v>EDUC4047</v>
      </c>
    </row>
    <row r="61" spans="9:22" x14ac:dyDescent="0.25">
      <c r="I61" s="10"/>
      <c r="J61" s="23"/>
      <c r="K61" s="3"/>
      <c r="L61" s="3"/>
      <c r="M61" s="3"/>
      <c r="N61" s="210"/>
      <c r="O61" s="3"/>
      <c r="P61" s="3"/>
      <c r="Q61" s="3"/>
      <c r="R61" s="210"/>
      <c r="S61" s="3"/>
      <c r="T61" s="3"/>
      <c r="U61" s="3"/>
      <c r="V61" s="210"/>
    </row>
    <row r="62" spans="9:22" x14ac:dyDescent="0.25">
      <c r="I62" s="10"/>
      <c r="J62" s="23"/>
      <c r="K62" s="3"/>
      <c r="L62" s="3"/>
      <c r="M62" s="3"/>
      <c r="N62" s="210"/>
      <c r="O62" s="3"/>
      <c r="P62" s="3"/>
      <c r="Q62" s="3"/>
      <c r="R62" s="210"/>
      <c r="S62" s="3"/>
      <c r="T62" s="3"/>
      <c r="U62" s="3"/>
      <c r="V62" s="210"/>
    </row>
    <row r="64" spans="9:22" x14ac:dyDescent="0.25">
      <c r="I64" s="52" t="s">
        <v>251</v>
      </c>
      <c r="J64" s="3">
        <v>1</v>
      </c>
      <c r="K64" s="100" t="s">
        <v>78</v>
      </c>
    </row>
    <row r="65" spans="9:11" x14ac:dyDescent="0.25">
      <c r="I65" s="97"/>
      <c r="J65" s="23">
        <v>2</v>
      </c>
      <c r="K65" s="101" t="s">
        <v>151</v>
      </c>
    </row>
    <row r="66" spans="9:11" x14ac:dyDescent="0.25">
      <c r="J66" s="23">
        <v>3</v>
      </c>
      <c r="K66" s="102" t="s">
        <v>152</v>
      </c>
    </row>
    <row r="67" spans="9:11" x14ac:dyDescent="0.25">
      <c r="J67" s="23">
        <v>4</v>
      </c>
      <c r="K67" s="102" t="s">
        <v>153</v>
      </c>
    </row>
    <row r="68" spans="9:11" x14ac:dyDescent="0.25">
      <c r="J68" s="23">
        <v>5</v>
      </c>
      <c r="K68" s="102" t="s">
        <v>154</v>
      </c>
    </row>
    <row r="69" spans="9:11" x14ac:dyDescent="0.25">
      <c r="J69" s="23">
        <v>6</v>
      </c>
      <c r="K69" s="102" t="s">
        <v>155</v>
      </c>
    </row>
    <row r="70" spans="9:11" x14ac:dyDescent="0.25">
      <c r="J70" s="23">
        <v>7</v>
      </c>
      <c r="K70" s="102" t="s">
        <v>156</v>
      </c>
    </row>
    <row r="71" spans="9:11" x14ac:dyDescent="0.25">
      <c r="J71" s="23">
        <v>8</v>
      </c>
      <c r="K71" s="102" t="s">
        <v>157</v>
      </c>
    </row>
    <row r="72" spans="9:11" x14ac:dyDescent="0.25">
      <c r="J72" s="23">
        <v>9</v>
      </c>
      <c r="K72" s="102" t="s">
        <v>158</v>
      </c>
    </row>
    <row r="73" spans="9:11" x14ac:dyDescent="0.25">
      <c r="J73" s="23">
        <v>10</v>
      </c>
      <c r="K73" s="102" t="s">
        <v>159</v>
      </c>
    </row>
    <row r="74" spans="9:11" x14ac:dyDescent="0.25">
      <c r="J74" s="23">
        <v>11</v>
      </c>
      <c r="K74" s="102" t="s">
        <v>160</v>
      </c>
    </row>
    <row r="75" spans="9:11" x14ac:dyDescent="0.25">
      <c r="J75" s="23">
        <v>12</v>
      </c>
      <c r="K75" s="102" t="s">
        <v>161</v>
      </c>
    </row>
    <row r="76" spans="9:11" x14ac:dyDescent="0.25">
      <c r="J76" s="23">
        <v>13</v>
      </c>
      <c r="K76" s="102" t="s">
        <v>162</v>
      </c>
    </row>
    <row r="77" spans="9:11" x14ac:dyDescent="0.25">
      <c r="J77" s="23">
        <v>14</v>
      </c>
      <c r="K77" s="102" t="s">
        <v>163</v>
      </c>
    </row>
    <row r="78" spans="9:11" x14ac:dyDescent="0.25">
      <c r="J78" s="23">
        <v>15</v>
      </c>
      <c r="K78" s="102" t="s">
        <v>164</v>
      </c>
    </row>
    <row r="79" spans="9:11" x14ac:dyDescent="0.25">
      <c r="J79" s="23">
        <v>16</v>
      </c>
      <c r="K79" s="102" t="s">
        <v>165</v>
      </c>
    </row>
    <row r="80" spans="9:11" x14ac:dyDescent="0.25">
      <c r="J80" s="23">
        <v>17</v>
      </c>
      <c r="K80" s="102" t="s">
        <v>166</v>
      </c>
    </row>
    <row r="81" spans="10:11" x14ac:dyDescent="0.25">
      <c r="J81" s="23">
        <v>18</v>
      </c>
      <c r="K81" s="102" t="s">
        <v>167</v>
      </c>
    </row>
    <row r="82" spans="10:11" x14ac:dyDescent="0.25">
      <c r="J82" s="23">
        <v>19</v>
      </c>
      <c r="K82" s="102" t="s">
        <v>168</v>
      </c>
    </row>
    <row r="83" spans="10:11" x14ac:dyDescent="0.25">
      <c r="J83" s="23">
        <v>20</v>
      </c>
      <c r="K83" s="102" t="s">
        <v>169</v>
      </c>
    </row>
    <row r="84" spans="10:11" x14ac:dyDescent="0.25">
      <c r="J84" s="23">
        <v>21</v>
      </c>
      <c r="K84" s="102" t="s">
        <v>170</v>
      </c>
    </row>
    <row r="85" spans="10:11" x14ac:dyDescent="0.25">
      <c r="J85" s="23">
        <v>22</v>
      </c>
      <c r="K85" s="102" t="s">
        <v>252</v>
      </c>
    </row>
    <row r="86" spans="10:11" x14ac:dyDescent="0.25">
      <c r="J86" s="23">
        <v>23</v>
      </c>
      <c r="K86" s="102" t="s">
        <v>253</v>
      </c>
    </row>
    <row r="87" spans="10:11" x14ac:dyDescent="0.25">
      <c r="J87" s="23">
        <v>24</v>
      </c>
      <c r="K87" s="102" t="s">
        <v>254</v>
      </c>
    </row>
    <row r="88" spans="10:11" x14ac:dyDescent="0.25">
      <c r="J88" s="23">
        <v>25</v>
      </c>
      <c r="K88" s="102" t="s">
        <v>255</v>
      </c>
    </row>
    <row r="89" spans="10:11" x14ac:dyDescent="0.25">
      <c r="J89" s="23">
        <v>26</v>
      </c>
      <c r="K89" s="103"/>
    </row>
  </sheetData>
  <conditionalFormatting sqref="K66:K89">
    <cfRule type="containsText" dxfId="23" priority="116" operator="containsText" text="Option">
      <formula>NOT(ISERROR(SEARCH("Option",K66)))</formula>
    </cfRule>
    <cfRule type="containsText" dxfId="22" priority="124" operator="containsText" text="AltCore">
      <formula>NOT(ISERROR(SEARCH("AltCore",K66)))</formula>
    </cfRule>
  </conditionalFormatting>
  <conditionalFormatting sqref="N4:N35">
    <cfRule type="cellIs" dxfId="21" priority="1" operator="notEqual">
      <formula>L4</formula>
    </cfRule>
  </conditionalFormatting>
  <conditionalFormatting sqref="R4:R35">
    <cfRule type="cellIs" dxfId="20" priority="3" operator="notEqual">
      <formula>P4</formula>
    </cfRule>
  </conditionalFormatting>
  <conditionalFormatting sqref="V36:V39 R36:R49 N36:N54 K38:V62 K64:K65">
    <cfRule type="containsText" dxfId="19" priority="102" operator="containsText" text="AltCore">
      <formula>NOT(ISERROR(SEARCH("AltCore",K36)))</formula>
    </cfRule>
  </conditionalFormatting>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137"/>
  <sheetViews>
    <sheetView zoomScale="70" zoomScaleNormal="70" workbookViewId="0">
      <pane xSplit="5" ySplit="2" topLeftCell="F48"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5.25" bestFit="1" customWidth="1"/>
    <col min="2" max="2" width="7.5" style="5" bestFit="1" customWidth="1"/>
    <col min="3" max="3" width="11.5" bestFit="1" customWidth="1"/>
    <col min="4" max="4" width="73.125" customWidth="1"/>
    <col min="5" max="5" width="11" style="5" bestFit="1" customWidth="1"/>
    <col min="6" max="6" width="26" customWidth="1"/>
    <col min="7" max="10" width="7.125" style="5" bestFit="1" customWidth="1"/>
    <col min="11" max="11" width="75.5" bestFit="1" customWidth="1"/>
    <col min="12" max="17" width="7.125" bestFit="1" customWidth="1"/>
  </cols>
  <sheetData>
    <row r="1" spans="1:17" x14ac:dyDescent="0.25">
      <c r="A1" s="170">
        <f>COLUMN()</f>
        <v>1</v>
      </c>
      <c r="B1" s="170">
        <f>COLUMN()</f>
        <v>2</v>
      </c>
      <c r="C1" s="170">
        <f>COLUMN()</f>
        <v>3</v>
      </c>
      <c r="D1" s="170">
        <f>COLUMN()</f>
        <v>4</v>
      </c>
      <c r="E1" s="170">
        <f>COLUMN()</f>
        <v>5</v>
      </c>
      <c r="F1" s="170">
        <f>COLUMN()</f>
        <v>6</v>
      </c>
      <c r="G1" s="170">
        <f>COLUMN()</f>
        <v>7</v>
      </c>
      <c r="H1" s="170">
        <f>COLUMN()</f>
        <v>8</v>
      </c>
      <c r="I1" s="170">
        <f>COLUMN()</f>
        <v>9</v>
      </c>
      <c r="J1" s="170">
        <f>COLUMN()</f>
        <v>10</v>
      </c>
      <c r="K1" s="170">
        <f>COLUMN()</f>
        <v>11</v>
      </c>
      <c r="L1" s="170">
        <f>COLUMN()</f>
        <v>12</v>
      </c>
      <c r="M1" s="170">
        <f>COLUMN()</f>
        <v>13</v>
      </c>
      <c r="N1" s="170">
        <f>COLUMN()</f>
        <v>14</v>
      </c>
      <c r="O1" s="170">
        <f>COLUMN()</f>
        <v>15</v>
      </c>
      <c r="P1" s="170">
        <f>COLUMN()</f>
        <v>16</v>
      </c>
      <c r="Q1" s="170">
        <f>COLUMN()</f>
        <v>17</v>
      </c>
    </row>
    <row r="2" spans="1:17" ht="72.75" x14ac:dyDescent="0.25">
      <c r="A2" s="18" t="s">
        <v>0</v>
      </c>
      <c r="B2" s="18" t="s">
        <v>1</v>
      </c>
      <c r="C2" s="18" t="s">
        <v>2</v>
      </c>
      <c r="D2" s="18" t="s">
        <v>256</v>
      </c>
      <c r="E2" s="18" t="s">
        <v>5</v>
      </c>
      <c r="F2" s="18" t="s">
        <v>257</v>
      </c>
      <c r="G2" s="172" t="s">
        <v>22</v>
      </c>
      <c r="H2" s="172" t="s">
        <v>23</v>
      </c>
      <c r="I2" s="172" t="s">
        <v>24</v>
      </c>
      <c r="J2" s="172" t="s">
        <v>25</v>
      </c>
      <c r="K2" s="18" t="s">
        <v>258</v>
      </c>
      <c r="L2" s="172" t="s">
        <v>69</v>
      </c>
      <c r="M2" s="172" t="s">
        <v>75</v>
      </c>
      <c r="N2" s="174" t="s">
        <v>78</v>
      </c>
      <c r="O2" s="172" t="s">
        <v>259</v>
      </c>
      <c r="P2" s="172" t="s">
        <v>260</v>
      </c>
      <c r="Q2" s="172" t="s">
        <v>261</v>
      </c>
    </row>
    <row r="3" spans="1:17" x14ac:dyDescent="0.25">
      <c r="A3" s="10" t="s">
        <v>144</v>
      </c>
      <c r="B3" s="11"/>
      <c r="C3" s="11"/>
      <c r="D3" s="10" t="s">
        <v>262</v>
      </c>
      <c r="E3" s="11"/>
      <c r="F3" s="171" t="s">
        <v>144</v>
      </c>
      <c r="G3" s="87" t="str">
        <f>IFERROR(IF(VLOOKUP(TableHandbook[[#This Row],[UDC]],TableAvailabilities[],2,FALSE)&gt;0,"Y",""),"")</f>
        <v/>
      </c>
      <c r="H3" s="87" t="str">
        <f>IFERROR(IF(VLOOKUP(TableHandbook[[#This Row],[UDC]],TableAvailabilities[],3,FALSE)&gt;0,"Y",""),"")</f>
        <v/>
      </c>
      <c r="I3" s="87" t="str">
        <f>IFERROR(IF(VLOOKUP(TableHandbook[[#This Row],[UDC]],TableAvailabilities[],4,FALSE)&gt;0,"Y",""),"")</f>
        <v/>
      </c>
      <c r="J3" s="87" t="str">
        <f>IFERROR(IF(VLOOKUP(TableHandbook[[#This Row],[UDC]],TableAvailabilities[],5,FALSE)&gt;0,"Y",""),"")</f>
        <v/>
      </c>
      <c r="K3" s="176"/>
      <c r="L3" s="173" t="str">
        <f>IFERROR(VLOOKUP(TableHandbook[[#This Row],[UDC]],TableOBEDEC[],7,FALSE),"")</f>
        <v/>
      </c>
      <c r="M3" s="173" t="str">
        <f>IFERROR(VLOOKUP(TableHandbook[[#This Row],[UDC]],TableOBEDPR[],7,FALSE),"")</f>
        <v/>
      </c>
      <c r="N3" s="175" t="str">
        <f>IFERROR(VLOOKUP(TableHandbook[[#This Row],[UDC]],TableOBEDSC1[],7,FALSE),"")</f>
        <v/>
      </c>
      <c r="O3" s="173" t="str">
        <f>IFERROR(VLOOKUP(TableHandbook[[#This Row],[UDC]],TableOUMUARTST[],7,FALSE),"")</f>
        <v/>
      </c>
      <c r="P3" s="173" t="str">
        <f>IFERROR(VLOOKUP(TableHandbook[[#This Row],[UDC]],TableOUMUENGLT[],7,FALSE),"")</f>
        <v/>
      </c>
      <c r="Q3" s="173" t="str">
        <f>IFERROR(VLOOKUP(TableHandbook[[#This Row],[UDC]],TableOUMUHUSGE[],7,FALSE),"")</f>
        <v/>
      </c>
    </row>
    <row r="4" spans="1:17" x14ac:dyDescent="0.25">
      <c r="A4" s="10" t="s">
        <v>263</v>
      </c>
      <c r="B4" s="11"/>
      <c r="C4" s="11"/>
      <c r="D4" s="10" t="s">
        <v>264</v>
      </c>
      <c r="E4" s="11"/>
      <c r="F4" s="171" t="s">
        <v>144</v>
      </c>
      <c r="G4" s="87" t="str">
        <f>IFERROR(IF(VLOOKUP(TableHandbook[[#This Row],[UDC]],TableAvailabilities[],2,FALSE)&gt;0,"Y",""),"")</f>
        <v/>
      </c>
      <c r="H4" s="87" t="str">
        <f>IFERROR(IF(VLOOKUP(TableHandbook[[#This Row],[UDC]],TableAvailabilities[],3,FALSE)&gt;0,"Y",""),"")</f>
        <v/>
      </c>
      <c r="I4" s="87" t="str">
        <f>IFERROR(IF(VLOOKUP(TableHandbook[[#This Row],[UDC]],TableAvailabilities[],4,FALSE)&gt;0,"Y",""),"")</f>
        <v/>
      </c>
      <c r="J4" s="87" t="str">
        <f>IFERROR(IF(VLOOKUP(TableHandbook[[#This Row],[UDC]],TableAvailabilities[],5,FALSE)&gt;0,"Y",""),"")</f>
        <v/>
      </c>
      <c r="K4" s="176"/>
      <c r="L4" s="173" t="str">
        <f>IFERROR(VLOOKUP(TableHandbook[[#This Row],[UDC]],TableOBEDEC[],7,FALSE),"")</f>
        <v/>
      </c>
      <c r="M4" s="173" t="str">
        <f>IFERROR(VLOOKUP(TableHandbook[[#This Row],[UDC]],TableOBEDPR[],7,FALSE),"")</f>
        <v/>
      </c>
      <c r="N4" s="175" t="str">
        <f>IFERROR(VLOOKUP(TableHandbook[[#This Row],[UDC]],TableOBEDSC1[],7,FALSE),"")</f>
        <v/>
      </c>
      <c r="O4" s="173" t="str">
        <f>IFERROR(VLOOKUP(TableHandbook[[#This Row],[UDC]],TableOUMUARTST[],7,FALSE),"")</f>
        <v/>
      </c>
      <c r="P4" s="173" t="str">
        <f>IFERROR(VLOOKUP(TableHandbook[[#This Row],[UDC]],TableOUMUENGLT[],7,FALSE),"")</f>
        <v/>
      </c>
      <c r="Q4" s="173" t="str">
        <f>IFERROR(VLOOKUP(TableHandbook[[#This Row],[UDC]],TableOUMUHUSGE[],7,FALSE),"")</f>
        <v/>
      </c>
    </row>
    <row r="5" spans="1:17" x14ac:dyDescent="0.25">
      <c r="A5" s="205" t="s">
        <v>211</v>
      </c>
      <c r="B5" s="11">
        <v>0</v>
      </c>
      <c r="C5" s="11"/>
      <c r="D5" s="10" t="s">
        <v>265</v>
      </c>
      <c r="E5" s="11">
        <v>25</v>
      </c>
      <c r="F5" s="171" t="s">
        <v>266</v>
      </c>
      <c r="G5" s="87" t="str">
        <f>IFERROR(IF(VLOOKUP(TableHandbook[[#This Row],[UDC]],TableAvailabilities[],2,FALSE)&gt;0,"Y",""),"")</f>
        <v/>
      </c>
      <c r="H5" s="87" t="str">
        <f>IFERROR(IF(VLOOKUP(TableHandbook[[#This Row],[UDC]],TableAvailabilities[],3,FALSE)&gt;0,"Y",""),"")</f>
        <v/>
      </c>
      <c r="I5" s="87" t="str">
        <f>IFERROR(IF(VLOOKUP(TableHandbook[[#This Row],[UDC]],TableAvailabilities[],4,FALSE)&gt;0,"Y",""),"")</f>
        <v/>
      </c>
      <c r="J5" s="87" t="str">
        <f>IFERROR(IF(VLOOKUP(TableHandbook[[#This Row],[UDC]],TableAvailabilities[],5,FALSE)&gt;0,"Y",""),"")</f>
        <v/>
      </c>
      <c r="K5" s="176"/>
      <c r="L5" s="173" t="str">
        <f>IFERROR(VLOOKUP(TableHandbook[[#This Row],[UDC]],TableOBEDEC[],7,FALSE),"")</f>
        <v/>
      </c>
      <c r="M5" s="173" t="str">
        <f>IFERROR(VLOOKUP(TableHandbook[[#This Row],[UDC]],TableOBEDPR[],7,FALSE),"")</f>
        <v/>
      </c>
      <c r="N5" s="175" t="str">
        <f>IFERROR(VLOOKUP(TableHandbook[[#This Row],[UDC]],TableOBEDSC1[],7,FALSE),"")</f>
        <v/>
      </c>
      <c r="O5" s="173" t="str">
        <f>IFERROR(VLOOKUP(TableHandbook[[#This Row],[UDC]],TableOUMUARTST[],7,FALSE),"")</f>
        <v>AltCore</v>
      </c>
      <c r="P5" s="173" t="str">
        <f>IFERROR(VLOOKUP(TableHandbook[[#This Row],[UDC]],TableOUMUENGLT[],7,FALSE),"")</f>
        <v/>
      </c>
      <c r="Q5" s="173" t="str">
        <f>IFERROR(VLOOKUP(TableHandbook[[#This Row],[UDC]],TableOUMUHUSGE[],7,FALSE),"")</f>
        <v/>
      </c>
    </row>
    <row r="6" spans="1:17" x14ac:dyDescent="0.25">
      <c r="A6" s="205" t="s">
        <v>267</v>
      </c>
      <c r="B6" s="11">
        <v>0</v>
      </c>
      <c r="C6" s="11"/>
      <c r="D6" s="10" t="s">
        <v>268</v>
      </c>
      <c r="E6" s="11">
        <v>375</v>
      </c>
      <c r="F6" s="171"/>
      <c r="G6" s="87" t="str">
        <f>IFERROR(IF(VLOOKUP(TableHandbook[[#This Row],[UDC]],TableAvailabilities[],2,FALSE)&gt;0,"Y",""),"")</f>
        <v/>
      </c>
      <c r="H6" s="87" t="str">
        <f>IFERROR(IF(VLOOKUP(TableHandbook[[#This Row],[UDC]],TableAvailabilities[],3,FALSE)&gt;0,"Y",""),"")</f>
        <v/>
      </c>
      <c r="I6" s="87" t="str">
        <f>IFERROR(IF(VLOOKUP(TableHandbook[[#This Row],[UDC]],TableAvailabilities[],4,FALSE)&gt;0,"Y",""),"")</f>
        <v/>
      </c>
      <c r="J6" s="87" t="str">
        <f>IFERROR(IF(VLOOKUP(TableHandbook[[#This Row],[UDC]],TableAvailabilities[],5,FALSE)&gt;0,"Y",""),"")</f>
        <v/>
      </c>
      <c r="K6" s="176"/>
      <c r="L6" s="173" t="str">
        <f>IFERROR(VLOOKUP(TableHandbook[[#This Row],[UDC]],TableOBEDEC[],7,FALSE),"")</f>
        <v/>
      </c>
      <c r="M6" s="173" t="str">
        <f>IFERROR(VLOOKUP(TableHandbook[[#This Row],[UDC]],TableOBEDPR[],7,FALSE),"")</f>
        <v/>
      </c>
      <c r="N6" s="175" t="str">
        <f>IFERROR(VLOOKUP(TableHandbook[[#This Row],[UDC]],TableOBEDSC1[],7,FALSE),"")</f>
        <v>AltCore</v>
      </c>
      <c r="O6" s="173" t="str">
        <f>IFERROR(VLOOKUP(TableHandbook[[#This Row],[UDC]],TableOUMUARTST[],7,FALSE),"")</f>
        <v/>
      </c>
      <c r="P6" s="173" t="str">
        <f>IFERROR(VLOOKUP(TableHandbook[[#This Row],[UDC]],TableOUMUENGLT[],7,FALSE),"")</f>
        <v/>
      </c>
      <c r="Q6" s="173" t="str">
        <f>IFERROR(VLOOKUP(TableHandbook[[#This Row],[UDC]],TableOUMUHUSGE[],7,FALSE),"")</f>
        <v/>
      </c>
    </row>
    <row r="7" spans="1:17" x14ac:dyDescent="0.25">
      <c r="A7" s="205" t="s">
        <v>220</v>
      </c>
      <c r="B7" s="11">
        <v>0</v>
      </c>
      <c r="C7" s="11"/>
      <c r="D7" s="10" t="s">
        <v>269</v>
      </c>
      <c r="E7" s="11">
        <v>25</v>
      </c>
      <c r="F7" s="171" t="s">
        <v>266</v>
      </c>
      <c r="G7" s="87" t="str">
        <f>IFERROR(IF(VLOOKUP(TableHandbook[[#This Row],[UDC]],TableAvailabilities[],2,FALSE)&gt;0,"Y",""),"")</f>
        <v/>
      </c>
      <c r="H7" s="87" t="str">
        <f>IFERROR(IF(VLOOKUP(TableHandbook[[#This Row],[UDC]],TableAvailabilities[],3,FALSE)&gt;0,"Y",""),"")</f>
        <v/>
      </c>
      <c r="I7" s="87" t="str">
        <f>IFERROR(IF(VLOOKUP(TableHandbook[[#This Row],[UDC]],TableAvailabilities[],4,FALSE)&gt;0,"Y",""),"")</f>
        <v/>
      </c>
      <c r="J7" s="87" t="str">
        <f>IFERROR(IF(VLOOKUP(TableHandbook[[#This Row],[UDC]],TableAvailabilities[],5,FALSE)&gt;0,"Y",""),"")</f>
        <v/>
      </c>
      <c r="K7" s="241" t="s">
        <v>270</v>
      </c>
      <c r="L7" s="173" t="str">
        <f>IFERROR(VLOOKUP(TableHandbook[[#This Row],[UDC]],TableOBEDEC[],7,FALSE),"")</f>
        <v/>
      </c>
      <c r="M7" s="173" t="str">
        <f>IFERROR(VLOOKUP(TableHandbook[[#This Row],[UDC]],TableOBEDPR[],7,FALSE),"")</f>
        <v/>
      </c>
      <c r="N7" s="175" t="str">
        <f>IFERROR(VLOOKUP(TableHandbook[[#This Row],[UDC]],TableOBEDSC1[],7,FALSE),"")</f>
        <v/>
      </c>
      <c r="O7" s="173" t="str">
        <f>IFERROR(VLOOKUP(TableHandbook[[#This Row],[UDC]],TableOUMUARTST[],7,FALSE),"")</f>
        <v/>
      </c>
      <c r="P7" s="173" t="str">
        <f>IFERROR(VLOOKUP(TableHandbook[[#This Row],[UDC]],TableOUMUENGLT[],7,FALSE),"")</f>
        <v/>
      </c>
      <c r="Q7" s="173" t="str">
        <f>IFERROR(VLOOKUP(TableHandbook[[#This Row],[UDC]],TableOUMUHUSGE[],7,FALSE),"")</f>
        <v>AltCore</v>
      </c>
    </row>
    <row r="8" spans="1:17" x14ac:dyDescent="0.25">
      <c r="A8" s="205" t="s">
        <v>228</v>
      </c>
      <c r="B8" s="11">
        <v>0</v>
      </c>
      <c r="C8" s="11"/>
      <c r="D8" s="10" t="s">
        <v>271</v>
      </c>
      <c r="E8" s="11">
        <v>25</v>
      </c>
      <c r="F8" s="171" t="s">
        <v>266</v>
      </c>
      <c r="G8" s="87" t="str">
        <f>IFERROR(IF(VLOOKUP(TableHandbook[[#This Row],[UDC]],TableAvailabilities[],2,FALSE)&gt;0,"Y",""),"")</f>
        <v/>
      </c>
      <c r="H8" s="87" t="str">
        <f>IFERROR(IF(VLOOKUP(TableHandbook[[#This Row],[UDC]],TableAvailabilities[],3,FALSE)&gt;0,"Y",""),"")</f>
        <v/>
      </c>
      <c r="I8" s="87" t="str">
        <f>IFERROR(IF(VLOOKUP(TableHandbook[[#This Row],[UDC]],TableAvailabilities[],4,FALSE)&gt;0,"Y",""),"")</f>
        <v/>
      </c>
      <c r="J8" s="87" t="str">
        <f>IFERROR(IF(VLOOKUP(TableHandbook[[#This Row],[UDC]],TableAvailabilities[],5,FALSE)&gt;0,"Y",""),"")</f>
        <v/>
      </c>
      <c r="K8" s="241" t="s">
        <v>272</v>
      </c>
      <c r="L8" s="173" t="str">
        <f>IFERROR(VLOOKUP(TableHandbook[[#This Row],[UDC]],TableOBEDEC[],7,FALSE),"")</f>
        <v/>
      </c>
      <c r="M8" s="173" t="str">
        <f>IFERROR(VLOOKUP(TableHandbook[[#This Row],[UDC]],TableOBEDPR[],7,FALSE),"")</f>
        <v/>
      </c>
      <c r="N8" s="175" t="str">
        <f>IFERROR(VLOOKUP(TableHandbook[[#This Row],[UDC]],TableOBEDSC1[],7,FALSE),"")</f>
        <v/>
      </c>
      <c r="O8" s="173" t="str">
        <f>IFERROR(VLOOKUP(TableHandbook[[#This Row],[UDC]],TableOUMUARTST[],7,FALSE),"")</f>
        <v/>
      </c>
      <c r="P8" s="173" t="str">
        <f>IFERROR(VLOOKUP(TableHandbook[[#This Row],[UDC]],TableOUMUENGLT[],7,FALSE),"")</f>
        <v/>
      </c>
      <c r="Q8" s="173" t="str">
        <f>IFERROR(VLOOKUP(TableHandbook[[#This Row],[UDC]],TableOUMUHUSGE[],7,FALSE),"")</f>
        <v>AltCore</v>
      </c>
    </row>
    <row r="9" spans="1:17" x14ac:dyDescent="0.25">
      <c r="A9" s="205" t="s">
        <v>236</v>
      </c>
      <c r="B9" s="11">
        <v>0</v>
      </c>
      <c r="C9" s="11"/>
      <c r="D9" s="10" t="s">
        <v>273</v>
      </c>
      <c r="E9" s="11">
        <v>25</v>
      </c>
      <c r="F9" s="171" t="s">
        <v>266</v>
      </c>
      <c r="G9" s="87" t="str">
        <f>IFERROR(IF(VLOOKUP(TableHandbook[[#This Row],[UDC]],TableAvailabilities[],2,FALSE)&gt;0,"Y",""),"")</f>
        <v/>
      </c>
      <c r="H9" s="87" t="str">
        <f>IFERROR(IF(VLOOKUP(TableHandbook[[#This Row],[UDC]],TableAvailabilities[],3,FALSE)&gt;0,"Y",""),"")</f>
        <v/>
      </c>
      <c r="I9" s="87" t="str">
        <f>IFERROR(IF(VLOOKUP(TableHandbook[[#This Row],[UDC]],TableAvailabilities[],4,FALSE)&gt;0,"Y",""),"")</f>
        <v/>
      </c>
      <c r="J9" s="87" t="str">
        <f>IFERROR(IF(VLOOKUP(TableHandbook[[#This Row],[UDC]],TableAvailabilities[],5,FALSE)&gt;0,"Y",""),"")</f>
        <v/>
      </c>
      <c r="K9" s="241" t="s">
        <v>274</v>
      </c>
      <c r="L9" s="173" t="str">
        <f>IFERROR(VLOOKUP(TableHandbook[[#This Row],[UDC]],TableOBEDEC[],7,FALSE),"")</f>
        <v/>
      </c>
      <c r="M9" s="173" t="str">
        <f>IFERROR(VLOOKUP(TableHandbook[[#This Row],[UDC]],TableOBEDPR[],7,FALSE),"")</f>
        <v/>
      </c>
      <c r="N9" s="175" t="str">
        <f>IFERROR(VLOOKUP(TableHandbook[[#This Row],[UDC]],TableOBEDSC1[],7,FALSE),"")</f>
        <v/>
      </c>
      <c r="O9" s="173" t="str">
        <f>IFERROR(VLOOKUP(TableHandbook[[#This Row],[UDC]],TableOUMUARTST[],7,FALSE),"")</f>
        <v/>
      </c>
      <c r="P9" s="173" t="str">
        <f>IFERROR(VLOOKUP(TableHandbook[[#This Row],[UDC]],TableOUMUENGLT[],7,FALSE),"")</f>
        <v/>
      </c>
      <c r="Q9" s="173" t="str">
        <f>IFERROR(VLOOKUP(TableHandbook[[#This Row],[UDC]],TableOUMUHUSGE[],7,FALSE),"")</f>
        <v>AltCore</v>
      </c>
    </row>
    <row r="10" spans="1:17" x14ac:dyDescent="0.25">
      <c r="A10" s="205" t="s">
        <v>206</v>
      </c>
      <c r="B10" s="11">
        <v>2</v>
      </c>
      <c r="C10" s="11" t="s">
        <v>275</v>
      </c>
      <c r="D10" s="10" t="s">
        <v>276</v>
      </c>
      <c r="E10" s="11">
        <v>25</v>
      </c>
      <c r="F10" s="240" t="s">
        <v>277</v>
      </c>
      <c r="G10" s="87" t="str">
        <f>IFERROR(IF(VLOOKUP(TableHandbook[[#This Row],[UDC]],TableAvailabilities[],2,FALSE)&gt;0,"Y",""),"")</f>
        <v>Y</v>
      </c>
      <c r="H10" s="87" t="str">
        <f>IFERROR(IF(VLOOKUP(TableHandbook[[#This Row],[UDC]],TableAvailabilities[],3,FALSE)&gt;0,"Y",""),"")</f>
        <v>Y</v>
      </c>
      <c r="I10" s="87" t="str">
        <f>IFERROR(IF(VLOOKUP(TableHandbook[[#This Row],[UDC]],TableAvailabilities[],4,FALSE)&gt;0,"Y",""),"")</f>
        <v>Y</v>
      </c>
      <c r="J10" s="87" t="str">
        <f>IFERROR(IF(VLOOKUP(TableHandbook[[#This Row],[UDC]],TableAvailabilities[],5,FALSE)&gt;0,"Y",""),"")</f>
        <v>Y</v>
      </c>
      <c r="K10" s="176"/>
      <c r="L10" s="173" t="str">
        <f>IFERROR(VLOOKUP(TableHandbook[[#This Row],[UDC]],TableOBEDEC[],7,FALSE),"")</f>
        <v/>
      </c>
      <c r="M10" s="173" t="str">
        <f>IFERROR(VLOOKUP(TableHandbook[[#This Row],[UDC]],TableOBEDPR[],7,FALSE),"")</f>
        <v/>
      </c>
      <c r="N10" s="175" t="str">
        <f>IFERROR(VLOOKUP(TableHandbook[[#This Row],[UDC]],TableOBEDSC1[],7,FALSE),"")</f>
        <v/>
      </c>
      <c r="O10" s="173" t="str">
        <f>IFERROR(VLOOKUP(TableHandbook[[#This Row],[UDC]],TableOUMUARTST[],7,FALSE),"")</f>
        <v/>
      </c>
      <c r="P10" s="173" t="str">
        <f>IFERROR(VLOOKUP(TableHandbook[[#This Row],[UDC]],TableOUMUENGLT[],7,FALSE),"")</f>
        <v/>
      </c>
      <c r="Q10" s="173" t="str">
        <f>IFERROR(VLOOKUP(TableHandbook[[#This Row],[UDC]],TableOUMUHUSGE[],7,FALSE),"")</f>
        <v>Core</v>
      </c>
    </row>
    <row r="11" spans="1:17" x14ac:dyDescent="0.25">
      <c r="A11" s="10" t="s">
        <v>168</v>
      </c>
      <c r="B11" s="11">
        <v>2</v>
      </c>
      <c r="C11" s="11" t="s">
        <v>278</v>
      </c>
      <c r="D11" s="10" t="s">
        <v>279</v>
      </c>
      <c r="E11" s="11">
        <v>25</v>
      </c>
      <c r="F11" s="171" t="s">
        <v>277</v>
      </c>
      <c r="G11" s="87" t="str">
        <f>IFERROR(IF(VLOOKUP(TableHandbook[[#This Row],[UDC]],TableAvailabilities[],2,FALSE)&gt;0,"Y",""),"")</f>
        <v/>
      </c>
      <c r="H11" s="87" t="str">
        <f>IFERROR(IF(VLOOKUP(TableHandbook[[#This Row],[UDC]],TableAvailabilities[],3,FALSE)&gt;0,"Y",""),"")</f>
        <v>Y</v>
      </c>
      <c r="I11" s="87" t="str">
        <f>IFERROR(IF(VLOOKUP(TableHandbook[[#This Row],[UDC]],TableAvailabilities[],4,FALSE)&gt;0,"Y",""),"")</f>
        <v/>
      </c>
      <c r="J11" s="87" t="str">
        <f>IFERROR(IF(VLOOKUP(TableHandbook[[#This Row],[UDC]],TableAvailabilities[],5,FALSE)&gt;0,"Y",""),"")</f>
        <v/>
      </c>
      <c r="K11" s="176"/>
      <c r="L11" s="173" t="str">
        <f>IFERROR(VLOOKUP(TableHandbook[[#This Row],[UDC]],TableOBEDEC[],7,FALSE),"")</f>
        <v>Option</v>
      </c>
      <c r="M11" s="173" t="str">
        <f>IFERROR(VLOOKUP(TableHandbook[[#This Row],[UDC]],TableOBEDPR[],7,FALSE),"")</f>
        <v>Option</v>
      </c>
      <c r="N11" s="175" t="str">
        <f>IFERROR(VLOOKUP(TableHandbook[[#This Row],[UDC]],TableOBEDSC1[],7,FALSE),"")</f>
        <v/>
      </c>
      <c r="O11" s="173" t="str">
        <f>IFERROR(VLOOKUP(TableHandbook[[#This Row],[UDC]],TableOUMUARTST[],7,FALSE),"")</f>
        <v>Option</v>
      </c>
      <c r="P11" s="173" t="str">
        <f>IFERROR(VLOOKUP(TableHandbook[[#This Row],[UDC]],TableOUMUENGLT[],7,FALSE),"")</f>
        <v>Option</v>
      </c>
      <c r="Q11" s="173" t="str">
        <f>IFERROR(VLOOKUP(TableHandbook[[#This Row],[UDC]],TableOUMUHUSGE[],7,FALSE),"")</f>
        <v>Option</v>
      </c>
    </row>
    <row r="12" spans="1:17" x14ac:dyDescent="0.25">
      <c r="A12" s="10" t="s">
        <v>169</v>
      </c>
      <c r="B12" s="11">
        <v>1</v>
      </c>
      <c r="C12" s="11" t="s">
        <v>280</v>
      </c>
      <c r="D12" s="10" t="s">
        <v>281</v>
      </c>
      <c r="E12" s="11">
        <v>25</v>
      </c>
      <c r="F12" s="171" t="s">
        <v>277</v>
      </c>
      <c r="G12" s="87" t="str">
        <f>IFERROR(IF(VLOOKUP(TableHandbook[[#This Row],[UDC]],TableAvailabilities[],2,FALSE)&gt;0,"Y",""),"")</f>
        <v/>
      </c>
      <c r="H12" s="87" t="str">
        <f>IFERROR(IF(VLOOKUP(TableHandbook[[#This Row],[UDC]],TableAvailabilities[],3,FALSE)&gt;0,"Y",""),"")</f>
        <v/>
      </c>
      <c r="I12" s="87" t="str">
        <f>IFERROR(IF(VLOOKUP(TableHandbook[[#This Row],[UDC]],TableAvailabilities[],4,FALSE)&gt;0,"Y",""),"")</f>
        <v/>
      </c>
      <c r="J12" s="87" t="str">
        <f>IFERROR(IF(VLOOKUP(TableHandbook[[#This Row],[UDC]],TableAvailabilities[],5,FALSE)&gt;0,"Y",""),"")</f>
        <v>Y</v>
      </c>
      <c r="K12" s="176"/>
      <c r="L12" s="173" t="str">
        <f>IFERROR(VLOOKUP(TableHandbook[[#This Row],[UDC]],TableOBEDEC[],7,FALSE),"")</f>
        <v>Option</v>
      </c>
      <c r="M12" s="173" t="str">
        <f>IFERROR(VLOOKUP(TableHandbook[[#This Row],[UDC]],TableOBEDPR[],7,FALSE),"")</f>
        <v>Option</v>
      </c>
      <c r="N12" s="175" t="str">
        <f>IFERROR(VLOOKUP(TableHandbook[[#This Row],[UDC]],TableOBEDSC1[],7,FALSE),"")</f>
        <v/>
      </c>
      <c r="O12" s="173" t="str">
        <f>IFERROR(VLOOKUP(TableHandbook[[#This Row],[UDC]],TableOUMUARTST[],7,FALSE),"")</f>
        <v>Option</v>
      </c>
      <c r="P12" s="173" t="str">
        <f>IFERROR(VLOOKUP(TableHandbook[[#This Row],[UDC]],TableOUMUENGLT[],7,FALSE),"")</f>
        <v>Option</v>
      </c>
      <c r="Q12" s="173" t="str">
        <f>IFERROR(VLOOKUP(TableHandbook[[#This Row],[UDC]],TableOUMUHUSGE[],7,FALSE),"")</f>
        <v>Option</v>
      </c>
    </row>
    <row r="13" spans="1:17" x14ac:dyDescent="0.25">
      <c r="A13" s="10" t="s">
        <v>170</v>
      </c>
      <c r="B13" s="11">
        <v>1</v>
      </c>
      <c r="C13" s="11" t="s">
        <v>282</v>
      </c>
      <c r="D13" s="10" t="s">
        <v>283</v>
      </c>
      <c r="E13" s="11">
        <v>25</v>
      </c>
      <c r="F13" s="171" t="s">
        <v>277</v>
      </c>
      <c r="G13" s="87" t="str">
        <f>IFERROR(IF(VLOOKUP(TableHandbook[[#This Row],[UDC]],TableAvailabilities[],2,FALSE)&gt;0,"Y",""),"")</f>
        <v>Y</v>
      </c>
      <c r="H13" s="87" t="str">
        <f>IFERROR(IF(VLOOKUP(TableHandbook[[#This Row],[UDC]],TableAvailabilities[],3,FALSE)&gt;0,"Y",""),"")</f>
        <v/>
      </c>
      <c r="I13" s="87" t="str">
        <f>IFERROR(IF(VLOOKUP(TableHandbook[[#This Row],[UDC]],TableAvailabilities[],4,FALSE)&gt;0,"Y",""),"")</f>
        <v/>
      </c>
      <c r="J13" s="87" t="str">
        <f>IFERROR(IF(VLOOKUP(TableHandbook[[#This Row],[UDC]],TableAvailabilities[],5,FALSE)&gt;0,"Y",""),"")</f>
        <v/>
      </c>
      <c r="K13" s="176"/>
      <c r="L13" s="173" t="str">
        <f>IFERROR(VLOOKUP(TableHandbook[[#This Row],[UDC]],TableOBEDEC[],7,FALSE),"")</f>
        <v>Option</v>
      </c>
      <c r="M13" s="173" t="str">
        <f>IFERROR(VLOOKUP(TableHandbook[[#This Row],[UDC]],TableOBEDPR[],7,FALSE),"")</f>
        <v>Option</v>
      </c>
      <c r="N13" s="175" t="str">
        <f>IFERROR(VLOOKUP(TableHandbook[[#This Row],[UDC]],TableOBEDSC1[],7,FALSE),"")</f>
        <v/>
      </c>
      <c r="O13" s="173" t="str">
        <f>IFERROR(VLOOKUP(TableHandbook[[#This Row],[UDC]],TableOUMUARTST[],7,FALSE),"")</f>
        <v>Option</v>
      </c>
      <c r="P13" s="173" t="str">
        <f>IFERROR(VLOOKUP(TableHandbook[[#This Row],[UDC]],TableOUMUENGLT[],7,FALSE),"")</f>
        <v>Option</v>
      </c>
      <c r="Q13" s="173" t="str">
        <f>IFERROR(VLOOKUP(TableHandbook[[#This Row],[UDC]],TableOUMUHUSGE[],7,FALSE),"")</f>
        <v>Option</v>
      </c>
    </row>
    <row r="14" spans="1:17" x14ac:dyDescent="0.25">
      <c r="A14" s="10" t="s">
        <v>202</v>
      </c>
      <c r="B14" s="11">
        <v>4</v>
      </c>
      <c r="C14" s="11" t="s">
        <v>284</v>
      </c>
      <c r="D14" s="10" t="s">
        <v>285</v>
      </c>
      <c r="E14" s="11">
        <v>25</v>
      </c>
      <c r="F14" s="171" t="s">
        <v>277</v>
      </c>
      <c r="G14" s="87" t="str">
        <f>IFERROR(IF(VLOOKUP(TableHandbook[[#This Row],[UDC]],TableAvailabilities[],2,FALSE)&gt;0,"Y",""),"")</f>
        <v>Y</v>
      </c>
      <c r="H14" s="87" t="str">
        <f>IFERROR(IF(VLOOKUP(TableHandbook[[#This Row],[UDC]],TableAvailabilities[],3,FALSE)&gt;0,"Y",""),"")</f>
        <v/>
      </c>
      <c r="I14" s="87" t="str">
        <f>IFERROR(IF(VLOOKUP(TableHandbook[[#This Row],[UDC]],TableAvailabilities[],4,FALSE)&gt;0,"Y",""),"")</f>
        <v>Y</v>
      </c>
      <c r="J14" s="87" t="str">
        <f>IFERROR(IF(VLOOKUP(TableHandbook[[#This Row],[UDC]],TableAvailabilities[],5,FALSE)&gt;0,"Y",""),"")</f>
        <v/>
      </c>
      <c r="K14" s="176"/>
      <c r="L14" s="173" t="str">
        <f>IFERROR(VLOOKUP(TableHandbook[[#This Row],[UDC]],TableOBEDEC[],7,FALSE),"")</f>
        <v/>
      </c>
      <c r="M14" s="173" t="str">
        <f>IFERROR(VLOOKUP(TableHandbook[[#This Row],[UDC]],TableOBEDPR[],7,FALSE),"")</f>
        <v/>
      </c>
      <c r="N14" s="175" t="str">
        <f>IFERROR(VLOOKUP(TableHandbook[[#This Row],[UDC]],TableOBEDSC1[],7,FALSE),"")</f>
        <v/>
      </c>
      <c r="O14" s="173" t="str">
        <f>IFERROR(VLOOKUP(TableHandbook[[#This Row],[UDC]],TableOUMUARTST[],7,FALSE),"")</f>
        <v/>
      </c>
      <c r="P14" s="173" t="str">
        <f>IFERROR(VLOOKUP(TableHandbook[[#This Row],[UDC]],TableOUMUENGLT[],7,FALSE),"")</f>
        <v>Core</v>
      </c>
      <c r="Q14" s="173" t="str">
        <f>IFERROR(VLOOKUP(TableHandbook[[#This Row],[UDC]],TableOUMUHUSGE[],7,FALSE),"")</f>
        <v/>
      </c>
    </row>
    <row r="15" spans="1:17" x14ac:dyDescent="0.25">
      <c r="A15" s="10" t="s">
        <v>213</v>
      </c>
      <c r="B15" s="11">
        <v>1</v>
      </c>
      <c r="C15" s="11" t="s">
        <v>213</v>
      </c>
      <c r="D15" s="10" t="s">
        <v>286</v>
      </c>
      <c r="E15" s="11">
        <v>25</v>
      </c>
      <c r="F15" s="171" t="s">
        <v>277</v>
      </c>
      <c r="G15" s="87" t="str">
        <f>IFERROR(IF(VLOOKUP(TableHandbook[[#This Row],[UDC]],TableAvailabilities[],2,FALSE)&gt;0,"Y",""),"")</f>
        <v>Y</v>
      </c>
      <c r="H15" s="87" t="str">
        <f>IFERROR(IF(VLOOKUP(TableHandbook[[#This Row],[UDC]],TableAvailabilities[],3,FALSE)&gt;0,"Y",""),"")</f>
        <v/>
      </c>
      <c r="I15" s="87" t="str">
        <f>IFERROR(IF(VLOOKUP(TableHandbook[[#This Row],[UDC]],TableAvailabilities[],4,FALSE)&gt;0,"Y",""),"")</f>
        <v>Y</v>
      </c>
      <c r="J15" s="87" t="str">
        <f>IFERROR(IF(VLOOKUP(TableHandbook[[#This Row],[UDC]],TableAvailabilities[],5,FALSE)&gt;0,"Y",""),"")</f>
        <v/>
      </c>
      <c r="K15" s="238" t="s">
        <v>287</v>
      </c>
      <c r="L15" s="173" t="str">
        <f>IFERROR(VLOOKUP(TableHandbook[[#This Row],[UDC]],TableOBEDEC[],7,FALSE),"")</f>
        <v/>
      </c>
      <c r="M15" s="173" t="str">
        <f>IFERROR(VLOOKUP(TableHandbook[[#This Row],[UDC]],TableOBEDPR[],7,FALSE),"")</f>
        <v/>
      </c>
      <c r="N15" s="175" t="str">
        <f>IFERROR(VLOOKUP(TableHandbook[[#This Row],[UDC]],TableOBEDSC1[],7,FALSE),"")</f>
        <v/>
      </c>
      <c r="O15" s="173" t="str">
        <f>IFERROR(VLOOKUP(TableHandbook[[#This Row],[UDC]],TableOUMUARTST[],7,FALSE),"")</f>
        <v/>
      </c>
      <c r="P15" s="173" t="str">
        <f>IFERROR(VLOOKUP(TableHandbook[[#This Row],[UDC]],TableOUMUENGLT[],7,FALSE),"")</f>
        <v/>
      </c>
      <c r="Q15" s="173" t="str">
        <f>IFERROR(VLOOKUP(TableHandbook[[#This Row],[UDC]],TableOUMUHUSGE[],7,FALSE),"")</f>
        <v/>
      </c>
    </row>
    <row r="16" spans="1:17" x14ac:dyDescent="0.25">
      <c r="A16" s="10" t="s">
        <v>288</v>
      </c>
      <c r="B16" s="11">
        <v>1</v>
      </c>
      <c r="C16" s="11" t="s">
        <v>289</v>
      </c>
      <c r="D16" s="10" t="s">
        <v>286</v>
      </c>
      <c r="E16" s="11">
        <v>25</v>
      </c>
      <c r="F16" s="171" t="s">
        <v>277</v>
      </c>
      <c r="G16" s="87" t="str">
        <f>IFERROR(IF(VLOOKUP(TableHandbook[[#This Row],[UDC]],TableAvailabilities[],2,FALSE)&gt;0,"Y",""),"")</f>
        <v/>
      </c>
      <c r="H16" s="87" t="str">
        <f>IFERROR(IF(VLOOKUP(TableHandbook[[#This Row],[UDC]],TableAvailabilities[],3,FALSE)&gt;0,"Y",""),"")</f>
        <v/>
      </c>
      <c r="I16" s="87" t="str">
        <f>IFERROR(IF(VLOOKUP(TableHandbook[[#This Row],[UDC]],TableAvailabilities[],4,FALSE)&gt;0,"Y",""),"")</f>
        <v/>
      </c>
      <c r="J16" s="87" t="str">
        <f>IFERROR(IF(VLOOKUP(TableHandbook[[#This Row],[UDC]],TableAvailabilities[],5,FALSE)&gt;0,"Y",""),"")</f>
        <v/>
      </c>
      <c r="K16" s="238" t="s">
        <v>290</v>
      </c>
      <c r="L16" s="173" t="str">
        <f>IFERROR(VLOOKUP(TableHandbook[[#This Row],[UDC]],TableOBEDEC[],7,FALSE),"")</f>
        <v/>
      </c>
      <c r="M16" s="173" t="str">
        <f>IFERROR(VLOOKUP(TableHandbook[[#This Row],[UDC]],TableOBEDPR[],7,FALSE),"")</f>
        <v/>
      </c>
      <c r="N16" s="175" t="str">
        <f>IFERROR(VLOOKUP(TableHandbook[[#This Row],[UDC]],TableOBEDSC1[],7,FALSE),"")</f>
        <v/>
      </c>
      <c r="O16" s="173" t="str">
        <f>IFERROR(VLOOKUP(TableHandbook[[#This Row],[UDC]],TableOUMUARTST[],7,FALSE),"")</f>
        <v/>
      </c>
      <c r="P16" s="173" t="str">
        <f>IFERROR(VLOOKUP(TableHandbook[[#This Row],[UDC]],TableOUMUENGLT[],7,FALSE),"")</f>
        <v/>
      </c>
      <c r="Q16" s="173" t="str">
        <f>IFERROR(VLOOKUP(TableHandbook[[#This Row],[UDC]],TableOUMUHUSGE[],7,FALSE),"")</f>
        <v>Core</v>
      </c>
    </row>
    <row r="17" spans="1:17" x14ac:dyDescent="0.25">
      <c r="A17" s="10" t="s">
        <v>87</v>
      </c>
      <c r="B17" s="11">
        <v>2</v>
      </c>
      <c r="C17" s="11" t="s">
        <v>291</v>
      </c>
      <c r="D17" s="10" t="s">
        <v>292</v>
      </c>
      <c r="E17" s="11">
        <v>25</v>
      </c>
      <c r="F17" s="240" t="s">
        <v>293</v>
      </c>
      <c r="G17" s="87" t="str">
        <f>IFERROR(IF(VLOOKUP(TableHandbook[[#This Row],[UDC]],TableAvailabilities[],2,FALSE)&gt;0,"Y",""),"")</f>
        <v/>
      </c>
      <c r="H17" s="87" t="str">
        <f>IFERROR(IF(VLOOKUP(TableHandbook[[#This Row],[UDC]],TableAvailabilities[],3,FALSE)&gt;0,"Y",""),"")</f>
        <v>Y</v>
      </c>
      <c r="I17" s="87" t="str">
        <f>IFERROR(IF(VLOOKUP(TableHandbook[[#This Row],[UDC]],TableAvailabilities[],4,FALSE)&gt;0,"Y",""),"")</f>
        <v/>
      </c>
      <c r="J17" s="87" t="str">
        <f>IFERROR(IF(VLOOKUP(TableHandbook[[#This Row],[UDC]],TableAvailabilities[],5,FALSE)&gt;0,"Y",""),"")</f>
        <v>Y</v>
      </c>
      <c r="K17" s="176"/>
      <c r="L17" s="173" t="str">
        <f>IFERROR(VLOOKUP(TableHandbook[[#This Row],[UDC]],TableOBEDEC[],7,FALSE),"")</f>
        <v>Core</v>
      </c>
      <c r="M17" s="173" t="str">
        <f>IFERROR(VLOOKUP(TableHandbook[[#This Row],[UDC]],TableOBEDPR[],7,FALSE),"")</f>
        <v/>
      </c>
      <c r="N17" s="175" t="str">
        <f>IFERROR(VLOOKUP(TableHandbook[[#This Row],[UDC]],TableOBEDSC1[],7,FALSE),"")</f>
        <v/>
      </c>
      <c r="O17" s="173" t="str">
        <f>IFERROR(VLOOKUP(TableHandbook[[#This Row],[UDC]],TableOUMUARTST[],7,FALSE),"")</f>
        <v/>
      </c>
      <c r="P17" s="173" t="str">
        <f>IFERROR(VLOOKUP(TableHandbook[[#This Row],[UDC]],TableOUMUENGLT[],7,FALSE),"")</f>
        <v/>
      </c>
      <c r="Q17" s="173" t="str">
        <f>IFERROR(VLOOKUP(TableHandbook[[#This Row],[UDC]],TableOUMUHUSGE[],7,FALSE),"")</f>
        <v/>
      </c>
    </row>
    <row r="18" spans="1:17" x14ac:dyDescent="0.25">
      <c r="A18" s="10" t="s">
        <v>103</v>
      </c>
      <c r="B18" s="11">
        <v>1</v>
      </c>
      <c r="C18" s="11" t="s">
        <v>294</v>
      </c>
      <c r="D18" s="10" t="s">
        <v>295</v>
      </c>
      <c r="E18" s="11">
        <v>25</v>
      </c>
      <c r="F18" s="171" t="s">
        <v>296</v>
      </c>
      <c r="G18" s="87" t="str">
        <f>IFERROR(IF(VLOOKUP(TableHandbook[[#This Row],[UDC]],TableAvailabilities[],2,FALSE)&gt;0,"Y",""),"")</f>
        <v>Y</v>
      </c>
      <c r="H18" s="87" t="str">
        <f>IFERROR(IF(VLOOKUP(TableHandbook[[#This Row],[UDC]],TableAvailabilities[],3,FALSE)&gt;0,"Y",""),"")</f>
        <v/>
      </c>
      <c r="I18" s="87" t="str">
        <f>IFERROR(IF(VLOOKUP(TableHandbook[[#This Row],[UDC]],TableAvailabilities[],4,FALSE)&gt;0,"Y",""),"")</f>
        <v>Y</v>
      </c>
      <c r="J18" s="87" t="str">
        <f>IFERROR(IF(VLOOKUP(TableHandbook[[#This Row],[UDC]],TableAvailabilities[],5,FALSE)&gt;0,"Y",""),"")</f>
        <v/>
      </c>
      <c r="K18" s="238" t="s">
        <v>297</v>
      </c>
      <c r="L18" s="173" t="str">
        <f>IFERROR(VLOOKUP(TableHandbook[[#This Row],[UDC]],TableOBEDEC[],7,FALSE),"")</f>
        <v>Core</v>
      </c>
      <c r="M18" s="173" t="str">
        <f>IFERROR(VLOOKUP(TableHandbook[[#This Row],[UDC]],TableOBEDPR[],7,FALSE),"")</f>
        <v/>
      </c>
      <c r="N18" s="175" t="str">
        <f>IFERROR(VLOOKUP(TableHandbook[[#This Row],[UDC]],TableOBEDSC1[],7,FALSE),"")</f>
        <v/>
      </c>
      <c r="O18" s="173" t="str">
        <f>IFERROR(VLOOKUP(TableHandbook[[#This Row],[UDC]],TableOUMUARTST[],7,FALSE),"")</f>
        <v/>
      </c>
      <c r="P18" s="173" t="str">
        <f>IFERROR(VLOOKUP(TableHandbook[[#This Row],[UDC]],TableOUMUENGLT[],7,FALSE),"")</f>
        <v/>
      </c>
      <c r="Q18" s="173" t="str">
        <f>IFERROR(VLOOKUP(TableHandbook[[#This Row],[UDC]],TableOUMUHUSGE[],7,FALSE),"")</f>
        <v/>
      </c>
    </row>
    <row r="19" spans="1:17" x14ac:dyDescent="0.25">
      <c r="A19" s="10" t="s">
        <v>93</v>
      </c>
      <c r="B19" s="11">
        <v>1</v>
      </c>
      <c r="C19" s="11" t="s">
        <v>298</v>
      </c>
      <c r="D19" s="10" t="s">
        <v>299</v>
      </c>
      <c r="E19" s="11">
        <v>25</v>
      </c>
      <c r="F19" s="171" t="s">
        <v>277</v>
      </c>
      <c r="G19" s="87" t="str">
        <f>IFERROR(IF(VLOOKUP(TableHandbook[[#This Row],[UDC]],TableAvailabilities[],2,FALSE)&gt;0,"Y",""),"")</f>
        <v/>
      </c>
      <c r="H19" s="87" t="str">
        <f>IFERROR(IF(VLOOKUP(TableHandbook[[#This Row],[UDC]],TableAvailabilities[],3,FALSE)&gt;0,"Y",""),"")</f>
        <v>Y</v>
      </c>
      <c r="I19" s="87" t="str">
        <f>IFERROR(IF(VLOOKUP(TableHandbook[[#This Row],[UDC]],TableAvailabilities[],4,FALSE)&gt;0,"Y",""),"")</f>
        <v/>
      </c>
      <c r="J19" s="87" t="str">
        <f>IFERROR(IF(VLOOKUP(TableHandbook[[#This Row],[UDC]],TableAvailabilities[],5,FALSE)&gt;0,"Y",""),"")</f>
        <v>Y</v>
      </c>
      <c r="K19" s="176" t="s">
        <v>300</v>
      </c>
      <c r="L19" s="173" t="str">
        <f>IFERROR(VLOOKUP(TableHandbook[[#This Row],[UDC]],TableOBEDEC[],7,FALSE),"")</f>
        <v>Core</v>
      </c>
      <c r="M19" s="173" t="str">
        <f>IFERROR(VLOOKUP(TableHandbook[[#This Row],[UDC]],TableOBEDPR[],7,FALSE),"")</f>
        <v/>
      </c>
      <c r="N19" s="175" t="str">
        <f>IFERROR(VLOOKUP(TableHandbook[[#This Row],[UDC]],TableOBEDSC1[],7,FALSE),"")</f>
        <v/>
      </c>
      <c r="O19" s="173" t="str">
        <f>IFERROR(VLOOKUP(TableHandbook[[#This Row],[UDC]],TableOUMUARTST[],7,FALSE),"")</f>
        <v/>
      </c>
      <c r="P19" s="173" t="str">
        <f>IFERROR(VLOOKUP(TableHandbook[[#This Row],[UDC]],TableOUMUENGLT[],7,FALSE),"")</f>
        <v/>
      </c>
      <c r="Q19" s="173" t="str">
        <f>IFERROR(VLOOKUP(TableHandbook[[#This Row],[UDC]],TableOUMUHUSGE[],7,FALSE),"")</f>
        <v/>
      </c>
    </row>
    <row r="20" spans="1:17" x14ac:dyDescent="0.25">
      <c r="A20" s="10" t="s">
        <v>105</v>
      </c>
      <c r="B20" s="11">
        <v>1</v>
      </c>
      <c r="C20" s="11" t="s">
        <v>301</v>
      </c>
      <c r="D20" s="10" t="s">
        <v>302</v>
      </c>
      <c r="E20" s="11">
        <v>25</v>
      </c>
      <c r="F20" s="240" t="s">
        <v>303</v>
      </c>
      <c r="G20" s="87" t="str">
        <f>IFERROR(IF(VLOOKUP(TableHandbook[[#This Row],[UDC]],TableAvailabilities[],2,FALSE)&gt;0,"Y",""),"")</f>
        <v/>
      </c>
      <c r="H20" s="87" t="str">
        <f>IFERROR(IF(VLOOKUP(TableHandbook[[#This Row],[UDC]],TableAvailabilities[],3,FALSE)&gt;0,"Y",""),"")</f>
        <v>Y</v>
      </c>
      <c r="I20" s="87" t="str">
        <f>IFERROR(IF(VLOOKUP(TableHandbook[[#This Row],[UDC]],TableAvailabilities[],4,FALSE)&gt;0,"Y",""),"")</f>
        <v/>
      </c>
      <c r="J20" s="87" t="str">
        <f>IFERROR(IF(VLOOKUP(TableHandbook[[#This Row],[UDC]],TableAvailabilities[],5,FALSE)&gt;0,"Y",""),"")</f>
        <v>Y</v>
      </c>
      <c r="K20" s="176"/>
      <c r="L20" s="173" t="str">
        <f>IFERROR(VLOOKUP(TableHandbook[[#This Row],[UDC]],TableOBEDEC[],7,FALSE),"")</f>
        <v>Core</v>
      </c>
      <c r="M20" s="173" t="str">
        <f>IFERROR(VLOOKUP(TableHandbook[[#This Row],[UDC]],TableOBEDPR[],7,FALSE),"")</f>
        <v/>
      </c>
      <c r="N20" s="175" t="str">
        <f>IFERROR(VLOOKUP(TableHandbook[[#This Row],[UDC]],TableOBEDSC1[],7,FALSE),"")</f>
        <v/>
      </c>
      <c r="O20" s="173" t="str">
        <f>IFERROR(VLOOKUP(TableHandbook[[#This Row],[UDC]],TableOUMUARTST[],7,FALSE),"")</f>
        <v/>
      </c>
      <c r="P20" s="173" t="str">
        <f>IFERROR(VLOOKUP(TableHandbook[[#This Row],[UDC]],TableOUMUENGLT[],7,FALSE),"")</f>
        <v/>
      </c>
      <c r="Q20" s="173" t="str">
        <f>IFERROR(VLOOKUP(TableHandbook[[#This Row],[UDC]],TableOUMUHUSGE[],7,FALSE),"")</f>
        <v/>
      </c>
    </row>
    <row r="21" spans="1:17" x14ac:dyDescent="0.25">
      <c r="A21" s="10" t="s">
        <v>104</v>
      </c>
      <c r="B21" s="11">
        <v>1</v>
      </c>
      <c r="C21" s="11" t="s">
        <v>304</v>
      </c>
      <c r="D21" s="10" t="s">
        <v>305</v>
      </c>
      <c r="E21" s="11">
        <v>25</v>
      </c>
      <c r="F21" s="240" t="s">
        <v>306</v>
      </c>
      <c r="G21" s="87" t="str">
        <f>IFERROR(IF(VLOOKUP(TableHandbook[[#This Row],[UDC]],TableAvailabilities[],2,FALSE)&gt;0,"Y",""),"")</f>
        <v>Y</v>
      </c>
      <c r="H21" s="87" t="str">
        <f>IFERROR(IF(VLOOKUP(TableHandbook[[#This Row],[UDC]],TableAvailabilities[],3,FALSE)&gt;0,"Y",""),"")</f>
        <v/>
      </c>
      <c r="I21" s="87" t="str">
        <f>IFERROR(IF(VLOOKUP(TableHandbook[[#This Row],[UDC]],TableAvailabilities[],4,FALSE)&gt;0,"Y",""),"")</f>
        <v>Y</v>
      </c>
      <c r="J21" s="87" t="str">
        <f>IFERROR(IF(VLOOKUP(TableHandbook[[#This Row],[UDC]],TableAvailabilities[],5,FALSE)&gt;0,"Y",""),"")</f>
        <v/>
      </c>
      <c r="K21" s="176" t="s">
        <v>307</v>
      </c>
      <c r="L21" s="173" t="str">
        <f>IFERROR(VLOOKUP(TableHandbook[[#This Row],[UDC]],TableOBEDEC[],7,FALSE),"")</f>
        <v>Core</v>
      </c>
      <c r="M21" s="173" t="str">
        <f>IFERROR(VLOOKUP(TableHandbook[[#This Row],[UDC]],TableOBEDPR[],7,FALSE),"")</f>
        <v/>
      </c>
      <c r="N21" s="175" t="str">
        <f>IFERROR(VLOOKUP(TableHandbook[[#This Row],[UDC]],TableOBEDSC1[],7,FALSE),"")</f>
        <v/>
      </c>
      <c r="O21" s="173" t="str">
        <f>IFERROR(VLOOKUP(TableHandbook[[#This Row],[UDC]],TableOUMUARTST[],7,FALSE),"")</f>
        <v/>
      </c>
      <c r="P21" s="173" t="str">
        <f>IFERROR(VLOOKUP(TableHandbook[[#This Row],[UDC]],TableOUMUENGLT[],7,FALSE),"")</f>
        <v/>
      </c>
      <c r="Q21" s="173" t="str">
        <f>IFERROR(VLOOKUP(TableHandbook[[#This Row],[UDC]],TableOUMUHUSGE[],7,FALSE),"")</f>
        <v/>
      </c>
    </row>
    <row r="22" spans="1:17" x14ac:dyDescent="0.25">
      <c r="A22" s="10" t="s">
        <v>107</v>
      </c>
      <c r="B22" s="11">
        <v>1</v>
      </c>
      <c r="C22" s="11" t="s">
        <v>308</v>
      </c>
      <c r="D22" s="10" t="s">
        <v>309</v>
      </c>
      <c r="E22" s="11">
        <v>25</v>
      </c>
      <c r="F22" s="240" t="s">
        <v>310</v>
      </c>
      <c r="G22" s="87" t="str">
        <f>IFERROR(IF(VLOOKUP(TableHandbook[[#This Row],[UDC]],TableAvailabilities[],2,FALSE)&gt;0,"Y",""),"")</f>
        <v/>
      </c>
      <c r="H22" s="87" t="str">
        <f>IFERROR(IF(VLOOKUP(TableHandbook[[#This Row],[UDC]],TableAvailabilities[],3,FALSE)&gt;0,"Y",""),"")</f>
        <v>Y</v>
      </c>
      <c r="I22" s="87" t="str">
        <f>IFERROR(IF(VLOOKUP(TableHandbook[[#This Row],[UDC]],TableAvailabilities[],4,FALSE)&gt;0,"Y",""),"")</f>
        <v/>
      </c>
      <c r="J22" s="87" t="str">
        <f>IFERROR(IF(VLOOKUP(TableHandbook[[#This Row],[UDC]],TableAvailabilities[],5,FALSE)&gt;0,"Y",""),"")</f>
        <v>Y</v>
      </c>
      <c r="K22" s="176"/>
      <c r="L22" s="173" t="str">
        <f>IFERROR(VLOOKUP(TableHandbook[[#This Row],[UDC]],TableOBEDEC[],7,FALSE),"")</f>
        <v>Core</v>
      </c>
      <c r="M22" s="173" t="str">
        <f>IFERROR(VLOOKUP(TableHandbook[[#This Row],[UDC]],TableOBEDPR[],7,FALSE),"")</f>
        <v/>
      </c>
      <c r="N22" s="175" t="str">
        <f>IFERROR(VLOOKUP(TableHandbook[[#This Row],[UDC]],TableOBEDSC1[],7,FALSE),"")</f>
        <v/>
      </c>
      <c r="O22" s="173" t="str">
        <f>IFERROR(VLOOKUP(TableHandbook[[#This Row],[UDC]],TableOUMUARTST[],7,FALSE),"")</f>
        <v/>
      </c>
      <c r="P22" s="173" t="str">
        <f>IFERROR(VLOOKUP(TableHandbook[[#This Row],[UDC]],TableOUMUENGLT[],7,FALSE),"")</f>
        <v/>
      </c>
      <c r="Q22" s="173" t="str">
        <f>IFERROR(VLOOKUP(TableHandbook[[#This Row],[UDC]],TableOUMUHUSGE[],7,FALSE),"")</f>
        <v/>
      </c>
    </row>
    <row r="23" spans="1:17" x14ac:dyDescent="0.25">
      <c r="A23" s="10" t="s">
        <v>126</v>
      </c>
      <c r="B23" s="11">
        <v>1</v>
      </c>
      <c r="C23" s="11" t="s">
        <v>311</v>
      </c>
      <c r="D23" s="10" t="s">
        <v>312</v>
      </c>
      <c r="E23" s="11">
        <v>25</v>
      </c>
      <c r="F23" s="240" t="s">
        <v>294</v>
      </c>
      <c r="G23" s="87" t="str">
        <f>IFERROR(IF(VLOOKUP(TableHandbook[[#This Row],[UDC]],TableAvailabilities[],2,FALSE)&gt;0,"Y",""),"")</f>
        <v/>
      </c>
      <c r="H23" s="87" t="str">
        <f>IFERROR(IF(VLOOKUP(TableHandbook[[#This Row],[UDC]],TableAvailabilities[],3,FALSE)&gt;0,"Y",""),"")</f>
        <v>Y</v>
      </c>
      <c r="I23" s="87" t="str">
        <f>IFERROR(IF(VLOOKUP(TableHandbook[[#This Row],[UDC]],TableAvailabilities[],4,FALSE)&gt;0,"Y",""),"")</f>
        <v/>
      </c>
      <c r="J23" s="87" t="str">
        <f>IFERROR(IF(VLOOKUP(TableHandbook[[#This Row],[UDC]],TableAvailabilities[],5,FALSE)&gt;0,"Y",""),"")</f>
        <v>Y</v>
      </c>
      <c r="K23" s="176"/>
      <c r="L23" s="173" t="str">
        <f>IFERROR(VLOOKUP(TableHandbook[[#This Row],[UDC]],TableOBEDEC[],7,FALSE),"")</f>
        <v>Core</v>
      </c>
      <c r="M23" s="173" t="str">
        <f>IFERROR(VLOOKUP(TableHandbook[[#This Row],[UDC]],TableOBEDPR[],7,FALSE),"")</f>
        <v/>
      </c>
      <c r="N23" s="175" t="str">
        <f>IFERROR(VLOOKUP(TableHandbook[[#This Row],[UDC]],TableOBEDSC1[],7,FALSE),"")</f>
        <v/>
      </c>
      <c r="O23" s="173" t="str">
        <f>IFERROR(VLOOKUP(TableHandbook[[#This Row],[UDC]],TableOUMUARTST[],7,FALSE),"")</f>
        <v/>
      </c>
      <c r="P23" s="173" t="str">
        <f>IFERROR(VLOOKUP(TableHandbook[[#This Row],[UDC]],TableOUMUENGLT[],7,FALSE),"")</f>
        <v/>
      </c>
      <c r="Q23" s="173" t="str">
        <f>IFERROR(VLOOKUP(TableHandbook[[#This Row],[UDC]],TableOUMUHUSGE[],7,FALSE),"")</f>
        <v/>
      </c>
    </row>
    <row r="24" spans="1:17" x14ac:dyDescent="0.25">
      <c r="A24" s="10" t="s">
        <v>120</v>
      </c>
      <c r="B24" s="11">
        <v>1</v>
      </c>
      <c r="C24" s="11" t="s">
        <v>313</v>
      </c>
      <c r="D24" s="10" t="s">
        <v>314</v>
      </c>
      <c r="E24" s="11">
        <v>25</v>
      </c>
      <c r="F24" s="240" t="s">
        <v>294</v>
      </c>
      <c r="G24" s="87" t="str">
        <f>IFERROR(IF(VLOOKUP(TableHandbook[[#This Row],[UDC]],TableAvailabilities[],2,FALSE)&gt;0,"Y",""),"")</f>
        <v/>
      </c>
      <c r="H24" s="87" t="str">
        <f>IFERROR(IF(VLOOKUP(TableHandbook[[#This Row],[UDC]],TableAvailabilities[],3,FALSE)&gt;0,"Y",""),"")</f>
        <v>Y</v>
      </c>
      <c r="I24" s="87" t="str">
        <f>IFERROR(IF(VLOOKUP(TableHandbook[[#This Row],[UDC]],TableAvailabilities[],4,FALSE)&gt;0,"Y",""),"")</f>
        <v/>
      </c>
      <c r="J24" s="87" t="str">
        <f>IFERROR(IF(VLOOKUP(TableHandbook[[#This Row],[UDC]],TableAvailabilities[],5,FALSE)&gt;0,"Y",""),"")</f>
        <v>Y</v>
      </c>
      <c r="K24" s="176"/>
      <c r="L24" s="173" t="str">
        <f>IFERROR(VLOOKUP(TableHandbook[[#This Row],[UDC]],TableOBEDEC[],7,FALSE),"")</f>
        <v>Core</v>
      </c>
      <c r="M24" s="173" t="str">
        <f>IFERROR(VLOOKUP(TableHandbook[[#This Row],[UDC]],TableOBEDPR[],7,FALSE),"")</f>
        <v/>
      </c>
      <c r="N24" s="175" t="str">
        <f>IFERROR(VLOOKUP(TableHandbook[[#This Row],[UDC]],TableOBEDSC1[],7,FALSE),"")</f>
        <v/>
      </c>
      <c r="O24" s="173" t="str">
        <f>IFERROR(VLOOKUP(TableHandbook[[#This Row],[UDC]],TableOUMUARTST[],7,FALSE),"")</f>
        <v/>
      </c>
      <c r="P24" s="173" t="str">
        <f>IFERROR(VLOOKUP(TableHandbook[[#This Row],[UDC]],TableOUMUENGLT[],7,FALSE),"")</f>
        <v/>
      </c>
      <c r="Q24" s="173" t="str">
        <f>IFERROR(VLOOKUP(TableHandbook[[#This Row],[UDC]],TableOUMUHUSGE[],7,FALSE),"")</f>
        <v/>
      </c>
    </row>
    <row r="25" spans="1:17" x14ac:dyDescent="0.25">
      <c r="A25" s="10" t="s">
        <v>123</v>
      </c>
      <c r="B25" s="11">
        <v>1</v>
      </c>
      <c r="C25" s="11" t="s">
        <v>315</v>
      </c>
      <c r="D25" s="10" t="s">
        <v>316</v>
      </c>
      <c r="E25" s="11">
        <v>25</v>
      </c>
      <c r="F25" s="240" t="s">
        <v>313</v>
      </c>
      <c r="G25" s="87" t="str">
        <f>IFERROR(IF(VLOOKUP(TableHandbook[[#This Row],[UDC]],TableAvailabilities[],2,FALSE)&gt;0,"Y",""),"")</f>
        <v>Y</v>
      </c>
      <c r="H25" s="87" t="str">
        <f>IFERROR(IF(VLOOKUP(TableHandbook[[#This Row],[UDC]],TableAvailabilities[],3,FALSE)&gt;0,"Y",""),"")</f>
        <v/>
      </c>
      <c r="I25" s="87" t="str">
        <f>IFERROR(IF(VLOOKUP(TableHandbook[[#This Row],[UDC]],TableAvailabilities[],4,FALSE)&gt;0,"Y",""),"")</f>
        <v>Y</v>
      </c>
      <c r="J25" s="87" t="str">
        <f>IFERROR(IF(VLOOKUP(TableHandbook[[#This Row],[UDC]],TableAvailabilities[],5,FALSE)&gt;0,"Y",""),"")</f>
        <v/>
      </c>
      <c r="K25" s="176"/>
      <c r="L25" s="173" t="str">
        <f>IFERROR(VLOOKUP(TableHandbook[[#This Row],[UDC]],TableOBEDEC[],7,FALSE),"")</f>
        <v>Core</v>
      </c>
      <c r="M25" s="173" t="str">
        <f>IFERROR(VLOOKUP(TableHandbook[[#This Row],[UDC]],TableOBEDPR[],7,FALSE),"")</f>
        <v/>
      </c>
      <c r="N25" s="175" t="str">
        <f>IFERROR(VLOOKUP(TableHandbook[[#This Row],[UDC]],TableOBEDSC1[],7,FALSE),"")</f>
        <v/>
      </c>
      <c r="O25" s="173" t="str">
        <f>IFERROR(VLOOKUP(TableHandbook[[#This Row],[UDC]],TableOUMUARTST[],7,FALSE),"")</f>
        <v/>
      </c>
      <c r="P25" s="173" t="str">
        <f>IFERROR(VLOOKUP(TableHandbook[[#This Row],[UDC]],TableOUMUENGLT[],7,FALSE),"")</f>
        <v/>
      </c>
      <c r="Q25" s="173" t="str">
        <f>IFERROR(VLOOKUP(TableHandbook[[#This Row],[UDC]],TableOUMUHUSGE[],7,FALSE),"")</f>
        <v/>
      </c>
    </row>
    <row r="26" spans="1:17" x14ac:dyDescent="0.25">
      <c r="A26" s="10" t="s">
        <v>125</v>
      </c>
      <c r="B26" s="11">
        <v>1</v>
      </c>
      <c r="C26" s="11" t="s">
        <v>317</v>
      </c>
      <c r="D26" s="10" t="s">
        <v>318</v>
      </c>
      <c r="E26" s="11">
        <v>25</v>
      </c>
      <c r="F26" s="240" t="s">
        <v>294</v>
      </c>
      <c r="G26" s="87" t="str">
        <f>IFERROR(IF(VLOOKUP(TableHandbook[[#This Row],[UDC]],TableAvailabilities[],2,FALSE)&gt;0,"Y",""),"")</f>
        <v>Y</v>
      </c>
      <c r="H26" s="87" t="str">
        <f>IFERROR(IF(VLOOKUP(TableHandbook[[#This Row],[UDC]],TableAvailabilities[],3,FALSE)&gt;0,"Y",""),"")</f>
        <v/>
      </c>
      <c r="I26" s="87" t="str">
        <f>IFERROR(IF(VLOOKUP(TableHandbook[[#This Row],[UDC]],TableAvailabilities[],4,FALSE)&gt;0,"Y",""),"")</f>
        <v>Y</v>
      </c>
      <c r="J26" s="87" t="str">
        <f>IFERROR(IF(VLOOKUP(TableHandbook[[#This Row],[UDC]],TableAvailabilities[],5,FALSE)&gt;0,"Y",""),"")</f>
        <v/>
      </c>
      <c r="K26" s="176"/>
      <c r="L26" s="173" t="str">
        <f>IFERROR(VLOOKUP(TableHandbook[[#This Row],[UDC]],TableOBEDEC[],7,FALSE),"")</f>
        <v>Core</v>
      </c>
      <c r="M26" s="173" t="str">
        <f>IFERROR(VLOOKUP(TableHandbook[[#This Row],[UDC]],TableOBEDPR[],7,FALSE),"")</f>
        <v/>
      </c>
      <c r="N26" s="175" t="str">
        <f>IFERROR(VLOOKUP(TableHandbook[[#This Row],[UDC]],TableOBEDSC1[],7,FALSE),"")</f>
        <v/>
      </c>
      <c r="O26" s="173" t="str">
        <f>IFERROR(VLOOKUP(TableHandbook[[#This Row],[UDC]],TableOUMUARTST[],7,FALSE),"")</f>
        <v/>
      </c>
      <c r="P26" s="173" t="str">
        <f>IFERROR(VLOOKUP(TableHandbook[[#This Row],[UDC]],TableOUMUENGLT[],7,FALSE),"")</f>
        <v/>
      </c>
      <c r="Q26" s="173" t="str">
        <f>IFERROR(VLOOKUP(TableHandbook[[#This Row],[UDC]],TableOUMUHUSGE[],7,FALSE),"")</f>
        <v/>
      </c>
    </row>
    <row r="27" spans="1:17" x14ac:dyDescent="0.25">
      <c r="A27" s="10" t="s">
        <v>112</v>
      </c>
      <c r="B27" s="11">
        <v>1</v>
      </c>
      <c r="C27" s="11" t="s">
        <v>319</v>
      </c>
      <c r="D27" s="10" t="s">
        <v>320</v>
      </c>
      <c r="E27" s="11">
        <v>25</v>
      </c>
      <c r="F27" s="240" t="s">
        <v>304</v>
      </c>
      <c r="G27" s="87" t="str">
        <f>IFERROR(IF(VLOOKUP(TableHandbook[[#This Row],[UDC]],TableAvailabilities[],2,FALSE)&gt;0,"Y",""),"")</f>
        <v>Y</v>
      </c>
      <c r="H27" s="87" t="str">
        <f>IFERROR(IF(VLOOKUP(TableHandbook[[#This Row],[UDC]],TableAvailabilities[],3,FALSE)&gt;0,"Y",""),"")</f>
        <v/>
      </c>
      <c r="I27" s="87" t="str">
        <f>IFERROR(IF(VLOOKUP(TableHandbook[[#This Row],[UDC]],TableAvailabilities[],4,FALSE)&gt;0,"Y",""),"")</f>
        <v>Y</v>
      </c>
      <c r="J27" s="87" t="str">
        <f>IFERROR(IF(VLOOKUP(TableHandbook[[#This Row],[UDC]],TableAvailabilities[],5,FALSE)&gt;0,"Y",""),"")</f>
        <v/>
      </c>
      <c r="K27" s="176"/>
      <c r="L27" s="173" t="str">
        <f>IFERROR(VLOOKUP(TableHandbook[[#This Row],[UDC]],TableOBEDEC[],7,FALSE),"")</f>
        <v>Core</v>
      </c>
      <c r="M27" s="173" t="str">
        <f>IFERROR(VLOOKUP(TableHandbook[[#This Row],[UDC]],TableOBEDPR[],7,FALSE),"")</f>
        <v/>
      </c>
      <c r="N27" s="175" t="str">
        <f>IFERROR(VLOOKUP(TableHandbook[[#This Row],[UDC]],TableOBEDSC1[],7,FALSE),"")</f>
        <v/>
      </c>
      <c r="O27" s="173" t="str">
        <f>IFERROR(VLOOKUP(TableHandbook[[#This Row],[UDC]],TableOUMUARTST[],7,FALSE),"")</f>
        <v/>
      </c>
      <c r="P27" s="173" t="str">
        <f>IFERROR(VLOOKUP(TableHandbook[[#This Row],[UDC]],TableOUMUENGLT[],7,FALSE),"")</f>
        <v/>
      </c>
      <c r="Q27" s="173" t="str">
        <f>IFERROR(VLOOKUP(TableHandbook[[#This Row],[UDC]],TableOUMUHUSGE[],7,FALSE),"")</f>
        <v/>
      </c>
    </row>
    <row r="28" spans="1:17" x14ac:dyDescent="0.25">
      <c r="A28" s="10" t="s">
        <v>114</v>
      </c>
      <c r="B28" s="11">
        <v>1</v>
      </c>
      <c r="C28" s="11" t="s">
        <v>321</v>
      </c>
      <c r="D28" s="10" t="s">
        <v>322</v>
      </c>
      <c r="E28" s="11">
        <v>25</v>
      </c>
      <c r="F28" s="240" t="s">
        <v>323</v>
      </c>
      <c r="G28" s="87" t="str">
        <f>IFERROR(IF(VLOOKUP(TableHandbook[[#This Row],[UDC]],TableAvailabilities[],2,FALSE)&gt;0,"Y",""),"")</f>
        <v/>
      </c>
      <c r="H28" s="87" t="str">
        <f>IFERROR(IF(VLOOKUP(TableHandbook[[#This Row],[UDC]],TableAvailabilities[],3,FALSE)&gt;0,"Y",""),"")</f>
        <v>Y</v>
      </c>
      <c r="I28" s="87" t="str">
        <f>IFERROR(IF(VLOOKUP(TableHandbook[[#This Row],[UDC]],TableAvailabilities[],4,FALSE)&gt;0,"Y",""),"")</f>
        <v/>
      </c>
      <c r="J28" s="87" t="str">
        <f>IFERROR(IF(VLOOKUP(TableHandbook[[#This Row],[UDC]],TableAvailabilities[],5,FALSE)&gt;0,"Y",""),"")</f>
        <v>Y</v>
      </c>
      <c r="K28" s="176" t="s">
        <v>307</v>
      </c>
      <c r="L28" s="173" t="str">
        <f>IFERROR(VLOOKUP(TableHandbook[[#This Row],[UDC]],TableOBEDEC[],7,FALSE),"")</f>
        <v>Core</v>
      </c>
      <c r="M28" s="173" t="str">
        <f>IFERROR(VLOOKUP(TableHandbook[[#This Row],[UDC]],TableOBEDPR[],7,FALSE),"")</f>
        <v/>
      </c>
      <c r="N28" s="175" t="str">
        <f>IFERROR(VLOOKUP(TableHandbook[[#This Row],[UDC]],TableOBEDSC1[],7,FALSE),"")</f>
        <v/>
      </c>
      <c r="O28" s="173" t="str">
        <f>IFERROR(VLOOKUP(TableHandbook[[#This Row],[UDC]],TableOUMUARTST[],7,FALSE),"")</f>
        <v/>
      </c>
      <c r="P28" s="173" t="str">
        <f>IFERROR(VLOOKUP(TableHandbook[[#This Row],[UDC]],TableOUMUENGLT[],7,FALSE),"")</f>
        <v/>
      </c>
      <c r="Q28" s="173" t="str">
        <f>IFERROR(VLOOKUP(TableHandbook[[#This Row],[UDC]],TableOUMUHUSGE[],7,FALSE),"")</f>
        <v/>
      </c>
    </row>
    <row r="29" spans="1:17" x14ac:dyDescent="0.25">
      <c r="A29" s="10" t="s">
        <v>137</v>
      </c>
      <c r="B29" s="11">
        <v>1</v>
      </c>
      <c r="C29" s="11" t="s">
        <v>324</v>
      </c>
      <c r="D29" s="10" t="s">
        <v>325</v>
      </c>
      <c r="E29" s="11">
        <v>25</v>
      </c>
      <c r="F29" s="240" t="s">
        <v>326</v>
      </c>
      <c r="G29" s="87" t="str">
        <f>IFERROR(IF(VLOOKUP(TableHandbook[[#This Row],[UDC]],TableAvailabilities[],2,FALSE)&gt;0,"Y",""),"")</f>
        <v/>
      </c>
      <c r="H29" s="87" t="str">
        <f>IFERROR(IF(VLOOKUP(TableHandbook[[#This Row],[UDC]],TableAvailabilities[],3,FALSE)&gt;0,"Y",""),"")</f>
        <v>Y</v>
      </c>
      <c r="I29" s="87" t="str">
        <f>IFERROR(IF(VLOOKUP(TableHandbook[[#This Row],[UDC]],TableAvailabilities[],4,FALSE)&gt;0,"Y",""),"")</f>
        <v/>
      </c>
      <c r="J29" s="87" t="str">
        <f>IFERROR(IF(VLOOKUP(TableHandbook[[#This Row],[UDC]],TableAvailabilities[],5,FALSE)&gt;0,"Y",""),"")</f>
        <v>Y</v>
      </c>
      <c r="K29" s="176"/>
      <c r="L29" s="173" t="str">
        <f>IFERROR(VLOOKUP(TableHandbook[[#This Row],[UDC]],TableOBEDEC[],7,FALSE),"")</f>
        <v>Core</v>
      </c>
      <c r="M29" s="173" t="str">
        <f>IFERROR(VLOOKUP(TableHandbook[[#This Row],[UDC]],TableOBEDPR[],7,FALSE),"")</f>
        <v/>
      </c>
      <c r="N29" s="175" t="str">
        <f>IFERROR(VLOOKUP(TableHandbook[[#This Row],[UDC]],TableOBEDSC1[],7,FALSE),"")</f>
        <v/>
      </c>
      <c r="O29" s="173" t="str">
        <f>IFERROR(VLOOKUP(TableHandbook[[#This Row],[UDC]],TableOUMUARTST[],7,FALSE),"")</f>
        <v/>
      </c>
      <c r="P29" s="173" t="str">
        <f>IFERROR(VLOOKUP(TableHandbook[[#This Row],[UDC]],TableOUMUENGLT[],7,FALSE),"")</f>
        <v/>
      </c>
      <c r="Q29" s="173" t="str">
        <f>IFERROR(VLOOKUP(TableHandbook[[#This Row],[UDC]],TableOUMUHUSGE[],7,FALSE),"")</f>
        <v/>
      </c>
    </row>
    <row r="30" spans="1:17" x14ac:dyDescent="0.25">
      <c r="A30" s="10" t="s">
        <v>130</v>
      </c>
      <c r="B30" s="11">
        <v>1</v>
      </c>
      <c r="C30" s="11" t="s">
        <v>327</v>
      </c>
      <c r="D30" s="10" t="s">
        <v>328</v>
      </c>
      <c r="E30" s="11">
        <v>25</v>
      </c>
      <c r="F30" s="240" t="s">
        <v>311</v>
      </c>
      <c r="G30" s="87" t="str">
        <f>IFERROR(IF(VLOOKUP(TableHandbook[[#This Row],[UDC]],TableAvailabilities[],2,FALSE)&gt;0,"Y",""),"")</f>
        <v>Y</v>
      </c>
      <c r="H30" s="87" t="str">
        <f>IFERROR(IF(VLOOKUP(TableHandbook[[#This Row],[UDC]],TableAvailabilities[],3,FALSE)&gt;0,"Y",""),"")</f>
        <v/>
      </c>
      <c r="I30" s="87" t="str">
        <f>IFERROR(IF(VLOOKUP(TableHandbook[[#This Row],[UDC]],TableAvailabilities[],4,FALSE)&gt;0,"Y",""),"")</f>
        <v>Y</v>
      </c>
      <c r="J30" s="87" t="str">
        <f>IFERROR(IF(VLOOKUP(TableHandbook[[#This Row],[UDC]],TableAvailabilities[],5,FALSE)&gt;0,"Y",""),"")</f>
        <v/>
      </c>
      <c r="K30" s="176"/>
      <c r="L30" s="173" t="str">
        <f>IFERROR(VLOOKUP(TableHandbook[[#This Row],[UDC]],TableOBEDEC[],7,FALSE),"")</f>
        <v>Core</v>
      </c>
      <c r="M30" s="173" t="str">
        <f>IFERROR(VLOOKUP(TableHandbook[[#This Row],[UDC]],TableOBEDPR[],7,FALSE),"")</f>
        <v/>
      </c>
      <c r="N30" s="175" t="str">
        <f>IFERROR(VLOOKUP(TableHandbook[[#This Row],[UDC]],TableOBEDSC1[],7,FALSE),"")</f>
        <v/>
      </c>
      <c r="O30" s="173" t="str">
        <f>IFERROR(VLOOKUP(TableHandbook[[#This Row],[UDC]],TableOUMUARTST[],7,FALSE),"")</f>
        <v/>
      </c>
      <c r="P30" s="173" t="str">
        <f>IFERROR(VLOOKUP(TableHandbook[[#This Row],[UDC]],TableOUMUENGLT[],7,FALSE),"")</f>
        <v/>
      </c>
      <c r="Q30" s="173" t="str">
        <f>IFERROR(VLOOKUP(TableHandbook[[#This Row],[UDC]],TableOUMUHUSGE[],7,FALSE),"")</f>
        <v/>
      </c>
    </row>
    <row r="31" spans="1:17" x14ac:dyDescent="0.25">
      <c r="A31" s="10" t="s">
        <v>329</v>
      </c>
      <c r="B31" s="11">
        <v>1</v>
      </c>
      <c r="C31" s="11" t="s">
        <v>330</v>
      </c>
      <c r="D31" s="10" t="s">
        <v>331</v>
      </c>
      <c r="E31" s="11">
        <v>25</v>
      </c>
      <c r="F31" s="171" t="s">
        <v>277</v>
      </c>
      <c r="G31" s="87" t="str">
        <f>IFERROR(IF(VLOOKUP(TableHandbook[[#This Row],[UDC]],TableAvailabilities[],2,FALSE)&gt;0,"Y",""),"")</f>
        <v/>
      </c>
      <c r="H31" s="87" t="str">
        <f>IFERROR(IF(VLOOKUP(TableHandbook[[#This Row],[UDC]],TableAvailabilities[],3,FALSE)&gt;0,"Y",""),"")</f>
        <v/>
      </c>
      <c r="I31" s="87" t="str">
        <f>IFERROR(IF(VLOOKUP(TableHandbook[[#This Row],[UDC]],TableAvailabilities[],4,FALSE)&gt;0,"Y",""),"")</f>
        <v/>
      </c>
      <c r="J31" s="87" t="str">
        <f>IFERROR(IF(VLOOKUP(TableHandbook[[#This Row],[UDC]],TableAvailabilities[],5,FALSE)&gt;0,"Y",""),"")</f>
        <v/>
      </c>
      <c r="K31" s="176" t="s">
        <v>332</v>
      </c>
      <c r="L31" s="173" t="str">
        <f>IFERROR(VLOOKUP(TableHandbook[[#This Row],[UDC]],TableOBEDEC[],7,FALSE),"")</f>
        <v/>
      </c>
      <c r="M31" s="173" t="str">
        <f>IFERROR(VLOOKUP(TableHandbook[[#This Row],[UDC]],TableOBEDPR[],7,FALSE),"")</f>
        <v/>
      </c>
      <c r="N31" s="175" t="str">
        <f>IFERROR(VLOOKUP(TableHandbook[[#This Row],[UDC]],TableOBEDSC1[],7,FALSE),"")</f>
        <v/>
      </c>
      <c r="O31" s="173" t="str">
        <f>IFERROR(VLOOKUP(TableHandbook[[#This Row],[UDC]],TableOUMUARTST[],7,FALSE),"")</f>
        <v/>
      </c>
      <c r="P31" s="173" t="str">
        <f>IFERROR(VLOOKUP(TableHandbook[[#This Row],[UDC]],TableOUMUENGLT[],7,FALSE),"")</f>
        <v/>
      </c>
      <c r="Q31" s="173" t="str">
        <f>IFERROR(VLOOKUP(TableHandbook[[#This Row],[UDC]],TableOUMUHUSGE[],7,FALSE),"")</f>
        <v/>
      </c>
    </row>
    <row r="32" spans="1:17" x14ac:dyDescent="0.25">
      <c r="A32" s="10" t="s">
        <v>333</v>
      </c>
      <c r="B32" s="11">
        <v>1</v>
      </c>
      <c r="C32" s="11" t="s">
        <v>334</v>
      </c>
      <c r="D32" s="10" t="s">
        <v>335</v>
      </c>
      <c r="E32" s="11">
        <v>25</v>
      </c>
      <c r="F32" s="171" t="s">
        <v>277</v>
      </c>
      <c r="G32" s="87" t="str">
        <f>IFERROR(IF(VLOOKUP(TableHandbook[[#This Row],[UDC]],TableAvailabilities[],2,FALSE)&gt;0,"Y",""),"")</f>
        <v/>
      </c>
      <c r="H32" s="87" t="str">
        <f>IFERROR(IF(VLOOKUP(TableHandbook[[#This Row],[UDC]],TableAvailabilities[],3,FALSE)&gt;0,"Y",""),"")</f>
        <v/>
      </c>
      <c r="I32" s="87" t="str">
        <f>IFERROR(IF(VLOOKUP(TableHandbook[[#This Row],[UDC]],TableAvailabilities[],4,FALSE)&gt;0,"Y",""),"")</f>
        <v/>
      </c>
      <c r="J32" s="87" t="str">
        <f>IFERROR(IF(VLOOKUP(TableHandbook[[#This Row],[UDC]],TableAvailabilities[],5,FALSE)&gt;0,"Y",""),"")</f>
        <v/>
      </c>
      <c r="K32" s="176" t="s">
        <v>332</v>
      </c>
      <c r="L32" s="173" t="str">
        <f>IFERROR(VLOOKUP(TableHandbook[[#This Row],[UDC]],TableOBEDEC[],7,FALSE),"")</f>
        <v/>
      </c>
      <c r="M32" s="173" t="str">
        <f>IFERROR(VLOOKUP(TableHandbook[[#This Row],[UDC]],TableOBEDPR[],7,FALSE),"")</f>
        <v/>
      </c>
      <c r="N32" s="175" t="str">
        <f>IFERROR(VLOOKUP(TableHandbook[[#This Row],[UDC]],TableOBEDSC1[],7,FALSE),"")</f>
        <v/>
      </c>
      <c r="O32" s="173" t="str">
        <f>IFERROR(VLOOKUP(TableHandbook[[#This Row],[UDC]],TableOUMUARTST[],7,FALSE),"")</f>
        <v/>
      </c>
      <c r="P32" s="173" t="str">
        <f>IFERROR(VLOOKUP(TableHandbook[[#This Row],[UDC]],TableOUMUENGLT[],7,FALSE),"")</f>
        <v/>
      </c>
      <c r="Q32" s="173" t="str">
        <f>IFERROR(VLOOKUP(TableHandbook[[#This Row],[UDC]],TableOUMUHUSGE[],7,FALSE),"")</f>
        <v/>
      </c>
    </row>
    <row r="33" spans="1:17" x14ac:dyDescent="0.25">
      <c r="A33" s="10" t="s">
        <v>336</v>
      </c>
      <c r="B33" s="11">
        <v>1</v>
      </c>
      <c r="C33" s="11" t="s">
        <v>337</v>
      </c>
      <c r="D33" s="10" t="s">
        <v>338</v>
      </c>
      <c r="E33" s="11">
        <v>25</v>
      </c>
      <c r="F33" s="171" t="s">
        <v>277</v>
      </c>
      <c r="G33" s="87" t="str">
        <f>IFERROR(IF(VLOOKUP(TableHandbook[[#This Row],[UDC]],TableAvailabilities[],2,FALSE)&gt;0,"Y",""),"")</f>
        <v/>
      </c>
      <c r="H33" s="87" t="str">
        <f>IFERROR(IF(VLOOKUP(TableHandbook[[#This Row],[UDC]],TableAvailabilities[],3,FALSE)&gt;0,"Y",""),"")</f>
        <v/>
      </c>
      <c r="I33" s="87" t="str">
        <f>IFERROR(IF(VLOOKUP(TableHandbook[[#This Row],[UDC]],TableAvailabilities[],4,FALSE)&gt;0,"Y",""),"")</f>
        <v/>
      </c>
      <c r="J33" s="87" t="str">
        <f>IFERROR(IF(VLOOKUP(TableHandbook[[#This Row],[UDC]],TableAvailabilities[],5,FALSE)&gt;0,"Y",""),"")</f>
        <v/>
      </c>
      <c r="K33" s="176" t="s">
        <v>332</v>
      </c>
      <c r="L33" s="173" t="str">
        <f>IFERROR(VLOOKUP(TableHandbook[[#This Row],[UDC]],TableOBEDEC[],7,FALSE),"")</f>
        <v/>
      </c>
      <c r="M33" s="173" t="str">
        <f>IFERROR(VLOOKUP(TableHandbook[[#This Row],[UDC]],TableOBEDPR[],7,FALSE),"")</f>
        <v/>
      </c>
      <c r="N33" s="175" t="str">
        <f>IFERROR(VLOOKUP(TableHandbook[[#This Row],[UDC]],TableOBEDSC1[],7,FALSE),"")</f>
        <v/>
      </c>
      <c r="O33" s="173" t="str">
        <f>IFERROR(VLOOKUP(TableHandbook[[#This Row],[UDC]],TableOUMUARTST[],7,FALSE),"")</f>
        <v/>
      </c>
      <c r="P33" s="173" t="str">
        <f>IFERROR(VLOOKUP(TableHandbook[[#This Row],[UDC]],TableOUMUENGLT[],7,FALSE),"")</f>
        <v/>
      </c>
      <c r="Q33" s="173" t="str">
        <f>IFERROR(VLOOKUP(TableHandbook[[#This Row],[UDC]],TableOUMUHUSGE[],7,FALSE),"")</f>
        <v/>
      </c>
    </row>
    <row r="34" spans="1:17" x14ac:dyDescent="0.25">
      <c r="A34" s="10" t="s">
        <v>339</v>
      </c>
      <c r="B34" s="11">
        <v>1</v>
      </c>
      <c r="C34" s="11" t="s">
        <v>340</v>
      </c>
      <c r="D34" s="10" t="s">
        <v>341</v>
      </c>
      <c r="E34" s="11">
        <v>25</v>
      </c>
      <c r="F34" s="171" t="s">
        <v>342</v>
      </c>
      <c r="G34" s="87" t="str">
        <f>IFERROR(IF(VLOOKUP(TableHandbook[[#This Row],[UDC]],TableAvailabilities[],2,FALSE)&gt;0,"Y",""),"")</f>
        <v/>
      </c>
      <c r="H34" s="87" t="str">
        <f>IFERROR(IF(VLOOKUP(TableHandbook[[#This Row],[UDC]],TableAvailabilities[],3,FALSE)&gt;0,"Y",""),"")</f>
        <v/>
      </c>
      <c r="I34" s="87" t="str">
        <f>IFERROR(IF(VLOOKUP(TableHandbook[[#This Row],[UDC]],TableAvailabilities[],4,FALSE)&gt;0,"Y",""),"")</f>
        <v/>
      </c>
      <c r="J34" s="87" t="str">
        <f>IFERROR(IF(VLOOKUP(TableHandbook[[#This Row],[UDC]],TableAvailabilities[],5,FALSE)&gt;0,"Y",""),"")</f>
        <v/>
      </c>
      <c r="K34" s="176" t="s">
        <v>332</v>
      </c>
      <c r="L34" s="173" t="str">
        <f>IFERROR(VLOOKUP(TableHandbook[[#This Row],[UDC]],TableOBEDEC[],7,FALSE),"")</f>
        <v/>
      </c>
      <c r="M34" s="173" t="str">
        <f>IFERROR(VLOOKUP(TableHandbook[[#This Row],[UDC]],TableOBEDPR[],7,FALSE),"")</f>
        <v/>
      </c>
      <c r="N34" s="175" t="str">
        <f>IFERROR(VLOOKUP(TableHandbook[[#This Row],[UDC]],TableOBEDSC1[],7,FALSE),"")</f>
        <v/>
      </c>
      <c r="O34" s="173" t="str">
        <f>IFERROR(VLOOKUP(TableHandbook[[#This Row],[UDC]],TableOUMUARTST[],7,FALSE),"")</f>
        <v/>
      </c>
      <c r="P34" s="173" t="str">
        <f>IFERROR(VLOOKUP(TableHandbook[[#This Row],[UDC]],TableOUMUENGLT[],7,FALSE),"")</f>
        <v/>
      </c>
      <c r="Q34" s="173" t="str">
        <f>IFERROR(VLOOKUP(TableHandbook[[#This Row],[UDC]],TableOUMUHUSGE[],7,FALSE),"")</f>
        <v/>
      </c>
    </row>
    <row r="35" spans="1:17" x14ac:dyDescent="0.25">
      <c r="A35" s="10" t="s">
        <v>94</v>
      </c>
      <c r="B35" s="11">
        <v>1</v>
      </c>
      <c r="C35" s="11" t="s">
        <v>343</v>
      </c>
      <c r="D35" s="10" t="s">
        <v>344</v>
      </c>
      <c r="E35" s="11">
        <v>25</v>
      </c>
      <c r="F35" s="240" t="s">
        <v>306</v>
      </c>
      <c r="G35" s="87" t="str">
        <f>IFERROR(IF(VLOOKUP(TableHandbook[[#This Row],[UDC]],TableAvailabilities[],2,FALSE)&gt;0,"Y",""),"")</f>
        <v>Y</v>
      </c>
      <c r="H35" s="87" t="str">
        <f>IFERROR(IF(VLOOKUP(TableHandbook[[#This Row],[UDC]],TableAvailabilities[],3,FALSE)&gt;0,"Y",""),"")</f>
        <v/>
      </c>
      <c r="I35" s="87" t="str">
        <f>IFERROR(IF(VLOOKUP(TableHandbook[[#This Row],[UDC]],TableAvailabilities[],4,FALSE)&gt;0,"Y",""),"")</f>
        <v>Y</v>
      </c>
      <c r="J35" s="87" t="str">
        <f>IFERROR(IF(VLOOKUP(TableHandbook[[#This Row],[UDC]],TableAvailabilities[],5,FALSE)&gt;0,"Y",""),"")</f>
        <v/>
      </c>
      <c r="K35" s="176"/>
      <c r="L35" s="173" t="str">
        <f>IFERROR(VLOOKUP(TableHandbook[[#This Row],[UDC]],TableOBEDEC[],7,FALSE),"")</f>
        <v/>
      </c>
      <c r="M35" s="173" t="str">
        <f>IFERROR(VLOOKUP(TableHandbook[[#This Row],[UDC]],TableOBEDPR[],7,FALSE),"")</f>
        <v>Core</v>
      </c>
      <c r="N35" s="175" t="str">
        <f>IFERROR(VLOOKUP(TableHandbook[[#This Row],[UDC]],TableOBEDSC1[],7,FALSE),"")</f>
        <v/>
      </c>
      <c r="O35" s="173" t="str">
        <f>IFERROR(VLOOKUP(TableHandbook[[#This Row],[UDC]],TableOUMUARTST[],7,FALSE),"")</f>
        <v/>
      </c>
      <c r="P35" s="173" t="str">
        <f>IFERROR(VLOOKUP(TableHandbook[[#This Row],[UDC]],TableOUMUENGLT[],7,FALSE),"")</f>
        <v/>
      </c>
      <c r="Q35" s="173" t="str">
        <f>IFERROR(VLOOKUP(TableHandbook[[#This Row],[UDC]],TableOUMUHUSGE[],7,FALSE),"")</f>
        <v/>
      </c>
    </row>
    <row r="36" spans="1:17" x14ac:dyDescent="0.25">
      <c r="A36" s="10" t="s">
        <v>92</v>
      </c>
      <c r="B36" s="11">
        <v>1</v>
      </c>
      <c r="C36" s="11" t="s">
        <v>345</v>
      </c>
      <c r="D36" s="10" t="s">
        <v>346</v>
      </c>
      <c r="E36" s="11">
        <v>25</v>
      </c>
      <c r="F36" s="240" t="s">
        <v>347</v>
      </c>
      <c r="G36" s="87" t="str">
        <f>IFERROR(IF(VLOOKUP(TableHandbook[[#This Row],[UDC]],TableAvailabilities[],2,FALSE)&gt;0,"Y",""),"")</f>
        <v/>
      </c>
      <c r="H36" s="87" t="str">
        <f>IFERROR(IF(VLOOKUP(TableHandbook[[#This Row],[UDC]],TableAvailabilities[],3,FALSE)&gt;0,"Y",""),"")</f>
        <v>Y</v>
      </c>
      <c r="I36" s="87" t="str">
        <f>IFERROR(IF(VLOOKUP(TableHandbook[[#This Row],[UDC]],TableAvailabilities[],4,FALSE)&gt;0,"Y",""),"")</f>
        <v/>
      </c>
      <c r="J36" s="87" t="str">
        <f>IFERROR(IF(VLOOKUP(TableHandbook[[#This Row],[UDC]],TableAvailabilities[],5,FALSE)&gt;0,"Y",""),"")</f>
        <v>Y</v>
      </c>
      <c r="K36" s="176" t="s">
        <v>348</v>
      </c>
      <c r="L36" s="173" t="str">
        <f>IFERROR(VLOOKUP(TableHandbook[[#This Row],[UDC]],TableOBEDEC[],7,FALSE),"")</f>
        <v/>
      </c>
      <c r="M36" s="173" t="str">
        <f>IFERROR(VLOOKUP(TableHandbook[[#This Row],[UDC]],TableOBEDPR[],7,FALSE),"")</f>
        <v>Core</v>
      </c>
      <c r="N36" s="175" t="str">
        <f>IFERROR(VLOOKUP(TableHandbook[[#This Row],[UDC]],TableOBEDSC1[],7,FALSE),"")</f>
        <v/>
      </c>
      <c r="O36" s="173" t="str">
        <f>IFERROR(VLOOKUP(TableHandbook[[#This Row],[UDC]],TableOUMUARTST[],7,FALSE),"")</f>
        <v/>
      </c>
      <c r="P36" s="173" t="str">
        <f>IFERROR(VLOOKUP(TableHandbook[[#This Row],[UDC]],TableOUMUENGLT[],7,FALSE),"")</f>
        <v/>
      </c>
      <c r="Q36" s="173" t="str">
        <f>IFERROR(VLOOKUP(TableHandbook[[#This Row],[UDC]],TableOUMUHUSGE[],7,FALSE),"")</f>
        <v/>
      </c>
    </row>
    <row r="37" spans="1:17" x14ac:dyDescent="0.25">
      <c r="A37" s="10" t="s">
        <v>91</v>
      </c>
      <c r="B37" s="11">
        <v>1</v>
      </c>
      <c r="C37" s="11" t="s">
        <v>349</v>
      </c>
      <c r="D37" s="10" t="s">
        <v>350</v>
      </c>
      <c r="E37" s="11">
        <v>25</v>
      </c>
      <c r="F37" s="171" t="s">
        <v>351</v>
      </c>
      <c r="G37" s="87" t="str">
        <f>IFERROR(IF(VLOOKUP(TableHandbook[[#This Row],[UDC]],TableAvailabilities[],2,FALSE)&gt;0,"Y",""),"")</f>
        <v>Y</v>
      </c>
      <c r="H37" s="87" t="str">
        <f>IFERROR(IF(VLOOKUP(TableHandbook[[#This Row],[UDC]],TableAvailabilities[],3,FALSE)&gt;0,"Y",""),"")</f>
        <v>Y</v>
      </c>
      <c r="I37" s="87" t="str">
        <f>IFERROR(IF(VLOOKUP(TableHandbook[[#This Row],[UDC]],TableAvailabilities[],4,FALSE)&gt;0,"Y",""),"")</f>
        <v/>
      </c>
      <c r="J37" s="87" t="str">
        <f>IFERROR(IF(VLOOKUP(TableHandbook[[#This Row],[UDC]],TableAvailabilities[],5,FALSE)&gt;0,"Y",""),"")</f>
        <v/>
      </c>
      <c r="K37" s="176" t="s">
        <v>297</v>
      </c>
      <c r="L37" s="173" t="str">
        <f>IFERROR(VLOOKUP(TableHandbook[[#This Row],[UDC]],TableOBEDEC[],7,FALSE),"")</f>
        <v/>
      </c>
      <c r="M37" s="173" t="str">
        <f>IFERROR(VLOOKUP(TableHandbook[[#This Row],[UDC]],TableOBEDPR[],7,FALSE),"")</f>
        <v>Core</v>
      </c>
      <c r="N37" s="175" t="str">
        <f>IFERROR(VLOOKUP(TableHandbook[[#This Row],[UDC]],TableOBEDSC1[],7,FALSE),"")</f>
        <v/>
      </c>
      <c r="O37" s="173" t="str">
        <f>IFERROR(VLOOKUP(TableHandbook[[#This Row],[UDC]],TableOUMUARTST[],7,FALSE),"")</f>
        <v/>
      </c>
      <c r="P37" s="173" t="str">
        <f>IFERROR(VLOOKUP(TableHandbook[[#This Row],[UDC]],TableOUMUENGLT[],7,FALSE),"")</f>
        <v/>
      </c>
      <c r="Q37" s="173" t="str">
        <f>IFERROR(VLOOKUP(TableHandbook[[#This Row],[UDC]],TableOUMUHUSGE[],7,FALSE),"")</f>
        <v/>
      </c>
    </row>
    <row r="38" spans="1:17" x14ac:dyDescent="0.25">
      <c r="A38" s="10" t="s">
        <v>97</v>
      </c>
      <c r="B38" s="11">
        <v>1</v>
      </c>
      <c r="C38" s="11" t="s">
        <v>352</v>
      </c>
      <c r="D38" s="10" t="s">
        <v>353</v>
      </c>
      <c r="E38" s="11">
        <v>25</v>
      </c>
      <c r="F38" s="240" t="s">
        <v>349</v>
      </c>
      <c r="G38" s="87" t="str">
        <f>IFERROR(IF(VLOOKUP(TableHandbook[[#This Row],[UDC]],TableAvailabilities[],2,FALSE)&gt;0,"Y",""),"")</f>
        <v/>
      </c>
      <c r="H38" s="87" t="str">
        <f>IFERROR(IF(VLOOKUP(TableHandbook[[#This Row],[UDC]],TableAvailabilities[],3,FALSE)&gt;0,"Y",""),"")</f>
        <v>Y</v>
      </c>
      <c r="I38" s="87" t="str">
        <f>IFERROR(IF(VLOOKUP(TableHandbook[[#This Row],[UDC]],TableAvailabilities[],4,FALSE)&gt;0,"Y",""),"")</f>
        <v>Y</v>
      </c>
      <c r="J38" s="87" t="str">
        <f>IFERROR(IF(VLOOKUP(TableHandbook[[#This Row],[UDC]],TableAvailabilities[],5,FALSE)&gt;0,"Y",""),"")</f>
        <v/>
      </c>
      <c r="K38" s="176" t="s">
        <v>354</v>
      </c>
      <c r="L38" s="173" t="str">
        <f>IFERROR(VLOOKUP(TableHandbook[[#This Row],[UDC]],TableOBEDEC[],7,FALSE),"")</f>
        <v/>
      </c>
      <c r="M38" s="173" t="str">
        <f>IFERROR(VLOOKUP(TableHandbook[[#This Row],[UDC]],TableOBEDPR[],7,FALSE),"")</f>
        <v>Core</v>
      </c>
      <c r="N38" s="175" t="str">
        <f>IFERROR(VLOOKUP(TableHandbook[[#This Row],[UDC]],TableOBEDSC1[],7,FALSE),"")</f>
        <v/>
      </c>
      <c r="O38" s="173" t="str">
        <f>IFERROR(VLOOKUP(TableHandbook[[#This Row],[UDC]],TableOUMUARTST[],7,FALSE),"")</f>
        <v/>
      </c>
      <c r="P38" s="173" t="str">
        <f>IFERROR(VLOOKUP(TableHandbook[[#This Row],[UDC]],TableOUMUENGLT[],7,FALSE),"")</f>
        <v/>
      </c>
      <c r="Q38" s="173" t="str">
        <f>IFERROR(VLOOKUP(TableHandbook[[#This Row],[UDC]],TableOUMUHUSGE[],7,FALSE),"")</f>
        <v/>
      </c>
    </row>
    <row r="39" spans="1:17" x14ac:dyDescent="0.25">
      <c r="A39" s="10" t="s">
        <v>95</v>
      </c>
      <c r="B39" s="11">
        <v>1</v>
      </c>
      <c r="C39" s="11" t="s">
        <v>355</v>
      </c>
      <c r="D39" s="10" t="s">
        <v>356</v>
      </c>
      <c r="E39" s="11">
        <v>25</v>
      </c>
      <c r="F39" s="240" t="s">
        <v>310</v>
      </c>
      <c r="G39" s="87" t="str">
        <f>IFERROR(IF(VLOOKUP(TableHandbook[[#This Row],[UDC]],TableAvailabilities[],2,FALSE)&gt;0,"Y",""),"")</f>
        <v/>
      </c>
      <c r="H39" s="87" t="str">
        <f>IFERROR(IF(VLOOKUP(TableHandbook[[#This Row],[UDC]],TableAvailabilities[],3,FALSE)&gt;0,"Y",""),"")</f>
        <v>Y</v>
      </c>
      <c r="I39" s="87" t="str">
        <f>IFERROR(IF(VLOOKUP(TableHandbook[[#This Row],[UDC]],TableAvailabilities[],4,FALSE)&gt;0,"Y",""),"")</f>
        <v/>
      </c>
      <c r="J39" s="87" t="str">
        <f>IFERROR(IF(VLOOKUP(TableHandbook[[#This Row],[UDC]],TableAvailabilities[],5,FALSE)&gt;0,"Y",""),"")</f>
        <v>Y</v>
      </c>
      <c r="K39" s="176"/>
      <c r="L39" s="173" t="str">
        <f>IFERROR(VLOOKUP(TableHandbook[[#This Row],[UDC]],TableOBEDEC[],7,FALSE),"")</f>
        <v/>
      </c>
      <c r="M39" s="173" t="str">
        <f>IFERROR(VLOOKUP(TableHandbook[[#This Row],[UDC]],TableOBEDPR[],7,FALSE),"")</f>
        <v>Core</v>
      </c>
      <c r="N39" s="175" t="str">
        <f>IFERROR(VLOOKUP(TableHandbook[[#This Row],[UDC]],TableOBEDSC1[],7,FALSE),"")</f>
        <v/>
      </c>
      <c r="O39" s="173" t="str">
        <f>IFERROR(VLOOKUP(TableHandbook[[#This Row],[UDC]],TableOUMUARTST[],7,FALSE),"")</f>
        <v/>
      </c>
      <c r="P39" s="173" t="str">
        <f>IFERROR(VLOOKUP(TableHandbook[[#This Row],[UDC]],TableOUMUENGLT[],7,FALSE),"")</f>
        <v/>
      </c>
      <c r="Q39" s="173" t="str">
        <f>IFERROR(VLOOKUP(TableHandbook[[#This Row],[UDC]],TableOUMUHUSGE[],7,FALSE),"")</f>
        <v/>
      </c>
    </row>
    <row r="40" spans="1:17" x14ac:dyDescent="0.25">
      <c r="A40" s="10" t="s">
        <v>124</v>
      </c>
      <c r="B40" s="11">
        <v>1</v>
      </c>
      <c r="C40" s="11" t="s">
        <v>357</v>
      </c>
      <c r="D40" s="10" t="s">
        <v>358</v>
      </c>
      <c r="E40" s="11">
        <v>25</v>
      </c>
      <c r="F40" s="240" t="s">
        <v>343</v>
      </c>
      <c r="G40" s="87" t="str">
        <f>IFERROR(IF(VLOOKUP(TableHandbook[[#This Row],[UDC]],TableAvailabilities[],2,FALSE)&gt;0,"Y",""),"")</f>
        <v/>
      </c>
      <c r="H40" s="87" t="str">
        <f>IFERROR(IF(VLOOKUP(TableHandbook[[#This Row],[UDC]],TableAvailabilities[],3,FALSE)&gt;0,"Y",""),"")</f>
        <v>Y</v>
      </c>
      <c r="I40" s="87" t="str">
        <f>IFERROR(IF(VLOOKUP(TableHandbook[[#This Row],[UDC]],TableAvailabilities[],4,FALSE)&gt;0,"Y",""),"")</f>
        <v/>
      </c>
      <c r="J40" s="87" t="str">
        <f>IFERROR(IF(VLOOKUP(TableHandbook[[#This Row],[UDC]],TableAvailabilities[],5,FALSE)&gt;0,"Y",""),"")</f>
        <v>Y</v>
      </c>
      <c r="K40" s="176"/>
      <c r="L40" s="173" t="str">
        <f>IFERROR(VLOOKUP(TableHandbook[[#This Row],[UDC]],TableOBEDEC[],7,FALSE),"")</f>
        <v/>
      </c>
      <c r="M40" s="173" t="str">
        <f>IFERROR(VLOOKUP(TableHandbook[[#This Row],[UDC]],TableOBEDPR[],7,FALSE),"")</f>
        <v>Core</v>
      </c>
      <c r="N40" s="175" t="str">
        <f>IFERROR(VLOOKUP(TableHandbook[[#This Row],[UDC]],TableOBEDSC1[],7,FALSE),"")</f>
        <v/>
      </c>
      <c r="O40" s="173" t="str">
        <f>IFERROR(VLOOKUP(TableHandbook[[#This Row],[UDC]],TableOUMUARTST[],7,FALSE),"")</f>
        <v/>
      </c>
      <c r="P40" s="173" t="str">
        <f>IFERROR(VLOOKUP(TableHandbook[[#This Row],[UDC]],TableOUMUENGLT[],7,FALSE),"")</f>
        <v/>
      </c>
      <c r="Q40" s="173" t="str">
        <f>IFERROR(VLOOKUP(TableHandbook[[#This Row],[UDC]],TableOUMUHUSGE[],7,FALSE),"")</f>
        <v/>
      </c>
    </row>
    <row r="41" spans="1:17" x14ac:dyDescent="0.25">
      <c r="A41" s="10" t="s">
        <v>117</v>
      </c>
      <c r="B41" s="11">
        <v>2</v>
      </c>
      <c r="C41" s="11" t="s">
        <v>359</v>
      </c>
      <c r="D41" s="10" t="s">
        <v>360</v>
      </c>
      <c r="E41" s="11">
        <v>25</v>
      </c>
      <c r="F41" s="240" t="s">
        <v>361</v>
      </c>
      <c r="G41" s="87" t="str">
        <f>IFERROR(IF(VLOOKUP(TableHandbook[[#This Row],[UDC]],TableAvailabilities[],2,FALSE)&gt;0,"Y",""),"")</f>
        <v>Y</v>
      </c>
      <c r="H41" s="87" t="str">
        <f>IFERROR(IF(VLOOKUP(TableHandbook[[#This Row],[UDC]],TableAvailabilities[],3,FALSE)&gt;0,"Y",""),"")</f>
        <v/>
      </c>
      <c r="I41" s="87" t="str">
        <f>IFERROR(IF(VLOOKUP(TableHandbook[[#This Row],[UDC]],TableAvailabilities[],4,FALSE)&gt;0,"Y",""),"")</f>
        <v>Y</v>
      </c>
      <c r="J41" s="87" t="str">
        <f>IFERROR(IF(VLOOKUP(TableHandbook[[#This Row],[UDC]],TableAvailabilities[],5,FALSE)&gt;0,"Y",""),"")</f>
        <v/>
      </c>
      <c r="K41" s="176"/>
      <c r="L41" s="173" t="str">
        <f>IFERROR(VLOOKUP(TableHandbook[[#This Row],[UDC]],TableOBEDEC[],7,FALSE),"")</f>
        <v/>
      </c>
      <c r="M41" s="173" t="str">
        <f>IFERROR(VLOOKUP(TableHandbook[[#This Row],[UDC]],TableOBEDPR[],7,FALSE),"")</f>
        <v>Core</v>
      </c>
      <c r="N41" s="175" t="str">
        <f>IFERROR(VLOOKUP(TableHandbook[[#This Row],[UDC]],TableOBEDSC1[],7,FALSE),"")</f>
        <v/>
      </c>
      <c r="O41" s="173" t="str">
        <f>IFERROR(VLOOKUP(TableHandbook[[#This Row],[UDC]],TableOUMUARTST[],7,FALSE),"")</f>
        <v/>
      </c>
      <c r="P41" s="173" t="str">
        <f>IFERROR(VLOOKUP(TableHandbook[[#This Row],[UDC]],TableOUMUENGLT[],7,FALSE),"")</f>
        <v/>
      </c>
      <c r="Q41" s="173" t="str">
        <f>IFERROR(VLOOKUP(TableHandbook[[#This Row],[UDC]],TableOUMUHUSGE[],7,FALSE),"")</f>
        <v/>
      </c>
    </row>
    <row r="42" spans="1:17" x14ac:dyDescent="0.25">
      <c r="A42" s="10" t="s">
        <v>121</v>
      </c>
      <c r="B42" s="11">
        <v>3</v>
      </c>
      <c r="C42" s="11" t="s">
        <v>362</v>
      </c>
      <c r="D42" s="10" t="s">
        <v>363</v>
      </c>
      <c r="E42" s="11">
        <v>25</v>
      </c>
      <c r="F42" s="240" t="s">
        <v>293</v>
      </c>
      <c r="G42" s="87" t="str">
        <f>IFERROR(IF(VLOOKUP(TableHandbook[[#This Row],[UDC]],TableAvailabilities[],2,FALSE)&gt;0,"Y",""),"")</f>
        <v/>
      </c>
      <c r="H42" s="87" t="str">
        <f>IFERROR(IF(VLOOKUP(TableHandbook[[#This Row],[UDC]],TableAvailabilities[],3,FALSE)&gt;0,"Y",""),"")</f>
        <v>Y</v>
      </c>
      <c r="I42" s="87" t="str">
        <f>IFERROR(IF(VLOOKUP(TableHandbook[[#This Row],[UDC]],TableAvailabilities[],4,FALSE)&gt;0,"Y",""),"")</f>
        <v/>
      </c>
      <c r="J42" s="87" t="str">
        <f>IFERROR(IF(VLOOKUP(TableHandbook[[#This Row],[UDC]],TableAvailabilities[],5,FALSE)&gt;0,"Y",""),"")</f>
        <v>Y</v>
      </c>
      <c r="K42" s="176"/>
      <c r="L42" s="173" t="str">
        <f>IFERROR(VLOOKUP(TableHandbook[[#This Row],[UDC]],TableOBEDEC[],7,FALSE),"")</f>
        <v/>
      </c>
      <c r="M42" s="173" t="str">
        <f>IFERROR(VLOOKUP(TableHandbook[[#This Row],[UDC]],TableOBEDPR[],7,FALSE),"")</f>
        <v>Core</v>
      </c>
      <c r="N42" s="175" t="str">
        <f>IFERROR(VLOOKUP(TableHandbook[[#This Row],[UDC]],TableOBEDSC1[],7,FALSE),"")</f>
        <v/>
      </c>
      <c r="O42" s="173" t="str">
        <f>IFERROR(VLOOKUP(TableHandbook[[#This Row],[UDC]],TableOUMUARTST[],7,FALSE),"")</f>
        <v/>
      </c>
      <c r="P42" s="173" t="str">
        <f>IFERROR(VLOOKUP(TableHandbook[[#This Row],[UDC]],TableOUMUENGLT[],7,FALSE),"")</f>
        <v/>
      </c>
      <c r="Q42" s="173" t="str">
        <f>IFERROR(VLOOKUP(TableHandbook[[#This Row],[UDC]],TableOUMUHUSGE[],7,FALSE),"")</f>
        <v>Core</v>
      </c>
    </row>
    <row r="43" spans="1:17" x14ac:dyDescent="0.25">
      <c r="A43" s="10" t="s">
        <v>118</v>
      </c>
      <c r="B43" s="11">
        <v>3</v>
      </c>
      <c r="C43" s="11" t="s">
        <v>364</v>
      </c>
      <c r="D43" s="10" t="s">
        <v>365</v>
      </c>
      <c r="E43" s="11">
        <v>25</v>
      </c>
      <c r="F43" s="240" t="s">
        <v>323</v>
      </c>
      <c r="G43" s="87" t="str">
        <f>IFERROR(IF(VLOOKUP(TableHandbook[[#This Row],[UDC]],TableAvailabilities[],2,FALSE)&gt;0,"Y",""),"")</f>
        <v/>
      </c>
      <c r="H43" s="87" t="str">
        <f>IFERROR(IF(VLOOKUP(TableHandbook[[#This Row],[UDC]],TableAvailabilities[],3,FALSE)&gt;0,"Y",""),"")</f>
        <v>Y</v>
      </c>
      <c r="I43" s="87" t="str">
        <f>IFERROR(IF(VLOOKUP(TableHandbook[[#This Row],[UDC]],TableAvailabilities[],4,FALSE)&gt;0,"Y",""),"")</f>
        <v/>
      </c>
      <c r="J43" s="87" t="str">
        <f>IFERROR(IF(VLOOKUP(TableHandbook[[#This Row],[UDC]],TableAvailabilities[],5,FALSE)&gt;0,"Y",""),"")</f>
        <v>Y</v>
      </c>
      <c r="K43" s="176"/>
      <c r="L43" s="173" t="str">
        <f>IFERROR(VLOOKUP(TableHandbook[[#This Row],[UDC]],TableOBEDEC[],7,FALSE),"")</f>
        <v/>
      </c>
      <c r="M43" s="173" t="str">
        <f>IFERROR(VLOOKUP(TableHandbook[[#This Row],[UDC]],TableOBEDPR[],7,FALSE),"")</f>
        <v>Core</v>
      </c>
      <c r="N43" s="175" t="str">
        <f>IFERROR(VLOOKUP(TableHandbook[[#This Row],[UDC]],TableOBEDSC1[],7,FALSE),"")</f>
        <v/>
      </c>
      <c r="O43" s="173" t="str">
        <f>IFERROR(VLOOKUP(TableHandbook[[#This Row],[UDC]],TableOUMUARTST[],7,FALSE),"")</f>
        <v/>
      </c>
      <c r="P43" s="173" t="str">
        <f>IFERROR(VLOOKUP(TableHandbook[[#This Row],[UDC]],TableOUMUENGLT[],7,FALSE),"")</f>
        <v/>
      </c>
      <c r="Q43" s="173" t="str">
        <f>IFERROR(VLOOKUP(TableHandbook[[#This Row],[UDC]],TableOUMUHUSGE[],7,FALSE),"")</f>
        <v/>
      </c>
    </row>
    <row r="44" spans="1:17" x14ac:dyDescent="0.25">
      <c r="A44" s="10" t="s">
        <v>127</v>
      </c>
      <c r="B44" s="11">
        <v>1</v>
      </c>
      <c r="C44" s="11" t="s">
        <v>366</v>
      </c>
      <c r="D44" s="10" t="s">
        <v>367</v>
      </c>
      <c r="E44" s="11">
        <v>25</v>
      </c>
      <c r="F44" s="240" t="s">
        <v>352</v>
      </c>
      <c r="G44" s="87" t="str">
        <f>IFERROR(IF(VLOOKUP(TableHandbook[[#This Row],[UDC]],TableAvailabilities[],2,FALSE)&gt;0,"Y",""),"")</f>
        <v>Y</v>
      </c>
      <c r="H44" s="87" t="str">
        <f>IFERROR(IF(VLOOKUP(TableHandbook[[#This Row],[UDC]],TableAvailabilities[],3,FALSE)&gt;0,"Y",""),"")</f>
        <v/>
      </c>
      <c r="I44" s="87" t="str">
        <f>IFERROR(IF(VLOOKUP(TableHandbook[[#This Row],[UDC]],TableAvailabilities[],4,FALSE)&gt;0,"Y",""),"")</f>
        <v>Y</v>
      </c>
      <c r="J44" s="87" t="str">
        <f>IFERROR(IF(VLOOKUP(TableHandbook[[#This Row],[UDC]],TableAvailabilities[],5,FALSE)&gt;0,"Y",""),"")</f>
        <v/>
      </c>
      <c r="K44" s="176"/>
      <c r="L44" s="173" t="str">
        <f>IFERROR(VLOOKUP(TableHandbook[[#This Row],[UDC]],TableOBEDEC[],7,FALSE),"")</f>
        <v/>
      </c>
      <c r="M44" s="173" t="str">
        <f>IFERROR(VLOOKUP(TableHandbook[[#This Row],[UDC]],TableOBEDPR[],7,FALSE),"")</f>
        <v>Core</v>
      </c>
      <c r="N44" s="175" t="str">
        <f>IFERROR(VLOOKUP(TableHandbook[[#This Row],[UDC]],TableOBEDSC1[],7,FALSE),"")</f>
        <v/>
      </c>
      <c r="O44" s="173" t="str">
        <f>IFERROR(VLOOKUP(TableHandbook[[#This Row],[UDC]],TableOUMUARTST[],7,FALSE),"")</f>
        <v/>
      </c>
      <c r="P44" s="173" t="str">
        <f>IFERROR(VLOOKUP(TableHandbook[[#This Row],[UDC]],TableOUMUENGLT[],7,FALSE),"")</f>
        <v/>
      </c>
      <c r="Q44" s="173" t="str">
        <f>IFERROR(VLOOKUP(TableHandbook[[#This Row],[UDC]],TableOUMUHUSGE[],7,FALSE),"")</f>
        <v/>
      </c>
    </row>
    <row r="45" spans="1:17" x14ac:dyDescent="0.25">
      <c r="A45" s="10" t="s">
        <v>128</v>
      </c>
      <c r="B45" s="11">
        <v>1</v>
      </c>
      <c r="C45" s="11" t="s">
        <v>368</v>
      </c>
      <c r="D45" s="10" t="s">
        <v>369</v>
      </c>
      <c r="E45" s="11">
        <v>25</v>
      </c>
      <c r="F45" s="240" t="s">
        <v>303</v>
      </c>
      <c r="G45" s="87" t="str">
        <f>IFERROR(IF(VLOOKUP(TableHandbook[[#This Row],[UDC]],TableAvailabilities[],2,FALSE)&gt;0,"Y",""),"")</f>
        <v/>
      </c>
      <c r="H45" s="87" t="str">
        <f>IFERROR(IF(VLOOKUP(TableHandbook[[#This Row],[UDC]],TableAvailabilities[],3,FALSE)&gt;0,"Y",""),"")</f>
        <v>Y</v>
      </c>
      <c r="I45" s="87" t="str">
        <f>IFERROR(IF(VLOOKUP(TableHandbook[[#This Row],[UDC]],TableAvailabilities[],4,FALSE)&gt;0,"Y",""),"")</f>
        <v/>
      </c>
      <c r="J45" s="87" t="str">
        <f>IFERROR(IF(VLOOKUP(TableHandbook[[#This Row],[UDC]],TableAvailabilities[],5,FALSE)&gt;0,"Y",""),"")</f>
        <v>Y</v>
      </c>
      <c r="K45" s="176"/>
      <c r="L45" s="173" t="str">
        <f>IFERROR(VLOOKUP(TableHandbook[[#This Row],[UDC]],TableOBEDEC[],7,FALSE),"")</f>
        <v/>
      </c>
      <c r="M45" s="173" t="str">
        <f>IFERROR(VLOOKUP(TableHandbook[[#This Row],[UDC]],TableOBEDPR[],7,FALSE),"")</f>
        <v>Core</v>
      </c>
      <c r="N45" s="175" t="str">
        <f>IFERROR(VLOOKUP(TableHandbook[[#This Row],[UDC]],TableOBEDSC1[],7,FALSE),"")</f>
        <v/>
      </c>
      <c r="O45" s="173" t="str">
        <f>IFERROR(VLOOKUP(TableHandbook[[#This Row],[UDC]],TableOUMUARTST[],7,FALSE),"")</f>
        <v>Core</v>
      </c>
      <c r="P45" s="173" t="str">
        <f>IFERROR(VLOOKUP(TableHandbook[[#This Row],[UDC]],TableOUMUENGLT[],7,FALSE),"")</f>
        <v/>
      </c>
      <c r="Q45" s="173" t="str">
        <f>IFERROR(VLOOKUP(TableHandbook[[#This Row],[UDC]],TableOUMUHUSGE[],7,FALSE),"")</f>
        <v/>
      </c>
    </row>
    <row r="46" spans="1:17" x14ac:dyDescent="0.25">
      <c r="A46" s="10" t="s">
        <v>138</v>
      </c>
      <c r="B46" s="11">
        <v>3</v>
      </c>
      <c r="C46" s="11" t="s">
        <v>370</v>
      </c>
      <c r="D46" s="10" t="s">
        <v>371</v>
      </c>
      <c r="E46" s="11">
        <v>25</v>
      </c>
      <c r="F46" s="240" t="s">
        <v>357</v>
      </c>
      <c r="G46" s="87" t="str">
        <f>IFERROR(IF(VLOOKUP(TableHandbook[[#This Row],[UDC]],TableAvailabilities[],2,FALSE)&gt;0,"Y",""),"")</f>
        <v>Y</v>
      </c>
      <c r="H46" s="87" t="str">
        <f>IFERROR(IF(VLOOKUP(TableHandbook[[#This Row],[UDC]],TableAvailabilities[],3,FALSE)&gt;0,"Y",""),"")</f>
        <v/>
      </c>
      <c r="I46" s="87" t="str">
        <f>IFERROR(IF(VLOOKUP(TableHandbook[[#This Row],[UDC]],TableAvailabilities[],4,FALSE)&gt;0,"Y",""),"")</f>
        <v>Y</v>
      </c>
      <c r="J46" s="87" t="str">
        <f>IFERROR(IF(VLOOKUP(TableHandbook[[#This Row],[UDC]],TableAvailabilities[],5,FALSE)&gt;0,"Y",""),"")</f>
        <v/>
      </c>
      <c r="K46" s="176"/>
      <c r="L46" s="173" t="str">
        <f>IFERROR(VLOOKUP(TableHandbook[[#This Row],[UDC]],TableOBEDEC[],7,FALSE),"")</f>
        <v/>
      </c>
      <c r="M46" s="173" t="str">
        <f>IFERROR(VLOOKUP(TableHandbook[[#This Row],[UDC]],TableOBEDPR[],7,FALSE),"")</f>
        <v>Core</v>
      </c>
      <c r="N46" s="175" t="str">
        <f>IFERROR(VLOOKUP(TableHandbook[[#This Row],[UDC]],TableOBEDSC1[],7,FALSE),"")</f>
        <v/>
      </c>
      <c r="O46" s="173" t="str">
        <f>IFERROR(VLOOKUP(TableHandbook[[#This Row],[UDC]],TableOUMUARTST[],7,FALSE),"")</f>
        <v/>
      </c>
      <c r="P46" s="173" t="str">
        <f>IFERROR(VLOOKUP(TableHandbook[[#This Row],[UDC]],TableOUMUENGLT[],7,FALSE),"")</f>
        <v/>
      </c>
      <c r="Q46" s="173" t="str">
        <f>IFERROR(VLOOKUP(TableHandbook[[#This Row],[UDC]],TableOUMUHUSGE[],7,FALSE),"")</f>
        <v/>
      </c>
    </row>
    <row r="47" spans="1:17" x14ac:dyDescent="0.25">
      <c r="A47" s="10" t="s">
        <v>135</v>
      </c>
      <c r="B47" s="11">
        <v>1</v>
      </c>
      <c r="C47" s="11" t="s">
        <v>372</v>
      </c>
      <c r="D47" s="10" t="s">
        <v>373</v>
      </c>
      <c r="E47" s="11">
        <v>25</v>
      </c>
      <c r="F47" s="240" t="s">
        <v>364</v>
      </c>
      <c r="G47" s="87" t="str">
        <f>IFERROR(IF(VLOOKUP(TableHandbook[[#This Row],[UDC]],TableAvailabilities[],2,FALSE)&gt;0,"Y",""),"")</f>
        <v>Y</v>
      </c>
      <c r="H47" s="87" t="str">
        <f>IFERROR(IF(VLOOKUP(TableHandbook[[#This Row],[UDC]],TableAvailabilities[],3,FALSE)&gt;0,"Y",""),"")</f>
        <v/>
      </c>
      <c r="I47" s="87" t="str">
        <f>IFERROR(IF(VLOOKUP(TableHandbook[[#This Row],[UDC]],TableAvailabilities[],4,FALSE)&gt;0,"Y",""),"")</f>
        <v>Y</v>
      </c>
      <c r="J47" s="87" t="str">
        <f>IFERROR(IF(VLOOKUP(TableHandbook[[#This Row],[UDC]],TableAvailabilities[],5,FALSE)&gt;0,"Y",""),"")</f>
        <v/>
      </c>
      <c r="K47" s="176"/>
      <c r="L47" s="173" t="str">
        <f>IFERROR(VLOOKUP(TableHandbook[[#This Row],[UDC]],TableOBEDEC[],7,FALSE),"")</f>
        <v/>
      </c>
      <c r="M47" s="173" t="str">
        <f>IFERROR(VLOOKUP(TableHandbook[[#This Row],[UDC]],TableOBEDPR[],7,FALSE),"")</f>
        <v>Core</v>
      </c>
      <c r="N47" s="175" t="str">
        <f>IFERROR(VLOOKUP(TableHandbook[[#This Row],[UDC]],TableOBEDSC1[],7,FALSE),"")</f>
        <v/>
      </c>
      <c r="O47" s="173" t="str">
        <f>IFERROR(VLOOKUP(TableHandbook[[#This Row],[UDC]],TableOUMUARTST[],7,FALSE),"")</f>
        <v/>
      </c>
      <c r="P47" s="173" t="str">
        <f>IFERROR(VLOOKUP(TableHandbook[[#This Row],[UDC]],TableOUMUENGLT[],7,FALSE),"")</f>
        <v/>
      </c>
      <c r="Q47" s="173" t="str">
        <f>IFERROR(VLOOKUP(TableHandbook[[#This Row],[UDC]],TableOUMUHUSGE[],7,FALSE),"")</f>
        <v/>
      </c>
    </row>
    <row r="48" spans="1:17" x14ac:dyDescent="0.25">
      <c r="A48" s="10" t="s">
        <v>374</v>
      </c>
      <c r="B48" s="11">
        <v>1</v>
      </c>
      <c r="C48" s="11" t="s">
        <v>375</v>
      </c>
      <c r="D48" s="10" t="s">
        <v>376</v>
      </c>
      <c r="E48" s="11">
        <v>25</v>
      </c>
      <c r="F48" s="171" t="s">
        <v>277</v>
      </c>
      <c r="G48" s="87" t="str">
        <f>IFERROR(IF(VLOOKUP(TableHandbook[[#This Row],[UDC]],TableAvailabilities[],2,FALSE)&gt;0,"Y",""),"")</f>
        <v/>
      </c>
      <c r="H48" s="87" t="str">
        <f>IFERROR(IF(VLOOKUP(TableHandbook[[#This Row],[UDC]],TableAvailabilities[],3,FALSE)&gt;0,"Y",""),"")</f>
        <v/>
      </c>
      <c r="I48" s="87" t="str">
        <f>IFERROR(IF(VLOOKUP(TableHandbook[[#This Row],[UDC]],TableAvailabilities[],4,FALSE)&gt;0,"Y",""),"")</f>
        <v/>
      </c>
      <c r="J48" s="87" t="str">
        <f>IFERROR(IF(VLOOKUP(TableHandbook[[#This Row],[UDC]],TableAvailabilities[],5,FALSE)&gt;0,"Y",""),"")</f>
        <v/>
      </c>
      <c r="K48" s="176" t="s">
        <v>332</v>
      </c>
      <c r="L48" s="173" t="str">
        <f>IFERROR(VLOOKUP(TableHandbook[[#This Row],[UDC]],TableOBEDEC[],7,FALSE),"")</f>
        <v/>
      </c>
      <c r="M48" s="173" t="str">
        <f>IFERROR(VLOOKUP(TableHandbook[[#This Row],[UDC]],TableOBEDPR[],7,FALSE),"")</f>
        <v/>
      </c>
      <c r="N48" s="175" t="str">
        <f>IFERROR(VLOOKUP(TableHandbook[[#This Row],[UDC]],TableOBEDSC1[],7,FALSE),"")</f>
        <v/>
      </c>
      <c r="O48" s="173" t="str">
        <f>IFERROR(VLOOKUP(TableHandbook[[#This Row],[UDC]],TableOUMUARTST[],7,FALSE),"")</f>
        <v/>
      </c>
      <c r="P48" s="173" t="str">
        <f>IFERROR(VLOOKUP(TableHandbook[[#This Row],[UDC]],TableOUMUENGLT[],7,FALSE),"")</f>
        <v/>
      </c>
      <c r="Q48" s="173" t="str">
        <f>IFERROR(VLOOKUP(TableHandbook[[#This Row],[UDC]],TableOUMUHUSGE[],7,FALSE),"")</f>
        <v/>
      </c>
    </row>
    <row r="49" spans="1:17" x14ac:dyDescent="0.25">
      <c r="A49" s="10" t="s">
        <v>377</v>
      </c>
      <c r="B49" s="11">
        <v>1</v>
      </c>
      <c r="C49" s="11" t="s">
        <v>378</v>
      </c>
      <c r="D49" s="10" t="s">
        <v>379</v>
      </c>
      <c r="E49" s="11">
        <v>25</v>
      </c>
      <c r="F49" s="171" t="s">
        <v>277</v>
      </c>
      <c r="G49" s="87" t="str">
        <f>IFERROR(IF(VLOOKUP(TableHandbook[[#This Row],[UDC]],TableAvailabilities[],2,FALSE)&gt;0,"Y",""),"")</f>
        <v/>
      </c>
      <c r="H49" s="87" t="str">
        <f>IFERROR(IF(VLOOKUP(TableHandbook[[#This Row],[UDC]],TableAvailabilities[],3,FALSE)&gt;0,"Y",""),"")</f>
        <v/>
      </c>
      <c r="I49" s="87" t="str">
        <f>IFERROR(IF(VLOOKUP(TableHandbook[[#This Row],[UDC]],TableAvailabilities[],4,FALSE)&gt;0,"Y",""),"")</f>
        <v/>
      </c>
      <c r="J49" s="87" t="str">
        <f>IFERROR(IF(VLOOKUP(TableHandbook[[#This Row],[UDC]],TableAvailabilities[],5,FALSE)&gt;0,"Y",""),"")</f>
        <v/>
      </c>
      <c r="K49" s="176" t="s">
        <v>332</v>
      </c>
      <c r="L49" s="173" t="str">
        <f>IFERROR(VLOOKUP(TableHandbook[[#This Row],[UDC]],TableOBEDEC[],7,FALSE),"")</f>
        <v/>
      </c>
      <c r="M49" s="173" t="str">
        <f>IFERROR(VLOOKUP(TableHandbook[[#This Row],[UDC]],TableOBEDPR[],7,FALSE),"")</f>
        <v/>
      </c>
      <c r="N49" s="175" t="str">
        <f>IFERROR(VLOOKUP(TableHandbook[[#This Row],[UDC]],TableOBEDSC1[],7,FALSE),"")</f>
        <v/>
      </c>
      <c r="O49" s="173" t="str">
        <f>IFERROR(VLOOKUP(TableHandbook[[#This Row],[UDC]],TableOUMUARTST[],7,FALSE),"")</f>
        <v/>
      </c>
      <c r="P49" s="173" t="str">
        <f>IFERROR(VLOOKUP(TableHandbook[[#This Row],[UDC]],TableOUMUENGLT[],7,FALSE),"")</f>
        <v/>
      </c>
      <c r="Q49" s="173" t="str">
        <f>IFERROR(VLOOKUP(TableHandbook[[#This Row],[UDC]],TableOUMUHUSGE[],7,FALSE),"")</f>
        <v/>
      </c>
    </row>
    <row r="50" spans="1:17" x14ac:dyDescent="0.25">
      <c r="A50" s="10" t="s">
        <v>380</v>
      </c>
      <c r="B50" s="11">
        <v>1</v>
      </c>
      <c r="C50" s="11" t="s">
        <v>381</v>
      </c>
      <c r="D50" s="10" t="s">
        <v>382</v>
      </c>
      <c r="E50" s="11">
        <v>25</v>
      </c>
      <c r="F50" s="171" t="s">
        <v>383</v>
      </c>
      <c r="G50" s="87" t="str">
        <f>IFERROR(IF(VLOOKUP(TableHandbook[[#This Row],[UDC]],TableAvailabilities[],2,FALSE)&gt;0,"Y",""),"")</f>
        <v/>
      </c>
      <c r="H50" s="87" t="str">
        <f>IFERROR(IF(VLOOKUP(TableHandbook[[#This Row],[UDC]],TableAvailabilities[],3,FALSE)&gt;0,"Y",""),"")</f>
        <v/>
      </c>
      <c r="I50" s="87" t="str">
        <f>IFERROR(IF(VLOOKUP(TableHandbook[[#This Row],[UDC]],TableAvailabilities[],4,FALSE)&gt;0,"Y",""),"")</f>
        <v/>
      </c>
      <c r="J50" s="87" t="str">
        <f>IFERROR(IF(VLOOKUP(TableHandbook[[#This Row],[UDC]],TableAvailabilities[],5,FALSE)&gt;0,"Y",""),"")</f>
        <v/>
      </c>
      <c r="K50" s="176" t="s">
        <v>384</v>
      </c>
      <c r="L50" s="173" t="str">
        <f>IFERROR(VLOOKUP(TableHandbook[[#This Row],[UDC]],TableOBEDEC[],7,FALSE),"")</f>
        <v/>
      </c>
      <c r="M50" s="173" t="str">
        <f>IFERROR(VLOOKUP(TableHandbook[[#This Row],[UDC]],TableOBEDPR[],7,FALSE),"")</f>
        <v/>
      </c>
      <c r="N50" s="175" t="str">
        <f>IFERROR(VLOOKUP(TableHandbook[[#This Row],[UDC]],TableOBEDSC1[],7,FALSE),"")</f>
        <v/>
      </c>
      <c r="O50" s="173" t="str">
        <f>IFERROR(VLOOKUP(TableHandbook[[#This Row],[UDC]],TableOUMUARTST[],7,FALSE),"")</f>
        <v/>
      </c>
      <c r="P50" s="173" t="str">
        <f>IFERROR(VLOOKUP(TableHandbook[[#This Row],[UDC]],TableOUMUENGLT[],7,FALSE),"")</f>
        <v/>
      </c>
      <c r="Q50" s="173" t="str">
        <f>IFERROR(VLOOKUP(TableHandbook[[#This Row],[UDC]],TableOUMUHUSGE[],7,FALSE),"")</f>
        <v/>
      </c>
    </row>
    <row r="51" spans="1:17" x14ac:dyDescent="0.25">
      <c r="A51" s="10" t="s">
        <v>385</v>
      </c>
      <c r="B51" s="11">
        <v>1</v>
      </c>
      <c r="C51" s="11" t="s">
        <v>386</v>
      </c>
      <c r="D51" s="10" t="s">
        <v>387</v>
      </c>
      <c r="E51" s="11">
        <v>25</v>
      </c>
      <c r="F51" s="171" t="s">
        <v>381</v>
      </c>
      <c r="G51" s="87" t="str">
        <f>IFERROR(IF(VLOOKUP(TableHandbook[[#This Row],[UDC]],TableAvailabilities[],2,FALSE)&gt;0,"Y",""),"")</f>
        <v/>
      </c>
      <c r="H51" s="87" t="str">
        <f>IFERROR(IF(VLOOKUP(TableHandbook[[#This Row],[UDC]],TableAvailabilities[],3,FALSE)&gt;0,"Y",""),"")</f>
        <v/>
      </c>
      <c r="I51" s="87" t="str">
        <f>IFERROR(IF(VLOOKUP(TableHandbook[[#This Row],[UDC]],TableAvailabilities[],4,FALSE)&gt;0,"Y",""),"")</f>
        <v/>
      </c>
      <c r="J51" s="87" t="str">
        <f>IFERROR(IF(VLOOKUP(TableHandbook[[#This Row],[UDC]],TableAvailabilities[],5,FALSE)&gt;0,"Y",""),"")</f>
        <v/>
      </c>
      <c r="K51" s="176" t="s">
        <v>332</v>
      </c>
      <c r="L51" s="173" t="str">
        <f>IFERROR(VLOOKUP(TableHandbook[[#This Row],[UDC]],TableOBEDEC[],7,FALSE),"")</f>
        <v/>
      </c>
      <c r="M51" s="173" t="str">
        <f>IFERROR(VLOOKUP(TableHandbook[[#This Row],[UDC]],TableOBEDPR[],7,FALSE),"")</f>
        <v/>
      </c>
      <c r="N51" s="175" t="str">
        <f>IFERROR(VLOOKUP(TableHandbook[[#This Row],[UDC]],TableOBEDSC1[],7,FALSE),"")</f>
        <v/>
      </c>
      <c r="O51" s="173" t="str">
        <f>IFERROR(VLOOKUP(TableHandbook[[#This Row],[UDC]],TableOUMUARTST[],7,FALSE),"")</f>
        <v/>
      </c>
      <c r="P51" s="173" t="str">
        <f>IFERROR(VLOOKUP(TableHandbook[[#This Row],[UDC]],TableOUMUENGLT[],7,FALSE),"")</f>
        <v/>
      </c>
      <c r="Q51" s="173" t="str">
        <f>IFERROR(VLOOKUP(TableHandbook[[#This Row],[UDC]],TableOUMUHUSGE[],7,FALSE),"")</f>
        <v/>
      </c>
    </row>
    <row r="52" spans="1:17" x14ac:dyDescent="0.25">
      <c r="A52" s="205" t="s">
        <v>210</v>
      </c>
      <c r="B52" s="11">
        <v>1</v>
      </c>
      <c r="C52" s="11" t="s">
        <v>388</v>
      </c>
      <c r="D52" s="10" t="s">
        <v>389</v>
      </c>
      <c r="E52" s="11">
        <v>25</v>
      </c>
      <c r="F52" s="240" t="s">
        <v>310</v>
      </c>
      <c r="G52" s="87" t="str">
        <f>IFERROR(IF(VLOOKUP(TableHandbook[[#This Row],[UDC]],TableAvailabilities[],2,FALSE)&gt;0,"Y",""),"")</f>
        <v>Y</v>
      </c>
      <c r="H52" s="87" t="str">
        <f>IFERROR(IF(VLOOKUP(TableHandbook[[#This Row],[UDC]],TableAvailabilities[],3,FALSE)&gt;0,"Y",""),"")</f>
        <v/>
      </c>
      <c r="I52" s="87" t="str">
        <f>IFERROR(IF(VLOOKUP(TableHandbook[[#This Row],[UDC]],TableAvailabilities[],4,FALSE)&gt;0,"Y",""),"")</f>
        <v>Y</v>
      </c>
      <c r="J52" s="87" t="str">
        <f>IFERROR(IF(VLOOKUP(TableHandbook[[#This Row],[UDC]],TableAvailabilities[],5,FALSE)&gt;0,"Y",""),"")</f>
        <v/>
      </c>
      <c r="K52" s="176"/>
      <c r="L52" s="173" t="str">
        <f>IFERROR(VLOOKUP(TableHandbook[[#This Row],[UDC]],TableOBEDEC[],7,FALSE),"")</f>
        <v/>
      </c>
      <c r="M52" s="173" t="str">
        <f>IFERROR(VLOOKUP(TableHandbook[[#This Row],[UDC]],TableOBEDPR[],7,FALSE),"")</f>
        <v/>
      </c>
      <c r="N52" s="175" t="str">
        <f>IFERROR(VLOOKUP(TableHandbook[[#This Row],[UDC]],TableOBEDSC1[],7,FALSE),"")</f>
        <v>Core</v>
      </c>
      <c r="O52" s="173" t="str">
        <f>IFERROR(VLOOKUP(TableHandbook[[#This Row],[UDC]],TableOUMUARTST[],7,FALSE),"")</f>
        <v/>
      </c>
      <c r="P52" s="173" t="str">
        <f>IFERROR(VLOOKUP(TableHandbook[[#This Row],[UDC]],TableOUMUENGLT[],7,FALSE),"")</f>
        <v/>
      </c>
      <c r="Q52" s="173" t="str">
        <f>IFERROR(VLOOKUP(TableHandbook[[#This Row],[UDC]],TableOUMUHUSGE[],7,FALSE),"")</f>
        <v/>
      </c>
    </row>
    <row r="53" spans="1:17" x14ac:dyDescent="0.25">
      <c r="A53" s="205" t="s">
        <v>214</v>
      </c>
      <c r="B53" s="11">
        <v>1</v>
      </c>
      <c r="C53" s="11" t="s">
        <v>390</v>
      </c>
      <c r="D53" s="10" t="s">
        <v>391</v>
      </c>
      <c r="E53" s="11">
        <v>25</v>
      </c>
      <c r="F53" s="240" t="s">
        <v>392</v>
      </c>
      <c r="G53" s="87" t="str">
        <f>IFERROR(IF(VLOOKUP(TableHandbook[[#This Row],[UDC]],TableAvailabilities[],2,FALSE)&gt;0,"Y",""),"")</f>
        <v/>
      </c>
      <c r="H53" s="87" t="str">
        <f>IFERROR(IF(VLOOKUP(TableHandbook[[#This Row],[UDC]],TableAvailabilities[],3,FALSE)&gt;0,"Y",""),"")</f>
        <v/>
      </c>
      <c r="I53" s="87" t="str">
        <f>IFERROR(IF(VLOOKUP(TableHandbook[[#This Row],[UDC]],TableAvailabilities[],4,FALSE)&gt;0,"Y",""),"")</f>
        <v/>
      </c>
      <c r="J53" s="87" t="str">
        <f>IFERROR(IF(VLOOKUP(TableHandbook[[#This Row],[UDC]],TableAvailabilities[],5,FALSE)&gt;0,"Y",""),"")</f>
        <v/>
      </c>
      <c r="K53" s="238" t="s">
        <v>290</v>
      </c>
      <c r="L53" s="173" t="str">
        <f>IFERROR(VLOOKUP(TableHandbook[[#This Row],[UDC]],TableOBEDEC[],7,FALSE),"")</f>
        <v/>
      </c>
      <c r="M53" s="173" t="str">
        <f>IFERROR(VLOOKUP(TableHandbook[[#This Row],[UDC]],TableOBEDPR[],7,FALSE),"")</f>
        <v/>
      </c>
      <c r="N53" s="175" t="str">
        <f>IFERROR(VLOOKUP(TableHandbook[[#This Row],[UDC]],TableOBEDSC1[],7,FALSE),"")</f>
        <v>Core</v>
      </c>
      <c r="O53" s="173" t="str">
        <f>IFERROR(VLOOKUP(TableHandbook[[#This Row],[UDC]],TableOUMUARTST[],7,FALSE),"")</f>
        <v/>
      </c>
      <c r="P53" s="173" t="str">
        <f>IFERROR(VLOOKUP(TableHandbook[[#This Row],[UDC]],TableOUMUENGLT[],7,FALSE),"")</f>
        <v/>
      </c>
      <c r="Q53" s="173" t="str">
        <f>IFERROR(VLOOKUP(TableHandbook[[#This Row],[UDC]],TableOUMUHUSGE[],7,FALSE),"")</f>
        <v/>
      </c>
    </row>
    <row r="54" spans="1:17" x14ac:dyDescent="0.25">
      <c r="A54" s="205" t="s">
        <v>218</v>
      </c>
      <c r="B54" s="11">
        <v>1</v>
      </c>
      <c r="C54" s="11" t="s">
        <v>393</v>
      </c>
      <c r="D54" s="10" t="s">
        <v>693</v>
      </c>
      <c r="E54" s="11">
        <v>25</v>
      </c>
      <c r="F54" s="240" t="s">
        <v>394</v>
      </c>
      <c r="G54" s="87" t="str">
        <f>IFERROR(IF(VLOOKUP(TableHandbook[[#This Row],[UDC]],TableAvailabilities[],2,FALSE)&gt;0,"Y",""),"")</f>
        <v/>
      </c>
      <c r="H54" s="87" t="str">
        <f>IFERROR(IF(VLOOKUP(TableHandbook[[#This Row],[UDC]],TableAvailabilities[],3,FALSE)&gt;0,"Y",""),"")</f>
        <v/>
      </c>
      <c r="I54" s="87" t="str">
        <f>IFERROR(IF(VLOOKUP(TableHandbook[[#This Row],[UDC]],TableAvailabilities[],4,FALSE)&gt;0,"Y",""),"")</f>
        <v>Y</v>
      </c>
      <c r="J54" s="87" t="str">
        <f>IFERROR(IF(VLOOKUP(TableHandbook[[#This Row],[UDC]],TableAvailabilities[],5,FALSE)&gt;0,"Y",""),"")</f>
        <v/>
      </c>
      <c r="K54" s="176"/>
      <c r="L54" s="173" t="str">
        <f>IFERROR(VLOOKUP(TableHandbook[[#This Row],[UDC]],TableOBEDEC[],7,FALSE),"")</f>
        <v/>
      </c>
      <c r="M54" s="173" t="str">
        <f>IFERROR(VLOOKUP(TableHandbook[[#This Row],[UDC]],TableOBEDPR[],7,FALSE),"")</f>
        <v/>
      </c>
      <c r="N54" s="175" t="str">
        <f>IFERROR(VLOOKUP(TableHandbook[[#This Row],[UDC]],TableOBEDSC1[],7,FALSE),"")</f>
        <v>Core</v>
      </c>
      <c r="O54" s="173" t="str">
        <f>IFERROR(VLOOKUP(TableHandbook[[#This Row],[UDC]],TableOUMUARTST[],7,FALSE),"")</f>
        <v/>
      </c>
      <c r="P54" s="173" t="str">
        <f>IFERROR(VLOOKUP(TableHandbook[[#This Row],[UDC]],TableOUMUENGLT[],7,FALSE),"")</f>
        <v/>
      </c>
      <c r="Q54" s="173" t="str">
        <f>IFERROR(VLOOKUP(TableHandbook[[#This Row],[UDC]],TableOUMUHUSGE[],7,FALSE),"")</f>
        <v/>
      </c>
    </row>
    <row r="55" spans="1:17" x14ac:dyDescent="0.25">
      <c r="A55" s="10" t="s">
        <v>395</v>
      </c>
      <c r="B55" s="11">
        <v>1</v>
      </c>
      <c r="C55" s="11" t="s">
        <v>396</v>
      </c>
      <c r="D55" s="10" t="s">
        <v>397</v>
      </c>
      <c r="E55" s="11">
        <v>25</v>
      </c>
      <c r="F55" s="171" t="s">
        <v>398</v>
      </c>
      <c r="G55" s="87" t="str">
        <f>IFERROR(IF(VLOOKUP(TableHandbook[[#This Row],[UDC]],TableAvailabilities[],2,FALSE)&gt;0,"Y",""),"")</f>
        <v/>
      </c>
      <c r="H55" s="87" t="str">
        <f>IFERROR(IF(VLOOKUP(TableHandbook[[#This Row],[UDC]],TableAvailabilities[],3,FALSE)&gt;0,"Y",""),"")</f>
        <v/>
      </c>
      <c r="I55" s="87" t="str">
        <f>IFERROR(IF(VLOOKUP(TableHandbook[[#This Row],[UDC]],TableAvailabilities[],4,FALSE)&gt;0,"Y",""),"")</f>
        <v/>
      </c>
      <c r="J55" s="87" t="str">
        <f>IFERROR(IF(VLOOKUP(TableHandbook[[#This Row],[UDC]],TableAvailabilities[],5,FALSE)&gt;0,"Y",""),"")</f>
        <v/>
      </c>
      <c r="K55" s="176" t="s">
        <v>332</v>
      </c>
      <c r="L55" s="173" t="str">
        <f>IFERROR(VLOOKUP(TableHandbook[[#This Row],[UDC]],TableOBEDEC[],7,FALSE),"")</f>
        <v/>
      </c>
      <c r="M55" s="173" t="str">
        <f>IFERROR(VLOOKUP(TableHandbook[[#This Row],[UDC]],TableOBEDPR[],7,FALSE),"")</f>
        <v/>
      </c>
      <c r="N55" s="175" t="str">
        <f>IFERROR(VLOOKUP(TableHandbook[[#This Row],[UDC]],TableOBEDSC1[],7,FALSE),"")</f>
        <v/>
      </c>
      <c r="O55" s="173" t="str">
        <f>IFERROR(VLOOKUP(TableHandbook[[#This Row],[UDC]],TableOUMUARTST[],7,FALSE),"")</f>
        <v/>
      </c>
      <c r="P55" s="173" t="str">
        <f>IFERROR(VLOOKUP(TableHandbook[[#This Row],[UDC]],TableOUMUENGLT[],7,FALSE),"")</f>
        <v/>
      </c>
      <c r="Q55" s="173" t="str">
        <f>IFERROR(VLOOKUP(TableHandbook[[#This Row],[UDC]],TableOUMUHUSGE[],7,FALSE),"")</f>
        <v/>
      </c>
    </row>
    <row r="56" spans="1:17" x14ac:dyDescent="0.25">
      <c r="A56" s="10" t="s">
        <v>230</v>
      </c>
      <c r="B56" s="11">
        <v>1</v>
      </c>
      <c r="C56" s="11" t="s">
        <v>399</v>
      </c>
      <c r="D56" s="10" t="s">
        <v>400</v>
      </c>
      <c r="E56" s="11">
        <v>25</v>
      </c>
      <c r="F56" s="171" t="s">
        <v>277</v>
      </c>
      <c r="G56" s="87" t="str">
        <f>IFERROR(IF(VLOOKUP(TableHandbook[[#This Row],[UDC]],TableAvailabilities[],2,FALSE)&gt;0,"Y",""),"")</f>
        <v>Y</v>
      </c>
      <c r="H56" s="87" t="str">
        <f>IFERROR(IF(VLOOKUP(TableHandbook[[#This Row],[UDC]],TableAvailabilities[],3,FALSE)&gt;0,"Y",""),"")</f>
        <v/>
      </c>
      <c r="I56" s="87" t="str">
        <f>IFERROR(IF(VLOOKUP(TableHandbook[[#This Row],[UDC]],TableAvailabilities[],4,FALSE)&gt;0,"Y",""),"")</f>
        <v>Y</v>
      </c>
      <c r="J56" s="87" t="str">
        <f>IFERROR(IF(VLOOKUP(TableHandbook[[#This Row],[UDC]],TableAvailabilities[],5,FALSE)&gt;0,"Y",""),"")</f>
        <v/>
      </c>
      <c r="K56" s="176"/>
      <c r="L56" s="173" t="str">
        <f>IFERROR(VLOOKUP(TableHandbook[[#This Row],[UDC]],TableOBEDEC[],7,FALSE),"")</f>
        <v/>
      </c>
      <c r="M56" s="173" t="str">
        <f>IFERROR(VLOOKUP(TableHandbook[[#This Row],[UDC]],TableOBEDPR[],7,FALSE),"")</f>
        <v/>
      </c>
      <c r="N56" s="175" t="str">
        <f>IFERROR(VLOOKUP(TableHandbook[[#This Row],[UDC]],TableOBEDSC1[],7,FALSE),"")</f>
        <v>Core</v>
      </c>
      <c r="O56" s="173" t="str">
        <f>IFERROR(VLOOKUP(TableHandbook[[#This Row],[UDC]],TableOUMUARTST[],7,FALSE),"")</f>
        <v/>
      </c>
      <c r="P56" s="173" t="str">
        <f>IFERROR(VLOOKUP(TableHandbook[[#This Row],[UDC]],TableOUMUENGLT[],7,FALSE),"")</f>
        <v/>
      </c>
      <c r="Q56" s="173" t="str">
        <f>IFERROR(VLOOKUP(TableHandbook[[#This Row],[UDC]],TableOUMUHUSGE[],7,FALSE),"")</f>
        <v/>
      </c>
    </row>
    <row r="57" spans="1:17" x14ac:dyDescent="0.25">
      <c r="A57" s="10" t="s">
        <v>401</v>
      </c>
      <c r="B57" s="11">
        <v>1</v>
      </c>
      <c r="C57" s="11" t="s">
        <v>402</v>
      </c>
      <c r="D57" s="10" t="s">
        <v>403</v>
      </c>
      <c r="E57" s="11">
        <v>25</v>
      </c>
      <c r="F57" s="171" t="s">
        <v>277</v>
      </c>
      <c r="G57" s="87" t="str">
        <f>IFERROR(IF(VLOOKUP(TableHandbook[[#This Row],[UDC]],TableAvailabilities[],2,FALSE)&gt;0,"Y",""),"")</f>
        <v/>
      </c>
      <c r="H57" s="87" t="str">
        <f>IFERROR(IF(VLOOKUP(TableHandbook[[#This Row],[UDC]],TableAvailabilities[],3,FALSE)&gt;0,"Y",""),"")</f>
        <v/>
      </c>
      <c r="I57" s="87" t="str">
        <f>IFERROR(IF(VLOOKUP(TableHandbook[[#This Row],[UDC]],TableAvailabilities[],4,FALSE)&gt;0,"Y",""),"")</f>
        <v/>
      </c>
      <c r="J57" s="87" t="str">
        <f>IFERROR(IF(VLOOKUP(TableHandbook[[#This Row],[UDC]],TableAvailabilities[],5,FALSE)&gt;0,"Y",""),"")</f>
        <v/>
      </c>
      <c r="K57" s="176" t="s">
        <v>332</v>
      </c>
      <c r="L57" s="173" t="str">
        <f>IFERROR(VLOOKUP(TableHandbook[[#This Row],[UDC]],TableOBEDEC[],7,FALSE),"")</f>
        <v/>
      </c>
      <c r="M57" s="173" t="str">
        <f>IFERROR(VLOOKUP(TableHandbook[[#This Row],[UDC]],TableOBEDPR[],7,FALSE),"")</f>
        <v/>
      </c>
      <c r="N57" s="175" t="str">
        <f>IFERROR(VLOOKUP(TableHandbook[[#This Row],[UDC]],TableOBEDSC1[],7,FALSE),"")</f>
        <v/>
      </c>
      <c r="O57" s="173" t="str">
        <f>IFERROR(VLOOKUP(TableHandbook[[#This Row],[UDC]],TableOUMUARTST[],7,FALSE),"")</f>
        <v/>
      </c>
      <c r="P57" s="173" t="str">
        <f>IFERROR(VLOOKUP(TableHandbook[[#This Row],[UDC]],TableOUMUENGLT[],7,FALSE),"")</f>
        <v/>
      </c>
      <c r="Q57" s="173" t="str">
        <f>IFERROR(VLOOKUP(TableHandbook[[#This Row],[UDC]],TableOUMUHUSGE[],7,FALSE),"")</f>
        <v/>
      </c>
    </row>
    <row r="58" spans="1:17" x14ac:dyDescent="0.25">
      <c r="A58" s="205" t="s">
        <v>227</v>
      </c>
      <c r="B58" s="11">
        <v>1</v>
      </c>
      <c r="C58" s="11" t="s">
        <v>404</v>
      </c>
      <c r="D58" s="10" t="s">
        <v>405</v>
      </c>
      <c r="E58" s="11">
        <v>25</v>
      </c>
      <c r="F58" s="240" t="s">
        <v>406</v>
      </c>
      <c r="G58" s="87" t="str">
        <f>IFERROR(IF(VLOOKUP(TableHandbook[[#This Row],[UDC]],TableAvailabilities[],2,FALSE)&gt;0,"Y",""),"")</f>
        <v/>
      </c>
      <c r="H58" s="87" t="str">
        <f>IFERROR(IF(VLOOKUP(TableHandbook[[#This Row],[UDC]],TableAvailabilities[],3,FALSE)&gt;0,"Y",""),"")</f>
        <v/>
      </c>
      <c r="I58" s="87" t="str">
        <f>IFERROR(IF(VLOOKUP(TableHandbook[[#This Row],[UDC]],TableAvailabilities[],4,FALSE)&gt;0,"Y",""),"")</f>
        <v/>
      </c>
      <c r="J58" s="87" t="str">
        <f>IFERROR(IF(VLOOKUP(TableHandbook[[#This Row],[UDC]],TableAvailabilities[],5,FALSE)&gt;0,"Y",""),"")</f>
        <v/>
      </c>
      <c r="K58" s="238" t="s">
        <v>290</v>
      </c>
      <c r="L58" s="173" t="str">
        <f>IFERROR(VLOOKUP(TableHandbook[[#This Row],[UDC]],TableOBEDEC[],7,FALSE),"")</f>
        <v/>
      </c>
      <c r="M58" s="173" t="str">
        <f>IFERROR(VLOOKUP(TableHandbook[[#This Row],[UDC]],TableOBEDPR[],7,FALSE),"")</f>
        <v/>
      </c>
      <c r="N58" s="175" t="str">
        <f>IFERROR(VLOOKUP(TableHandbook[[#This Row],[UDC]],TableOBEDSC1[],7,FALSE),"")</f>
        <v>Core</v>
      </c>
      <c r="O58" s="173" t="str">
        <f>IFERROR(VLOOKUP(TableHandbook[[#This Row],[UDC]],TableOUMUARTST[],7,FALSE),"")</f>
        <v/>
      </c>
      <c r="P58" s="173" t="str">
        <f>IFERROR(VLOOKUP(TableHandbook[[#This Row],[UDC]],TableOUMUENGLT[],7,FALSE),"")</f>
        <v/>
      </c>
      <c r="Q58" s="173" t="str">
        <f>IFERROR(VLOOKUP(TableHandbook[[#This Row],[UDC]],TableOUMUHUSGE[],7,FALSE),"")</f>
        <v/>
      </c>
    </row>
    <row r="59" spans="1:17" x14ac:dyDescent="0.25">
      <c r="A59" s="205" t="s">
        <v>229</v>
      </c>
      <c r="B59" s="11">
        <v>1</v>
      </c>
      <c r="C59" s="11" t="s">
        <v>407</v>
      </c>
      <c r="D59" s="10" t="s">
        <v>408</v>
      </c>
      <c r="E59" s="11">
        <v>25</v>
      </c>
      <c r="F59" s="240" t="s">
        <v>404</v>
      </c>
      <c r="G59" s="87" t="str">
        <f>IFERROR(IF(VLOOKUP(TableHandbook[[#This Row],[UDC]],TableAvailabilities[],2,FALSE)&gt;0,"Y",""),"")</f>
        <v/>
      </c>
      <c r="H59" s="87" t="str">
        <f>IFERROR(IF(VLOOKUP(TableHandbook[[#This Row],[UDC]],TableAvailabilities[],3,FALSE)&gt;0,"Y",""),"")</f>
        <v/>
      </c>
      <c r="I59" s="87" t="str">
        <f>IFERROR(IF(VLOOKUP(TableHandbook[[#This Row],[UDC]],TableAvailabilities[],4,FALSE)&gt;0,"Y",""),"")</f>
        <v/>
      </c>
      <c r="J59" s="87" t="str">
        <f>IFERROR(IF(VLOOKUP(TableHandbook[[#This Row],[UDC]],TableAvailabilities[],5,FALSE)&gt;0,"Y",""),"")</f>
        <v/>
      </c>
      <c r="K59" s="238" t="s">
        <v>290</v>
      </c>
      <c r="L59" s="173" t="str">
        <f>IFERROR(VLOOKUP(TableHandbook[[#This Row],[UDC]],TableOBEDEC[],7,FALSE),"")</f>
        <v/>
      </c>
      <c r="M59" s="173" t="str">
        <f>IFERROR(VLOOKUP(TableHandbook[[#This Row],[UDC]],TableOBEDPR[],7,FALSE),"")</f>
        <v/>
      </c>
      <c r="N59" s="175" t="str">
        <f>IFERROR(VLOOKUP(TableHandbook[[#This Row],[UDC]],TableOBEDSC1[],7,FALSE),"")</f>
        <v>Core</v>
      </c>
      <c r="O59" s="173" t="str">
        <f>IFERROR(VLOOKUP(TableHandbook[[#This Row],[UDC]],TableOUMUARTST[],7,FALSE),"")</f>
        <v/>
      </c>
      <c r="P59" s="173" t="str">
        <f>IFERROR(VLOOKUP(TableHandbook[[#This Row],[UDC]],TableOUMUENGLT[],7,FALSE),"")</f>
        <v/>
      </c>
      <c r="Q59" s="173" t="str">
        <f>IFERROR(VLOOKUP(TableHandbook[[#This Row],[UDC]],TableOUMUHUSGE[],7,FALSE),"")</f>
        <v/>
      </c>
    </row>
    <row r="60" spans="1:17" x14ac:dyDescent="0.25">
      <c r="A60" s="10" t="s">
        <v>224</v>
      </c>
      <c r="B60" s="11">
        <v>2</v>
      </c>
      <c r="C60" s="11" t="s">
        <v>409</v>
      </c>
      <c r="D60" s="10" t="s">
        <v>410</v>
      </c>
      <c r="E60" s="11">
        <v>25</v>
      </c>
      <c r="F60" s="240" t="s">
        <v>411</v>
      </c>
      <c r="G60" s="87" t="str">
        <f>IFERROR(IF(VLOOKUP(TableHandbook[[#This Row],[UDC]],TableAvailabilities[],2,FALSE)&gt;0,"Y",""),"")</f>
        <v/>
      </c>
      <c r="H60" s="87" t="str">
        <f>IFERROR(IF(VLOOKUP(TableHandbook[[#This Row],[UDC]],TableAvailabilities[],3,FALSE)&gt;0,"Y",""),"")</f>
        <v>Y</v>
      </c>
      <c r="I60" s="87" t="str">
        <f>IFERROR(IF(VLOOKUP(TableHandbook[[#This Row],[UDC]],TableAvailabilities[],4,FALSE)&gt;0,"Y",""),"")</f>
        <v/>
      </c>
      <c r="J60" s="87" t="str">
        <f>IFERROR(IF(VLOOKUP(TableHandbook[[#This Row],[UDC]],TableAvailabilities[],5,FALSE)&gt;0,"Y",""),"")</f>
        <v>Y</v>
      </c>
      <c r="K60" s="176"/>
      <c r="L60" s="173" t="str">
        <f>IFERROR(VLOOKUP(TableHandbook[[#This Row],[UDC]],TableOBEDEC[],7,FALSE),"")</f>
        <v/>
      </c>
      <c r="M60" s="173" t="str">
        <f>IFERROR(VLOOKUP(TableHandbook[[#This Row],[UDC]],TableOBEDPR[],7,FALSE),"")</f>
        <v/>
      </c>
      <c r="N60" s="175" t="str">
        <f>IFERROR(VLOOKUP(TableHandbook[[#This Row],[UDC]],TableOBEDSC1[],7,FALSE),"")</f>
        <v/>
      </c>
      <c r="O60" s="173" t="str">
        <f>IFERROR(VLOOKUP(TableHandbook[[#This Row],[UDC]],TableOUMUARTST[],7,FALSE),"")</f>
        <v/>
      </c>
      <c r="P60" s="173" t="str">
        <f>IFERROR(VLOOKUP(TableHandbook[[#This Row],[UDC]],TableOUMUENGLT[],7,FALSE),"")</f>
        <v>Core</v>
      </c>
      <c r="Q60" s="173" t="str">
        <f>IFERROR(VLOOKUP(TableHandbook[[#This Row],[UDC]],TableOUMUHUSGE[],7,FALSE),"")</f>
        <v/>
      </c>
    </row>
    <row r="61" spans="1:17" x14ac:dyDescent="0.25">
      <c r="A61" s="10" t="s">
        <v>209</v>
      </c>
      <c r="B61" s="11">
        <v>1</v>
      </c>
      <c r="C61" s="11" t="s">
        <v>412</v>
      </c>
      <c r="D61" s="10" t="s">
        <v>413</v>
      </c>
      <c r="E61" s="11">
        <v>25</v>
      </c>
      <c r="F61" s="171" t="s">
        <v>277</v>
      </c>
      <c r="G61" s="87" t="str">
        <f>IFERROR(IF(VLOOKUP(TableHandbook[[#This Row],[UDC]],TableAvailabilities[],2,FALSE)&gt;0,"Y",""),"")</f>
        <v/>
      </c>
      <c r="H61" s="87" t="str">
        <f>IFERROR(IF(VLOOKUP(TableHandbook[[#This Row],[UDC]],TableAvailabilities[],3,FALSE)&gt;0,"Y",""),"")</f>
        <v>Y</v>
      </c>
      <c r="I61" s="87" t="str">
        <f>IFERROR(IF(VLOOKUP(TableHandbook[[#This Row],[UDC]],TableAvailabilities[],4,FALSE)&gt;0,"Y",""),"")</f>
        <v/>
      </c>
      <c r="J61" s="87" t="str">
        <f>IFERROR(IF(VLOOKUP(TableHandbook[[#This Row],[UDC]],TableAvailabilities[],5,FALSE)&gt;0,"Y",""),"")</f>
        <v>Y</v>
      </c>
      <c r="K61" s="176"/>
      <c r="L61" s="173" t="str">
        <f>IFERROR(VLOOKUP(TableHandbook[[#This Row],[UDC]],TableOBEDEC[],7,FALSE),"")</f>
        <v/>
      </c>
      <c r="M61" s="173" t="str">
        <f>IFERROR(VLOOKUP(TableHandbook[[#This Row],[UDC]],TableOBEDPR[],7,FALSE),"")</f>
        <v/>
      </c>
      <c r="N61" s="175" t="str">
        <f>IFERROR(VLOOKUP(TableHandbook[[#This Row],[UDC]],TableOBEDSC1[],7,FALSE),"")</f>
        <v/>
      </c>
      <c r="O61" s="173" t="str">
        <f>IFERROR(VLOOKUP(TableHandbook[[#This Row],[UDC]],TableOUMUARTST[],7,FALSE),"")</f>
        <v/>
      </c>
      <c r="P61" s="173" t="str">
        <f>IFERROR(VLOOKUP(TableHandbook[[#This Row],[UDC]],TableOUMUENGLT[],7,FALSE),"")</f>
        <v/>
      </c>
      <c r="Q61" s="173" t="str">
        <f>IFERROR(VLOOKUP(TableHandbook[[#This Row],[UDC]],TableOUMUHUSGE[],7,FALSE),"")</f>
        <v>Core</v>
      </c>
    </row>
    <row r="62" spans="1:17" x14ac:dyDescent="0.25">
      <c r="A62" s="10" t="s">
        <v>222</v>
      </c>
      <c r="B62" s="11">
        <v>2</v>
      </c>
      <c r="C62" s="11" t="s">
        <v>414</v>
      </c>
      <c r="D62" s="10" t="s">
        <v>415</v>
      </c>
      <c r="E62" s="11">
        <v>25</v>
      </c>
      <c r="F62" s="240" t="s">
        <v>412</v>
      </c>
      <c r="G62" s="87" t="str">
        <f>IFERROR(IF(VLOOKUP(TableHandbook[[#This Row],[UDC]],TableAvailabilities[],2,FALSE)&gt;0,"Y",""),"")</f>
        <v/>
      </c>
      <c r="H62" s="87" t="str">
        <f>IFERROR(IF(VLOOKUP(TableHandbook[[#This Row],[UDC]],TableAvailabilities[],3,FALSE)&gt;0,"Y",""),"")</f>
        <v>Y</v>
      </c>
      <c r="I62" s="87" t="str">
        <f>IFERROR(IF(VLOOKUP(TableHandbook[[#This Row],[UDC]],TableAvailabilities[],4,FALSE)&gt;0,"Y",""),"")</f>
        <v/>
      </c>
      <c r="J62" s="87" t="str">
        <f>IFERROR(IF(VLOOKUP(TableHandbook[[#This Row],[UDC]],TableAvailabilities[],5,FALSE)&gt;0,"Y",""),"")</f>
        <v>Y</v>
      </c>
      <c r="K62" s="176"/>
      <c r="L62" s="173" t="str">
        <f>IFERROR(VLOOKUP(TableHandbook[[#This Row],[UDC]],TableOBEDEC[],7,FALSE),"")</f>
        <v/>
      </c>
      <c r="M62" s="173" t="str">
        <f>IFERROR(VLOOKUP(TableHandbook[[#This Row],[UDC]],TableOBEDPR[],7,FALSE),"")</f>
        <v/>
      </c>
      <c r="N62" s="175" t="str">
        <f>IFERROR(VLOOKUP(TableHandbook[[#This Row],[UDC]],TableOBEDSC1[],7,FALSE),"")</f>
        <v/>
      </c>
      <c r="O62" s="173" t="str">
        <f>IFERROR(VLOOKUP(TableHandbook[[#This Row],[UDC]],TableOUMUARTST[],7,FALSE),"")</f>
        <v/>
      </c>
      <c r="P62" s="173" t="str">
        <f>IFERROR(VLOOKUP(TableHandbook[[#This Row],[UDC]],TableOUMUENGLT[],7,FALSE),"")</f>
        <v/>
      </c>
      <c r="Q62" s="173" t="str">
        <f>IFERROR(VLOOKUP(TableHandbook[[#This Row],[UDC]],TableOUMUHUSGE[],7,FALSE),"")</f>
        <v>Core</v>
      </c>
    </row>
    <row r="63" spans="1:17" x14ac:dyDescent="0.25">
      <c r="A63" s="10" t="s">
        <v>223</v>
      </c>
      <c r="B63" s="11">
        <v>2</v>
      </c>
      <c r="C63" s="11" t="s">
        <v>416</v>
      </c>
      <c r="D63" s="10" t="s">
        <v>417</v>
      </c>
      <c r="E63" s="11">
        <v>25</v>
      </c>
      <c r="F63" s="240" t="s">
        <v>418</v>
      </c>
      <c r="G63" s="87" t="str">
        <f>IFERROR(IF(VLOOKUP(TableHandbook[[#This Row],[UDC]],TableAvailabilities[],2,FALSE)&gt;0,"Y",""),"")</f>
        <v/>
      </c>
      <c r="H63" s="87" t="str">
        <f>IFERROR(IF(VLOOKUP(TableHandbook[[#This Row],[UDC]],TableAvailabilities[],3,FALSE)&gt;0,"Y",""),"")</f>
        <v>Y</v>
      </c>
      <c r="I63" s="87" t="str">
        <f>IFERROR(IF(VLOOKUP(TableHandbook[[#This Row],[UDC]],TableAvailabilities[],4,FALSE)&gt;0,"Y",""),"")</f>
        <v/>
      </c>
      <c r="J63" s="87" t="str">
        <f>IFERROR(IF(VLOOKUP(TableHandbook[[#This Row],[UDC]],TableAvailabilities[],5,FALSE)&gt;0,"Y",""),"")</f>
        <v>Y</v>
      </c>
      <c r="K63" s="176"/>
      <c r="L63" s="173" t="str">
        <f>IFERROR(VLOOKUP(TableHandbook[[#This Row],[UDC]],TableOBEDEC[],7,FALSE),"")</f>
        <v/>
      </c>
      <c r="M63" s="173" t="str">
        <f>IFERROR(VLOOKUP(TableHandbook[[#This Row],[UDC]],TableOBEDPR[],7,FALSE),"")</f>
        <v/>
      </c>
      <c r="N63" s="175" t="str">
        <f>IFERROR(VLOOKUP(TableHandbook[[#This Row],[UDC]],TableOBEDSC1[],7,FALSE),"")</f>
        <v/>
      </c>
      <c r="O63" s="173" t="str">
        <f>IFERROR(VLOOKUP(TableHandbook[[#This Row],[UDC]],TableOUMUARTST[],7,FALSE),"")</f>
        <v>Core</v>
      </c>
      <c r="P63" s="173" t="str">
        <f>IFERROR(VLOOKUP(TableHandbook[[#This Row],[UDC]],TableOUMUENGLT[],7,FALSE),"")</f>
        <v/>
      </c>
      <c r="Q63" s="173" t="str">
        <f>IFERROR(VLOOKUP(TableHandbook[[#This Row],[UDC]],TableOUMUHUSGE[],7,FALSE),"")</f>
        <v/>
      </c>
    </row>
    <row r="64" spans="1:17" x14ac:dyDescent="0.25">
      <c r="A64" s="10" t="s">
        <v>208</v>
      </c>
      <c r="B64" s="11">
        <v>1</v>
      </c>
      <c r="C64" s="11" t="s">
        <v>411</v>
      </c>
      <c r="D64" s="10" t="s">
        <v>419</v>
      </c>
      <c r="E64" s="11">
        <v>25</v>
      </c>
      <c r="F64" s="171" t="s">
        <v>277</v>
      </c>
      <c r="G64" s="87" t="str">
        <f>IFERROR(IF(VLOOKUP(TableHandbook[[#This Row],[UDC]],TableAvailabilities[],2,FALSE)&gt;0,"Y",""),"")</f>
        <v/>
      </c>
      <c r="H64" s="87" t="str">
        <f>IFERROR(IF(VLOOKUP(TableHandbook[[#This Row],[UDC]],TableAvailabilities[],3,FALSE)&gt;0,"Y",""),"")</f>
        <v>Y</v>
      </c>
      <c r="I64" s="87" t="str">
        <f>IFERROR(IF(VLOOKUP(TableHandbook[[#This Row],[UDC]],TableAvailabilities[],4,FALSE)&gt;0,"Y",""),"")</f>
        <v/>
      </c>
      <c r="J64" s="87" t="str">
        <f>IFERROR(IF(VLOOKUP(TableHandbook[[#This Row],[UDC]],TableAvailabilities[],5,FALSE)&gt;0,"Y",""),"")</f>
        <v>Y</v>
      </c>
      <c r="K64" s="176"/>
      <c r="L64" s="173" t="str">
        <f>IFERROR(VLOOKUP(TableHandbook[[#This Row],[UDC]],TableOBEDEC[],7,FALSE),"")</f>
        <v/>
      </c>
      <c r="M64" s="173" t="str">
        <f>IFERROR(VLOOKUP(TableHandbook[[#This Row],[UDC]],TableOBEDPR[],7,FALSE),"")</f>
        <v/>
      </c>
      <c r="N64" s="175" t="str">
        <f>IFERROR(VLOOKUP(TableHandbook[[#This Row],[UDC]],TableOBEDSC1[],7,FALSE),"")</f>
        <v/>
      </c>
      <c r="O64" s="173" t="str">
        <f>IFERROR(VLOOKUP(TableHandbook[[#This Row],[UDC]],TableOUMUARTST[],7,FALSE),"")</f>
        <v/>
      </c>
      <c r="P64" s="173" t="str">
        <f>IFERROR(VLOOKUP(TableHandbook[[#This Row],[UDC]],TableOUMUENGLT[],7,FALSE),"")</f>
        <v>Core</v>
      </c>
      <c r="Q64" s="173" t="str">
        <f>IFERROR(VLOOKUP(TableHandbook[[#This Row],[UDC]],TableOUMUHUSGE[],7,FALSE),"")</f>
        <v/>
      </c>
    </row>
    <row r="65" spans="1:17" x14ac:dyDescent="0.25">
      <c r="A65" s="10" t="s">
        <v>207</v>
      </c>
      <c r="B65" s="11">
        <v>1</v>
      </c>
      <c r="C65" s="11" t="s">
        <v>418</v>
      </c>
      <c r="D65" s="10" t="s">
        <v>420</v>
      </c>
      <c r="E65" s="11">
        <v>25</v>
      </c>
      <c r="F65" s="171" t="s">
        <v>277</v>
      </c>
      <c r="G65" s="87" t="str">
        <f>IFERROR(IF(VLOOKUP(TableHandbook[[#This Row],[UDC]],TableAvailabilities[],2,FALSE)&gt;0,"Y",""),"")</f>
        <v/>
      </c>
      <c r="H65" s="87" t="str">
        <f>IFERROR(IF(VLOOKUP(TableHandbook[[#This Row],[UDC]],TableAvailabilities[],3,FALSE)&gt;0,"Y",""),"")</f>
        <v>Y</v>
      </c>
      <c r="I65" s="87" t="str">
        <f>IFERROR(IF(VLOOKUP(TableHandbook[[#This Row],[UDC]],TableAvailabilities[],4,FALSE)&gt;0,"Y",""),"")</f>
        <v/>
      </c>
      <c r="J65" s="87" t="str">
        <f>IFERROR(IF(VLOOKUP(TableHandbook[[#This Row],[UDC]],TableAvailabilities[],5,FALSE)&gt;0,"Y",""),"")</f>
        <v>Y</v>
      </c>
      <c r="K65" s="176"/>
      <c r="L65" s="173" t="str">
        <f>IFERROR(VLOOKUP(TableHandbook[[#This Row],[UDC]],TableOBEDEC[],7,FALSE),"")</f>
        <v/>
      </c>
      <c r="M65" s="173" t="str">
        <f>IFERROR(VLOOKUP(TableHandbook[[#This Row],[UDC]],TableOBEDPR[],7,FALSE),"")</f>
        <v/>
      </c>
      <c r="N65" s="175" t="str">
        <f>IFERROR(VLOOKUP(TableHandbook[[#This Row],[UDC]],TableOBEDSC1[],7,FALSE),"")</f>
        <v/>
      </c>
      <c r="O65" s="173" t="str">
        <f>IFERROR(VLOOKUP(TableHandbook[[#This Row],[UDC]],TableOUMUARTST[],7,FALSE),"")</f>
        <v>Core</v>
      </c>
      <c r="P65" s="173" t="str">
        <f>IFERROR(VLOOKUP(TableHandbook[[#This Row],[UDC]],TableOUMUENGLT[],7,FALSE),"")</f>
        <v/>
      </c>
      <c r="Q65" s="173" t="str">
        <f>IFERROR(VLOOKUP(TableHandbook[[#This Row],[UDC]],TableOUMUHUSGE[],7,FALSE),"")</f>
        <v/>
      </c>
    </row>
    <row r="66" spans="1:17" x14ac:dyDescent="0.25">
      <c r="A66" s="10" t="s">
        <v>421</v>
      </c>
      <c r="B66" s="11">
        <v>1</v>
      </c>
      <c r="C66" s="11" t="s">
        <v>422</v>
      </c>
      <c r="D66" s="10" t="s">
        <v>423</v>
      </c>
      <c r="E66" s="11">
        <v>25</v>
      </c>
      <c r="F66" s="171" t="s">
        <v>277</v>
      </c>
      <c r="G66" s="87" t="str">
        <f>IFERROR(IF(VLOOKUP(TableHandbook[[#This Row],[UDC]],TableAvailabilities[],2,FALSE)&gt;0,"Y",""),"")</f>
        <v/>
      </c>
      <c r="H66" s="87" t="str">
        <f>IFERROR(IF(VLOOKUP(TableHandbook[[#This Row],[UDC]],TableAvailabilities[],3,FALSE)&gt;0,"Y",""),"")</f>
        <v/>
      </c>
      <c r="I66" s="87" t="str">
        <f>IFERROR(IF(VLOOKUP(TableHandbook[[#This Row],[UDC]],TableAvailabilities[],4,FALSE)&gt;0,"Y",""),"")</f>
        <v/>
      </c>
      <c r="J66" s="87" t="str">
        <f>IFERROR(IF(VLOOKUP(TableHandbook[[#This Row],[UDC]],TableAvailabilities[],5,FALSE)&gt;0,"Y",""),"")</f>
        <v/>
      </c>
      <c r="K66" s="176" t="s">
        <v>332</v>
      </c>
      <c r="L66" s="173" t="str">
        <f>IFERROR(VLOOKUP(TableHandbook[[#This Row],[UDC]],TableOBEDEC[],7,FALSE),"")</f>
        <v/>
      </c>
      <c r="M66" s="173" t="str">
        <f>IFERROR(VLOOKUP(TableHandbook[[#This Row],[UDC]],TableOBEDPR[],7,FALSE),"")</f>
        <v/>
      </c>
      <c r="N66" s="175" t="str">
        <f>IFERROR(VLOOKUP(TableHandbook[[#This Row],[UDC]],TableOBEDSC1[],7,FALSE),"")</f>
        <v/>
      </c>
      <c r="O66" s="173" t="str">
        <f>IFERROR(VLOOKUP(TableHandbook[[#This Row],[UDC]],TableOUMUARTST[],7,FALSE),"")</f>
        <v/>
      </c>
      <c r="P66" s="173" t="str">
        <f>IFERROR(VLOOKUP(TableHandbook[[#This Row],[UDC]],TableOUMUENGLT[],7,FALSE),"")</f>
        <v/>
      </c>
      <c r="Q66" s="173" t="str">
        <f>IFERROR(VLOOKUP(TableHandbook[[#This Row],[UDC]],TableOUMUHUSGE[],7,FALSE),"")</f>
        <v/>
      </c>
    </row>
    <row r="67" spans="1:17" x14ac:dyDescent="0.25">
      <c r="A67" s="10" t="s">
        <v>47</v>
      </c>
      <c r="B67" s="11">
        <v>1</v>
      </c>
      <c r="C67" s="11" t="s">
        <v>424</v>
      </c>
      <c r="D67" s="10" t="s">
        <v>425</v>
      </c>
      <c r="E67" s="11">
        <v>25</v>
      </c>
      <c r="F67" s="171" t="s">
        <v>277</v>
      </c>
      <c r="G67" s="87" t="str">
        <f>IFERROR(IF(VLOOKUP(TableHandbook[[#This Row],[UDC]],TableAvailabilities[],2,FALSE)&gt;0,"Y",""),"")</f>
        <v>Y</v>
      </c>
      <c r="H67" s="87" t="str">
        <f>IFERROR(IF(VLOOKUP(TableHandbook[[#This Row],[UDC]],TableAvailabilities[],3,FALSE)&gt;0,"Y",""),"")</f>
        <v/>
      </c>
      <c r="I67" s="87" t="str">
        <f>IFERROR(IF(VLOOKUP(TableHandbook[[#This Row],[UDC]],TableAvailabilities[],4,FALSE)&gt;0,"Y",""),"")</f>
        <v>Y</v>
      </c>
      <c r="J67" s="87" t="str">
        <f>IFERROR(IF(VLOOKUP(TableHandbook[[#This Row],[UDC]],TableAvailabilities[],5,FALSE)&gt;0,"Y",""),"")</f>
        <v/>
      </c>
      <c r="K67" s="176"/>
      <c r="L67" s="173" t="str">
        <f>IFERROR(VLOOKUP(TableHandbook[[#This Row],[UDC]],TableOBEDEC[],7,FALSE),"")</f>
        <v>Core</v>
      </c>
      <c r="M67" s="173" t="str">
        <f>IFERROR(VLOOKUP(TableHandbook[[#This Row],[UDC]],TableOBEDPR[],7,FALSE),"")</f>
        <v>Core</v>
      </c>
      <c r="N67" s="175" t="str">
        <f>IFERROR(VLOOKUP(TableHandbook[[#This Row],[UDC]],TableOBEDSC1[],7,FALSE),"")</f>
        <v>Core</v>
      </c>
      <c r="O67" s="173" t="str">
        <f>IFERROR(VLOOKUP(TableHandbook[[#This Row],[UDC]],TableOUMUARTST[],7,FALSE),"")</f>
        <v/>
      </c>
      <c r="P67" s="173" t="str">
        <f>IFERROR(VLOOKUP(TableHandbook[[#This Row],[UDC]],TableOUMUENGLT[],7,FALSE),"")</f>
        <v/>
      </c>
      <c r="Q67" s="173" t="str">
        <f>IFERROR(VLOOKUP(TableHandbook[[#This Row],[UDC]],TableOUMUHUSGE[],7,FALSE),"")</f>
        <v/>
      </c>
    </row>
    <row r="68" spans="1:17" x14ac:dyDescent="0.25">
      <c r="A68" s="10" t="s">
        <v>52</v>
      </c>
      <c r="B68" s="11">
        <v>1</v>
      </c>
      <c r="C68" s="11" t="s">
        <v>310</v>
      </c>
      <c r="D68" s="10" t="s">
        <v>426</v>
      </c>
      <c r="E68" s="11">
        <v>25</v>
      </c>
      <c r="F68" s="171" t="s">
        <v>277</v>
      </c>
      <c r="G68" s="87" t="str">
        <f>IFERROR(IF(VLOOKUP(TableHandbook[[#This Row],[UDC]],TableAvailabilities[],2,FALSE)&gt;0,"Y",""),"")</f>
        <v>Y</v>
      </c>
      <c r="H68" s="87" t="str">
        <f>IFERROR(IF(VLOOKUP(TableHandbook[[#This Row],[UDC]],TableAvailabilities[],3,FALSE)&gt;0,"Y",""),"")</f>
        <v/>
      </c>
      <c r="I68" s="87" t="str">
        <f>IFERROR(IF(VLOOKUP(TableHandbook[[#This Row],[UDC]],TableAvailabilities[],4,FALSE)&gt;0,"Y",""),"")</f>
        <v>Y</v>
      </c>
      <c r="J68" s="87" t="str">
        <f>IFERROR(IF(VLOOKUP(TableHandbook[[#This Row],[UDC]],TableAvailabilities[],5,FALSE)&gt;0,"Y",""),"")</f>
        <v/>
      </c>
      <c r="K68" s="176"/>
      <c r="L68" s="173" t="str">
        <f>IFERROR(VLOOKUP(TableHandbook[[#This Row],[UDC]],TableOBEDEC[],7,FALSE),"")</f>
        <v>Core</v>
      </c>
      <c r="M68" s="173" t="str">
        <f>IFERROR(VLOOKUP(TableHandbook[[#This Row],[UDC]],TableOBEDPR[],7,FALSE),"")</f>
        <v>Core</v>
      </c>
      <c r="N68" s="175" t="str">
        <f>IFERROR(VLOOKUP(TableHandbook[[#This Row],[UDC]],TableOBEDSC1[],7,FALSE),"")</f>
        <v>Core</v>
      </c>
      <c r="O68" s="173" t="str">
        <f>IFERROR(VLOOKUP(TableHandbook[[#This Row],[UDC]],TableOUMUARTST[],7,FALSE),"")</f>
        <v/>
      </c>
      <c r="P68" s="173" t="str">
        <f>IFERROR(VLOOKUP(TableHandbook[[#This Row],[UDC]],TableOUMUENGLT[],7,FALSE),"")</f>
        <v/>
      </c>
      <c r="Q68" s="173" t="str">
        <f>IFERROR(VLOOKUP(TableHandbook[[#This Row],[UDC]],TableOUMUHUSGE[],7,FALSE),"")</f>
        <v/>
      </c>
    </row>
    <row r="69" spans="1:17" x14ac:dyDescent="0.25">
      <c r="A69" s="10" t="s">
        <v>49</v>
      </c>
      <c r="B69" s="11">
        <v>1</v>
      </c>
      <c r="C69" s="11" t="s">
        <v>427</v>
      </c>
      <c r="D69" s="10" t="s">
        <v>428</v>
      </c>
      <c r="E69" s="11">
        <v>25</v>
      </c>
      <c r="F69" s="171" t="s">
        <v>277</v>
      </c>
      <c r="G69" s="87" t="str">
        <f>IFERROR(IF(VLOOKUP(TableHandbook[[#This Row],[UDC]],TableAvailabilities[],2,FALSE)&gt;0,"Y",""),"")</f>
        <v/>
      </c>
      <c r="H69" s="87" t="str">
        <f>IFERROR(IF(VLOOKUP(TableHandbook[[#This Row],[UDC]],TableAvailabilities[],3,FALSE)&gt;0,"Y",""),"")</f>
        <v>Y</v>
      </c>
      <c r="I69" s="87" t="str">
        <f>IFERROR(IF(VLOOKUP(TableHandbook[[#This Row],[UDC]],TableAvailabilities[],4,FALSE)&gt;0,"Y",""),"")</f>
        <v/>
      </c>
      <c r="J69" s="87" t="str">
        <f>IFERROR(IF(VLOOKUP(TableHandbook[[#This Row],[UDC]],TableAvailabilities[],5,FALSE)&gt;0,"Y",""),"")</f>
        <v>Y</v>
      </c>
      <c r="K69" s="176"/>
      <c r="L69" s="173" t="str">
        <f>IFERROR(VLOOKUP(TableHandbook[[#This Row],[UDC]],TableOBEDEC[],7,FALSE),"")</f>
        <v>Core</v>
      </c>
      <c r="M69" s="173" t="str">
        <f>IFERROR(VLOOKUP(TableHandbook[[#This Row],[UDC]],TableOBEDPR[],7,FALSE),"")</f>
        <v>Core</v>
      </c>
      <c r="N69" s="175" t="str">
        <f>IFERROR(VLOOKUP(TableHandbook[[#This Row],[UDC]],TableOBEDSC1[],7,FALSE),"")</f>
        <v/>
      </c>
      <c r="O69" s="173" t="str">
        <f>IFERROR(VLOOKUP(TableHandbook[[#This Row],[UDC]],TableOUMUARTST[],7,FALSE),"")</f>
        <v/>
      </c>
      <c r="P69" s="173" t="str">
        <f>IFERROR(VLOOKUP(TableHandbook[[#This Row],[UDC]],TableOUMUENGLT[],7,FALSE),"")</f>
        <v/>
      </c>
      <c r="Q69" s="173" t="str">
        <f>IFERROR(VLOOKUP(TableHandbook[[#This Row],[UDC]],TableOUMUHUSGE[],7,FALSE),"")</f>
        <v/>
      </c>
    </row>
    <row r="70" spans="1:17" x14ac:dyDescent="0.25">
      <c r="A70" s="10" t="s">
        <v>54</v>
      </c>
      <c r="B70" s="11">
        <v>1</v>
      </c>
      <c r="C70" s="11" t="s">
        <v>361</v>
      </c>
      <c r="D70" s="10" t="s">
        <v>429</v>
      </c>
      <c r="E70" s="11">
        <v>25</v>
      </c>
      <c r="F70" s="171" t="s">
        <v>277</v>
      </c>
      <c r="G70" s="87" t="str">
        <f>IFERROR(IF(VLOOKUP(TableHandbook[[#This Row],[UDC]],TableAvailabilities[],2,FALSE)&gt;0,"Y",""),"")</f>
        <v/>
      </c>
      <c r="H70" s="87" t="str">
        <f>IFERROR(IF(VLOOKUP(TableHandbook[[#This Row],[UDC]],TableAvailabilities[],3,FALSE)&gt;0,"Y",""),"")</f>
        <v>Y</v>
      </c>
      <c r="I70" s="87" t="str">
        <f>IFERROR(IF(VLOOKUP(TableHandbook[[#This Row],[UDC]],TableAvailabilities[],4,FALSE)&gt;0,"Y",""),"")</f>
        <v/>
      </c>
      <c r="J70" s="87" t="str">
        <f>IFERROR(IF(VLOOKUP(TableHandbook[[#This Row],[UDC]],TableAvailabilities[],5,FALSE)&gt;0,"Y",""),"")</f>
        <v>Y</v>
      </c>
      <c r="K70" s="176"/>
      <c r="L70" s="173" t="str">
        <f>IFERROR(VLOOKUP(TableHandbook[[#This Row],[UDC]],TableOBEDEC[],7,FALSE),"")</f>
        <v>Core</v>
      </c>
      <c r="M70" s="173" t="str">
        <f>IFERROR(VLOOKUP(TableHandbook[[#This Row],[UDC]],TableOBEDPR[],7,FALSE),"")</f>
        <v>Core</v>
      </c>
      <c r="N70" s="175" t="str">
        <f>IFERROR(VLOOKUP(TableHandbook[[#This Row],[UDC]],TableOBEDSC1[],7,FALSE),"")</f>
        <v/>
      </c>
      <c r="O70" s="173" t="str">
        <f>IFERROR(VLOOKUP(TableHandbook[[#This Row],[UDC]],TableOUMUARTST[],7,FALSE),"")</f>
        <v/>
      </c>
      <c r="P70" s="173" t="str">
        <f>IFERROR(VLOOKUP(TableHandbook[[#This Row],[UDC]],TableOUMUENGLT[],7,FALSE),"")</f>
        <v/>
      </c>
      <c r="Q70" s="173" t="str">
        <f>IFERROR(VLOOKUP(TableHandbook[[#This Row],[UDC]],TableOUMUHUSGE[],7,FALSE),"")</f>
        <v/>
      </c>
    </row>
    <row r="71" spans="1:17" x14ac:dyDescent="0.25">
      <c r="A71" s="10" t="s">
        <v>70</v>
      </c>
      <c r="B71" s="11">
        <v>1</v>
      </c>
      <c r="C71" s="11" t="s">
        <v>293</v>
      </c>
      <c r="D71" s="10" t="s">
        <v>430</v>
      </c>
      <c r="E71" s="11">
        <v>25</v>
      </c>
      <c r="F71" s="171" t="s">
        <v>277</v>
      </c>
      <c r="G71" s="87" t="str">
        <f>IFERROR(IF(VLOOKUP(TableHandbook[[#This Row],[UDC]],TableAvailabilities[],2,FALSE)&gt;0,"Y",""),"")</f>
        <v>Y</v>
      </c>
      <c r="H71" s="87" t="str">
        <f>IFERROR(IF(VLOOKUP(TableHandbook[[#This Row],[UDC]],TableAvailabilities[],3,FALSE)&gt;0,"Y",""),"")</f>
        <v/>
      </c>
      <c r="I71" s="87" t="str">
        <f>IFERROR(IF(VLOOKUP(TableHandbook[[#This Row],[UDC]],TableAvailabilities[],4,FALSE)&gt;0,"Y",""),"")</f>
        <v>Y</v>
      </c>
      <c r="J71" s="87" t="str">
        <f>IFERROR(IF(VLOOKUP(TableHandbook[[#This Row],[UDC]],TableAvailabilities[],5,FALSE)&gt;0,"Y",""),"")</f>
        <v/>
      </c>
      <c r="K71" s="176"/>
      <c r="L71" s="173" t="str">
        <f>IFERROR(VLOOKUP(TableHandbook[[#This Row],[UDC]],TableOBEDEC[],7,FALSE),"")</f>
        <v>Core</v>
      </c>
      <c r="M71" s="173" t="str">
        <f>IFERROR(VLOOKUP(TableHandbook[[#This Row],[UDC]],TableOBEDPR[],7,FALSE),"")</f>
        <v>Core</v>
      </c>
      <c r="N71" s="175" t="str">
        <f>IFERROR(VLOOKUP(TableHandbook[[#This Row],[UDC]],TableOBEDSC1[],7,FALSE),"")</f>
        <v/>
      </c>
      <c r="O71" s="173" t="str">
        <f>IFERROR(VLOOKUP(TableHandbook[[#This Row],[UDC]],TableOUMUARTST[],7,FALSE),"")</f>
        <v/>
      </c>
      <c r="P71" s="173" t="str">
        <f>IFERROR(VLOOKUP(TableHandbook[[#This Row],[UDC]],TableOUMUENGLT[],7,FALSE),"")</f>
        <v/>
      </c>
      <c r="Q71" s="173" t="str">
        <f>IFERROR(VLOOKUP(TableHandbook[[#This Row],[UDC]],TableOUMUHUSGE[],7,FALSE),"")</f>
        <v/>
      </c>
    </row>
    <row r="72" spans="1:17" x14ac:dyDescent="0.25">
      <c r="A72" s="10" t="s">
        <v>73</v>
      </c>
      <c r="B72" s="11">
        <v>1</v>
      </c>
      <c r="C72" s="11" t="s">
        <v>303</v>
      </c>
      <c r="D72" s="10" t="s">
        <v>431</v>
      </c>
      <c r="E72" s="11">
        <v>25</v>
      </c>
      <c r="F72" s="171" t="s">
        <v>277</v>
      </c>
      <c r="G72" s="87" t="str">
        <f>IFERROR(IF(VLOOKUP(TableHandbook[[#This Row],[UDC]],TableAvailabilities[],2,FALSE)&gt;0,"Y",""),"")</f>
        <v>Y</v>
      </c>
      <c r="H72" s="87" t="str">
        <f>IFERROR(IF(VLOOKUP(TableHandbook[[#This Row],[UDC]],TableAvailabilities[],3,FALSE)&gt;0,"Y",""),"")</f>
        <v/>
      </c>
      <c r="I72" s="87" t="str">
        <f>IFERROR(IF(VLOOKUP(TableHandbook[[#This Row],[UDC]],TableAvailabilities[],4,FALSE)&gt;0,"Y",""),"")</f>
        <v>Y</v>
      </c>
      <c r="J72" s="87" t="str">
        <f>IFERROR(IF(VLOOKUP(TableHandbook[[#This Row],[UDC]],TableAvailabilities[],5,FALSE)&gt;0,"Y",""),"")</f>
        <v/>
      </c>
      <c r="K72" s="176"/>
      <c r="L72" s="173" t="str">
        <f>IFERROR(VLOOKUP(TableHandbook[[#This Row],[UDC]],TableOBEDEC[],7,FALSE),"")</f>
        <v>Core</v>
      </c>
      <c r="M72" s="173" t="str">
        <f>IFERROR(VLOOKUP(TableHandbook[[#This Row],[UDC]],TableOBEDPR[],7,FALSE),"")</f>
        <v>Core</v>
      </c>
      <c r="N72" s="175" t="str">
        <f>IFERROR(VLOOKUP(TableHandbook[[#This Row],[UDC]],TableOBEDSC1[],7,FALSE),"")</f>
        <v/>
      </c>
      <c r="O72" s="173" t="str">
        <f>IFERROR(VLOOKUP(TableHandbook[[#This Row],[UDC]],TableOUMUARTST[],7,FALSE),"")</f>
        <v/>
      </c>
      <c r="P72" s="173" t="str">
        <f>IFERROR(VLOOKUP(TableHandbook[[#This Row],[UDC]],TableOUMUENGLT[],7,FALSE),"")</f>
        <v/>
      </c>
      <c r="Q72" s="173" t="str">
        <f>IFERROR(VLOOKUP(TableHandbook[[#This Row],[UDC]],TableOUMUHUSGE[],7,FALSE),"")</f>
        <v/>
      </c>
    </row>
    <row r="73" spans="1:17" x14ac:dyDescent="0.25">
      <c r="A73" s="10" t="s">
        <v>67</v>
      </c>
      <c r="B73" s="11">
        <v>1</v>
      </c>
      <c r="C73" s="11" t="s">
        <v>306</v>
      </c>
      <c r="D73" s="10" t="s">
        <v>432</v>
      </c>
      <c r="E73" s="11">
        <v>25</v>
      </c>
      <c r="F73" s="171" t="s">
        <v>277</v>
      </c>
      <c r="G73" s="87" t="str">
        <f>IFERROR(IF(VLOOKUP(TableHandbook[[#This Row],[UDC]],TableAvailabilities[],2,FALSE)&gt;0,"Y",""),"")</f>
        <v/>
      </c>
      <c r="H73" s="87" t="str">
        <f>IFERROR(IF(VLOOKUP(TableHandbook[[#This Row],[UDC]],TableAvailabilities[],3,FALSE)&gt;0,"Y",""),"")</f>
        <v>Y</v>
      </c>
      <c r="I73" s="87" t="str">
        <f>IFERROR(IF(VLOOKUP(TableHandbook[[#This Row],[UDC]],TableAvailabilities[],4,FALSE)&gt;0,"Y",""),"")</f>
        <v/>
      </c>
      <c r="J73" s="87" t="str">
        <f>IFERROR(IF(VLOOKUP(TableHandbook[[#This Row],[UDC]],TableAvailabilities[],5,FALSE)&gt;0,"Y",""),"")</f>
        <v>Y</v>
      </c>
      <c r="K73" s="176"/>
      <c r="L73" s="173" t="str">
        <f>IFERROR(VLOOKUP(TableHandbook[[#This Row],[UDC]],TableOBEDEC[],7,FALSE),"")</f>
        <v>Core</v>
      </c>
      <c r="M73" s="173" t="str">
        <f>IFERROR(VLOOKUP(TableHandbook[[#This Row],[UDC]],TableOBEDPR[],7,FALSE),"")</f>
        <v>Core</v>
      </c>
      <c r="N73" s="175" t="str">
        <f>IFERROR(VLOOKUP(TableHandbook[[#This Row],[UDC]],TableOBEDSC1[],7,FALSE),"")</f>
        <v/>
      </c>
      <c r="O73" s="173" t="str">
        <f>IFERROR(VLOOKUP(TableHandbook[[#This Row],[UDC]],TableOUMUARTST[],7,FALSE),"")</f>
        <v/>
      </c>
      <c r="P73" s="173" t="str">
        <f>IFERROR(VLOOKUP(TableHandbook[[#This Row],[UDC]],TableOUMUENGLT[],7,FALSE),"")</f>
        <v/>
      </c>
      <c r="Q73" s="173" t="str">
        <f>IFERROR(VLOOKUP(TableHandbook[[#This Row],[UDC]],TableOUMUHUSGE[],7,FALSE),"")</f>
        <v/>
      </c>
    </row>
    <row r="74" spans="1:17" x14ac:dyDescent="0.25">
      <c r="A74" s="205" t="s">
        <v>198</v>
      </c>
      <c r="B74" s="11">
        <v>1</v>
      </c>
      <c r="C74" s="11" t="s">
        <v>392</v>
      </c>
      <c r="D74" s="10" t="s">
        <v>692</v>
      </c>
      <c r="E74" s="11">
        <v>25</v>
      </c>
      <c r="F74" s="240" t="s">
        <v>433</v>
      </c>
      <c r="G74" s="87" t="str">
        <f>IFERROR(IF(VLOOKUP(TableHandbook[[#This Row],[UDC]],TableAvailabilities[],2,FALSE)&gt;0,"Y",""),"")</f>
        <v/>
      </c>
      <c r="H74" s="87" t="str">
        <f>IFERROR(IF(VLOOKUP(TableHandbook[[#This Row],[UDC]],TableAvailabilities[],3,FALSE)&gt;0,"Y",""),"")</f>
        <v/>
      </c>
      <c r="I74" s="87" t="str">
        <f>IFERROR(IF(VLOOKUP(TableHandbook[[#This Row],[UDC]],TableAvailabilities[],4,FALSE)&gt;0,"Y",""),"")</f>
        <v>Y</v>
      </c>
      <c r="J74" s="87" t="str">
        <f>IFERROR(IF(VLOOKUP(TableHandbook[[#This Row],[UDC]],TableAvailabilities[],5,FALSE)&gt;0,"Y",""),"")</f>
        <v/>
      </c>
      <c r="K74" s="256" t="s">
        <v>691</v>
      </c>
      <c r="L74" s="173" t="str">
        <f>IFERROR(VLOOKUP(TableHandbook[[#This Row],[UDC]],TableOBEDEC[],7,FALSE),"")</f>
        <v/>
      </c>
      <c r="M74" s="173" t="str">
        <f>IFERROR(VLOOKUP(TableHandbook[[#This Row],[UDC]],TableOBEDPR[],7,FALSE),"")</f>
        <v/>
      </c>
      <c r="N74" s="175" t="str">
        <f>IFERROR(VLOOKUP(TableHandbook[[#This Row],[UDC]],TableOBEDSC1[],7,FALSE),"")</f>
        <v>Core</v>
      </c>
      <c r="O74" s="173" t="str">
        <f>IFERROR(VLOOKUP(TableHandbook[[#This Row],[UDC]],TableOUMUARTST[],7,FALSE),"")</f>
        <v/>
      </c>
      <c r="P74" s="173" t="str">
        <f>IFERROR(VLOOKUP(TableHandbook[[#This Row],[UDC]],TableOUMUENGLT[],7,FALSE),"")</f>
        <v/>
      </c>
      <c r="Q74" s="173" t="str">
        <f>IFERROR(VLOOKUP(TableHandbook[[#This Row],[UDC]],TableOUMUHUSGE[],7,FALSE),"")</f>
        <v/>
      </c>
    </row>
    <row r="75" spans="1:17" x14ac:dyDescent="0.25">
      <c r="A75" s="205" t="s">
        <v>197</v>
      </c>
      <c r="B75" s="11">
        <v>1</v>
      </c>
      <c r="C75" s="11" t="s">
        <v>433</v>
      </c>
      <c r="D75" s="10" t="s">
        <v>434</v>
      </c>
      <c r="E75" s="11">
        <v>25</v>
      </c>
      <c r="F75" s="240" t="s">
        <v>277</v>
      </c>
      <c r="G75" s="87" t="str">
        <f>IFERROR(IF(VLOOKUP(TableHandbook[[#This Row],[UDC]],TableAvailabilities[],2,FALSE)&gt;0,"Y",""),"")</f>
        <v/>
      </c>
      <c r="H75" s="87" t="str">
        <f>IFERROR(IF(VLOOKUP(TableHandbook[[#This Row],[UDC]],TableAvailabilities[],3,FALSE)&gt;0,"Y",""),"")</f>
        <v>Y</v>
      </c>
      <c r="I75" s="87" t="str">
        <f>IFERROR(IF(VLOOKUP(TableHandbook[[#This Row],[UDC]],TableAvailabilities[],4,FALSE)&gt;0,"Y",""),"")</f>
        <v/>
      </c>
      <c r="J75" s="87" t="str">
        <f>IFERROR(IF(VLOOKUP(TableHandbook[[#This Row],[UDC]],TableAvailabilities[],5,FALSE)&gt;0,"Y",""),"")</f>
        <v>Y</v>
      </c>
      <c r="K75" s="176"/>
      <c r="L75" s="173" t="str">
        <f>IFERROR(VLOOKUP(TableHandbook[[#This Row],[UDC]],TableOBEDEC[],7,FALSE),"")</f>
        <v/>
      </c>
      <c r="M75" s="173" t="str">
        <f>IFERROR(VLOOKUP(TableHandbook[[#This Row],[UDC]],TableOBEDPR[],7,FALSE),"")</f>
        <v/>
      </c>
      <c r="N75" s="175" t="str">
        <f>IFERROR(VLOOKUP(TableHandbook[[#This Row],[UDC]],TableOBEDSC1[],7,FALSE),"")</f>
        <v>Core</v>
      </c>
      <c r="O75" s="173" t="str">
        <f>IFERROR(VLOOKUP(TableHandbook[[#This Row],[UDC]],TableOUMUARTST[],7,FALSE),"")</f>
        <v/>
      </c>
      <c r="P75" s="173" t="str">
        <f>IFERROR(VLOOKUP(TableHandbook[[#This Row],[UDC]],TableOUMUENGLT[],7,FALSE),"")</f>
        <v/>
      </c>
      <c r="Q75" s="173" t="str">
        <f>IFERROR(VLOOKUP(TableHandbook[[#This Row],[UDC]],TableOUMUHUSGE[],7,FALSE),"")</f>
        <v/>
      </c>
    </row>
    <row r="76" spans="1:17" x14ac:dyDescent="0.25">
      <c r="A76" s="205" t="s">
        <v>74</v>
      </c>
      <c r="B76" s="11">
        <v>1</v>
      </c>
      <c r="C76" s="11" t="s">
        <v>435</v>
      </c>
      <c r="D76" s="10" t="s">
        <v>436</v>
      </c>
      <c r="E76" s="11">
        <v>25</v>
      </c>
      <c r="F76" s="240" t="s">
        <v>277</v>
      </c>
      <c r="G76" s="87" t="str">
        <f>IFERROR(IF(VLOOKUP(TableHandbook[[#This Row],[UDC]],TableAvailabilities[],2,FALSE)&gt;0,"Y",""),"")</f>
        <v/>
      </c>
      <c r="H76" s="87" t="str">
        <f>IFERROR(IF(VLOOKUP(TableHandbook[[#This Row],[UDC]],TableAvailabilities[],3,FALSE)&gt;0,"Y",""),"")</f>
        <v>Y</v>
      </c>
      <c r="I76" s="87" t="str">
        <f>IFERROR(IF(VLOOKUP(TableHandbook[[#This Row],[UDC]],TableAvailabilities[],4,FALSE)&gt;0,"Y",""),"")</f>
        <v/>
      </c>
      <c r="J76" s="87" t="str">
        <f>IFERROR(IF(VLOOKUP(TableHandbook[[#This Row],[UDC]],TableAvailabilities[],5,FALSE)&gt;0,"Y",""),"")</f>
        <v>Y</v>
      </c>
      <c r="K76" s="176"/>
      <c r="L76" s="173" t="str">
        <f>IFERROR(VLOOKUP(TableHandbook[[#This Row],[UDC]],TableOBEDEC[],7,FALSE),"")</f>
        <v>Core</v>
      </c>
      <c r="M76" s="173" t="str">
        <f>IFERROR(VLOOKUP(TableHandbook[[#This Row],[UDC]],TableOBEDPR[],7,FALSE),"")</f>
        <v>Core</v>
      </c>
      <c r="N76" s="175" t="str">
        <f>IFERROR(VLOOKUP(TableHandbook[[#This Row],[UDC]],TableOBEDSC1[],7,FALSE),"")</f>
        <v>Core</v>
      </c>
      <c r="O76" s="173" t="str">
        <f>IFERROR(VLOOKUP(TableHandbook[[#This Row],[UDC]],TableOUMUARTST[],7,FALSE),"")</f>
        <v/>
      </c>
      <c r="P76" s="173" t="str">
        <f>IFERROR(VLOOKUP(TableHandbook[[#This Row],[UDC]],TableOUMUENGLT[],7,FALSE),"")</f>
        <v/>
      </c>
      <c r="Q76" s="173" t="str">
        <f>IFERROR(VLOOKUP(TableHandbook[[#This Row],[UDC]],TableOUMUHUSGE[],7,FALSE),"")</f>
        <v/>
      </c>
    </row>
    <row r="77" spans="1:17" x14ac:dyDescent="0.25">
      <c r="A77" s="10" t="s">
        <v>85</v>
      </c>
      <c r="B77" s="11">
        <v>1</v>
      </c>
      <c r="C77" s="11" t="s">
        <v>437</v>
      </c>
      <c r="D77" s="10" t="s">
        <v>438</v>
      </c>
      <c r="E77" s="11">
        <v>25</v>
      </c>
      <c r="F77" s="240" t="s">
        <v>310</v>
      </c>
      <c r="G77" s="87" t="str">
        <f>IFERROR(IF(VLOOKUP(TableHandbook[[#This Row],[UDC]],TableAvailabilities[],2,FALSE)&gt;0,"Y",""),"")</f>
        <v>Y</v>
      </c>
      <c r="H77" s="87" t="str">
        <f>IFERROR(IF(VLOOKUP(TableHandbook[[#This Row],[UDC]],TableAvailabilities[],3,FALSE)&gt;0,"Y",""),"")</f>
        <v/>
      </c>
      <c r="I77" s="87" t="str">
        <f>IFERROR(IF(VLOOKUP(TableHandbook[[#This Row],[UDC]],TableAvailabilities[],4,FALSE)&gt;0,"Y",""),"")</f>
        <v>Y</v>
      </c>
      <c r="J77" s="87" t="str">
        <f>IFERROR(IF(VLOOKUP(TableHandbook[[#This Row],[UDC]],TableAvailabilities[],5,FALSE)&gt;0,"Y",""),"")</f>
        <v/>
      </c>
      <c r="K77" s="176"/>
      <c r="L77" s="173" t="str">
        <f>IFERROR(VLOOKUP(TableHandbook[[#This Row],[UDC]],TableOBEDEC[],7,FALSE),"")</f>
        <v>Core</v>
      </c>
      <c r="M77" s="173" t="str">
        <f>IFERROR(VLOOKUP(TableHandbook[[#This Row],[UDC]],TableOBEDPR[],7,FALSE),"")</f>
        <v>Core</v>
      </c>
      <c r="N77" s="175" t="str">
        <f>IFERROR(VLOOKUP(TableHandbook[[#This Row],[UDC]],TableOBEDSC1[],7,FALSE),"")</f>
        <v/>
      </c>
      <c r="O77" s="173" t="str">
        <f>IFERROR(VLOOKUP(TableHandbook[[#This Row],[UDC]],TableOUMUARTST[],7,FALSE),"")</f>
        <v/>
      </c>
      <c r="P77" s="173" t="str">
        <f>IFERROR(VLOOKUP(TableHandbook[[#This Row],[UDC]],TableOUMUENGLT[],7,FALSE),"")</f>
        <v/>
      </c>
      <c r="Q77" s="173" t="str">
        <f>IFERROR(VLOOKUP(TableHandbook[[#This Row],[UDC]],TableOUMUHUSGE[],7,FALSE),"")</f>
        <v/>
      </c>
    </row>
    <row r="78" spans="1:17" x14ac:dyDescent="0.25">
      <c r="A78" s="10" t="s">
        <v>90</v>
      </c>
      <c r="B78" s="11">
        <v>1</v>
      </c>
      <c r="C78" s="11" t="s">
        <v>323</v>
      </c>
      <c r="D78" s="10" t="s">
        <v>439</v>
      </c>
      <c r="E78" s="11">
        <v>25</v>
      </c>
      <c r="F78" s="240" t="s">
        <v>440</v>
      </c>
      <c r="G78" s="87" t="str">
        <f>IFERROR(IF(VLOOKUP(TableHandbook[[#This Row],[UDC]],TableAvailabilities[],2,FALSE)&gt;0,"Y",""),"")</f>
        <v>Y</v>
      </c>
      <c r="H78" s="87" t="str">
        <f>IFERROR(IF(VLOOKUP(TableHandbook[[#This Row],[UDC]],TableAvailabilities[],3,FALSE)&gt;0,"Y",""),"")</f>
        <v/>
      </c>
      <c r="I78" s="87" t="str">
        <f>IFERROR(IF(VLOOKUP(TableHandbook[[#This Row],[UDC]],TableAvailabilities[],4,FALSE)&gt;0,"Y",""),"")</f>
        <v>Y</v>
      </c>
      <c r="J78" s="87" t="str">
        <f>IFERROR(IF(VLOOKUP(TableHandbook[[#This Row],[UDC]],TableAvailabilities[],5,FALSE)&gt;0,"Y",""),"")</f>
        <v/>
      </c>
      <c r="K78" s="241" t="s">
        <v>441</v>
      </c>
      <c r="L78" s="173" t="str">
        <f>IFERROR(VLOOKUP(TableHandbook[[#This Row],[UDC]],TableOBEDEC[],7,FALSE),"")</f>
        <v>Core</v>
      </c>
      <c r="M78" s="173" t="str">
        <f>IFERROR(VLOOKUP(TableHandbook[[#This Row],[UDC]],TableOBEDPR[],7,FALSE),"")</f>
        <v>Core</v>
      </c>
      <c r="N78" s="175" t="str">
        <f>IFERROR(VLOOKUP(TableHandbook[[#This Row],[UDC]],TableOBEDSC1[],7,FALSE),"")</f>
        <v/>
      </c>
      <c r="O78" s="173" t="str">
        <f>IFERROR(VLOOKUP(TableHandbook[[#This Row],[UDC]],TableOUMUARTST[],7,FALSE),"")</f>
        <v/>
      </c>
      <c r="P78" s="173" t="str">
        <f>IFERROR(VLOOKUP(TableHandbook[[#This Row],[UDC]],TableOUMUENGLT[],7,FALSE),"")</f>
        <v/>
      </c>
      <c r="Q78" s="173" t="str">
        <f>IFERROR(VLOOKUP(TableHandbook[[#This Row],[UDC]],TableOUMUHUSGE[],7,FALSE),"")</f>
        <v/>
      </c>
    </row>
    <row r="79" spans="1:17" x14ac:dyDescent="0.25">
      <c r="A79" s="205" t="s">
        <v>172</v>
      </c>
      <c r="B79" s="11">
        <v>1</v>
      </c>
      <c r="C79" s="11" t="s">
        <v>442</v>
      </c>
      <c r="D79" s="10" t="s">
        <v>443</v>
      </c>
      <c r="E79" s="11">
        <v>25</v>
      </c>
      <c r="F79" s="240" t="s">
        <v>444</v>
      </c>
      <c r="G79" s="87" t="str">
        <f>IFERROR(IF(VLOOKUP(TableHandbook[[#This Row],[UDC]],TableAvailabilities[],2,FALSE)&gt;0,"Y",""),"")</f>
        <v/>
      </c>
      <c r="H79" s="87" t="str">
        <f>IFERROR(IF(VLOOKUP(TableHandbook[[#This Row],[UDC]],TableAvailabilities[],3,FALSE)&gt;0,"Y",""),"")</f>
        <v/>
      </c>
      <c r="I79" s="87" t="str">
        <f>IFERROR(IF(VLOOKUP(TableHandbook[[#This Row],[UDC]],TableAvailabilities[],4,FALSE)&gt;0,"Y",""),"")</f>
        <v/>
      </c>
      <c r="J79" s="87" t="str">
        <f>IFERROR(IF(VLOOKUP(TableHandbook[[#This Row],[UDC]],TableAvailabilities[],5,FALSE)&gt;0,"Y",""),"")</f>
        <v/>
      </c>
      <c r="K79" s="238" t="s">
        <v>290</v>
      </c>
      <c r="L79" s="173" t="str">
        <f>IFERROR(VLOOKUP(TableHandbook[[#This Row],[UDC]],TableOBEDEC[],7,FALSE),"")</f>
        <v/>
      </c>
      <c r="M79" s="173" t="str">
        <f>IFERROR(VLOOKUP(TableHandbook[[#This Row],[UDC]],TableOBEDPR[],7,FALSE),"")</f>
        <v>Option</v>
      </c>
      <c r="N79" s="175" t="str">
        <f>IFERROR(VLOOKUP(TableHandbook[[#This Row],[UDC]],TableOBEDSC1[],7,FALSE),"")</f>
        <v/>
      </c>
      <c r="O79" s="173" t="str">
        <f>IFERROR(VLOOKUP(TableHandbook[[#This Row],[UDC]],TableOUMUARTST[],7,FALSE),"")</f>
        <v/>
      </c>
      <c r="P79" s="173" t="str">
        <f>IFERROR(VLOOKUP(TableHandbook[[#This Row],[UDC]],TableOUMUENGLT[],7,FALSE),"")</f>
        <v/>
      </c>
      <c r="Q79" s="173" t="str">
        <f>IFERROR(VLOOKUP(TableHandbook[[#This Row],[UDC]],TableOUMUHUSGE[],7,FALSE),"")</f>
        <v/>
      </c>
    </row>
    <row r="80" spans="1:17" x14ac:dyDescent="0.25">
      <c r="A80" s="205" t="s">
        <v>173</v>
      </c>
      <c r="B80" s="11">
        <v>1</v>
      </c>
      <c r="C80" s="11" t="s">
        <v>445</v>
      </c>
      <c r="D80" s="10" t="s">
        <v>446</v>
      </c>
      <c r="E80" s="11">
        <v>25</v>
      </c>
      <c r="F80" s="240" t="s">
        <v>444</v>
      </c>
      <c r="G80" s="87" t="str">
        <f>IFERROR(IF(VLOOKUP(TableHandbook[[#This Row],[UDC]],TableAvailabilities[],2,FALSE)&gt;0,"Y",""),"")</f>
        <v/>
      </c>
      <c r="H80" s="87" t="str">
        <f>IFERROR(IF(VLOOKUP(TableHandbook[[#This Row],[UDC]],TableAvailabilities[],3,FALSE)&gt;0,"Y",""),"")</f>
        <v/>
      </c>
      <c r="I80" s="87" t="str">
        <f>IFERROR(IF(VLOOKUP(TableHandbook[[#This Row],[UDC]],TableAvailabilities[],4,FALSE)&gt;0,"Y",""),"")</f>
        <v/>
      </c>
      <c r="J80" s="87" t="str">
        <f>IFERROR(IF(VLOOKUP(TableHandbook[[#This Row],[UDC]],TableAvailabilities[],5,FALSE)&gt;0,"Y",""),"")</f>
        <v/>
      </c>
      <c r="K80" s="238" t="s">
        <v>290</v>
      </c>
      <c r="L80" s="173" t="str">
        <f>IFERROR(VLOOKUP(TableHandbook[[#This Row],[UDC]],TableOBEDEC[],7,FALSE),"")</f>
        <v/>
      </c>
      <c r="M80" s="173" t="str">
        <f>IFERROR(VLOOKUP(TableHandbook[[#This Row],[UDC]],TableOBEDPR[],7,FALSE),"")</f>
        <v>Option</v>
      </c>
      <c r="N80" s="175" t="str">
        <f>IFERROR(VLOOKUP(TableHandbook[[#This Row],[UDC]],TableOBEDSC1[],7,FALSE),"")</f>
        <v/>
      </c>
      <c r="O80" s="173" t="str">
        <f>IFERROR(VLOOKUP(TableHandbook[[#This Row],[UDC]],TableOUMUARTST[],7,FALSE),"")</f>
        <v/>
      </c>
      <c r="P80" s="173" t="str">
        <f>IFERROR(VLOOKUP(TableHandbook[[#This Row],[UDC]],TableOUMUENGLT[],7,FALSE),"")</f>
        <v/>
      </c>
      <c r="Q80" s="173" t="str">
        <f>IFERROR(VLOOKUP(TableHandbook[[#This Row],[UDC]],TableOUMUHUSGE[],7,FALSE),"")</f>
        <v/>
      </c>
    </row>
    <row r="81" spans="1:17" x14ac:dyDescent="0.25">
      <c r="A81" s="10" t="s">
        <v>156</v>
      </c>
      <c r="B81" s="11">
        <v>1</v>
      </c>
      <c r="C81" s="11" t="s">
        <v>447</v>
      </c>
      <c r="D81" s="10" t="s">
        <v>448</v>
      </c>
      <c r="E81" s="11">
        <v>25</v>
      </c>
      <c r="F81" s="171" t="s">
        <v>277</v>
      </c>
      <c r="G81" s="87" t="str">
        <f>IFERROR(IF(VLOOKUP(TableHandbook[[#This Row],[UDC]],TableAvailabilities[],2,FALSE)&gt;0,"Y",""),"")</f>
        <v/>
      </c>
      <c r="H81" s="87" t="str">
        <f>IFERROR(IF(VLOOKUP(TableHandbook[[#This Row],[UDC]],TableAvailabilities[],3,FALSE)&gt;0,"Y",""),"")</f>
        <v>Y</v>
      </c>
      <c r="I81" s="87" t="str">
        <f>IFERROR(IF(VLOOKUP(TableHandbook[[#This Row],[UDC]],TableAvailabilities[],4,FALSE)&gt;0,"Y",""),"")</f>
        <v/>
      </c>
      <c r="J81" s="87" t="str">
        <f>IFERROR(IF(VLOOKUP(TableHandbook[[#This Row],[UDC]],TableAvailabilities[],5,FALSE)&gt;0,"Y",""),"")</f>
        <v/>
      </c>
      <c r="K81" s="176"/>
      <c r="L81" s="173" t="str">
        <f>IFERROR(VLOOKUP(TableHandbook[[#This Row],[UDC]],TableOBEDEC[],7,FALSE),"")</f>
        <v>Option</v>
      </c>
      <c r="M81" s="173" t="str">
        <f>IFERROR(VLOOKUP(TableHandbook[[#This Row],[UDC]],TableOBEDPR[],7,FALSE),"")</f>
        <v>Option</v>
      </c>
      <c r="N81" s="175" t="str">
        <f>IFERROR(VLOOKUP(TableHandbook[[#This Row],[UDC]],TableOBEDSC1[],7,FALSE),"")</f>
        <v/>
      </c>
      <c r="O81" s="173" t="str">
        <f>IFERROR(VLOOKUP(TableHandbook[[#This Row],[UDC]],TableOUMUARTST[],7,FALSE),"")</f>
        <v>Option</v>
      </c>
      <c r="P81" s="173" t="str">
        <f>IFERROR(VLOOKUP(TableHandbook[[#This Row],[UDC]],TableOUMUENGLT[],7,FALSE),"")</f>
        <v>Core</v>
      </c>
      <c r="Q81" s="173" t="str">
        <f>IFERROR(VLOOKUP(TableHandbook[[#This Row],[UDC]],TableOUMUHUSGE[],7,FALSE),"")</f>
        <v>Option</v>
      </c>
    </row>
    <row r="82" spans="1:17" x14ac:dyDescent="0.25">
      <c r="A82" s="10" t="s">
        <v>157</v>
      </c>
      <c r="B82" s="11">
        <v>1</v>
      </c>
      <c r="C82" s="11" t="s">
        <v>449</v>
      </c>
      <c r="D82" s="10" t="s">
        <v>450</v>
      </c>
      <c r="E82" s="11">
        <v>25</v>
      </c>
      <c r="F82" s="171" t="s">
        <v>277</v>
      </c>
      <c r="G82" s="87" t="str">
        <f>IFERROR(IF(VLOOKUP(TableHandbook[[#This Row],[UDC]],TableAvailabilities[],2,FALSE)&gt;0,"Y",""),"")</f>
        <v/>
      </c>
      <c r="H82" s="87" t="str">
        <f>IFERROR(IF(VLOOKUP(TableHandbook[[#This Row],[UDC]],TableAvailabilities[],3,FALSE)&gt;0,"Y",""),"")</f>
        <v/>
      </c>
      <c r="I82" s="87" t="str">
        <f>IFERROR(IF(VLOOKUP(TableHandbook[[#This Row],[UDC]],TableAvailabilities[],4,FALSE)&gt;0,"Y",""),"")</f>
        <v>Y</v>
      </c>
      <c r="J82" s="87" t="str">
        <f>IFERROR(IF(VLOOKUP(TableHandbook[[#This Row],[UDC]],TableAvailabilities[],5,FALSE)&gt;0,"Y",""),"")</f>
        <v/>
      </c>
      <c r="K82" s="176"/>
      <c r="L82" s="173" t="str">
        <f>IFERROR(VLOOKUP(TableHandbook[[#This Row],[UDC]],TableOBEDEC[],7,FALSE),"")</f>
        <v>Option</v>
      </c>
      <c r="M82" s="173" t="str">
        <f>IFERROR(VLOOKUP(TableHandbook[[#This Row],[UDC]],TableOBEDPR[],7,FALSE),"")</f>
        <v>Option</v>
      </c>
      <c r="N82" s="175" t="str">
        <f>IFERROR(VLOOKUP(TableHandbook[[#This Row],[UDC]],TableOBEDSC1[],7,FALSE),"")</f>
        <v/>
      </c>
      <c r="O82" s="173" t="str">
        <f>IFERROR(VLOOKUP(TableHandbook[[#This Row],[UDC]],TableOUMUARTST[],7,FALSE),"")</f>
        <v>Option</v>
      </c>
      <c r="P82" s="173" t="str">
        <f>IFERROR(VLOOKUP(TableHandbook[[#This Row],[UDC]],TableOUMUENGLT[],7,FALSE),"")</f>
        <v>Core</v>
      </c>
      <c r="Q82" s="173" t="str">
        <f>IFERROR(VLOOKUP(TableHandbook[[#This Row],[UDC]],TableOUMUHUSGE[],7,FALSE),"")</f>
        <v>Option</v>
      </c>
    </row>
    <row r="83" spans="1:17" x14ac:dyDescent="0.25">
      <c r="A83" s="10" t="s">
        <v>152</v>
      </c>
      <c r="B83" s="11">
        <v>1</v>
      </c>
      <c r="C83" s="11" t="s">
        <v>451</v>
      </c>
      <c r="D83" s="10" t="s">
        <v>452</v>
      </c>
      <c r="E83" s="11">
        <v>25</v>
      </c>
      <c r="F83" s="171" t="s">
        <v>277</v>
      </c>
      <c r="G83" s="87" t="str">
        <f>IFERROR(IF(VLOOKUP(TableHandbook[[#This Row],[UDC]],TableAvailabilities[],2,FALSE)&gt;0,"Y",""),"")</f>
        <v/>
      </c>
      <c r="H83" s="87" t="str">
        <f>IFERROR(IF(VLOOKUP(TableHandbook[[#This Row],[UDC]],TableAvailabilities[],3,FALSE)&gt;0,"Y",""),"")</f>
        <v/>
      </c>
      <c r="I83" s="87" t="str">
        <f>IFERROR(IF(VLOOKUP(TableHandbook[[#This Row],[UDC]],TableAvailabilities[],4,FALSE)&gt;0,"Y",""),"")</f>
        <v>Y</v>
      </c>
      <c r="J83" s="87" t="str">
        <f>IFERROR(IF(VLOOKUP(TableHandbook[[#This Row],[UDC]],TableAvailabilities[],5,FALSE)&gt;0,"Y",""),"")</f>
        <v/>
      </c>
      <c r="K83" s="176"/>
      <c r="L83" s="173" t="str">
        <f>IFERROR(VLOOKUP(TableHandbook[[#This Row],[UDC]],TableOBEDEC[],7,FALSE),"")</f>
        <v>Option</v>
      </c>
      <c r="M83" s="173" t="str">
        <f>IFERROR(VLOOKUP(TableHandbook[[#This Row],[UDC]],TableOBEDPR[],7,FALSE),"")</f>
        <v>Option</v>
      </c>
      <c r="N83" s="175" t="str">
        <f>IFERROR(VLOOKUP(TableHandbook[[#This Row],[UDC]],TableOBEDSC1[],7,FALSE),"")</f>
        <v/>
      </c>
      <c r="O83" s="173" t="str">
        <f>IFERROR(VLOOKUP(TableHandbook[[#This Row],[UDC]],TableOUMUARTST[],7,FALSE),"")</f>
        <v>Option</v>
      </c>
      <c r="P83" s="173" t="str">
        <f>IFERROR(VLOOKUP(TableHandbook[[#This Row],[UDC]],TableOUMUENGLT[],7,FALSE),"")</f>
        <v>Option</v>
      </c>
      <c r="Q83" s="173" t="str">
        <f>IFERROR(VLOOKUP(TableHandbook[[#This Row],[UDC]],TableOUMUHUSGE[],7,FALSE),"")</f>
        <v>Option</v>
      </c>
    </row>
    <row r="84" spans="1:17" x14ac:dyDescent="0.25">
      <c r="A84" s="10" t="s">
        <v>160</v>
      </c>
      <c r="B84" s="11">
        <v>1</v>
      </c>
      <c r="C84" s="11" t="s">
        <v>453</v>
      </c>
      <c r="D84" s="10" t="s">
        <v>454</v>
      </c>
      <c r="E84" s="11">
        <v>25</v>
      </c>
      <c r="F84" s="171" t="s">
        <v>277</v>
      </c>
      <c r="G84" s="87" t="str">
        <f>IFERROR(IF(VLOOKUP(TableHandbook[[#This Row],[UDC]],TableAvailabilities[],2,FALSE)&gt;0,"Y",""),"")</f>
        <v/>
      </c>
      <c r="H84" s="87" t="str">
        <f>IFERROR(IF(VLOOKUP(TableHandbook[[#This Row],[UDC]],TableAvailabilities[],3,FALSE)&gt;0,"Y",""),"")</f>
        <v/>
      </c>
      <c r="I84" s="87" t="str">
        <f>IFERROR(IF(VLOOKUP(TableHandbook[[#This Row],[UDC]],TableAvailabilities[],4,FALSE)&gt;0,"Y",""),"")</f>
        <v/>
      </c>
      <c r="J84" s="87" t="str">
        <f>IFERROR(IF(VLOOKUP(TableHandbook[[#This Row],[UDC]],TableAvailabilities[],5,FALSE)&gt;0,"Y",""),"")</f>
        <v>Y</v>
      </c>
      <c r="K84" s="176"/>
      <c r="L84" s="173" t="str">
        <f>IFERROR(VLOOKUP(TableHandbook[[#This Row],[UDC]],TableOBEDEC[],7,FALSE),"")</f>
        <v>Option</v>
      </c>
      <c r="M84" s="173" t="str">
        <f>IFERROR(VLOOKUP(TableHandbook[[#This Row],[UDC]],TableOBEDPR[],7,FALSE),"")</f>
        <v>Option</v>
      </c>
      <c r="N84" s="175" t="str">
        <f>IFERROR(VLOOKUP(TableHandbook[[#This Row],[UDC]],TableOBEDSC1[],7,FALSE),"")</f>
        <v/>
      </c>
      <c r="O84" s="173" t="str">
        <f>IFERROR(VLOOKUP(TableHandbook[[#This Row],[UDC]],TableOUMUARTST[],7,FALSE),"")</f>
        <v>Option</v>
      </c>
      <c r="P84" s="173" t="str">
        <f>IFERROR(VLOOKUP(TableHandbook[[#This Row],[UDC]],TableOUMUENGLT[],7,FALSE),"")</f>
        <v>Option</v>
      </c>
      <c r="Q84" s="173" t="str">
        <f>IFERROR(VLOOKUP(TableHandbook[[#This Row],[UDC]],TableOUMUHUSGE[],7,FALSE),"")</f>
        <v/>
      </c>
    </row>
    <row r="85" spans="1:17" x14ac:dyDescent="0.25">
      <c r="A85" s="10" t="s">
        <v>164</v>
      </c>
      <c r="B85" s="11">
        <v>1</v>
      </c>
      <c r="C85" s="11" t="s">
        <v>455</v>
      </c>
      <c r="D85" s="10" t="s">
        <v>456</v>
      </c>
      <c r="E85" s="11">
        <v>25</v>
      </c>
      <c r="F85" s="171" t="s">
        <v>277</v>
      </c>
      <c r="G85" s="87" t="str">
        <f>IFERROR(IF(VLOOKUP(TableHandbook[[#This Row],[UDC]],TableAvailabilities[],2,FALSE)&gt;0,"Y",""),"")</f>
        <v/>
      </c>
      <c r="H85" s="87" t="str">
        <f>IFERROR(IF(VLOOKUP(TableHandbook[[#This Row],[UDC]],TableAvailabilities[],3,FALSE)&gt;0,"Y",""),"")</f>
        <v>Y</v>
      </c>
      <c r="I85" s="87" t="str">
        <f>IFERROR(IF(VLOOKUP(TableHandbook[[#This Row],[UDC]],TableAvailabilities[],4,FALSE)&gt;0,"Y",""),"")</f>
        <v/>
      </c>
      <c r="J85" s="87" t="str">
        <f>IFERROR(IF(VLOOKUP(TableHandbook[[#This Row],[UDC]],TableAvailabilities[],5,FALSE)&gt;0,"Y",""),"")</f>
        <v/>
      </c>
      <c r="K85" s="176"/>
      <c r="L85" s="173" t="str">
        <f>IFERROR(VLOOKUP(TableHandbook[[#This Row],[UDC]],TableOBEDEC[],7,FALSE),"")</f>
        <v>Option</v>
      </c>
      <c r="M85" s="173" t="str">
        <f>IFERROR(VLOOKUP(TableHandbook[[#This Row],[UDC]],TableOBEDPR[],7,FALSE),"")</f>
        <v>Option</v>
      </c>
      <c r="N85" s="175" t="str">
        <f>IFERROR(VLOOKUP(TableHandbook[[#This Row],[UDC]],TableOBEDSC1[],7,FALSE),"")</f>
        <v/>
      </c>
      <c r="O85" s="173" t="str">
        <f>IFERROR(VLOOKUP(TableHandbook[[#This Row],[UDC]],TableOUMUARTST[],7,FALSE),"")</f>
        <v>Option</v>
      </c>
      <c r="P85" s="173" t="str">
        <f>IFERROR(VLOOKUP(TableHandbook[[#This Row],[UDC]],TableOUMUENGLT[],7,FALSE),"")</f>
        <v>Option</v>
      </c>
      <c r="Q85" s="173" t="str">
        <f>IFERROR(VLOOKUP(TableHandbook[[#This Row],[UDC]],TableOUMUHUSGE[],7,FALSE),"")</f>
        <v>Option</v>
      </c>
    </row>
    <row r="86" spans="1:17" x14ac:dyDescent="0.25">
      <c r="A86" s="10" t="s">
        <v>153</v>
      </c>
      <c r="B86" s="11">
        <v>1</v>
      </c>
      <c r="C86" s="11" t="s">
        <v>457</v>
      </c>
      <c r="D86" s="10" t="s">
        <v>458</v>
      </c>
      <c r="E86" s="11">
        <v>25</v>
      </c>
      <c r="F86" s="171" t="s">
        <v>277</v>
      </c>
      <c r="G86" s="87" t="str">
        <f>IFERROR(IF(VLOOKUP(TableHandbook[[#This Row],[UDC]],TableAvailabilities[],2,FALSE)&gt;0,"Y",""),"")</f>
        <v/>
      </c>
      <c r="H86" s="87" t="str">
        <f>IFERROR(IF(VLOOKUP(TableHandbook[[#This Row],[UDC]],TableAvailabilities[],3,FALSE)&gt;0,"Y",""),"")</f>
        <v>Y</v>
      </c>
      <c r="I86" s="87" t="str">
        <f>IFERROR(IF(VLOOKUP(TableHandbook[[#This Row],[UDC]],TableAvailabilities[],4,FALSE)&gt;0,"Y",""),"")</f>
        <v/>
      </c>
      <c r="J86" s="87" t="str">
        <f>IFERROR(IF(VLOOKUP(TableHandbook[[#This Row],[UDC]],TableAvailabilities[],5,FALSE)&gt;0,"Y",""),"")</f>
        <v/>
      </c>
      <c r="K86" s="176"/>
      <c r="L86" s="173" t="str">
        <f>IFERROR(VLOOKUP(TableHandbook[[#This Row],[UDC]],TableOBEDEC[],7,FALSE),"")</f>
        <v>Option</v>
      </c>
      <c r="M86" s="173" t="str">
        <f>IFERROR(VLOOKUP(TableHandbook[[#This Row],[UDC]],TableOBEDPR[],7,FALSE),"")</f>
        <v>Option</v>
      </c>
      <c r="N86" s="175" t="str">
        <f>IFERROR(VLOOKUP(TableHandbook[[#This Row],[UDC]],TableOBEDSC1[],7,FALSE),"")</f>
        <v/>
      </c>
      <c r="O86" s="173" t="str">
        <f>IFERROR(VLOOKUP(TableHandbook[[#This Row],[UDC]],TableOUMUARTST[],7,FALSE),"")</f>
        <v>Option</v>
      </c>
      <c r="P86" s="173" t="str">
        <f>IFERROR(VLOOKUP(TableHandbook[[#This Row],[UDC]],TableOUMUENGLT[],7,FALSE),"")</f>
        <v>Option</v>
      </c>
      <c r="Q86" s="173" t="str">
        <f>IFERROR(VLOOKUP(TableHandbook[[#This Row],[UDC]],TableOUMUHUSGE[],7,FALSE),"")</f>
        <v>Option</v>
      </c>
    </row>
    <row r="87" spans="1:17" x14ac:dyDescent="0.25">
      <c r="A87" s="10" t="s">
        <v>154</v>
      </c>
      <c r="B87" s="11">
        <v>1</v>
      </c>
      <c r="C87" s="11" t="s">
        <v>459</v>
      </c>
      <c r="D87" s="10" t="s">
        <v>460</v>
      </c>
      <c r="E87" s="11">
        <v>25</v>
      </c>
      <c r="F87" s="171" t="s">
        <v>277</v>
      </c>
      <c r="G87" s="87" t="str">
        <f>IFERROR(IF(VLOOKUP(TableHandbook[[#This Row],[UDC]],TableAvailabilities[],2,FALSE)&gt;0,"Y",""),"")</f>
        <v>Y</v>
      </c>
      <c r="H87" s="87" t="str">
        <f>IFERROR(IF(VLOOKUP(TableHandbook[[#This Row],[UDC]],TableAvailabilities[],3,FALSE)&gt;0,"Y",""),"")</f>
        <v/>
      </c>
      <c r="I87" s="87" t="str">
        <f>IFERROR(IF(VLOOKUP(TableHandbook[[#This Row],[UDC]],TableAvailabilities[],4,FALSE)&gt;0,"Y",""),"")</f>
        <v/>
      </c>
      <c r="J87" s="87" t="str">
        <f>IFERROR(IF(VLOOKUP(TableHandbook[[#This Row],[UDC]],TableAvailabilities[],5,FALSE)&gt;0,"Y",""),"")</f>
        <v/>
      </c>
      <c r="K87" s="176"/>
      <c r="L87" s="173" t="str">
        <f>IFERROR(VLOOKUP(TableHandbook[[#This Row],[UDC]],TableOBEDEC[],7,FALSE),"")</f>
        <v>Option</v>
      </c>
      <c r="M87" s="173" t="str">
        <f>IFERROR(VLOOKUP(TableHandbook[[#This Row],[UDC]],TableOBEDPR[],7,FALSE),"")</f>
        <v>Option</v>
      </c>
      <c r="N87" s="175" t="str">
        <f>IFERROR(VLOOKUP(TableHandbook[[#This Row],[UDC]],TableOBEDSC1[],7,FALSE),"")</f>
        <v/>
      </c>
      <c r="O87" s="173" t="str">
        <f>IFERROR(VLOOKUP(TableHandbook[[#This Row],[UDC]],TableOUMUARTST[],7,FALSE),"")</f>
        <v>Option</v>
      </c>
      <c r="P87" s="173" t="str">
        <f>IFERROR(VLOOKUP(TableHandbook[[#This Row],[UDC]],TableOUMUENGLT[],7,FALSE),"")</f>
        <v>Option</v>
      </c>
      <c r="Q87" s="173" t="str">
        <f>IFERROR(VLOOKUP(TableHandbook[[#This Row],[UDC]],TableOUMUHUSGE[],7,FALSE),"")</f>
        <v>Option</v>
      </c>
    </row>
    <row r="88" spans="1:17" x14ac:dyDescent="0.25">
      <c r="A88" s="10" t="s">
        <v>158</v>
      </c>
      <c r="B88" s="11">
        <v>1</v>
      </c>
      <c r="C88" s="11" t="s">
        <v>461</v>
      </c>
      <c r="D88" s="10" t="s">
        <v>462</v>
      </c>
      <c r="E88" s="11">
        <v>25</v>
      </c>
      <c r="F88" s="171" t="s">
        <v>277</v>
      </c>
      <c r="G88" s="87" t="str">
        <f>IFERROR(IF(VLOOKUP(TableHandbook[[#This Row],[UDC]],TableAvailabilities[],2,FALSE)&gt;0,"Y",""),"")</f>
        <v/>
      </c>
      <c r="H88" s="87" t="str">
        <f>IFERROR(IF(VLOOKUP(TableHandbook[[#This Row],[UDC]],TableAvailabilities[],3,FALSE)&gt;0,"Y",""),"")</f>
        <v/>
      </c>
      <c r="I88" s="87" t="str">
        <f>IFERROR(IF(VLOOKUP(TableHandbook[[#This Row],[UDC]],TableAvailabilities[],4,FALSE)&gt;0,"Y",""),"")</f>
        <v/>
      </c>
      <c r="J88" s="87" t="str">
        <f>IFERROR(IF(VLOOKUP(TableHandbook[[#This Row],[UDC]],TableAvailabilities[],5,FALSE)&gt;0,"Y",""),"")</f>
        <v>Y</v>
      </c>
      <c r="K88" s="176"/>
      <c r="L88" s="173" t="str">
        <f>IFERROR(VLOOKUP(TableHandbook[[#This Row],[UDC]],TableOBEDEC[],7,FALSE),"")</f>
        <v>Option</v>
      </c>
      <c r="M88" s="173" t="str">
        <f>IFERROR(VLOOKUP(TableHandbook[[#This Row],[UDC]],TableOBEDPR[],7,FALSE),"")</f>
        <v>Option</v>
      </c>
      <c r="N88" s="175" t="str">
        <f>IFERROR(VLOOKUP(TableHandbook[[#This Row],[UDC]],TableOBEDSC1[],7,FALSE),"")</f>
        <v/>
      </c>
      <c r="O88" s="173" t="str">
        <f>IFERROR(VLOOKUP(TableHandbook[[#This Row],[UDC]],TableOUMUARTST[],7,FALSE),"")</f>
        <v>Option</v>
      </c>
      <c r="P88" s="173" t="str">
        <f>IFERROR(VLOOKUP(TableHandbook[[#This Row],[UDC]],TableOUMUENGLT[],7,FALSE),"")</f>
        <v>Option</v>
      </c>
      <c r="Q88" s="173" t="str">
        <f>IFERROR(VLOOKUP(TableHandbook[[#This Row],[UDC]],TableOUMUHUSGE[],7,FALSE),"")</f>
        <v>Option</v>
      </c>
    </row>
    <row r="89" spans="1:17" x14ac:dyDescent="0.25">
      <c r="A89" s="10" t="s">
        <v>165</v>
      </c>
      <c r="B89" s="11">
        <v>1</v>
      </c>
      <c r="C89" s="11" t="s">
        <v>463</v>
      </c>
      <c r="D89" s="10" t="s">
        <v>464</v>
      </c>
      <c r="E89" s="11">
        <v>25</v>
      </c>
      <c r="F89" s="171" t="s">
        <v>277</v>
      </c>
      <c r="G89" s="87" t="str">
        <f>IFERROR(IF(VLOOKUP(TableHandbook[[#This Row],[UDC]],TableAvailabilities[],2,FALSE)&gt;0,"Y",""),"")</f>
        <v>Y</v>
      </c>
      <c r="H89" s="87" t="str">
        <f>IFERROR(IF(VLOOKUP(TableHandbook[[#This Row],[UDC]],TableAvailabilities[],3,FALSE)&gt;0,"Y",""),"")</f>
        <v/>
      </c>
      <c r="I89" s="87" t="str">
        <f>IFERROR(IF(VLOOKUP(TableHandbook[[#This Row],[UDC]],TableAvailabilities[],4,FALSE)&gt;0,"Y",""),"")</f>
        <v/>
      </c>
      <c r="J89" s="87" t="str">
        <f>IFERROR(IF(VLOOKUP(TableHandbook[[#This Row],[UDC]],TableAvailabilities[],5,FALSE)&gt;0,"Y",""),"")</f>
        <v/>
      </c>
      <c r="K89" s="176"/>
      <c r="L89" s="173" t="str">
        <f>IFERROR(VLOOKUP(TableHandbook[[#This Row],[UDC]],TableOBEDEC[],7,FALSE),"")</f>
        <v>Option</v>
      </c>
      <c r="M89" s="173" t="str">
        <f>IFERROR(VLOOKUP(TableHandbook[[#This Row],[UDC]],TableOBEDPR[],7,FALSE),"")</f>
        <v>Option</v>
      </c>
      <c r="N89" s="175" t="str">
        <f>IFERROR(VLOOKUP(TableHandbook[[#This Row],[UDC]],TableOBEDSC1[],7,FALSE),"")</f>
        <v/>
      </c>
      <c r="O89" s="173" t="str">
        <f>IFERROR(VLOOKUP(TableHandbook[[#This Row],[UDC]],TableOUMUARTST[],7,FALSE),"")</f>
        <v>Option</v>
      </c>
      <c r="P89" s="173" t="str">
        <f>IFERROR(VLOOKUP(TableHandbook[[#This Row],[UDC]],TableOUMUENGLT[],7,FALSE),"")</f>
        <v>Option</v>
      </c>
      <c r="Q89" s="173" t="str">
        <f>IFERROR(VLOOKUP(TableHandbook[[#This Row],[UDC]],TableOUMUHUSGE[],7,FALSE),"")</f>
        <v>Option</v>
      </c>
    </row>
    <row r="90" spans="1:17" x14ac:dyDescent="0.25">
      <c r="A90" s="10" t="s">
        <v>142</v>
      </c>
      <c r="B90" s="11">
        <v>1</v>
      </c>
      <c r="C90" s="11" t="s">
        <v>465</v>
      </c>
      <c r="D90" s="10" t="s">
        <v>466</v>
      </c>
      <c r="E90" s="11">
        <v>100</v>
      </c>
      <c r="F90" s="171" t="s">
        <v>467</v>
      </c>
      <c r="G90" s="87" t="str">
        <f>IFERROR(IF(VLOOKUP(TableHandbook[[#This Row],[UDC]],TableAvailabilities[],2,FALSE)&gt;0,"Y",""),"")</f>
        <v>Y</v>
      </c>
      <c r="H90" s="87" t="str">
        <f>IFERROR(IF(VLOOKUP(TableHandbook[[#This Row],[UDC]],TableAvailabilities[],3,FALSE)&gt;0,"Y",""),"")</f>
        <v>Y</v>
      </c>
      <c r="I90" s="87" t="str">
        <f>IFERROR(IF(VLOOKUP(TableHandbook[[#This Row],[UDC]],TableAvailabilities[],4,FALSE)&gt;0,"Y",""),"")</f>
        <v>Y</v>
      </c>
      <c r="J90" s="87" t="str">
        <f>IFERROR(IF(VLOOKUP(TableHandbook[[#This Row],[UDC]],TableAvailabilities[],5,FALSE)&gt;0,"Y",""),"")</f>
        <v>Y</v>
      </c>
      <c r="K90" s="176"/>
      <c r="L90" s="173" t="str">
        <f>IFERROR(VLOOKUP(TableHandbook[[#This Row],[UDC]],TableOBEDEC[],7,FALSE),"")</f>
        <v>Core</v>
      </c>
      <c r="M90" s="173" t="str">
        <f>IFERROR(VLOOKUP(TableHandbook[[#This Row],[UDC]],TableOBEDPR[],7,FALSE),"")</f>
        <v>Core</v>
      </c>
      <c r="N90" s="175" t="str">
        <f>IFERROR(VLOOKUP(TableHandbook[[#This Row],[UDC]],TableOBEDSC1[],7,FALSE),"")</f>
        <v>Core</v>
      </c>
      <c r="O90" s="173" t="str">
        <f>IFERROR(VLOOKUP(TableHandbook[[#This Row],[UDC]],TableOUMUARTST[],7,FALSE),"")</f>
        <v/>
      </c>
      <c r="P90" s="173" t="str">
        <f>IFERROR(VLOOKUP(TableHandbook[[#This Row],[UDC]],TableOUMUENGLT[],7,FALSE),"")</f>
        <v/>
      </c>
      <c r="Q90" s="173" t="str">
        <f>IFERROR(VLOOKUP(TableHandbook[[#This Row],[UDC]],TableOUMUHUSGE[],7,FALSE),"")</f>
        <v/>
      </c>
    </row>
    <row r="91" spans="1:17" x14ac:dyDescent="0.25">
      <c r="A91" s="10" t="s">
        <v>161</v>
      </c>
      <c r="B91" s="11">
        <v>1</v>
      </c>
      <c r="C91" s="11" t="s">
        <v>468</v>
      </c>
      <c r="D91" s="10" t="s">
        <v>469</v>
      </c>
      <c r="E91" s="11">
        <v>25</v>
      </c>
      <c r="F91" s="171" t="s">
        <v>277</v>
      </c>
      <c r="G91" s="87" t="str">
        <f>IFERROR(IF(VLOOKUP(TableHandbook[[#This Row],[UDC]],TableAvailabilities[],2,FALSE)&gt;0,"Y",""),"")</f>
        <v/>
      </c>
      <c r="H91" s="87" t="str">
        <f>IFERROR(IF(VLOOKUP(TableHandbook[[#This Row],[UDC]],TableAvailabilities[],3,FALSE)&gt;0,"Y",""),"")</f>
        <v>Y</v>
      </c>
      <c r="I91" s="87" t="str">
        <f>IFERROR(IF(VLOOKUP(TableHandbook[[#This Row],[UDC]],TableAvailabilities[],4,FALSE)&gt;0,"Y",""),"")</f>
        <v/>
      </c>
      <c r="J91" s="87" t="str">
        <f>IFERROR(IF(VLOOKUP(TableHandbook[[#This Row],[UDC]],TableAvailabilities[],5,FALSE)&gt;0,"Y",""),"")</f>
        <v/>
      </c>
      <c r="K91" s="176"/>
      <c r="L91" s="173" t="str">
        <f>IFERROR(VLOOKUP(TableHandbook[[#This Row],[UDC]],TableOBEDEC[],7,FALSE),"")</f>
        <v>Option</v>
      </c>
      <c r="M91" s="173" t="str">
        <f>IFERROR(VLOOKUP(TableHandbook[[#This Row],[UDC]],TableOBEDPR[],7,FALSE),"")</f>
        <v>Option</v>
      </c>
      <c r="N91" s="175" t="str">
        <f>IFERROR(VLOOKUP(TableHandbook[[#This Row],[UDC]],TableOBEDSC1[],7,FALSE),"")</f>
        <v/>
      </c>
      <c r="O91" s="173" t="str">
        <f>IFERROR(VLOOKUP(TableHandbook[[#This Row],[UDC]],TableOUMUARTST[],7,FALSE),"")</f>
        <v>Option</v>
      </c>
      <c r="P91" s="173" t="str">
        <f>IFERROR(VLOOKUP(TableHandbook[[#This Row],[UDC]],TableOUMUENGLT[],7,FALSE),"")</f>
        <v>Option</v>
      </c>
      <c r="Q91" s="173" t="str">
        <f>IFERROR(VLOOKUP(TableHandbook[[#This Row],[UDC]],TableOUMUHUSGE[],7,FALSE),"")</f>
        <v>Option</v>
      </c>
    </row>
    <row r="92" spans="1:17" x14ac:dyDescent="0.25">
      <c r="A92" s="10" t="s">
        <v>162</v>
      </c>
      <c r="B92" s="11">
        <v>2</v>
      </c>
      <c r="C92" s="11" t="s">
        <v>470</v>
      </c>
      <c r="D92" s="10" t="s">
        <v>471</v>
      </c>
      <c r="E92" s="11">
        <v>25</v>
      </c>
      <c r="F92" s="171" t="s">
        <v>277</v>
      </c>
      <c r="G92" s="87" t="str">
        <f>IFERROR(IF(VLOOKUP(TableHandbook[[#This Row],[UDC]],TableAvailabilities[],2,FALSE)&gt;0,"Y",""),"")</f>
        <v/>
      </c>
      <c r="H92" s="87" t="str">
        <f>IFERROR(IF(VLOOKUP(TableHandbook[[#This Row],[UDC]],TableAvailabilities[],3,FALSE)&gt;0,"Y",""),"")</f>
        <v/>
      </c>
      <c r="I92" s="87" t="str">
        <f>IFERROR(IF(VLOOKUP(TableHandbook[[#This Row],[UDC]],TableAvailabilities[],4,FALSE)&gt;0,"Y",""),"")</f>
        <v>Y</v>
      </c>
      <c r="J92" s="87" t="str">
        <f>IFERROR(IF(VLOOKUP(TableHandbook[[#This Row],[UDC]],TableAvailabilities[],5,FALSE)&gt;0,"Y",""),"")</f>
        <v/>
      </c>
      <c r="K92" s="176"/>
      <c r="L92" s="173" t="str">
        <f>IFERROR(VLOOKUP(TableHandbook[[#This Row],[UDC]],TableOBEDEC[],7,FALSE),"")</f>
        <v>Option</v>
      </c>
      <c r="M92" s="173" t="str">
        <f>IFERROR(VLOOKUP(TableHandbook[[#This Row],[UDC]],TableOBEDPR[],7,FALSE),"")</f>
        <v>Option</v>
      </c>
      <c r="N92" s="175" t="str">
        <f>IFERROR(VLOOKUP(TableHandbook[[#This Row],[UDC]],TableOBEDSC1[],7,FALSE),"")</f>
        <v/>
      </c>
      <c r="O92" s="173" t="str">
        <f>IFERROR(VLOOKUP(TableHandbook[[#This Row],[UDC]],TableOUMUARTST[],7,FALSE),"")</f>
        <v>Option</v>
      </c>
      <c r="P92" s="173" t="str">
        <f>IFERROR(VLOOKUP(TableHandbook[[#This Row],[UDC]],TableOUMUENGLT[],7,FALSE),"")</f>
        <v>Option</v>
      </c>
      <c r="Q92" s="173" t="str">
        <f>IFERROR(VLOOKUP(TableHandbook[[#This Row],[UDC]],TableOUMUHUSGE[],7,FALSE),"")</f>
        <v>Option</v>
      </c>
    </row>
    <row r="93" spans="1:17" x14ac:dyDescent="0.25">
      <c r="A93" s="10" t="s">
        <v>166</v>
      </c>
      <c r="B93" s="11">
        <v>1</v>
      </c>
      <c r="C93" s="11" t="s">
        <v>472</v>
      </c>
      <c r="D93" s="10" t="s">
        <v>473</v>
      </c>
      <c r="E93" s="11">
        <v>25</v>
      </c>
      <c r="F93" s="171" t="s">
        <v>277</v>
      </c>
      <c r="G93" s="87" t="str">
        <f>IFERROR(IF(VLOOKUP(TableHandbook[[#This Row],[UDC]],TableAvailabilities[],2,FALSE)&gt;0,"Y",""),"")</f>
        <v/>
      </c>
      <c r="H93" s="87" t="str">
        <f>IFERROR(IF(VLOOKUP(TableHandbook[[#This Row],[UDC]],TableAvailabilities[],3,FALSE)&gt;0,"Y",""),"")</f>
        <v/>
      </c>
      <c r="I93" s="87" t="str">
        <f>IFERROR(IF(VLOOKUP(TableHandbook[[#This Row],[UDC]],TableAvailabilities[],4,FALSE)&gt;0,"Y",""),"")</f>
        <v/>
      </c>
      <c r="J93" s="87" t="str">
        <f>IFERROR(IF(VLOOKUP(TableHandbook[[#This Row],[UDC]],TableAvailabilities[],5,FALSE)&gt;0,"Y",""),"")</f>
        <v>Y</v>
      </c>
      <c r="K93" s="176"/>
      <c r="L93" s="173" t="str">
        <f>IFERROR(VLOOKUP(TableHandbook[[#This Row],[UDC]],TableOBEDEC[],7,FALSE),"")</f>
        <v>Option</v>
      </c>
      <c r="M93" s="173" t="str">
        <f>IFERROR(VLOOKUP(TableHandbook[[#This Row],[UDC]],TableOBEDPR[],7,FALSE),"")</f>
        <v>Option</v>
      </c>
      <c r="N93" s="175" t="str">
        <f>IFERROR(VLOOKUP(TableHandbook[[#This Row],[UDC]],TableOBEDSC1[],7,FALSE),"")</f>
        <v/>
      </c>
      <c r="O93" s="173" t="str">
        <f>IFERROR(VLOOKUP(TableHandbook[[#This Row],[UDC]],TableOUMUARTST[],7,FALSE),"")</f>
        <v>Option</v>
      </c>
      <c r="P93" s="173" t="str">
        <f>IFERROR(VLOOKUP(TableHandbook[[#This Row],[UDC]],TableOUMUENGLT[],7,FALSE),"")</f>
        <v>Option</v>
      </c>
      <c r="Q93" s="173" t="str">
        <f>IFERROR(VLOOKUP(TableHandbook[[#This Row],[UDC]],TableOUMUHUSGE[],7,FALSE),"")</f>
        <v>Option</v>
      </c>
    </row>
    <row r="94" spans="1:17" x14ac:dyDescent="0.25">
      <c r="A94" s="10" t="s">
        <v>132</v>
      </c>
      <c r="B94" s="11">
        <v>1</v>
      </c>
      <c r="C94" s="11" t="s">
        <v>474</v>
      </c>
      <c r="D94" s="10" t="s">
        <v>475</v>
      </c>
      <c r="E94" s="11">
        <v>25</v>
      </c>
      <c r="F94" s="171" t="s">
        <v>476</v>
      </c>
      <c r="G94" s="87" t="str">
        <f>IFERROR(IF(VLOOKUP(TableHandbook[[#This Row],[UDC]],TableAvailabilities[],2,FALSE)&gt;0,"Y",""),"")</f>
        <v/>
      </c>
      <c r="H94" s="87" t="str">
        <f>IFERROR(IF(VLOOKUP(TableHandbook[[#This Row],[UDC]],TableAvailabilities[],3,FALSE)&gt;0,"Y",""),"")</f>
        <v>Y</v>
      </c>
      <c r="I94" s="87" t="str">
        <f>IFERROR(IF(VLOOKUP(TableHandbook[[#This Row],[UDC]],TableAvailabilities[],4,FALSE)&gt;0,"Y",""),"")</f>
        <v/>
      </c>
      <c r="J94" s="87" t="str">
        <f>IFERROR(IF(VLOOKUP(TableHandbook[[#This Row],[UDC]],TableAvailabilities[],5,FALSE)&gt;0,"Y",""),"")</f>
        <v>Y</v>
      </c>
      <c r="K94" s="241" t="s">
        <v>477</v>
      </c>
      <c r="L94" s="173" t="str">
        <f>IFERROR(VLOOKUP(TableHandbook[[#This Row],[UDC]],TableOBEDEC[],7,FALSE),"")</f>
        <v>Core</v>
      </c>
      <c r="M94" s="173" t="str">
        <f>IFERROR(VLOOKUP(TableHandbook[[#This Row],[UDC]],TableOBEDPR[],7,FALSE),"")</f>
        <v>Core</v>
      </c>
      <c r="N94" s="175" t="str">
        <f>IFERROR(VLOOKUP(TableHandbook[[#This Row],[UDC]],TableOBEDSC1[],7,FALSE),"")</f>
        <v>Core</v>
      </c>
      <c r="O94" s="173" t="str">
        <f>IFERROR(VLOOKUP(TableHandbook[[#This Row],[UDC]],TableOUMUARTST[],7,FALSE),"")</f>
        <v/>
      </c>
      <c r="P94" s="173" t="str">
        <f>IFERROR(VLOOKUP(TableHandbook[[#This Row],[UDC]],TableOUMUENGLT[],7,FALSE),"")</f>
        <v/>
      </c>
      <c r="Q94" s="173" t="str">
        <f>IFERROR(VLOOKUP(TableHandbook[[#This Row],[UDC]],TableOUMUHUSGE[],7,FALSE),"")</f>
        <v/>
      </c>
    </row>
    <row r="95" spans="1:17" x14ac:dyDescent="0.25">
      <c r="A95" s="205" t="s">
        <v>174</v>
      </c>
      <c r="B95" s="11">
        <v>1</v>
      </c>
      <c r="C95" s="11" t="s">
        <v>478</v>
      </c>
      <c r="D95" s="10" t="s">
        <v>479</v>
      </c>
      <c r="E95" s="11">
        <v>25</v>
      </c>
      <c r="F95" s="240" t="s">
        <v>444</v>
      </c>
      <c r="G95" s="87" t="str">
        <f>IFERROR(IF(VLOOKUP(TableHandbook[[#This Row],[UDC]],TableAvailabilities[],2,FALSE)&gt;0,"Y",""),"")</f>
        <v/>
      </c>
      <c r="H95" s="87" t="str">
        <f>IFERROR(IF(VLOOKUP(TableHandbook[[#This Row],[UDC]],TableAvailabilities[],3,FALSE)&gt;0,"Y",""),"")</f>
        <v/>
      </c>
      <c r="I95" s="87" t="str">
        <f>IFERROR(IF(VLOOKUP(TableHandbook[[#This Row],[UDC]],TableAvailabilities[],4,FALSE)&gt;0,"Y",""),"")</f>
        <v/>
      </c>
      <c r="J95" s="87" t="str">
        <f>IFERROR(IF(VLOOKUP(TableHandbook[[#This Row],[UDC]],TableAvailabilities[],5,FALSE)&gt;0,"Y",""),"")</f>
        <v/>
      </c>
      <c r="K95" s="238" t="s">
        <v>290</v>
      </c>
      <c r="L95" s="173" t="str">
        <f>IFERROR(VLOOKUP(TableHandbook[[#This Row],[UDC]],TableOBEDEC[],7,FALSE),"")</f>
        <v/>
      </c>
      <c r="M95" s="173" t="str">
        <f>IFERROR(VLOOKUP(TableHandbook[[#This Row],[UDC]],TableOBEDPR[],7,FALSE),"")</f>
        <v>Option</v>
      </c>
      <c r="N95" s="175" t="str">
        <f>IFERROR(VLOOKUP(TableHandbook[[#This Row],[UDC]],TableOBEDSC1[],7,FALSE),"")</f>
        <v/>
      </c>
      <c r="O95" s="173" t="str">
        <f>IFERROR(VLOOKUP(TableHandbook[[#This Row],[UDC]],TableOUMUARTST[],7,FALSE),"")</f>
        <v/>
      </c>
      <c r="P95" s="173" t="str">
        <f>IFERROR(VLOOKUP(TableHandbook[[#This Row],[UDC]],TableOUMUENGLT[],7,FALSE),"")</f>
        <v/>
      </c>
      <c r="Q95" s="173" t="str">
        <f>IFERROR(VLOOKUP(TableHandbook[[#This Row],[UDC]],TableOUMUHUSGE[],7,FALSE),"")</f>
        <v/>
      </c>
    </row>
    <row r="96" spans="1:17" x14ac:dyDescent="0.25">
      <c r="A96" s="10" t="s">
        <v>203</v>
      </c>
      <c r="B96" s="11">
        <v>1</v>
      </c>
      <c r="C96" s="11" t="s">
        <v>480</v>
      </c>
      <c r="D96" s="10" t="s">
        <v>481</v>
      </c>
      <c r="E96" s="11">
        <v>25</v>
      </c>
      <c r="F96" s="171" t="s">
        <v>277</v>
      </c>
      <c r="G96" s="87" t="str">
        <f>IFERROR(IF(VLOOKUP(TableHandbook[[#This Row],[UDC]],TableAvailabilities[],2,FALSE)&gt;0,"Y",""),"")</f>
        <v>Y</v>
      </c>
      <c r="H96" s="87" t="str">
        <f>IFERROR(IF(VLOOKUP(TableHandbook[[#This Row],[UDC]],TableAvailabilities[],3,FALSE)&gt;0,"Y",""),"")</f>
        <v/>
      </c>
      <c r="I96" s="87" t="str">
        <f>IFERROR(IF(VLOOKUP(TableHandbook[[#This Row],[UDC]],TableAvailabilities[],4,FALSE)&gt;0,"Y",""),"")</f>
        <v>Y</v>
      </c>
      <c r="J96" s="87" t="str">
        <f>IFERROR(IF(VLOOKUP(TableHandbook[[#This Row],[UDC]],TableAvailabilities[],5,FALSE)&gt;0,"Y",""),"")</f>
        <v/>
      </c>
      <c r="K96" s="176"/>
      <c r="L96" s="173" t="str">
        <f>IFERROR(VLOOKUP(TableHandbook[[#This Row],[UDC]],TableOBEDEC[],7,FALSE),"")</f>
        <v/>
      </c>
      <c r="M96" s="173" t="str">
        <f>IFERROR(VLOOKUP(TableHandbook[[#This Row],[UDC]],TableOBEDPR[],7,FALSE),"")</f>
        <v/>
      </c>
      <c r="N96" s="175" t="str">
        <f>IFERROR(VLOOKUP(TableHandbook[[#This Row],[UDC]],TableOBEDSC1[],7,FALSE),"")</f>
        <v/>
      </c>
      <c r="O96" s="173" t="str">
        <f>IFERROR(VLOOKUP(TableHandbook[[#This Row],[UDC]],TableOUMUARTST[],7,FALSE),"")</f>
        <v/>
      </c>
      <c r="P96" s="173" t="str">
        <f>IFERROR(VLOOKUP(TableHandbook[[#This Row],[UDC]],TableOUMUENGLT[],7,FALSE),"")</f>
        <v/>
      </c>
      <c r="Q96" s="173" t="str">
        <f>IFERROR(VLOOKUP(TableHandbook[[#This Row],[UDC]],TableOUMUHUSGE[],7,FALSE),"")</f>
        <v>Core</v>
      </c>
    </row>
    <row r="97" spans="1:17" x14ac:dyDescent="0.25">
      <c r="A97" s="205" t="s">
        <v>246</v>
      </c>
      <c r="B97" s="11">
        <v>1</v>
      </c>
      <c r="C97" s="11" t="s">
        <v>482</v>
      </c>
      <c r="D97" s="10" t="s">
        <v>483</v>
      </c>
      <c r="E97" s="11">
        <v>25</v>
      </c>
      <c r="F97" s="171" t="s">
        <v>277</v>
      </c>
      <c r="G97" s="87" t="str">
        <f>IFERROR(IF(VLOOKUP(TableHandbook[[#This Row],[UDC]],TableAvailabilities[],2,FALSE)&gt;0,"Y",""),"")</f>
        <v/>
      </c>
      <c r="H97" s="87" t="str">
        <f>IFERROR(IF(VLOOKUP(TableHandbook[[#This Row],[UDC]],TableAvailabilities[],3,FALSE)&gt;0,"Y",""),"")</f>
        <v/>
      </c>
      <c r="I97" s="87" t="str">
        <f>IFERROR(IF(VLOOKUP(TableHandbook[[#This Row],[UDC]],TableAvailabilities[],4,FALSE)&gt;0,"Y",""),"")</f>
        <v/>
      </c>
      <c r="J97" s="87" t="str">
        <f>IFERROR(IF(VLOOKUP(TableHandbook[[#This Row],[UDC]],TableAvailabilities[],5,FALSE)&gt;0,"Y",""),"")</f>
        <v>Y</v>
      </c>
      <c r="K97" s="176"/>
      <c r="L97" s="173" t="str">
        <f>IFERROR(VLOOKUP(TableHandbook[[#This Row],[UDC]],TableOBEDEC[],7,FALSE),"")</f>
        <v/>
      </c>
      <c r="M97" s="173" t="str">
        <f>IFERROR(VLOOKUP(TableHandbook[[#This Row],[UDC]],TableOBEDPR[],7,FALSE),"")</f>
        <v/>
      </c>
      <c r="N97" s="175" t="str">
        <f>IFERROR(VLOOKUP(TableHandbook[[#This Row],[UDC]],TableOBEDSC1[],7,FALSE),"")</f>
        <v/>
      </c>
      <c r="O97" s="173" t="str">
        <f>IFERROR(VLOOKUP(TableHandbook[[#This Row],[UDC]],TableOUMUARTST[],7,FALSE),"")</f>
        <v/>
      </c>
      <c r="P97" s="173" t="str">
        <f>IFERROR(VLOOKUP(TableHandbook[[#This Row],[UDC]],TableOUMUENGLT[],7,FALSE),"")</f>
        <v/>
      </c>
      <c r="Q97" s="173" t="str">
        <f>IFERROR(VLOOKUP(TableHandbook[[#This Row],[UDC]],TableOUMUHUSGE[],7,FALSE),"")</f>
        <v>AltCore</v>
      </c>
    </row>
    <row r="98" spans="1:17" x14ac:dyDescent="0.25">
      <c r="A98" s="10" t="s">
        <v>247</v>
      </c>
      <c r="B98" s="11">
        <v>1</v>
      </c>
      <c r="C98" s="11" t="s">
        <v>484</v>
      </c>
      <c r="D98" s="10" t="s">
        <v>485</v>
      </c>
      <c r="E98" s="11">
        <v>25</v>
      </c>
      <c r="F98" s="171" t="s">
        <v>277</v>
      </c>
      <c r="G98" s="87" t="str">
        <f>IFERROR(IF(VLOOKUP(TableHandbook[[#This Row],[UDC]],TableAvailabilities[],2,FALSE)&gt;0,"Y",""),"")</f>
        <v/>
      </c>
      <c r="H98" s="87" t="str">
        <f>IFERROR(IF(VLOOKUP(TableHandbook[[#This Row],[UDC]],TableAvailabilities[],3,FALSE)&gt;0,"Y",""),"")</f>
        <v>Y</v>
      </c>
      <c r="I98" s="87" t="str">
        <f>IFERROR(IF(VLOOKUP(TableHandbook[[#This Row],[UDC]],TableAvailabilities[],4,FALSE)&gt;0,"Y",""),"")</f>
        <v/>
      </c>
      <c r="J98" s="87" t="str">
        <f>IFERROR(IF(VLOOKUP(TableHandbook[[#This Row],[UDC]],TableAvailabilities[],5,FALSE)&gt;0,"Y",""),"")</f>
        <v/>
      </c>
      <c r="K98" s="176"/>
      <c r="L98" s="173" t="str">
        <f>IFERROR(VLOOKUP(TableHandbook[[#This Row],[UDC]],TableOBEDEC[],7,FALSE),"")</f>
        <v/>
      </c>
      <c r="M98" s="173" t="str">
        <f>IFERROR(VLOOKUP(TableHandbook[[#This Row],[UDC]],TableOBEDPR[],7,FALSE),"")</f>
        <v/>
      </c>
      <c r="N98" s="175" t="str">
        <f>IFERROR(VLOOKUP(TableHandbook[[#This Row],[UDC]],TableOBEDSC1[],7,FALSE),"")</f>
        <v/>
      </c>
      <c r="O98" s="173" t="str">
        <f>IFERROR(VLOOKUP(TableHandbook[[#This Row],[UDC]],TableOUMUARTST[],7,FALSE),"")</f>
        <v/>
      </c>
      <c r="P98" s="173" t="str">
        <f>IFERROR(VLOOKUP(TableHandbook[[#This Row],[UDC]],TableOUMUENGLT[],7,FALSE),"")</f>
        <v/>
      </c>
      <c r="Q98" s="173" t="str">
        <f>IFERROR(VLOOKUP(TableHandbook[[#This Row],[UDC]],TableOUMUHUSGE[],7,FALSE),"")</f>
        <v>AltCore</v>
      </c>
    </row>
    <row r="99" spans="1:17" x14ac:dyDescent="0.25">
      <c r="A99" s="205" t="s">
        <v>241</v>
      </c>
      <c r="B99" s="11">
        <v>1</v>
      </c>
      <c r="C99" s="11" t="s">
        <v>486</v>
      </c>
      <c r="D99" s="10" t="s">
        <v>487</v>
      </c>
      <c r="E99" s="11">
        <v>25</v>
      </c>
      <c r="F99" s="171" t="s">
        <v>277</v>
      </c>
      <c r="G99" s="87" t="str">
        <f>IFERROR(IF(VLOOKUP(TableHandbook[[#This Row],[UDC]],TableAvailabilities[],2,FALSE)&gt;0,"Y",""),"")</f>
        <v>Y</v>
      </c>
      <c r="H99" s="87" t="str">
        <f>IFERROR(IF(VLOOKUP(TableHandbook[[#This Row],[UDC]],TableAvailabilities[],3,FALSE)&gt;0,"Y",""),"")</f>
        <v/>
      </c>
      <c r="I99" s="87" t="str">
        <f>IFERROR(IF(VLOOKUP(TableHandbook[[#This Row],[UDC]],TableAvailabilities[],4,FALSE)&gt;0,"Y",""),"")</f>
        <v/>
      </c>
      <c r="J99" s="87" t="str">
        <f>IFERROR(IF(VLOOKUP(TableHandbook[[#This Row],[UDC]],TableAvailabilities[],5,FALSE)&gt;0,"Y",""),"")</f>
        <v/>
      </c>
      <c r="K99" s="176"/>
      <c r="L99" s="173" t="str">
        <f>IFERROR(VLOOKUP(TableHandbook[[#This Row],[UDC]],TableOBEDEC[],7,FALSE),"")</f>
        <v/>
      </c>
      <c r="M99" s="173" t="str">
        <f>IFERROR(VLOOKUP(TableHandbook[[#This Row],[UDC]],TableOBEDPR[],7,FALSE),"")</f>
        <v/>
      </c>
      <c r="N99" s="175" t="str">
        <f>IFERROR(VLOOKUP(TableHandbook[[#This Row],[UDC]],TableOBEDSC1[],7,FALSE),"")</f>
        <v/>
      </c>
      <c r="O99" s="173" t="str">
        <f>IFERROR(VLOOKUP(TableHandbook[[#This Row],[UDC]],TableOUMUARTST[],7,FALSE),"")</f>
        <v/>
      </c>
      <c r="P99" s="173" t="str">
        <f>IFERROR(VLOOKUP(TableHandbook[[#This Row],[UDC]],TableOUMUENGLT[],7,FALSE),"")</f>
        <v/>
      </c>
      <c r="Q99" s="173" t="str">
        <f>IFERROR(VLOOKUP(TableHandbook[[#This Row],[UDC]],TableOUMUHUSGE[],7,FALSE),"")</f>
        <v>AltCore</v>
      </c>
    </row>
    <row r="100" spans="1:17" x14ac:dyDescent="0.25">
      <c r="A100" s="205" t="s">
        <v>248</v>
      </c>
      <c r="B100" s="11">
        <v>2</v>
      </c>
      <c r="C100" s="11" t="s">
        <v>488</v>
      </c>
      <c r="D100" s="10" t="s">
        <v>489</v>
      </c>
      <c r="E100" s="11">
        <v>25</v>
      </c>
      <c r="F100" s="171" t="s">
        <v>277</v>
      </c>
      <c r="G100" s="87" t="str">
        <f>IFERROR(IF(VLOOKUP(TableHandbook[[#This Row],[UDC]],TableAvailabilities[],2,FALSE)&gt;0,"Y",""),"")</f>
        <v>Y</v>
      </c>
      <c r="H100" s="87" t="str">
        <f>IFERROR(IF(VLOOKUP(TableHandbook[[#This Row],[UDC]],TableAvailabilities[],3,FALSE)&gt;0,"Y",""),"")</f>
        <v/>
      </c>
      <c r="I100" s="87" t="str">
        <f>IFERROR(IF(VLOOKUP(TableHandbook[[#This Row],[UDC]],TableAvailabilities[],4,FALSE)&gt;0,"Y",""),"")</f>
        <v/>
      </c>
      <c r="J100" s="87" t="str">
        <f>IFERROR(IF(VLOOKUP(TableHandbook[[#This Row],[UDC]],TableAvailabilities[],5,FALSE)&gt;0,"Y",""),"")</f>
        <v/>
      </c>
      <c r="K100" s="176"/>
      <c r="L100" s="173" t="str">
        <f>IFERROR(VLOOKUP(TableHandbook[[#This Row],[UDC]],TableOBEDEC[],7,FALSE),"")</f>
        <v/>
      </c>
      <c r="M100" s="173" t="str">
        <f>IFERROR(VLOOKUP(TableHandbook[[#This Row],[UDC]],TableOBEDPR[],7,FALSE),"")</f>
        <v/>
      </c>
      <c r="N100" s="175" t="str">
        <f>IFERROR(VLOOKUP(TableHandbook[[#This Row],[UDC]],TableOBEDSC1[],7,FALSE),"")</f>
        <v/>
      </c>
      <c r="O100" s="173" t="str">
        <f>IFERROR(VLOOKUP(TableHandbook[[#This Row],[UDC]],TableOUMUARTST[],7,FALSE),"")</f>
        <v/>
      </c>
      <c r="P100" s="173" t="str">
        <f>IFERROR(VLOOKUP(TableHandbook[[#This Row],[UDC]],TableOUMUENGLT[],7,FALSE),"")</f>
        <v/>
      </c>
      <c r="Q100" s="173" t="str">
        <f>IFERROR(VLOOKUP(TableHandbook[[#This Row],[UDC]],TableOUMUHUSGE[],7,FALSE),"")</f>
        <v>AltCore</v>
      </c>
    </row>
    <row r="101" spans="1:17" x14ac:dyDescent="0.25">
      <c r="A101" s="10" t="s">
        <v>232</v>
      </c>
      <c r="B101" s="11">
        <v>1</v>
      </c>
      <c r="C101" s="11" t="s">
        <v>490</v>
      </c>
      <c r="D101" s="10" t="s">
        <v>491</v>
      </c>
      <c r="E101" s="11">
        <v>25</v>
      </c>
      <c r="F101" s="171" t="s">
        <v>277</v>
      </c>
      <c r="G101" s="87" t="str">
        <f>IFERROR(IF(VLOOKUP(TableHandbook[[#This Row],[UDC]],TableAvailabilities[],2,FALSE)&gt;0,"Y",""),"")</f>
        <v/>
      </c>
      <c r="H101" s="87" t="str">
        <f>IFERROR(IF(VLOOKUP(TableHandbook[[#This Row],[UDC]],TableAvailabilities[],3,FALSE)&gt;0,"Y",""),"")</f>
        <v>Y</v>
      </c>
      <c r="I101" s="87" t="str">
        <f>IFERROR(IF(VLOOKUP(TableHandbook[[#This Row],[UDC]],TableAvailabilities[],4,FALSE)&gt;0,"Y",""),"")</f>
        <v/>
      </c>
      <c r="J101" s="87" t="str">
        <f>IFERROR(IF(VLOOKUP(TableHandbook[[#This Row],[UDC]],TableAvailabilities[],5,FALSE)&gt;0,"Y",""),"")</f>
        <v/>
      </c>
      <c r="K101" s="176"/>
      <c r="L101" s="173" t="str">
        <f>IFERROR(VLOOKUP(TableHandbook[[#This Row],[UDC]],TableOBEDEC[],7,FALSE),"")</f>
        <v/>
      </c>
      <c r="M101" s="173" t="str">
        <f>IFERROR(VLOOKUP(TableHandbook[[#This Row],[UDC]],TableOBEDPR[],7,FALSE),"")</f>
        <v/>
      </c>
      <c r="N101" s="175" t="str">
        <f>IFERROR(VLOOKUP(TableHandbook[[#This Row],[UDC]],TableOBEDSC1[],7,FALSE),"")</f>
        <v/>
      </c>
      <c r="O101" s="173" t="str">
        <f>IFERROR(VLOOKUP(TableHandbook[[#This Row],[UDC]],TableOUMUARTST[],7,FALSE),"")</f>
        <v/>
      </c>
      <c r="P101" s="173" t="str">
        <f>IFERROR(VLOOKUP(TableHandbook[[#This Row],[UDC]],TableOUMUENGLT[],7,FALSE),"")</f>
        <v/>
      </c>
      <c r="Q101" s="173" t="str">
        <f>IFERROR(VLOOKUP(TableHandbook[[#This Row],[UDC]],TableOUMUHUSGE[],7,FALSE),"")</f>
        <v>Core</v>
      </c>
    </row>
    <row r="102" spans="1:17" x14ac:dyDescent="0.25">
      <c r="A102" s="242" t="s">
        <v>119</v>
      </c>
      <c r="B102" s="243">
        <v>1</v>
      </c>
      <c r="C102" s="243" t="s">
        <v>119</v>
      </c>
      <c r="D102" s="242" t="s">
        <v>492</v>
      </c>
      <c r="E102" s="243">
        <v>25</v>
      </c>
      <c r="F102" s="239" t="s">
        <v>493</v>
      </c>
      <c r="G102" s="244" t="str">
        <f>IFERROR(IF(VLOOKUP(TableHandbook[[#This Row],[UDC]],TableAvailabilities[],2,FALSE)&gt;0,"Y",""),"")</f>
        <v>Y</v>
      </c>
      <c r="H102" s="244" t="str">
        <f>IFERROR(IF(VLOOKUP(TableHandbook[[#This Row],[UDC]],TableAvailabilities[],3,FALSE)&gt;0,"Y",""),"")</f>
        <v/>
      </c>
      <c r="I102" s="244" t="str">
        <f>IFERROR(IF(VLOOKUP(TableHandbook[[#This Row],[UDC]],TableAvailabilities[],4,FALSE)&gt;0,"Y",""),"")</f>
        <v>Y</v>
      </c>
      <c r="J102" s="244" t="str">
        <f>IFERROR(IF(VLOOKUP(TableHandbook[[#This Row],[UDC]],TableAvailabilities[],5,FALSE)&gt;0,"Y",""),"")</f>
        <v/>
      </c>
      <c r="K102" s="238" t="s">
        <v>287</v>
      </c>
      <c r="L102" s="245" t="str">
        <f>IFERROR(VLOOKUP(TableHandbook[[#This Row],[UDC]],TableOBEDEC[],7,FALSE),"")</f>
        <v/>
      </c>
      <c r="M102" s="245" t="str">
        <f>IFERROR(VLOOKUP(TableHandbook[[#This Row],[UDC]],TableOBEDPR[],7,FALSE),"")</f>
        <v/>
      </c>
      <c r="N102" s="246" t="str">
        <f>IFERROR(VLOOKUP(TableHandbook[[#This Row],[UDC]],TableOBEDSC1[],7,FALSE),"")</f>
        <v/>
      </c>
      <c r="O102" s="245" t="str">
        <f>IFERROR(VLOOKUP(TableHandbook[[#This Row],[UDC]],TableOUMUARTST[],7,FALSE),"")</f>
        <v/>
      </c>
      <c r="P102" s="245" t="str">
        <f>IFERROR(VLOOKUP(TableHandbook[[#This Row],[UDC]],TableOUMUENGLT[],7,FALSE),"")</f>
        <v/>
      </c>
      <c r="Q102" s="245" t="str">
        <f>IFERROR(VLOOKUP(TableHandbook[[#This Row],[UDC]],TableOUMUHUSGE[],7,FALSE),"")</f>
        <v/>
      </c>
    </row>
    <row r="103" spans="1:17" x14ac:dyDescent="0.25">
      <c r="A103" s="10" t="s">
        <v>494</v>
      </c>
      <c r="B103" s="11">
        <v>2</v>
      </c>
      <c r="C103" s="11" t="s">
        <v>495</v>
      </c>
      <c r="D103" s="10" t="s">
        <v>492</v>
      </c>
      <c r="E103" s="11">
        <v>25</v>
      </c>
      <c r="F103" s="240" t="s">
        <v>493</v>
      </c>
      <c r="G103" s="87" t="str">
        <f>IFERROR(IF(VLOOKUP(TableHandbook[[#This Row],[UDC]],TableAvailabilities[],2,FALSE)&gt;0,"Y",""),"")</f>
        <v/>
      </c>
      <c r="H103" s="87" t="str">
        <f>IFERROR(IF(VLOOKUP(TableHandbook[[#This Row],[UDC]],TableAvailabilities[],3,FALSE)&gt;0,"Y",""),"")</f>
        <v/>
      </c>
      <c r="I103" s="87" t="str">
        <f>IFERROR(IF(VLOOKUP(TableHandbook[[#This Row],[UDC]],TableAvailabilities[],4,FALSE)&gt;0,"Y",""),"")</f>
        <v/>
      </c>
      <c r="J103" s="87" t="str">
        <f>IFERROR(IF(VLOOKUP(TableHandbook[[#This Row],[UDC]],TableAvailabilities[],5,FALSE)&gt;0,"Y",""),"")</f>
        <v/>
      </c>
      <c r="K103" s="176"/>
      <c r="L103" s="173" t="str">
        <f>IFERROR(VLOOKUP(TableHandbook[[#This Row],[UDC]],TableOBEDEC[],7,FALSE),"")</f>
        <v>Core</v>
      </c>
      <c r="M103" s="173" t="str">
        <f>IFERROR(VLOOKUP(TableHandbook[[#This Row],[UDC]],TableOBEDPR[],7,FALSE),"")</f>
        <v>Core</v>
      </c>
      <c r="N103" s="175" t="str">
        <f>IFERROR(VLOOKUP(TableHandbook[[#This Row],[UDC]],TableOBEDSC1[],7,FALSE),"")</f>
        <v>Core</v>
      </c>
      <c r="O103" s="173" t="str">
        <f>IFERROR(VLOOKUP(TableHandbook[[#This Row],[UDC]],TableOUMUARTST[],7,FALSE),"")</f>
        <v/>
      </c>
      <c r="P103" s="173" t="str">
        <f>IFERROR(VLOOKUP(TableHandbook[[#This Row],[UDC]],TableOUMUENGLT[],7,FALSE),"")</f>
        <v/>
      </c>
      <c r="Q103" s="173" t="str">
        <f>IFERROR(VLOOKUP(TableHandbook[[#This Row],[UDC]],TableOUMUHUSGE[],7,FALSE),"")</f>
        <v/>
      </c>
    </row>
    <row r="104" spans="1:17" x14ac:dyDescent="0.25">
      <c r="A104" s="10" t="s">
        <v>205</v>
      </c>
      <c r="B104" s="11">
        <v>1</v>
      </c>
      <c r="C104" s="11" t="s">
        <v>496</v>
      </c>
      <c r="D104" s="10" t="s">
        <v>497</v>
      </c>
      <c r="E104" s="11">
        <v>25</v>
      </c>
      <c r="F104" s="171" t="s">
        <v>277</v>
      </c>
      <c r="G104" s="87" t="str">
        <f>IFERROR(IF(VLOOKUP(TableHandbook[[#This Row],[UDC]],TableAvailabilities[],2,FALSE)&gt;0,"Y",""),"")</f>
        <v/>
      </c>
      <c r="H104" s="87" t="str">
        <f>IFERROR(IF(VLOOKUP(TableHandbook[[#This Row],[UDC]],TableAvailabilities[],3,FALSE)&gt;0,"Y",""),"")</f>
        <v>Y</v>
      </c>
      <c r="I104" s="87" t="str">
        <f>IFERROR(IF(VLOOKUP(TableHandbook[[#This Row],[UDC]],TableAvailabilities[],4,FALSE)&gt;0,"Y",""),"")</f>
        <v/>
      </c>
      <c r="J104" s="87" t="str">
        <f>IFERROR(IF(VLOOKUP(TableHandbook[[#This Row],[UDC]],TableAvailabilities[],5,FALSE)&gt;0,"Y",""),"")</f>
        <v>Y</v>
      </c>
      <c r="K104" s="176"/>
      <c r="L104" s="173" t="str">
        <f>IFERROR(VLOOKUP(TableHandbook[[#This Row],[UDC]],TableOBEDEC[],7,FALSE),"")</f>
        <v/>
      </c>
      <c r="M104" s="173" t="str">
        <f>IFERROR(VLOOKUP(TableHandbook[[#This Row],[UDC]],TableOBEDPR[],7,FALSE),"")</f>
        <v/>
      </c>
      <c r="N104" s="175" t="str">
        <f>IFERROR(VLOOKUP(TableHandbook[[#This Row],[UDC]],TableOBEDSC1[],7,FALSE),"")</f>
        <v/>
      </c>
      <c r="O104" s="173" t="str">
        <f>IFERROR(VLOOKUP(TableHandbook[[#This Row],[UDC]],TableOUMUARTST[],7,FALSE),"")</f>
        <v/>
      </c>
      <c r="P104" s="173" t="str">
        <f>IFERROR(VLOOKUP(TableHandbook[[#This Row],[UDC]],TableOUMUENGLT[],7,FALSE),"")</f>
        <v>Core</v>
      </c>
      <c r="Q104" s="173" t="str">
        <f>IFERROR(VLOOKUP(TableHandbook[[#This Row],[UDC]],TableOUMUHUSGE[],7,FALSE),"")</f>
        <v/>
      </c>
    </row>
    <row r="105" spans="1:17" x14ac:dyDescent="0.25">
      <c r="A105" s="10" t="s">
        <v>216</v>
      </c>
      <c r="B105" s="11">
        <v>2</v>
      </c>
      <c r="C105" s="11" t="s">
        <v>498</v>
      </c>
      <c r="D105" s="10" t="s">
        <v>499</v>
      </c>
      <c r="E105" s="11">
        <v>25</v>
      </c>
      <c r="F105" s="171" t="s">
        <v>277</v>
      </c>
      <c r="G105" s="87" t="str">
        <f>IFERROR(IF(VLOOKUP(TableHandbook[[#This Row],[UDC]],TableAvailabilities[],2,FALSE)&gt;0,"Y",""),"")</f>
        <v/>
      </c>
      <c r="H105" s="87" t="str">
        <f>IFERROR(IF(VLOOKUP(TableHandbook[[#This Row],[UDC]],TableAvailabilities[],3,FALSE)&gt;0,"Y",""),"")</f>
        <v>Y</v>
      </c>
      <c r="I105" s="87" t="str">
        <f>IFERROR(IF(VLOOKUP(TableHandbook[[#This Row],[UDC]],TableAvailabilities[],4,FALSE)&gt;0,"Y",""),"")</f>
        <v/>
      </c>
      <c r="J105" s="87" t="str">
        <f>IFERROR(IF(VLOOKUP(TableHandbook[[#This Row],[UDC]],TableAvailabilities[],5,FALSE)&gt;0,"Y",""),"")</f>
        <v>Y</v>
      </c>
      <c r="K105" s="176"/>
      <c r="L105" s="173" t="str">
        <f>IFERROR(VLOOKUP(TableHandbook[[#This Row],[UDC]],TableOBEDEC[],7,FALSE),"")</f>
        <v/>
      </c>
      <c r="M105" s="173" t="str">
        <f>IFERROR(VLOOKUP(TableHandbook[[#This Row],[UDC]],TableOBEDPR[],7,FALSE),"")</f>
        <v/>
      </c>
      <c r="N105" s="175" t="str">
        <f>IFERROR(VLOOKUP(TableHandbook[[#This Row],[UDC]],TableOBEDSC1[],7,FALSE),"")</f>
        <v/>
      </c>
      <c r="O105" s="173" t="str">
        <f>IFERROR(VLOOKUP(TableHandbook[[#This Row],[UDC]],TableOUMUARTST[],7,FALSE),"")</f>
        <v/>
      </c>
      <c r="P105" s="173" t="str">
        <f>IFERROR(VLOOKUP(TableHandbook[[#This Row],[UDC]],TableOUMUENGLT[],7,FALSE),"")</f>
        <v>Core</v>
      </c>
      <c r="Q105" s="173" t="str">
        <f>IFERROR(VLOOKUP(TableHandbook[[#This Row],[UDC]],TableOUMUHUSGE[],7,FALSE),"")</f>
        <v/>
      </c>
    </row>
    <row r="106" spans="1:17" x14ac:dyDescent="0.25">
      <c r="A106" s="10" t="s">
        <v>219</v>
      </c>
      <c r="B106" s="11">
        <v>1</v>
      </c>
      <c r="C106" s="11" t="s">
        <v>500</v>
      </c>
      <c r="D106" s="10" t="s">
        <v>501</v>
      </c>
      <c r="E106" s="11">
        <v>25</v>
      </c>
      <c r="F106" s="171" t="s">
        <v>277</v>
      </c>
      <c r="G106" s="87" t="str">
        <f>IFERROR(IF(VLOOKUP(TableHandbook[[#This Row],[UDC]],TableAvailabilities[],2,FALSE)&gt;0,"Y",""),"")</f>
        <v>Y</v>
      </c>
      <c r="H106" s="87" t="str">
        <f>IFERROR(IF(VLOOKUP(TableHandbook[[#This Row],[UDC]],TableAvailabilities[],3,FALSE)&gt;0,"Y",""),"")</f>
        <v/>
      </c>
      <c r="I106" s="87" t="str">
        <f>IFERROR(IF(VLOOKUP(TableHandbook[[#This Row],[UDC]],TableAvailabilities[],4,FALSE)&gt;0,"Y",""),"")</f>
        <v>Y</v>
      </c>
      <c r="J106" s="87" t="str">
        <f>IFERROR(IF(VLOOKUP(TableHandbook[[#This Row],[UDC]],TableAvailabilities[],5,FALSE)&gt;0,"Y",""),"")</f>
        <v/>
      </c>
      <c r="K106" s="176"/>
      <c r="L106" s="173" t="str">
        <f>IFERROR(VLOOKUP(TableHandbook[[#This Row],[UDC]],TableOBEDEC[],7,FALSE),"")</f>
        <v/>
      </c>
      <c r="M106" s="173" t="str">
        <f>IFERROR(VLOOKUP(TableHandbook[[#This Row],[UDC]],TableOBEDPR[],7,FALSE),"")</f>
        <v/>
      </c>
      <c r="N106" s="175" t="str">
        <f>IFERROR(VLOOKUP(TableHandbook[[#This Row],[UDC]],TableOBEDSC1[],7,FALSE),"")</f>
        <v/>
      </c>
      <c r="O106" s="173" t="str">
        <f>IFERROR(VLOOKUP(TableHandbook[[#This Row],[UDC]],TableOUMUARTST[],7,FALSE),"")</f>
        <v/>
      </c>
      <c r="P106" s="173" t="str">
        <f>IFERROR(VLOOKUP(TableHandbook[[#This Row],[UDC]],TableOUMUENGLT[],7,FALSE),"")</f>
        <v>Core</v>
      </c>
      <c r="Q106" s="173" t="str">
        <f>IFERROR(VLOOKUP(TableHandbook[[#This Row],[UDC]],TableOUMUHUSGE[],7,FALSE),"")</f>
        <v/>
      </c>
    </row>
    <row r="107" spans="1:17" x14ac:dyDescent="0.25">
      <c r="A107" s="10" t="s">
        <v>235</v>
      </c>
      <c r="B107" s="11">
        <v>1</v>
      </c>
      <c r="C107" s="11" t="s">
        <v>502</v>
      </c>
      <c r="D107" s="10" t="s">
        <v>503</v>
      </c>
      <c r="E107" s="11">
        <v>25</v>
      </c>
      <c r="F107" s="171" t="s">
        <v>277</v>
      </c>
      <c r="G107" s="87" t="str">
        <f>IFERROR(IF(VLOOKUP(TableHandbook[[#This Row],[UDC]],TableAvailabilities[],2,FALSE)&gt;0,"Y",""),"")</f>
        <v>Y</v>
      </c>
      <c r="H107" s="87" t="str">
        <f>IFERROR(IF(VLOOKUP(TableHandbook[[#This Row],[UDC]],TableAvailabilities[],3,FALSE)&gt;0,"Y",""),"")</f>
        <v/>
      </c>
      <c r="I107" s="87" t="str">
        <f>IFERROR(IF(VLOOKUP(TableHandbook[[#This Row],[UDC]],TableAvailabilities[],4,FALSE)&gt;0,"Y",""),"")</f>
        <v>Y</v>
      </c>
      <c r="J107" s="87" t="str">
        <f>IFERROR(IF(VLOOKUP(TableHandbook[[#This Row],[UDC]],TableAvailabilities[],5,FALSE)&gt;0,"Y",""),"")</f>
        <v/>
      </c>
      <c r="K107" s="176"/>
      <c r="L107" s="173" t="str">
        <f>IFERROR(VLOOKUP(TableHandbook[[#This Row],[UDC]],TableOBEDEC[],7,FALSE),"")</f>
        <v/>
      </c>
      <c r="M107" s="173" t="str">
        <f>IFERROR(VLOOKUP(TableHandbook[[#This Row],[UDC]],TableOBEDPR[],7,FALSE),"")</f>
        <v/>
      </c>
      <c r="N107" s="175" t="str">
        <f>IFERROR(VLOOKUP(TableHandbook[[#This Row],[UDC]],TableOBEDSC1[],7,FALSE),"")</f>
        <v/>
      </c>
      <c r="O107" s="173" t="str">
        <f>IFERROR(VLOOKUP(TableHandbook[[#This Row],[UDC]],TableOUMUARTST[],7,FALSE),"")</f>
        <v/>
      </c>
      <c r="P107" s="173" t="str">
        <f>IFERROR(VLOOKUP(TableHandbook[[#This Row],[UDC]],TableOUMUENGLT[],7,FALSE),"")</f>
        <v>Core</v>
      </c>
      <c r="Q107" s="173" t="str">
        <f>IFERROR(VLOOKUP(TableHandbook[[#This Row],[UDC]],TableOUMUHUSGE[],7,FALSE),"")</f>
        <v/>
      </c>
    </row>
    <row r="108" spans="1:17" x14ac:dyDescent="0.25">
      <c r="A108" s="10" t="s">
        <v>238</v>
      </c>
      <c r="B108" s="11">
        <v>1</v>
      </c>
      <c r="C108" s="11" t="s">
        <v>504</v>
      </c>
      <c r="D108" s="10" t="s">
        <v>505</v>
      </c>
      <c r="E108" s="11">
        <v>25</v>
      </c>
      <c r="F108" s="171" t="s">
        <v>277</v>
      </c>
      <c r="G108" s="87" t="str">
        <f>IFERROR(IF(VLOOKUP(TableHandbook[[#This Row],[UDC]],TableAvailabilities[],2,FALSE)&gt;0,"Y",""),"")</f>
        <v/>
      </c>
      <c r="H108" s="87" t="str">
        <f>IFERROR(IF(VLOOKUP(TableHandbook[[#This Row],[UDC]],TableAvailabilities[],3,FALSE)&gt;0,"Y",""),"")</f>
        <v>Y</v>
      </c>
      <c r="I108" s="87" t="str">
        <f>IFERROR(IF(VLOOKUP(TableHandbook[[#This Row],[UDC]],TableAvailabilities[],4,FALSE)&gt;0,"Y",""),"")</f>
        <v/>
      </c>
      <c r="J108" s="87" t="str">
        <f>IFERROR(IF(VLOOKUP(TableHandbook[[#This Row],[UDC]],TableAvailabilities[],5,FALSE)&gt;0,"Y",""),"")</f>
        <v>Y</v>
      </c>
      <c r="K108" s="176"/>
      <c r="L108" s="173" t="str">
        <f>IFERROR(VLOOKUP(TableHandbook[[#This Row],[UDC]],TableOBEDEC[],7,FALSE),"")</f>
        <v/>
      </c>
      <c r="M108" s="173" t="str">
        <f>IFERROR(VLOOKUP(TableHandbook[[#This Row],[UDC]],TableOBEDPR[],7,FALSE),"")</f>
        <v/>
      </c>
      <c r="N108" s="175" t="str">
        <f>IFERROR(VLOOKUP(TableHandbook[[#This Row],[UDC]],TableOBEDSC1[],7,FALSE),"")</f>
        <v/>
      </c>
      <c r="O108" s="173" t="str">
        <f>IFERROR(VLOOKUP(TableHandbook[[#This Row],[UDC]],TableOUMUARTST[],7,FALSE),"")</f>
        <v/>
      </c>
      <c r="P108" s="173" t="str">
        <f>IFERROR(VLOOKUP(TableHandbook[[#This Row],[UDC]],TableOUMUENGLT[],7,FALSE),"")</f>
        <v>Core</v>
      </c>
      <c r="Q108" s="173" t="str">
        <f>IFERROR(VLOOKUP(TableHandbook[[#This Row],[UDC]],TableOUMUHUSGE[],7,FALSE),"")</f>
        <v/>
      </c>
    </row>
    <row r="109" spans="1:17" x14ac:dyDescent="0.25">
      <c r="A109" s="205" t="s">
        <v>245</v>
      </c>
      <c r="B109" s="11">
        <v>0</v>
      </c>
      <c r="C109" s="11"/>
      <c r="D109" s="10" t="s">
        <v>506</v>
      </c>
      <c r="E109" s="11">
        <v>100</v>
      </c>
      <c r="F109" s="171"/>
      <c r="G109" s="87" t="str">
        <f>IFERROR(IF(VLOOKUP(TableHandbook[[#This Row],[UDC]],TableAvailabilities[],2,FALSE)&gt;0,"Y",""),"")</f>
        <v/>
      </c>
      <c r="H109" s="87" t="str">
        <f>IFERROR(IF(VLOOKUP(TableHandbook[[#This Row],[UDC]],TableAvailabilities[],3,FALSE)&gt;0,"Y",""),"")</f>
        <v/>
      </c>
      <c r="I109" s="87" t="str">
        <f>IFERROR(IF(VLOOKUP(TableHandbook[[#This Row],[UDC]],TableAvailabilities[],4,FALSE)&gt;0,"Y",""),"")</f>
        <v/>
      </c>
      <c r="J109" s="87" t="str">
        <f>IFERROR(IF(VLOOKUP(TableHandbook[[#This Row],[UDC]],TableAvailabilities[],5,FALSE)&gt;0,"Y",""),"")</f>
        <v/>
      </c>
      <c r="K109" s="176"/>
      <c r="L109" s="173" t="str">
        <f>IFERROR(VLOOKUP(TableHandbook[[#This Row],[UDC]],TableOBEDEC[],7,FALSE),"")</f>
        <v/>
      </c>
      <c r="M109" s="173" t="str">
        <f>IFERROR(VLOOKUP(TableHandbook[[#This Row],[UDC]],TableOBEDPR[],7,FALSE),"")</f>
        <v/>
      </c>
      <c r="N109" s="175" t="str">
        <f>IFERROR(VLOOKUP(TableHandbook[[#This Row],[UDC]],TableOBEDSC1[],7,FALSE),"")</f>
        <v/>
      </c>
      <c r="O109" s="173" t="str">
        <f>IFERROR(VLOOKUP(TableHandbook[[#This Row],[UDC]],TableOUMUARTST[],7,FALSE),"")</f>
        <v>Option</v>
      </c>
      <c r="P109" s="173" t="str">
        <f>IFERROR(VLOOKUP(TableHandbook[[#This Row],[UDC]],TableOUMUENGLT[],7,FALSE),"")</f>
        <v/>
      </c>
      <c r="Q109" s="173" t="str">
        <f>IFERROR(VLOOKUP(TableHandbook[[#This Row],[UDC]],TableOUMUHUSGE[],7,FALSE),"")</f>
        <v/>
      </c>
    </row>
    <row r="110" spans="1:17" x14ac:dyDescent="0.25">
      <c r="A110" s="205" t="s">
        <v>239</v>
      </c>
      <c r="B110" s="11">
        <v>0</v>
      </c>
      <c r="C110" s="11"/>
      <c r="D110" s="10" t="s">
        <v>506</v>
      </c>
      <c r="E110" s="11">
        <v>100</v>
      </c>
      <c r="F110" s="171"/>
      <c r="G110" s="87" t="str">
        <f>IFERROR(IF(VLOOKUP(TableHandbook[[#This Row],[UDC]],TableAvailabilities[],2,FALSE)&gt;0,"Y",""),"")</f>
        <v/>
      </c>
      <c r="H110" s="87" t="str">
        <f>IFERROR(IF(VLOOKUP(TableHandbook[[#This Row],[UDC]],TableAvailabilities[],3,FALSE)&gt;0,"Y",""),"")</f>
        <v/>
      </c>
      <c r="I110" s="87" t="str">
        <f>IFERROR(IF(VLOOKUP(TableHandbook[[#This Row],[UDC]],TableAvailabilities[],4,FALSE)&gt;0,"Y",""),"")</f>
        <v/>
      </c>
      <c r="J110" s="87" t="str">
        <f>IFERROR(IF(VLOOKUP(TableHandbook[[#This Row],[UDC]],TableAvailabilities[],5,FALSE)&gt;0,"Y",""),"")</f>
        <v/>
      </c>
      <c r="K110" s="176"/>
      <c r="L110" s="173" t="str">
        <f>IFERROR(VLOOKUP(TableHandbook[[#This Row],[UDC]],TableOBEDEC[],7,FALSE),"")</f>
        <v/>
      </c>
      <c r="M110" s="173" t="str">
        <f>IFERROR(VLOOKUP(TableHandbook[[#This Row],[UDC]],TableOBEDPR[],7,FALSE),"")</f>
        <v/>
      </c>
      <c r="N110" s="175" t="str">
        <f>IFERROR(VLOOKUP(TableHandbook[[#This Row],[UDC]],TableOBEDSC1[],7,FALSE),"")</f>
        <v/>
      </c>
      <c r="O110" s="173" t="str">
        <f>IFERROR(VLOOKUP(TableHandbook[[#This Row],[UDC]],TableOUMUARTST[],7,FALSE),"")</f>
        <v/>
      </c>
      <c r="P110" s="173" t="str">
        <f>IFERROR(VLOOKUP(TableHandbook[[#This Row],[UDC]],TableOUMUENGLT[],7,FALSE),"")</f>
        <v>Option</v>
      </c>
      <c r="Q110" s="173" t="str">
        <f>IFERROR(VLOOKUP(TableHandbook[[#This Row],[UDC]],TableOUMUHUSGE[],7,FALSE),"")</f>
        <v/>
      </c>
    </row>
    <row r="111" spans="1:17" x14ac:dyDescent="0.25">
      <c r="A111" s="205" t="s">
        <v>250</v>
      </c>
      <c r="B111" s="11">
        <v>0</v>
      </c>
      <c r="C111" s="11"/>
      <c r="D111" s="10" t="s">
        <v>506</v>
      </c>
      <c r="E111" s="11">
        <v>100</v>
      </c>
      <c r="F111" s="171"/>
      <c r="G111" s="87" t="str">
        <f>IFERROR(IF(VLOOKUP(TableHandbook[[#This Row],[UDC]],TableAvailabilities[],2,FALSE)&gt;0,"Y",""),"")</f>
        <v/>
      </c>
      <c r="H111" s="87" t="str">
        <f>IFERROR(IF(VLOOKUP(TableHandbook[[#This Row],[UDC]],TableAvailabilities[],3,FALSE)&gt;0,"Y",""),"")</f>
        <v/>
      </c>
      <c r="I111" s="87" t="str">
        <f>IFERROR(IF(VLOOKUP(TableHandbook[[#This Row],[UDC]],TableAvailabilities[],4,FALSE)&gt;0,"Y",""),"")</f>
        <v/>
      </c>
      <c r="J111" s="87" t="str">
        <f>IFERROR(IF(VLOOKUP(TableHandbook[[#This Row],[UDC]],TableAvailabilities[],5,FALSE)&gt;0,"Y",""),"")</f>
        <v/>
      </c>
      <c r="K111" s="176"/>
      <c r="L111" s="173" t="str">
        <f>IFERROR(VLOOKUP(TableHandbook[[#This Row],[UDC]],TableOBEDEC[],7,FALSE),"")</f>
        <v/>
      </c>
      <c r="M111" s="173" t="str">
        <f>IFERROR(VLOOKUP(TableHandbook[[#This Row],[UDC]],TableOBEDPR[],7,FALSE),"")</f>
        <v/>
      </c>
      <c r="N111" s="175" t="str">
        <f>IFERROR(VLOOKUP(TableHandbook[[#This Row],[UDC]],TableOBEDSC1[],7,FALSE),"")</f>
        <v/>
      </c>
      <c r="O111" s="173" t="str">
        <f>IFERROR(VLOOKUP(TableHandbook[[#This Row],[UDC]],TableOUMUARTST[],7,FALSE),"")</f>
        <v/>
      </c>
      <c r="P111" s="173" t="str">
        <f>IFERROR(VLOOKUP(TableHandbook[[#This Row],[UDC]],TableOUMUENGLT[],7,FALSE),"")</f>
        <v/>
      </c>
      <c r="Q111" s="173" t="str">
        <f>IFERROR(VLOOKUP(TableHandbook[[#This Row],[UDC]],TableOUMUHUSGE[],7,FALSE),"")</f>
        <v>Option</v>
      </c>
    </row>
    <row r="112" spans="1:17" x14ac:dyDescent="0.25">
      <c r="A112" s="10" t="s">
        <v>507</v>
      </c>
      <c r="B112" s="11">
        <v>2</v>
      </c>
      <c r="C112" s="11"/>
      <c r="D112" s="10" t="s">
        <v>190</v>
      </c>
      <c r="E112" s="11">
        <v>400</v>
      </c>
      <c r="F112" s="171" t="s">
        <v>144</v>
      </c>
      <c r="G112" s="87" t="str">
        <f>IFERROR(IF(VLOOKUP(TableHandbook[[#This Row],[UDC]],TableAvailabilities[],2,FALSE)&gt;0,"Y",""),"")</f>
        <v/>
      </c>
      <c r="H112" s="87" t="str">
        <f>IFERROR(IF(VLOOKUP(TableHandbook[[#This Row],[UDC]],TableAvailabilities[],3,FALSE)&gt;0,"Y",""),"")</f>
        <v/>
      </c>
      <c r="I112" s="87" t="str">
        <f>IFERROR(IF(VLOOKUP(TableHandbook[[#This Row],[UDC]],TableAvailabilities[],4,FALSE)&gt;0,"Y",""),"")</f>
        <v/>
      </c>
      <c r="J112" s="87" t="str">
        <f>IFERROR(IF(VLOOKUP(TableHandbook[[#This Row],[UDC]],TableAvailabilities[],5,FALSE)&gt;0,"Y",""),"")</f>
        <v/>
      </c>
      <c r="K112" s="176" t="s">
        <v>332</v>
      </c>
      <c r="L112" s="173" t="str">
        <f>IFERROR(VLOOKUP(TableHandbook[[#This Row],[UDC]],TableOBEDEC[],7,FALSE),"")</f>
        <v/>
      </c>
      <c r="M112" s="173" t="str">
        <f>IFERROR(VLOOKUP(TableHandbook[[#This Row],[UDC]],TableOBEDPR[],7,FALSE),"")</f>
        <v/>
      </c>
      <c r="N112" s="175" t="str">
        <f>IFERROR(VLOOKUP(TableHandbook[[#This Row],[UDC]],TableOBEDSC1[],7,FALSE),"")</f>
        <v/>
      </c>
      <c r="O112" s="173" t="str">
        <f>IFERROR(VLOOKUP(TableHandbook[[#This Row],[UDC]],TableOUMUARTST[],7,FALSE),"")</f>
        <v/>
      </c>
      <c r="P112" s="173" t="str">
        <f>IFERROR(VLOOKUP(TableHandbook[[#This Row],[UDC]],TableOUMUENGLT[],7,FALSE),"")</f>
        <v/>
      </c>
      <c r="Q112" s="173" t="str">
        <f>IFERROR(VLOOKUP(TableHandbook[[#This Row],[UDC]],TableOUMUHUSGE[],7,FALSE),"")</f>
        <v/>
      </c>
    </row>
    <row r="113" spans="1:17" x14ac:dyDescent="0.25">
      <c r="A113" s="205" t="s">
        <v>191</v>
      </c>
      <c r="B113" s="11">
        <v>1</v>
      </c>
      <c r="C113" s="11"/>
      <c r="D113" s="10" t="s">
        <v>190</v>
      </c>
      <c r="E113" s="11">
        <v>375</v>
      </c>
      <c r="F113" s="171"/>
      <c r="G113" s="87" t="str">
        <f>IFERROR(IF(VLOOKUP(TableHandbook[[#This Row],[UDC]],TableAvailabilities[],2,FALSE)&gt;0,"Y",""),"")</f>
        <v/>
      </c>
      <c r="H113" s="87" t="str">
        <f>IFERROR(IF(VLOOKUP(TableHandbook[[#This Row],[UDC]],TableAvailabilities[],3,FALSE)&gt;0,"Y",""),"")</f>
        <v/>
      </c>
      <c r="I113" s="87" t="str">
        <f>IFERROR(IF(VLOOKUP(TableHandbook[[#This Row],[UDC]],TableAvailabilities[],4,FALSE)&gt;0,"Y",""),"")</f>
        <v/>
      </c>
      <c r="J113" s="87" t="str">
        <f>IFERROR(IF(VLOOKUP(TableHandbook[[#This Row],[UDC]],TableAvailabilities[],5,FALSE)&gt;0,"Y",""),"")</f>
        <v/>
      </c>
      <c r="K113" s="176"/>
      <c r="L113" s="173" t="str">
        <f>IFERROR(VLOOKUP(TableHandbook[[#This Row],[UDC]],TableOBEDEC[],7,FALSE),"")</f>
        <v/>
      </c>
      <c r="M113" s="173" t="str">
        <f>IFERROR(VLOOKUP(TableHandbook[[#This Row],[UDC]],TableOBEDPR[],7,FALSE),"")</f>
        <v/>
      </c>
      <c r="N113" s="175" t="str">
        <f>IFERROR(VLOOKUP(TableHandbook[[#This Row],[UDC]],TableOBEDSC1[],7,FALSE),"")</f>
        <v>AltCore</v>
      </c>
      <c r="O113" s="173" t="str">
        <f>IFERROR(VLOOKUP(TableHandbook[[#This Row],[UDC]],TableOUMUARTST[],7,FALSE),"")</f>
        <v/>
      </c>
      <c r="P113" s="173" t="str">
        <f>IFERROR(VLOOKUP(TableHandbook[[#This Row],[UDC]],TableOUMUENGLT[],7,FALSE),"")</f>
        <v/>
      </c>
      <c r="Q113" s="173" t="str">
        <f>IFERROR(VLOOKUP(TableHandbook[[#This Row],[UDC]],TableOUMUHUSGE[],7,FALSE),"")</f>
        <v/>
      </c>
    </row>
    <row r="114" spans="1:17" x14ac:dyDescent="0.25">
      <c r="A114" s="205" t="s">
        <v>194</v>
      </c>
      <c r="B114" s="11">
        <v>1</v>
      </c>
      <c r="C114" s="11"/>
      <c r="D114" s="10" t="s">
        <v>176</v>
      </c>
      <c r="E114" s="11">
        <v>375</v>
      </c>
      <c r="F114" s="171"/>
      <c r="G114" s="87" t="str">
        <f>IFERROR(IF(VLOOKUP(TableHandbook[[#This Row],[UDC]],TableAvailabilities[],2,FALSE)&gt;0,"Y",""),"")</f>
        <v/>
      </c>
      <c r="H114" s="87" t="str">
        <f>IFERROR(IF(VLOOKUP(TableHandbook[[#This Row],[UDC]],TableAvailabilities[],3,FALSE)&gt;0,"Y",""),"")</f>
        <v/>
      </c>
      <c r="I114" s="87" t="str">
        <f>IFERROR(IF(VLOOKUP(TableHandbook[[#This Row],[UDC]],TableAvailabilities[],4,FALSE)&gt;0,"Y",""),"")</f>
        <v/>
      </c>
      <c r="J114" s="87" t="str">
        <f>IFERROR(IF(VLOOKUP(TableHandbook[[#This Row],[UDC]],TableAvailabilities[],5,FALSE)&gt;0,"Y",""),"")</f>
        <v/>
      </c>
      <c r="K114" s="176"/>
      <c r="L114" s="173" t="str">
        <f>IFERROR(VLOOKUP(TableHandbook[[#This Row],[UDC]],TableOBEDEC[],7,FALSE),"")</f>
        <v/>
      </c>
      <c r="M114" s="173" t="str">
        <f>IFERROR(VLOOKUP(TableHandbook[[#This Row],[UDC]],TableOBEDPR[],7,FALSE),"")</f>
        <v/>
      </c>
      <c r="N114" s="175" t="str">
        <f>IFERROR(VLOOKUP(TableHandbook[[#This Row],[UDC]],TableOBEDSC1[],7,FALSE),"")</f>
        <v>AltCore</v>
      </c>
      <c r="O114" s="173" t="str">
        <f>IFERROR(VLOOKUP(TableHandbook[[#This Row],[UDC]],TableOUMUARTST[],7,FALSE),"")</f>
        <v/>
      </c>
      <c r="P114" s="173" t="str">
        <f>IFERROR(VLOOKUP(TableHandbook[[#This Row],[UDC]],TableOUMUENGLT[],7,FALSE),"")</f>
        <v/>
      </c>
      <c r="Q114" s="173" t="str">
        <f>IFERROR(VLOOKUP(TableHandbook[[#This Row],[UDC]],TableOUMUHUSGE[],7,FALSE),"")</f>
        <v/>
      </c>
    </row>
    <row r="115" spans="1:17" x14ac:dyDescent="0.25">
      <c r="A115" s="10" t="s">
        <v>508</v>
      </c>
      <c r="B115" s="11">
        <v>2</v>
      </c>
      <c r="C115" s="11"/>
      <c r="D115" s="10" t="s">
        <v>509</v>
      </c>
      <c r="E115" s="11">
        <v>400</v>
      </c>
      <c r="F115" s="171" t="s">
        <v>144</v>
      </c>
      <c r="G115" s="87" t="str">
        <f>IFERROR(IF(VLOOKUP(TableHandbook[[#This Row],[UDC]],TableAvailabilities[],2,FALSE)&gt;0,"Y",""),"")</f>
        <v/>
      </c>
      <c r="H115" s="87" t="str">
        <f>IFERROR(IF(VLOOKUP(TableHandbook[[#This Row],[UDC]],TableAvailabilities[],3,FALSE)&gt;0,"Y",""),"")</f>
        <v/>
      </c>
      <c r="I115" s="87" t="str">
        <f>IFERROR(IF(VLOOKUP(TableHandbook[[#This Row],[UDC]],TableAvailabilities[],4,FALSE)&gt;0,"Y",""),"")</f>
        <v/>
      </c>
      <c r="J115" s="87" t="str">
        <f>IFERROR(IF(VLOOKUP(TableHandbook[[#This Row],[UDC]],TableAvailabilities[],5,FALSE)&gt;0,"Y",""),"")</f>
        <v/>
      </c>
      <c r="K115" s="176" t="s">
        <v>332</v>
      </c>
      <c r="L115" s="173" t="str">
        <f>IFERROR(VLOOKUP(TableHandbook[[#This Row],[UDC]],TableOBEDEC[],7,FALSE),"")</f>
        <v/>
      </c>
      <c r="M115" s="173" t="str">
        <f>IFERROR(VLOOKUP(TableHandbook[[#This Row],[UDC]],TableOBEDPR[],7,FALSE),"")</f>
        <v/>
      </c>
      <c r="N115" s="175" t="str">
        <f>IFERROR(VLOOKUP(TableHandbook[[#This Row],[UDC]],TableOBEDSC1[],7,FALSE),"")</f>
        <v/>
      </c>
      <c r="O115" s="173" t="str">
        <f>IFERROR(VLOOKUP(TableHandbook[[#This Row],[UDC]],TableOUMUARTST[],7,FALSE),"")</f>
        <v/>
      </c>
      <c r="P115" s="173" t="str">
        <f>IFERROR(VLOOKUP(TableHandbook[[#This Row],[UDC]],TableOUMUENGLT[],7,FALSE),"")</f>
        <v/>
      </c>
      <c r="Q115" s="173" t="str">
        <f>IFERROR(VLOOKUP(TableHandbook[[#This Row],[UDC]],TableOUMUHUSGE[],7,FALSE),"")</f>
        <v/>
      </c>
    </row>
    <row r="116" spans="1:17" x14ac:dyDescent="0.25">
      <c r="A116" s="205" t="s">
        <v>196</v>
      </c>
      <c r="B116" s="11">
        <v>1</v>
      </c>
      <c r="C116" s="11"/>
      <c r="D116" s="10" t="s">
        <v>195</v>
      </c>
      <c r="E116" s="11">
        <v>375</v>
      </c>
      <c r="F116" s="171"/>
      <c r="G116" s="87" t="str">
        <f>IFERROR(IF(VLOOKUP(TableHandbook[[#This Row],[UDC]],TableAvailabilities[],2,FALSE)&gt;0,"Y",""),"")</f>
        <v/>
      </c>
      <c r="H116" s="87" t="str">
        <f>IFERROR(IF(VLOOKUP(TableHandbook[[#This Row],[UDC]],TableAvailabilities[],3,FALSE)&gt;0,"Y",""),"")</f>
        <v/>
      </c>
      <c r="I116" s="87" t="str">
        <f>IFERROR(IF(VLOOKUP(TableHandbook[[#This Row],[UDC]],TableAvailabilities[],4,FALSE)&gt;0,"Y",""),"")</f>
        <v/>
      </c>
      <c r="J116" s="87" t="str">
        <f>IFERROR(IF(VLOOKUP(TableHandbook[[#This Row],[UDC]],TableAvailabilities[],5,FALSE)&gt;0,"Y",""),"")</f>
        <v/>
      </c>
      <c r="K116" s="176"/>
      <c r="L116" s="173" t="str">
        <f>IFERROR(VLOOKUP(TableHandbook[[#This Row],[UDC]],TableOBEDEC[],7,FALSE),"")</f>
        <v/>
      </c>
      <c r="M116" s="173" t="str">
        <f>IFERROR(VLOOKUP(TableHandbook[[#This Row],[UDC]],TableOBEDPR[],7,FALSE),"")</f>
        <v/>
      </c>
      <c r="N116" s="175" t="str">
        <f>IFERROR(VLOOKUP(TableHandbook[[#This Row],[UDC]],TableOBEDSC1[],7,FALSE),"")</f>
        <v>AltCore</v>
      </c>
      <c r="O116" s="173" t="str">
        <f>IFERROR(VLOOKUP(TableHandbook[[#This Row],[UDC]],TableOUMUARTST[],7,FALSE),"")</f>
        <v/>
      </c>
      <c r="P116" s="173" t="str">
        <f>IFERROR(VLOOKUP(TableHandbook[[#This Row],[UDC]],TableOUMUENGLT[],7,FALSE),"")</f>
        <v/>
      </c>
      <c r="Q116" s="173" t="str">
        <f>IFERROR(VLOOKUP(TableHandbook[[#This Row],[UDC]],TableOUMUHUSGE[],7,FALSE),"")</f>
        <v/>
      </c>
    </row>
    <row r="117" spans="1:17" x14ac:dyDescent="0.25">
      <c r="A117" s="10" t="s">
        <v>510</v>
      </c>
      <c r="B117" s="11">
        <v>1</v>
      </c>
      <c r="C117" s="11"/>
      <c r="D117" s="10" t="s">
        <v>195</v>
      </c>
      <c r="E117" s="11">
        <v>400</v>
      </c>
      <c r="F117" s="171" t="s">
        <v>144</v>
      </c>
      <c r="G117" s="87" t="str">
        <f>IFERROR(IF(VLOOKUP(TableHandbook[[#This Row],[UDC]],TableAvailabilities[],2,FALSE)&gt;0,"Y",""),"")</f>
        <v/>
      </c>
      <c r="H117" s="87" t="str">
        <f>IFERROR(IF(VLOOKUP(TableHandbook[[#This Row],[UDC]],TableAvailabilities[],3,FALSE)&gt;0,"Y",""),"")</f>
        <v/>
      </c>
      <c r="I117" s="87" t="str">
        <f>IFERROR(IF(VLOOKUP(TableHandbook[[#This Row],[UDC]],TableAvailabilities[],4,FALSE)&gt;0,"Y",""),"")</f>
        <v/>
      </c>
      <c r="J117" s="87" t="str">
        <f>IFERROR(IF(VLOOKUP(TableHandbook[[#This Row],[UDC]],TableAvailabilities[],5,FALSE)&gt;0,"Y",""),"")</f>
        <v/>
      </c>
      <c r="K117" s="176" t="s">
        <v>332</v>
      </c>
      <c r="L117" s="173" t="str">
        <f>IFERROR(VLOOKUP(TableHandbook[[#This Row],[UDC]],TableOBEDEC[],7,FALSE),"")</f>
        <v/>
      </c>
      <c r="M117" s="173" t="str">
        <f>IFERROR(VLOOKUP(TableHandbook[[#This Row],[UDC]],TableOBEDPR[],7,FALSE),"")</f>
        <v/>
      </c>
      <c r="N117" s="175" t="str">
        <f>IFERROR(VLOOKUP(TableHandbook[[#This Row],[UDC]],TableOBEDSC1[],7,FALSE),"")</f>
        <v/>
      </c>
      <c r="O117" s="173" t="str">
        <f>IFERROR(VLOOKUP(TableHandbook[[#This Row],[UDC]],TableOUMUARTST[],7,FALSE),"")</f>
        <v/>
      </c>
      <c r="P117" s="173" t="str">
        <f>IFERROR(VLOOKUP(TableHandbook[[#This Row],[UDC]],TableOUMUENGLT[],7,FALSE),"")</f>
        <v/>
      </c>
      <c r="Q117" s="173" t="str">
        <f>IFERROR(VLOOKUP(TableHandbook[[#This Row],[UDC]],TableOUMUHUSGE[],7,FALSE),"")</f>
        <v/>
      </c>
    </row>
    <row r="118" spans="1:17" x14ac:dyDescent="0.25">
      <c r="A118" s="10" t="s">
        <v>217</v>
      </c>
      <c r="B118" s="11">
        <v>1</v>
      </c>
      <c r="C118" s="11" t="s">
        <v>511</v>
      </c>
      <c r="D118" s="10" t="s">
        <v>512</v>
      </c>
      <c r="E118" s="11">
        <v>25</v>
      </c>
      <c r="F118" s="171" t="s">
        <v>277</v>
      </c>
      <c r="G118" s="87" t="str">
        <f>IFERROR(IF(VLOOKUP(TableHandbook[[#This Row],[UDC]],TableAvailabilities[],2,FALSE)&gt;0,"Y",""),"")</f>
        <v/>
      </c>
      <c r="H118" s="87" t="str">
        <f>IFERROR(IF(VLOOKUP(TableHandbook[[#This Row],[UDC]],TableAvailabilities[],3,FALSE)&gt;0,"Y",""),"")</f>
        <v>Y</v>
      </c>
      <c r="I118" s="87" t="str">
        <f>IFERROR(IF(VLOOKUP(TableHandbook[[#This Row],[UDC]],TableAvailabilities[],4,FALSE)&gt;0,"Y",""),"")</f>
        <v/>
      </c>
      <c r="J118" s="87" t="str">
        <f>IFERROR(IF(VLOOKUP(TableHandbook[[#This Row],[UDC]],TableAvailabilities[],5,FALSE)&gt;0,"Y",""),"")</f>
        <v>Y</v>
      </c>
      <c r="K118" s="176"/>
      <c r="L118" s="173" t="str">
        <f>IFERROR(VLOOKUP(TableHandbook[[#This Row],[UDC]],TableOBEDEC[],7,FALSE),"")</f>
        <v/>
      </c>
      <c r="M118" s="173" t="str">
        <f>IFERROR(VLOOKUP(TableHandbook[[#This Row],[UDC]],TableOBEDPR[],7,FALSE),"")</f>
        <v/>
      </c>
      <c r="N118" s="175" t="str">
        <f>IFERROR(VLOOKUP(TableHandbook[[#This Row],[UDC]],TableOBEDSC1[],7,FALSE),"")</f>
        <v/>
      </c>
      <c r="O118" s="173" t="str">
        <f>IFERROR(VLOOKUP(TableHandbook[[#This Row],[UDC]],TableOUMUARTST[],7,FALSE),"")</f>
        <v/>
      </c>
      <c r="P118" s="173" t="str">
        <f>IFERROR(VLOOKUP(TableHandbook[[#This Row],[UDC]],TableOUMUENGLT[],7,FALSE),"")</f>
        <v/>
      </c>
      <c r="Q118" s="173" t="str">
        <f>IFERROR(VLOOKUP(TableHandbook[[#This Row],[UDC]],TableOUMUHUSGE[],7,FALSE),"")</f>
        <v>Core</v>
      </c>
    </row>
    <row r="119" spans="1:17" x14ac:dyDescent="0.25">
      <c r="A119" s="10" t="s">
        <v>243</v>
      </c>
      <c r="B119" s="11">
        <v>1</v>
      </c>
      <c r="C119" s="11" t="s">
        <v>513</v>
      </c>
      <c r="D119" s="10" t="s">
        <v>514</v>
      </c>
      <c r="E119" s="11">
        <v>25</v>
      </c>
      <c r="F119" s="171" t="s">
        <v>277</v>
      </c>
      <c r="G119" s="87" t="str">
        <f>IFERROR(IF(VLOOKUP(TableHandbook[[#This Row],[UDC]],TableAvailabilities[],2,FALSE)&gt;0,"Y",""),"")</f>
        <v/>
      </c>
      <c r="H119" s="87" t="str">
        <f>IFERROR(IF(VLOOKUP(TableHandbook[[#This Row],[UDC]],TableAvailabilities[],3,FALSE)&gt;0,"Y",""),"")</f>
        <v/>
      </c>
      <c r="I119" s="87" t="str">
        <f>IFERROR(IF(VLOOKUP(TableHandbook[[#This Row],[UDC]],TableAvailabilities[],4,FALSE)&gt;0,"Y",""),"")</f>
        <v>Y</v>
      </c>
      <c r="J119" s="87" t="str">
        <f>IFERROR(IF(VLOOKUP(TableHandbook[[#This Row],[UDC]],TableAvailabilities[],5,FALSE)&gt;0,"Y",""),"")</f>
        <v/>
      </c>
      <c r="K119" s="176"/>
      <c r="L119" s="173" t="str">
        <f>IFERROR(VLOOKUP(TableHandbook[[#This Row],[UDC]],TableOBEDEC[],7,FALSE),"")</f>
        <v/>
      </c>
      <c r="M119" s="173" t="str">
        <f>IFERROR(VLOOKUP(TableHandbook[[#This Row],[UDC]],TableOBEDPR[],7,FALSE),"")</f>
        <v/>
      </c>
      <c r="N119" s="175" t="str">
        <f>IFERROR(VLOOKUP(TableHandbook[[#This Row],[UDC]],TableOBEDSC1[],7,FALSE),"")</f>
        <v/>
      </c>
      <c r="O119" s="173" t="str">
        <f>IFERROR(VLOOKUP(TableHandbook[[#This Row],[UDC]],TableOUMUARTST[],7,FALSE),"")</f>
        <v/>
      </c>
      <c r="P119" s="173" t="str">
        <f>IFERROR(VLOOKUP(TableHandbook[[#This Row],[UDC]],TableOUMUENGLT[],7,FALSE),"")</f>
        <v/>
      </c>
      <c r="Q119" s="173" t="str">
        <f>IFERROR(VLOOKUP(TableHandbook[[#This Row],[UDC]],TableOUMUHUSGE[],7,FALSE),"")</f>
        <v>AltCore</v>
      </c>
    </row>
    <row r="120" spans="1:17" x14ac:dyDescent="0.25">
      <c r="A120" s="10" t="s">
        <v>249</v>
      </c>
      <c r="B120" s="11">
        <v>3</v>
      </c>
      <c r="C120" s="11" t="s">
        <v>515</v>
      </c>
      <c r="D120" s="10" t="s">
        <v>516</v>
      </c>
      <c r="E120" s="11">
        <v>25</v>
      </c>
      <c r="F120" s="171" t="s">
        <v>277</v>
      </c>
      <c r="G120" s="87" t="str">
        <f>IFERROR(IF(VLOOKUP(TableHandbook[[#This Row],[UDC]],TableAvailabilities[],2,FALSE)&gt;0,"Y",""),"")</f>
        <v/>
      </c>
      <c r="H120" s="87" t="str">
        <f>IFERROR(IF(VLOOKUP(TableHandbook[[#This Row],[UDC]],TableAvailabilities[],3,FALSE)&gt;0,"Y",""),"")</f>
        <v/>
      </c>
      <c r="I120" s="87" t="str">
        <f>IFERROR(IF(VLOOKUP(TableHandbook[[#This Row],[UDC]],TableAvailabilities[],4,FALSE)&gt;0,"Y",""),"")</f>
        <v>Y</v>
      </c>
      <c r="J120" s="87" t="str">
        <f>IFERROR(IF(VLOOKUP(TableHandbook[[#This Row],[UDC]],TableAvailabilities[],5,FALSE)&gt;0,"Y",""),"")</f>
        <v/>
      </c>
      <c r="K120" s="176"/>
      <c r="L120" s="173" t="str">
        <f>IFERROR(VLOOKUP(TableHandbook[[#This Row],[UDC]],TableOBEDEC[],7,FALSE),"")</f>
        <v/>
      </c>
      <c r="M120" s="173" t="str">
        <f>IFERROR(VLOOKUP(TableHandbook[[#This Row],[UDC]],TableOBEDPR[],7,FALSE),"")</f>
        <v/>
      </c>
      <c r="N120" s="175" t="str">
        <f>IFERROR(VLOOKUP(TableHandbook[[#This Row],[UDC]],TableOBEDSC1[],7,FALSE),"")</f>
        <v/>
      </c>
      <c r="O120" s="173" t="str">
        <f>IFERROR(VLOOKUP(TableHandbook[[#This Row],[UDC]],TableOUMUARTST[],7,FALSE),"")</f>
        <v/>
      </c>
      <c r="P120" s="173" t="str">
        <f>IFERROR(VLOOKUP(TableHandbook[[#This Row],[UDC]],TableOUMUENGLT[],7,FALSE),"")</f>
        <v/>
      </c>
      <c r="Q120" s="173" t="str">
        <f>IFERROR(VLOOKUP(TableHandbook[[#This Row],[UDC]],TableOUMUHUSGE[],7,FALSE),"")</f>
        <v>AltCore</v>
      </c>
    </row>
    <row r="121" spans="1:17" x14ac:dyDescent="0.25">
      <c r="A121" s="10" t="s">
        <v>212</v>
      </c>
      <c r="B121" s="11">
        <v>2</v>
      </c>
      <c r="C121" s="11" t="s">
        <v>517</v>
      </c>
      <c r="D121" s="10" t="s">
        <v>518</v>
      </c>
      <c r="E121" s="11">
        <v>25</v>
      </c>
      <c r="F121" s="171" t="s">
        <v>277</v>
      </c>
      <c r="G121" s="87" t="str">
        <f>IFERROR(IF(VLOOKUP(TableHandbook[[#This Row],[UDC]],TableAvailabilities[],2,FALSE)&gt;0,"Y",""),"")</f>
        <v>Y</v>
      </c>
      <c r="H121" s="87" t="str">
        <f>IFERROR(IF(VLOOKUP(TableHandbook[[#This Row],[UDC]],TableAvailabilities[],3,FALSE)&gt;0,"Y",""),"")</f>
        <v/>
      </c>
      <c r="I121" s="87" t="str">
        <f>IFERROR(IF(VLOOKUP(TableHandbook[[#This Row],[UDC]],TableAvailabilities[],4,FALSE)&gt;0,"Y",""),"")</f>
        <v>Y</v>
      </c>
      <c r="J121" s="87" t="str">
        <f>IFERROR(IF(VLOOKUP(TableHandbook[[#This Row],[UDC]],TableAvailabilities[],5,FALSE)&gt;0,"Y",""),"")</f>
        <v/>
      </c>
      <c r="K121" s="176"/>
      <c r="L121" s="173" t="str">
        <f>IFERROR(VLOOKUP(TableHandbook[[#This Row],[UDC]],TableOBEDEC[],7,FALSE),"")</f>
        <v/>
      </c>
      <c r="M121" s="173" t="str">
        <f>IFERROR(VLOOKUP(TableHandbook[[#This Row],[UDC]],TableOBEDPR[],7,FALSE),"")</f>
        <v/>
      </c>
      <c r="N121" s="175" t="str">
        <f>IFERROR(VLOOKUP(TableHandbook[[#This Row],[UDC]],TableOBEDSC1[],7,FALSE),"")</f>
        <v/>
      </c>
      <c r="O121" s="173" t="str">
        <f>IFERROR(VLOOKUP(TableHandbook[[#This Row],[UDC]],TableOUMUARTST[],7,FALSE),"")</f>
        <v/>
      </c>
      <c r="P121" s="173" t="str">
        <f>IFERROR(VLOOKUP(TableHandbook[[#This Row],[UDC]],TableOUMUENGLT[],7,FALSE),"")</f>
        <v>Core</v>
      </c>
      <c r="Q121" s="173" t="str">
        <f>IFERROR(VLOOKUP(TableHandbook[[#This Row],[UDC]],TableOUMUHUSGE[],7,FALSE),"")</f>
        <v/>
      </c>
    </row>
    <row r="122" spans="1:17" x14ac:dyDescent="0.25">
      <c r="A122" s="10" t="s">
        <v>167</v>
      </c>
      <c r="B122" s="11"/>
      <c r="C122" s="11"/>
      <c r="D122" s="10" t="s">
        <v>519</v>
      </c>
      <c r="E122" s="11"/>
      <c r="F122" s="171"/>
      <c r="G122" s="87" t="str">
        <f>IFERROR(IF(VLOOKUP(TableHandbook[[#This Row],[UDC]],TableAvailabilities[],2,FALSE)&gt;0,"Y",""),"")</f>
        <v/>
      </c>
      <c r="H122" s="87" t="str">
        <f>IFERROR(IF(VLOOKUP(TableHandbook[[#This Row],[UDC]],TableAvailabilities[],3,FALSE)&gt;0,"Y",""),"")</f>
        <v/>
      </c>
      <c r="I122" s="87" t="str">
        <f>IFERROR(IF(VLOOKUP(TableHandbook[[#This Row],[UDC]],TableAvailabilities[],4,FALSE)&gt;0,"Y",""),"")</f>
        <v/>
      </c>
      <c r="J122" s="87" t="str">
        <f>IFERROR(IF(VLOOKUP(TableHandbook[[#This Row],[UDC]],TableAvailabilities[],5,FALSE)&gt;0,"Y",""),"")</f>
        <v/>
      </c>
      <c r="K122" s="176"/>
      <c r="L122" s="173" t="str">
        <f>IFERROR(VLOOKUP(TableHandbook[[#This Row],[UDC]],TableOBEDEC[],7,FALSE),"")</f>
        <v/>
      </c>
      <c r="M122" s="173" t="str">
        <f>IFERROR(VLOOKUP(TableHandbook[[#This Row],[UDC]],TableOBEDPR[],7,FALSE),"")</f>
        <v/>
      </c>
      <c r="N122" s="175" t="str">
        <f>IFERROR(VLOOKUP(TableHandbook[[#This Row],[UDC]],TableOBEDSC1[],7,FALSE),"")</f>
        <v/>
      </c>
      <c r="O122" s="173" t="str">
        <f>IFERROR(VLOOKUP(TableHandbook[[#This Row],[UDC]],TableOUMUARTST[],7,FALSE),"")</f>
        <v/>
      </c>
      <c r="P122" s="173" t="str">
        <f>IFERROR(VLOOKUP(TableHandbook[[#This Row],[UDC]],TableOUMUENGLT[],7,FALSE),"")</f>
        <v/>
      </c>
      <c r="Q122" s="173" t="str">
        <f>IFERROR(VLOOKUP(TableHandbook[[#This Row],[UDC]],TableOUMUHUSGE[],7,FALSE),"")</f>
        <v/>
      </c>
    </row>
    <row r="123" spans="1:17" x14ac:dyDescent="0.25">
      <c r="A123" s="10" t="s">
        <v>155</v>
      </c>
      <c r="B123" s="11"/>
      <c r="C123" s="11"/>
      <c r="D123" s="10" t="s">
        <v>520</v>
      </c>
      <c r="E123" s="11"/>
      <c r="F123" s="171"/>
      <c r="G123" s="87" t="str">
        <f>IFERROR(IF(VLOOKUP(TableHandbook[[#This Row],[UDC]],TableAvailabilities[],2,FALSE)&gt;0,"Y",""),"")</f>
        <v/>
      </c>
      <c r="H123" s="87" t="str">
        <f>IFERROR(IF(VLOOKUP(TableHandbook[[#This Row],[UDC]],TableAvailabilities[],3,FALSE)&gt;0,"Y",""),"")</f>
        <v/>
      </c>
      <c r="I123" s="87" t="str">
        <f>IFERROR(IF(VLOOKUP(TableHandbook[[#This Row],[UDC]],TableAvailabilities[],4,FALSE)&gt;0,"Y",""),"")</f>
        <v/>
      </c>
      <c r="J123" s="87" t="str">
        <f>IFERROR(IF(VLOOKUP(TableHandbook[[#This Row],[UDC]],TableAvailabilities[],5,FALSE)&gt;0,"Y",""),"")</f>
        <v/>
      </c>
      <c r="K123" s="176"/>
      <c r="L123" s="173" t="str">
        <f>IFERROR(VLOOKUP(TableHandbook[[#This Row],[UDC]],TableOBEDEC[],7,FALSE),"")</f>
        <v/>
      </c>
      <c r="M123" s="173" t="str">
        <f>IFERROR(VLOOKUP(TableHandbook[[#This Row],[UDC]],TableOBEDPR[],7,FALSE),"")</f>
        <v/>
      </c>
      <c r="N123" s="175" t="str">
        <f>IFERROR(VLOOKUP(TableHandbook[[#This Row],[UDC]],TableOBEDSC1[],7,FALSE),"")</f>
        <v/>
      </c>
      <c r="O123" s="173" t="str">
        <f>IFERROR(VLOOKUP(TableHandbook[[#This Row],[UDC]],TableOUMUARTST[],7,FALSE),"")</f>
        <v/>
      </c>
      <c r="P123" s="173" t="str">
        <f>IFERROR(VLOOKUP(TableHandbook[[#This Row],[UDC]],TableOUMUENGLT[],7,FALSE),"")</f>
        <v/>
      </c>
      <c r="Q123" s="173" t="str">
        <f>IFERROR(VLOOKUP(TableHandbook[[#This Row],[UDC]],TableOUMUHUSGE[],7,FALSE),"")</f>
        <v/>
      </c>
    </row>
    <row r="124" spans="1:17" x14ac:dyDescent="0.25">
      <c r="A124" s="10" t="s">
        <v>171</v>
      </c>
      <c r="B124" s="11"/>
      <c r="C124" s="11"/>
      <c r="D124" s="10" t="s">
        <v>521</v>
      </c>
      <c r="E124" s="11"/>
      <c r="F124" s="171"/>
      <c r="G124" s="87" t="str">
        <f>IFERROR(IF(VLOOKUP(TableHandbook[[#This Row],[UDC]],TableAvailabilities[],2,FALSE)&gt;0,"Y",""),"")</f>
        <v/>
      </c>
      <c r="H124" s="87" t="str">
        <f>IFERROR(IF(VLOOKUP(TableHandbook[[#This Row],[UDC]],TableAvailabilities[],3,FALSE)&gt;0,"Y",""),"")</f>
        <v/>
      </c>
      <c r="I124" s="87" t="str">
        <f>IFERROR(IF(VLOOKUP(TableHandbook[[#This Row],[UDC]],TableAvailabilities[],4,FALSE)&gt;0,"Y",""),"")</f>
        <v/>
      </c>
      <c r="J124" s="87" t="str">
        <f>IFERROR(IF(VLOOKUP(TableHandbook[[#This Row],[UDC]],TableAvailabilities[],5,FALSE)&gt;0,"Y",""),"")</f>
        <v/>
      </c>
      <c r="K124" s="176"/>
      <c r="L124" s="173" t="str">
        <f>IFERROR(VLOOKUP(TableHandbook[[#This Row],[UDC]],TableOBEDEC[],7,FALSE),"")</f>
        <v/>
      </c>
      <c r="M124" s="173" t="str">
        <f>IFERROR(VLOOKUP(TableHandbook[[#This Row],[UDC]],TableOBEDPR[],7,FALSE),"")</f>
        <v/>
      </c>
      <c r="N124" s="175" t="str">
        <f>IFERROR(VLOOKUP(TableHandbook[[#This Row],[UDC]],TableOBEDSC1[],7,FALSE),"")</f>
        <v/>
      </c>
      <c r="O124" s="173" t="str">
        <f>IFERROR(VLOOKUP(TableHandbook[[#This Row],[UDC]],TableOUMUARTST[],7,FALSE),"")</f>
        <v/>
      </c>
      <c r="P124" s="173" t="str">
        <f>IFERROR(VLOOKUP(TableHandbook[[#This Row],[UDC]],TableOUMUENGLT[],7,FALSE),"")</f>
        <v/>
      </c>
      <c r="Q124" s="173" t="str">
        <f>IFERROR(VLOOKUP(TableHandbook[[#This Row],[UDC]],TableOUMUHUSGE[],7,FALSE),"")</f>
        <v/>
      </c>
    </row>
    <row r="125" spans="1:17" x14ac:dyDescent="0.25">
      <c r="A125" s="10" t="s">
        <v>522</v>
      </c>
      <c r="B125" s="11"/>
      <c r="C125" s="11"/>
      <c r="D125" s="10" t="s">
        <v>523</v>
      </c>
      <c r="E125" s="11"/>
      <c r="F125" s="171"/>
      <c r="G125" s="87" t="str">
        <f>IFERROR(IF(VLOOKUP(TableHandbook[[#This Row],[UDC]],TableAvailabilities[],2,FALSE)&gt;0,"Y",""),"")</f>
        <v/>
      </c>
      <c r="H125" s="87" t="str">
        <f>IFERROR(IF(VLOOKUP(TableHandbook[[#This Row],[UDC]],TableAvailabilities[],3,FALSE)&gt;0,"Y",""),"")</f>
        <v/>
      </c>
      <c r="I125" s="87" t="str">
        <f>IFERROR(IF(VLOOKUP(TableHandbook[[#This Row],[UDC]],TableAvailabilities[],4,FALSE)&gt;0,"Y",""),"")</f>
        <v/>
      </c>
      <c r="J125" s="87" t="str">
        <f>IFERROR(IF(VLOOKUP(TableHandbook[[#This Row],[UDC]],TableAvailabilities[],5,FALSE)&gt;0,"Y",""),"")</f>
        <v/>
      </c>
      <c r="K125" s="176"/>
      <c r="L125" s="173" t="str">
        <f>IFERROR(VLOOKUP(TableHandbook[[#This Row],[UDC]],TableOBEDEC[],7,FALSE),"")</f>
        <v/>
      </c>
      <c r="M125" s="173" t="str">
        <f>IFERROR(VLOOKUP(TableHandbook[[#This Row],[UDC]],TableOBEDPR[],7,FALSE),"")</f>
        <v/>
      </c>
      <c r="N125" s="175" t="str">
        <f>IFERROR(VLOOKUP(TableHandbook[[#This Row],[UDC]],TableOBEDSC1[],7,FALSE),"")</f>
        <v/>
      </c>
      <c r="O125" s="173" t="str">
        <f>IFERROR(VLOOKUP(TableHandbook[[#This Row],[UDC]],TableOUMUARTST[],7,FALSE),"")</f>
        <v/>
      </c>
      <c r="P125" s="173" t="str">
        <f>IFERROR(VLOOKUP(TableHandbook[[#This Row],[UDC]],TableOUMUENGLT[],7,FALSE),"")</f>
        <v/>
      </c>
      <c r="Q125" s="173" t="str">
        <f>IFERROR(VLOOKUP(TableHandbook[[#This Row],[UDC]],TableOUMUHUSGE[],7,FALSE),"")</f>
        <v/>
      </c>
    </row>
    <row r="126" spans="1:17" x14ac:dyDescent="0.25">
      <c r="A126" s="10" t="s">
        <v>159</v>
      </c>
      <c r="B126" s="11"/>
      <c r="C126" s="11"/>
      <c r="D126" s="10" t="s">
        <v>524</v>
      </c>
      <c r="E126" s="11"/>
      <c r="F126" s="171"/>
      <c r="G126" s="87" t="str">
        <f>IFERROR(IF(VLOOKUP(TableHandbook[[#This Row],[UDC]],TableAvailabilities[],2,FALSE)&gt;0,"Y",""),"")</f>
        <v/>
      </c>
      <c r="H126" s="87" t="str">
        <f>IFERROR(IF(VLOOKUP(TableHandbook[[#This Row],[UDC]],TableAvailabilities[],3,FALSE)&gt;0,"Y",""),"")</f>
        <v/>
      </c>
      <c r="I126" s="87" t="str">
        <f>IFERROR(IF(VLOOKUP(TableHandbook[[#This Row],[UDC]],TableAvailabilities[],4,FALSE)&gt;0,"Y",""),"")</f>
        <v/>
      </c>
      <c r="J126" s="87" t="str">
        <f>IFERROR(IF(VLOOKUP(TableHandbook[[#This Row],[UDC]],TableAvailabilities[],5,FALSE)&gt;0,"Y",""),"")</f>
        <v/>
      </c>
      <c r="K126" s="176"/>
      <c r="L126" s="173" t="str">
        <f>IFERROR(VLOOKUP(TableHandbook[[#This Row],[UDC]],TableOBEDEC[],7,FALSE),"")</f>
        <v/>
      </c>
      <c r="M126" s="173" t="str">
        <f>IFERROR(VLOOKUP(TableHandbook[[#This Row],[UDC]],TableOBEDPR[],7,FALSE),"")</f>
        <v/>
      </c>
      <c r="N126" s="175" t="str">
        <f>IFERROR(VLOOKUP(TableHandbook[[#This Row],[UDC]],TableOBEDSC1[],7,FALSE),"")</f>
        <v/>
      </c>
      <c r="O126" s="173" t="str">
        <f>IFERROR(VLOOKUP(TableHandbook[[#This Row],[UDC]],TableOUMUARTST[],7,FALSE),"")</f>
        <v/>
      </c>
      <c r="P126" s="173" t="str">
        <f>IFERROR(VLOOKUP(TableHandbook[[#This Row],[UDC]],TableOUMUENGLT[],7,FALSE),"")</f>
        <v/>
      </c>
      <c r="Q126" s="173" t="str">
        <f>IFERROR(VLOOKUP(TableHandbook[[#This Row],[UDC]],TableOUMUHUSGE[],7,FALSE),"")</f>
        <v/>
      </c>
    </row>
    <row r="127" spans="1:17" x14ac:dyDescent="0.25">
      <c r="A127" s="10" t="s">
        <v>163</v>
      </c>
      <c r="B127" s="11"/>
      <c r="C127" s="11"/>
      <c r="D127" s="10" t="s">
        <v>525</v>
      </c>
      <c r="E127" s="11"/>
      <c r="F127" s="171"/>
      <c r="G127" s="87" t="str">
        <f>IFERROR(IF(VLOOKUP(TableHandbook[[#This Row],[UDC]],TableAvailabilities[],2,FALSE)&gt;0,"Y",""),"")</f>
        <v/>
      </c>
      <c r="H127" s="87" t="str">
        <f>IFERROR(IF(VLOOKUP(TableHandbook[[#This Row],[UDC]],TableAvailabilities[],3,FALSE)&gt;0,"Y",""),"")</f>
        <v/>
      </c>
      <c r="I127" s="87" t="str">
        <f>IFERROR(IF(VLOOKUP(TableHandbook[[#This Row],[UDC]],TableAvailabilities[],4,FALSE)&gt;0,"Y",""),"")</f>
        <v/>
      </c>
      <c r="J127" s="87" t="str">
        <f>IFERROR(IF(VLOOKUP(TableHandbook[[#This Row],[UDC]],TableAvailabilities[],5,FALSE)&gt;0,"Y",""),"")</f>
        <v/>
      </c>
      <c r="K127" s="176"/>
      <c r="L127" s="173" t="str">
        <f>IFERROR(VLOOKUP(TableHandbook[[#This Row],[UDC]],TableOBEDEC[],7,FALSE),"")</f>
        <v/>
      </c>
      <c r="M127" s="173" t="str">
        <f>IFERROR(VLOOKUP(TableHandbook[[#This Row],[UDC]],TableOBEDPR[],7,FALSE),"")</f>
        <v/>
      </c>
      <c r="N127" s="175" t="str">
        <f>IFERROR(VLOOKUP(TableHandbook[[#This Row],[UDC]],TableOBEDSC1[],7,FALSE),"")</f>
        <v/>
      </c>
      <c r="O127" s="173" t="str">
        <f>IFERROR(VLOOKUP(TableHandbook[[#This Row],[UDC]],TableOUMUARTST[],7,FALSE),"")</f>
        <v/>
      </c>
      <c r="P127" s="173" t="str">
        <f>IFERROR(VLOOKUP(TableHandbook[[#This Row],[UDC]],TableOUMUENGLT[],7,FALSE),"")</f>
        <v/>
      </c>
      <c r="Q127" s="173" t="str">
        <f>IFERROR(VLOOKUP(TableHandbook[[#This Row],[UDC]],TableOUMUHUSGE[],7,FALSE),"")</f>
        <v/>
      </c>
    </row>
    <row r="128" spans="1:17" x14ac:dyDescent="0.25">
      <c r="A128" s="10" t="s">
        <v>108</v>
      </c>
      <c r="B128" s="11"/>
      <c r="C128" s="11"/>
      <c r="D128" s="10" t="s">
        <v>526</v>
      </c>
      <c r="E128" s="11">
        <v>25</v>
      </c>
      <c r="F128" s="171" t="s">
        <v>266</v>
      </c>
      <c r="G128" s="87" t="str">
        <f>IFERROR(IF(VLOOKUP(TableHandbook[[#This Row],[UDC]],TableAvailabilities[],2,FALSE)&gt;0,"Y",""),"")</f>
        <v/>
      </c>
      <c r="H128" s="87" t="str">
        <f>IFERROR(IF(VLOOKUP(TableHandbook[[#This Row],[UDC]],TableAvailabilities[],3,FALSE)&gt;0,"Y",""),"")</f>
        <v/>
      </c>
      <c r="I128" s="87" t="str">
        <f>IFERROR(IF(VLOOKUP(TableHandbook[[#This Row],[UDC]],TableAvailabilities[],4,FALSE)&gt;0,"Y",""),"")</f>
        <v/>
      </c>
      <c r="J128" s="87" t="str">
        <f>IFERROR(IF(VLOOKUP(TableHandbook[[#This Row],[UDC]],TableAvailabilities[],5,FALSE)&gt;0,"Y",""),"")</f>
        <v/>
      </c>
      <c r="K128" s="176"/>
      <c r="L128" s="173" t="str">
        <f>IFERROR(VLOOKUP(TableHandbook[[#This Row],[UDC]],TableOBEDEC[],7,FALSE),"")</f>
        <v/>
      </c>
      <c r="M128" s="173" t="str">
        <f>IFERROR(VLOOKUP(TableHandbook[[#This Row],[UDC]],TableOBEDPR[],7,FALSE),"")</f>
        <v/>
      </c>
      <c r="N128" s="175" t="str">
        <f>IFERROR(VLOOKUP(TableHandbook[[#This Row],[UDC]],TableOBEDSC1[],7,FALSE),"")</f>
        <v/>
      </c>
      <c r="O128" s="173" t="str">
        <f>IFERROR(VLOOKUP(TableHandbook[[#This Row],[UDC]],TableOUMUARTST[],7,FALSE),"")</f>
        <v/>
      </c>
      <c r="P128" s="173" t="str">
        <f>IFERROR(VLOOKUP(TableHandbook[[#This Row],[UDC]],TableOUMUENGLT[],7,FALSE),"")</f>
        <v/>
      </c>
      <c r="Q128" s="173" t="str">
        <f>IFERROR(VLOOKUP(TableHandbook[[#This Row],[UDC]],TableOUMUHUSGE[],7,FALSE),"")</f>
        <v/>
      </c>
    </row>
    <row r="129" spans="1:17" x14ac:dyDescent="0.25">
      <c r="A129" s="10" t="s">
        <v>215</v>
      </c>
      <c r="B129" s="11">
        <v>2</v>
      </c>
      <c r="C129" s="11" t="s">
        <v>527</v>
      </c>
      <c r="D129" s="10" t="s">
        <v>528</v>
      </c>
      <c r="E129" s="11">
        <v>25</v>
      </c>
      <c r="F129" s="171" t="s">
        <v>277</v>
      </c>
      <c r="G129" s="87" t="str">
        <f>IFERROR(IF(VLOOKUP(TableHandbook[[#This Row],[UDC]],TableAvailabilities[],2,FALSE)&gt;0,"Y",""),"")</f>
        <v>Y</v>
      </c>
      <c r="H129" s="87" t="str">
        <f>IFERROR(IF(VLOOKUP(TableHandbook[[#This Row],[UDC]],TableAvailabilities[],3,FALSE)&gt;0,"Y",""),"")</f>
        <v>Y</v>
      </c>
      <c r="I129" s="87" t="str">
        <f>IFERROR(IF(VLOOKUP(TableHandbook[[#This Row],[UDC]],TableAvailabilities[],4,FALSE)&gt;0,"Y",""),"")</f>
        <v>Y</v>
      </c>
      <c r="J129" s="87" t="str">
        <f>IFERROR(IF(VLOOKUP(TableHandbook[[#This Row],[UDC]],TableAvailabilities[],5,FALSE)&gt;0,"Y",""),"")</f>
        <v>Y</v>
      </c>
      <c r="K129" s="176"/>
      <c r="L129" s="173" t="str">
        <f>IFERROR(VLOOKUP(TableHandbook[[#This Row],[UDC]],TableOBEDEC[],7,FALSE),"")</f>
        <v/>
      </c>
      <c r="M129" s="173" t="str">
        <f>IFERROR(VLOOKUP(TableHandbook[[#This Row],[UDC]],TableOBEDPR[],7,FALSE),"")</f>
        <v/>
      </c>
      <c r="N129" s="175" t="str">
        <f>IFERROR(VLOOKUP(TableHandbook[[#This Row],[UDC]],TableOBEDSC1[],7,FALSE),"")</f>
        <v/>
      </c>
      <c r="O129" s="173" t="str">
        <f>IFERROR(VLOOKUP(TableHandbook[[#This Row],[UDC]],TableOUMUARTST[],7,FALSE),"")</f>
        <v>Core</v>
      </c>
      <c r="P129" s="173" t="str">
        <f>IFERROR(VLOOKUP(TableHandbook[[#This Row],[UDC]],TableOUMUENGLT[],7,FALSE),"")</f>
        <v/>
      </c>
      <c r="Q129" s="173" t="str">
        <f>IFERROR(VLOOKUP(TableHandbook[[#This Row],[UDC]],TableOUMUHUSGE[],7,FALSE),"")</f>
        <v/>
      </c>
    </row>
    <row r="130" spans="1:17" x14ac:dyDescent="0.25">
      <c r="A130" s="10" t="s">
        <v>204</v>
      </c>
      <c r="B130" s="11">
        <v>2</v>
      </c>
      <c r="C130" s="11" t="s">
        <v>529</v>
      </c>
      <c r="D130" s="10" t="s">
        <v>530</v>
      </c>
      <c r="E130" s="11">
        <v>25</v>
      </c>
      <c r="F130" s="171" t="s">
        <v>277</v>
      </c>
      <c r="G130" s="87" t="str">
        <f>IFERROR(IF(VLOOKUP(TableHandbook[[#This Row],[UDC]],TableAvailabilities[],2,FALSE)&gt;0,"Y",""),"")</f>
        <v>Y</v>
      </c>
      <c r="H130" s="87" t="str">
        <f>IFERROR(IF(VLOOKUP(TableHandbook[[#This Row],[UDC]],TableAvailabilities[],3,FALSE)&gt;0,"Y",""),"")</f>
        <v>Y</v>
      </c>
      <c r="I130" s="87" t="str">
        <f>IFERROR(IF(VLOOKUP(TableHandbook[[#This Row],[UDC]],TableAvailabilities[],4,FALSE)&gt;0,"Y",""),"")</f>
        <v/>
      </c>
      <c r="J130" s="87" t="str">
        <f>IFERROR(IF(VLOOKUP(TableHandbook[[#This Row],[UDC]],TableAvailabilities[],5,FALSE)&gt;0,"Y",""),"")</f>
        <v>Y</v>
      </c>
      <c r="K130" s="176"/>
      <c r="L130" s="173" t="str">
        <f>IFERROR(VLOOKUP(TableHandbook[[#This Row],[UDC]],TableOBEDEC[],7,FALSE),"")</f>
        <v/>
      </c>
      <c r="M130" s="173" t="str">
        <f>IFERROR(VLOOKUP(TableHandbook[[#This Row],[UDC]],TableOBEDPR[],7,FALSE),"")</f>
        <v/>
      </c>
      <c r="N130" s="175" t="str">
        <f>IFERROR(VLOOKUP(TableHandbook[[#This Row],[UDC]],TableOBEDSC1[],7,FALSE),"")</f>
        <v/>
      </c>
      <c r="O130" s="173" t="str">
        <f>IFERROR(VLOOKUP(TableHandbook[[#This Row],[UDC]],TableOUMUARTST[],7,FALSE),"")</f>
        <v>Core</v>
      </c>
      <c r="P130" s="173" t="str">
        <f>IFERROR(VLOOKUP(TableHandbook[[#This Row],[UDC]],TableOUMUENGLT[],7,FALSE),"")</f>
        <v/>
      </c>
      <c r="Q130" s="173" t="str">
        <f>IFERROR(VLOOKUP(TableHandbook[[#This Row],[UDC]],TableOUMUHUSGE[],7,FALSE),"")</f>
        <v/>
      </c>
    </row>
    <row r="131" spans="1:17" x14ac:dyDescent="0.25">
      <c r="A131" s="10" t="s">
        <v>201</v>
      </c>
      <c r="B131" s="11">
        <v>2</v>
      </c>
      <c r="C131" s="11" t="s">
        <v>531</v>
      </c>
      <c r="D131" s="10" t="s">
        <v>532</v>
      </c>
      <c r="E131" s="11">
        <v>25</v>
      </c>
      <c r="F131" s="171" t="s">
        <v>277</v>
      </c>
      <c r="G131" s="87" t="str">
        <f>IFERROR(IF(VLOOKUP(TableHandbook[[#This Row],[UDC]],TableAvailabilities[],2,FALSE)&gt;0,"Y",""),"")</f>
        <v>Y</v>
      </c>
      <c r="H131" s="87" t="str">
        <f>IFERROR(IF(VLOOKUP(TableHandbook[[#This Row],[UDC]],TableAvailabilities[],3,FALSE)&gt;0,"Y",""),"")</f>
        <v/>
      </c>
      <c r="I131" s="87" t="str">
        <f>IFERROR(IF(VLOOKUP(TableHandbook[[#This Row],[UDC]],TableAvailabilities[],4,FALSE)&gt;0,"Y",""),"")</f>
        <v>Y</v>
      </c>
      <c r="J131" s="87" t="str">
        <f>IFERROR(IF(VLOOKUP(TableHandbook[[#This Row],[UDC]],TableAvailabilities[],5,FALSE)&gt;0,"Y",""),"")</f>
        <v/>
      </c>
      <c r="K131" s="176"/>
      <c r="L131" s="173" t="str">
        <f>IFERROR(VLOOKUP(TableHandbook[[#This Row],[UDC]],TableOBEDEC[],7,FALSE),"")</f>
        <v/>
      </c>
      <c r="M131" s="173" t="str">
        <f>IFERROR(VLOOKUP(TableHandbook[[#This Row],[UDC]],TableOBEDPR[],7,FALSE),"")</f>
        <v/>
      </c>
      <c r="N131" s="175" t="str">
        <f>IFERROR(VLOOKUP(TableHandbook[[#This Row],[UDC]],TableOBEDSC1[],7,FALSE),"")</f>
        <v/>
      </c>
      <c r="O131" s="173" t="str">
        <f>IFERROR(VLOOKUP(TableHandbook[[#This Row],[UDC]],TableOUMUARTST[],7,FALSE),"")</f>
        <v>Core</v>
      </c>
      <c r="P131" s="173" t="str">
        <f>IFERROR(VLOOKUP(TableHandbook[[#This Row],[UDC]],TableOUMUENGLT[],7,FALSE),"")</f>
        <v/>
      </c>
      <c r="Q131" s="173" t="str">
        <f>IFERROR(VLOOKUP(TableHandbook[[#This Row],[UDC]],TableOUMUHUSGE[],7,FALSE),"")</f>
        <v/>
      </c>
    </row>
    <row r="132" spans="1:17" x14ac:dyDescent="0.25">
      <c r="A132" s="205" t="s">
        <v>240</v>
      </c>
      <c r="B132" s="11">
        <v>3</v>
      </c>
      <c r="C132" s="11" t="s">
        <v>533</v>
      </c>
      <c r="D132" s="10" t="s">
        <v>534</v>
      </c>
      <c r="E132" s="11">
        <v>25</v>
      </c>
      <c r="F132" s="240" t="s">
        <v>444</v>
      </c>
      <c r="G132" s="87" t="str">
        <f>IFERROR(IF(VLOOKUP(TableHandbook[[#This Row],[UDC]],TableAvailabilities[],2,FALSE)&gt;0,"Y",""),"")</f>
        <v>Y</v>
      </c>
      <c r="H132" s="87" t="str">
        <f>IFERROR(IF(VLOOKUP(TableHandbook[[#This Row],[UDC]],TableAvailabilities[],3,FALSE)&gt;0,"Y",""),"")</f>
        <v/>
      </c>
      <c r="I132" s="87" t="str">
        <f>IFERROR(IF(VLOOKUP(TableHandbook[[#This Row],[UDC]],TableAvailabilities[],4,FALSE)&gt;0,"Y",""),"")</f>
        <v>Y</v>
      </c>
      <c r="J132" s="87" t="str">
        <f>IFERROR(IF(VLOOKUP(TableHandbook[[#This Row],[UDC]],TableAvailabilities[],5,FALSE)&gt;0,"Y",""),"")</f>
        <v/>
      </c>
      <c r="K132" s="176"/>
      <c r="L132" s="173" t="str">
        <f>IFERROR(VLOOKUP(TableHandbook[[#This Row],[UDC]],TableOBEDEC[],7,FALSE),"")</f>
        <v/>
      </c>
      <c r="M132" s="173" t="str">
        <f>IFERROR(VLOOKUP(TableHandbook[[#This Row],[UDC]],TableOBEDPR[],7,FALSE),"")</f>
        <v/>
      </c>
      <c r="N132" s="175" t="str">
        <f>IFERROR(VLOOKUP(TableHandbook[[#This Row],[UDC]],TableOBEDSC1[],7,FALSE),"")</f>
        <v/>
      </c>
      <c r="O132" s="173" t="str">
        <f>IFERROR(VLOOKUP(TableHandbook[[#This Row],[UDC]],TableOUMUARTST[],7,FALSE),"")</f>
        <v>AltCore</v>
      </c>
      <c r="P132" s="173" t="str">
        <f>IFERROR(VLOOKUP(TableHandbook[[#This Row],[UDC]],TableOUMUENGLT[],7,FALSE),"")</f>
        <v/>
      </c>
      <c r="Q132" s="173" t="str">
        <f>IFERROR(VLOOKUP(TableHandbook[[#This Row],[UDC]],TableOUMUHUSGE[],7,FALSE),"")</f>
        <v/>
      </c>
    </row>
    <row r="133" spans="1:17" x14ac:dyDescent="0.25">
      <c r="A133" s="205" t="s">
        <v>242</v>
      </c>
      <c r="B133" s="11">
        <v>3</v>
      </c>
      <c r="C133" s="11" t="s">
        <v>535</v>
      </c>
      <c r="D133" s="10" t="s">
        <v>536</v>
      </c>
      <c r="E133" s="11">
        <v>25</v>
      </c>
      <c r="F133" s="240" t="s">
        <v>444</v>
      </c>
      <c r="G133" s="87" t="str">
        <f>IFERROR(IF(VLOOKUP(TableHandbook[[#This Row],[UDC]],TableAvailabilities[],2,FALSE)&gt;0,"Y",""),"")</f>
        <v>Y</v>
      </c>
      <c r="H133" s="87" t="str">
        <f>IFERROR(IF(VLOOKUP(TableHandbook[[#This Row],[UDC]],TableAvailabilities[],3,FALSE)&gt;0,"Y",""),"")</f>
        <v/>
      </c>
      <c r="I133" s="87" t="str">
        <f>IFERROR(IF(VLOOKUP(TableHandbook[[#This Row],[UDC]],TableAvailabilities[],4,FALSE)&gt;0,"Y",""),"")</f>
        <v>Y</v>
      </c>
      <c r="J133" s="87" t="str">
        <f>IFERROR(IF(VLOOKUP(TableHandbook[[#This Row],[UDC]],TableAvailabilities[],5,FALSE)&gt;0,"Y",""),"")</f>
        <v/>
      </c>
      <c r="K133" s="176"/>
      <c r="L133" s="173" t="str">
        <f>IFERROR(VLOOKUP(TableHandbook[[#This Row],[UDC]],TableOBEDEC[],7,FALSE),"")</f>
        <v/>
      </c>
      <c r="M133" s="173" t="str">
        <f>IFERROR(VLOOKUP(TableHandbook[[#This Row],[UDC]],TableOBEDPR[],7,FALSE),"")</f>
        <v/>
      </c>
      <c r="N133" s="175" t="str">
        <f>IFERROR(VLOOKUP(TableHandbook[[#This Row],[UDC]],TableOBEDSC1[],7,FALSE),"")</f>
        <v/>
      </c>
      <c r="O133" s="173" t="str">
        <f>IFERROR(VLOOKUP(TableHandbook[[#This Row],[UDC]],TableOUMUARTST[],7,FALSE),"")</f>
        <v>AltCore</v>
      </c>
      <c r="P133" s="173" t="str">
        <f>IFERROR(VLOOKUP(TableHandbook[[#This Row],[UDC]],TableOUMUENGLT[],7,FALSE),"")</f>
        <v/>
      </c>
      <c r="Q133" s="173" t="str">
        <f>IFERROR(VLOOKUP(TableHandbook[[#This Row],[UDC]],TableOUMUHUSGE[],7,FALSE),"")</f>
        <v/>
      </c>
    </row>
    <row r="134" spans="1:17" x14ac:dyDescent="0.25">
      <c r="A134" s="10" t="s">
        <v>221</v>
      </c>
      <c r="B134" s="11">
        <v>3</v>
      </c>
      <c r="C134" s="11" t="s">
        <v>537</v>
      </c>
      <c r="D134" s="10" t="s">
        <v>538</v>
      </c>
      <c r="E134" s="11">
        <v>25</v>
      </c>
      <c r="F134" s="240" t="s">
        <v>539</v>
      </c>
      <c r="G134" s="87" t="str">
        <f>IFERROR(IF(VLOOKUP(TableHandbook[[#This Row],[UDC]],TableAvailabilities[],2,FALSE)&gt;0,"Y",""),"")</f>
        <v/>
      </c>
      <c r="H134" s="87" t="str">
        <f>IFERROR(IF(VLOOKUP(TableHandbook[[#This Row],[UDC]],TableAvailabilities[],3,FALSE)&gt;0,"Y",""),"")</f>
        <v>Y</v>
      </c>
      <c r="I134" s="87" t="str">
        <f>IFERROR(IF(VLOOKUP(TableHandbook[[#This Row],[UDC]],TableAvailabilities[],4,FALSE)&gt;0,"Y",""),"")</f>
        <v/>
      </c>
      <c r="J134" s="87" t="str">
        <f>IFERROR(IF(VLOOKUP(TableHandbook[[#This Row],[UDC]],TableAvailabilities[],5,FALSE)&gt;0,"Y",""),"")</f>
        <v>Y</v>
      </c>
      <c r="K134" s="176"/>
      <c r="L134" s="173" t="str">
        <f>IFERROR(VLOOKUP(TableHandbook[[#This Row],[UDC]],TableOBEDEC[],7,FALSE),"")</f>
        <v/>
      </c>
      <c r="M134" s="173" t="str">
        <f>IFERROR(VLOOKUP(TableHandbook[[#This Row],[UDC]],TableOBEDPR[],7,FALSE),"")</f>
        <v/>
      </c>
      <c r="N134" s="175" t="str">
        <f>IFERROR(VLOOKUP(TableHandbook[[#This Row],[UDC]],TableOBEDSC1[],7,FALSE),"")</f>
        <v/>
      </c>
      <c r="O134" s="173" t="str">
        <f>IFERROR(VLOOKUP(TableHandbook[[#This Row],[UDC]],TableOUMUARTST[],7,FALSE),"")</f>
        <v>Core</v>
      </c>
      <c r="P134" s="173" t="str">
        <f>IFERROR(VLOOKUP(TableHandbook[[#This Row],[UDC]],TableOUMUENGLT[],7,FALSE),"")</f>
        <v/>
      </c>
      <c r="Q134" s="173" t="str">
        <f>IFERROR(VLOOKUP(TableHandbook[[#This Row],[UDC]],TableOUMUHUSGE[],7,FALSE),"")</f>
        <v/>
      </c>
    </row>
    <row r="135" spans="1:17" x14ac:dyDescent="0.25">
      <c r="A135" s="10" t="s">
        <v>225</v>
      </c>
      <c r="B135" s="11">
        <v>1</v>
      </c>
      <c r="C135" s="11" t="s">
        <v>540</v>
      </c>
      <c r="D135" s="10" t="s">
        <v>541</v>
      </c>
      <c r="E135" s="11">
        <v>25</v>
      </c>
      <c r="F135" s="171" t="s">
        <v>277</v>
      </c>
      <c r="G135" s="87" t="str">
        <f>IFERROR(IF(VLOOKUP(TableHandbook[[#This Row],[UDC]],TableAvailabilities[],2,FALSE)&gt;0,"Y",""),"")</f>
        <v>Y</v>
      </c>
      <c r="H135" s="87" t="str">
        <f>IFERROR(IF(VLOOKUP(TableHandbook[[#This Row],[UDC]],TableAvailabilities[],3,FALSE)&gt;0,"Y",""),"")</f>
        <v/>
      </c>
      <c r="I135" s="87" t="str">
        <f>IFERROR(IF(VLOOKUP(TableHandbook[[#This Row],[UDC]],TableAvailabilities[],4,FALSE)&gt;0,"Y",""),"")</f>
        <v>Y</v>
      </c>
      <c r="J135" s="87" t="str">
        <f>IFERROR(IF(VLOOKUP(TableHandbook[[#This Row],[UDC]],TableAvailabilities[],5,FALSE)&gt;0,"Y",""),"")</f>
        <v/>
      </c>
      <c r="K135" s="176" t="s">
        <v>542</v>
      </c>
      <c r="L135" s="173" t="str">
        <f>IFERROR(VLOOKUP(TableHandbook[[#This Row],[UDC]],TableOBEDEC[],7,FALSE),"")</f>
        <v/>
      </c>
      <c r="M135" s="173" t="str">
        <f>IFERROR(VLOOKUP(TableHandbook[[#This Row],[UDC]],TableOBEDPR[],7,FALSE),"")</f>
        <v/>
      </c>
      <c r="N135" s="175" t="str">
        <f>IFERROR(VLOOKUP(TableHandbook[[#This Row],[UDC]],TableOBEDSC1[],7,FALSE),"")</f>
        <v/>
      </c>
      <c r="O135" s="173" t="str">
        <f>IFERROR(VLOOKUP(TableHandbook[[#This Row],[UDC]],TableOUMUARTST[],7,FALSE),"")</f>
        <v>Core</v>
      </c>
      <c r="P135" s="173" t="str">
        <f>IFERROR(VLOOKUP(TableHandbook[[#This Row],[UDC]],TableOUMUENGLT[],7,FALSE),"")</f>
        <v/>
      </c>
      <c r="Q135" s="173" t="str">
        <f>IFERROR(VLOOKUP(TableHandbook[[#This Row],[UDC]],TableOUMUHUSGE[],7,FALSE),"")</f>
        <v/>
      </c>
    </row>
    <row r="136" spans="1:17" x14ac:dyDescent="0.25">
      <c r="A136" s="10" t="s">
        <v>234</v>
      </c>
      <c r="B136" s="11">
        <v>2</v>
      </c>
      <c r="C136" s="11" t="s">
        <v>543</v>
      </c>
      <c r="D136" s="10" t="s">
        <v>544</v>
      </c>
      <c r="E136" s="11">
        <v>25</v>
      </c>
      <c r="F136" s="240" t="s">
        <v>537</v>
      </c>
      <c r="G136" s="87" t="str">
        <f>IFERROR(IF(VLOOKUP(TableHandbook[[#This Row],[UDC]],TableAvailabilities[],2,FALSE)&gt;0,"Y",""),"")</f>
        <v>Y</v>
      </c>
      <c r="H136" s="87" t="str">
        <f>IFERROR(IF(VLOOKUP(TableHandbook[[#This Row],[UDC]],TableAvailabilities[],3,FALSE)&gt;0,"Y",""),"")</f>
        <v/>
      </c>
      <c r="I136" s="87" t="str">
        <f>IFERROR(IF(VLOOKUP(TableHandbook[[#This Row],[UDC]],TableAvailabilities[],4,FALSE)&gt;0,"Y",""),"")</f>
        <v>Y</v>
      </c>
      <c r="J136" s="87" t="str">
        <f>IFERROR(IF(VLOOKUP(TableHandbook[[#This Row],[UDC]],TableAvailabilities[],5,FALSE)&gt;0,"Y",""),"")</f>
        <v/>
      </c>
      <c r="K136" s="176"/>
      <c r="L136" s="173" t="str">
        <f>IFERROR(VLOOKUP(TableHandbook[[#This Row],[UDC]],TableOBEDEC[],7,FALSE),"")</f>
        <v/>
      </c>
      <c r="M136" s="173" t="str">
        <f>IFERROR(VLOOKUP(TableHandbook[[#This Row],[UDC]],TableOBEDPR[],7,FALSE),"")</f>
        <v/>
      </c>
      <c r="N136" s="175" t="str">
        <f>IFERROR(VLOOKUP(TableHandbook[[#This Row],[UDC]],TableOBEDSC1[],7,FALSE),"")</f>
        <v/>
      </c>
      <c r="O136" s="173" t="str">
        <f>IFERROR(VLOOKUP(TableHandbook[[#This Row],[UDC]],TableOUMUARTST[],7,FALSE),"")</f>
        <v>Core</v>
      </c>
      <c r="P136" s="173" t="str">
        <f>IFERROR(VLOOKUP(TableHandbook[[#This Row],[UDC]],TableOUMUENGLT[],7,FALSE),"")</f>
        <v/>
      </c>
      <c r="Q136" s="173" t="str">
        <f>IFERROR(VLOOKUP(TableHandbook[[#This Row],[UDC]],TableOUMUHUSGE[],7,FALSE),"")</f>
        <v/>
      </c>
    </row>
    <row r="137" spans="1:17" x14ac:dyDescent="0.25">
      <c r="A137" s="10" t="s">
        <v>237</v>
      </c>
      <c r="B137" s="11">
        <v>3</v>
      </c>
      <c r="C137" s="11" t="s">
        <v>545</v>
      </c>
      <c r="D137" s="10" t="s">
        <v>546</v>
      </c>
      <c r="E137" s="11">
        <v>25</v>
      </c>
      <c r="F137" s="240" t="s">
        <v>547</v>
      </c>
      <c r="G137" s="87" t="str">
        <f>IFERROR(IF(VLOOKUP(TableHandbook[[#This Row],[UDC]],TableAvailabilities[],2,FALSE)&gt;0,"Y",""),"")</f>
        <v>Y</v>
      </c>
      <c r="H137" s="87" t="str">
        <f>IFERROR(IF(VLOOKUP(TableHandbook[[#This Row],[UDC]],TableAvailabilities[],3,FALSE)&gt;0,"Y",""),"")</f>
        <v/>
      </c>
      <c r="I137" s="87" t="str">
        <f>IFERROR(IF(VLOOKUP(TableHandbook[[#This Row],[UDC]],TableAvailabilities[],4,FALSE)&gt;0,"Y",""),"")</f>
        <v>Y</v>
      </c>
      <c r="J137" s="87" t="str">
        <f>IFERROR(IF(VLOOKUP(TableHandbook[[#This Row],[UDC]],TableAvailabilities[],5,FALSE)&gt;0,"Y",""),"")</f>
        <v/>
      </c>
      <c r="K137" s="176"/>
      <c r="L137" s="173" t="str">
        <f>IFERROR(VLOOKUP(TableHandbook[[#This Row],[UDC]],TableOBEDEC[],7,FALSE),"")</f>
        <v/>
      </c>
      <c r="M137" s="173" t="str">
        <f>IFERROR(VLOOKUP(TableHandbook[[#This Row],[UDC]],TableOBEDPR[],7,FALSE),"")</f>
        <v/>
      </c>
      <c r="N137" s="175" t="str">
        <f>IFERROR(VLOOKUP(TableHandbook[[#This Row],[UDC]],TableOBEDSC1[],7,FALSE),"")</f>
        <v/>
      </c>
      <c r="O137" s="173" t="str">
        <f>IFERROR(VLOOKUP(TableHandbook[[#This Row],[UDC]],TableOUMUARTST[],7,FALSE),"")</f>
        <v>Core</v>
      </c>
      <c r="P137" s="173" t="str">
        <f>IFERROR(VLOOKUP(TableHandbook[[#This Row],[UDC]],TableOUMUENGLT[],7,FALSE),"")</f>
        <v/>
      </c>
      <c r="Q137" s="173" t="str">
        <f>IFERROR(VLOOKUP(TableHandbook[[#This Row],[UDC]],TableOUMUHUSGE[],7,FALSE),"")</f>
        <v/>
      </c>
    </row>
  </sheetData>
  <sortState xmlns:xlrd2="http://schemas.microsoft.com/office/spreadsheetml/2017/richdata2" ref="A25:D38">
    <sortCondition ref="A25"/>
  </sortState>
  <conditionalFormatting sqref="A3:A137">
    <cfRule type="duplicateValues" dxfId="18" priority="20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R218"/>
  <sheetViews>
    <sheetView topLeftCell="A132" zoomScale="70" zoomScaleNormal="70" workbookViewId="0">
      <selection activeCell="D6" sqref="D6"/>
    </sheetView>
  </sheetViews>
  <sheetFormatPr defaultRowHeight="15.75" x14ac:dyDescent="0.25"/>
  <cols>
    <col min="1" max="1" width="14.25" bestFit="1" customWidth="1"/>
    <col min="2" max="2" width="9.75" style="5" customWidth="1"/>
    <col min="3" max="3" width="12" bestFit="1" customWidth="1"/>
    <col min="4" max="4" width="66.875" customWidth="1"/>
    <col min="5" max="5" width="8.625" style="5" bestFit="1" customWidth="1"/>
    <col min="6" max="6" width="6.5" bestFit="1" customWidth="1"/>
    <col min="7" max="7" width="13.625" bestFit="1" customWidth="1"/>
    <col min="8" max="8" width="10.625" bestFit="1" customWidth="1"/>
    <col min="9" max="9" width="14.5" bestFit="1" customWidth="1"/>
    <col min="10" max="10" width="21.125" bestFit="1" customWidth="1"/>
    <col min="11" max="11" width="6.25" customWidth="1"/>
    <col min="12" max="12" width="75.625" customWidth="1"/>
    <col min="13" max="13" width="8.75" bestFit="1" customWidth="1"/>
    <col min="14" max="14" width="12.5" bestFit="1" customWidth="1"/>
    <col min="15" max="15" width="10.875" bestFit="1" customWidth="1"/>
    <col min="16" max="16" width="10.875" customWidth="1"/>
    <col min="17" max="17" width="12.625" bestFit="1" customWidth="1"/>
    <col min="18" max="18" width="11.5" bestFit="1" customWidth="1"/>
  </cols>
  <sheetData>
    <row r="1" spans="1:18" x14ac:dyDescent="0.25">
      <c r="A1" s="47"/>
      <c r="B1" s="49"/>
      <c r="C1" s="47"/>
      <c r="G1" s="48" t="s">
        <v>548</v>
      </c>
      <c r="H1" s="199">
        <v>45658</v>
      </c>
      <c r="J1" s="47" t="s">
        <v>69</v>
      </c>
      <c r="K1" s="200" t="s">
        <v>64</v>
      </c>
      <c r="L1" s="47" t="s">
        <v>11</v>
      </c>
      <c r="M1" s="47"/>
      <c r="N1" s="107" t="s">
        <v>549</v>
      </c>
      <c r="O1" s="75">
        <v>45551</v>
      </c>
      <c r="P1" s="198">
        <v>45292</v>
      </c>
      <c r="Q1" s="178" t="s">
        <v>550</v>
      </c>
    </row>
    <row r="2" spans="1:18" ht="31.5" x14ac:dyDescent="0.25">
      <c r="A2" s="61" t="s">
        <v>0</v>
      </c>
      <c r="B2" s="62" t="s">
        <v>551</v>
      </c>
      <c r="C2" s="61" t="s">
        <v>18</v>
      </c>
      <c r="D2" s="61" t="s">
        <v>3</v>
      </c>
      <c r="E2" s="63" t="s">
        <v>552</v>
      </c>
      <c r="F2" s="61" t="s">
        <v>553</v>
      </c>
      <c r="G2" s="61" t="s">
        <v>554</v>
      </c>
      <c r="H2" s="61" t="s">
        <v>555</v>
      </c>
      <c r="I2" s="61" t="s">
        <v>19</v>
      </c>
      <c r="J2" s="61" t="s">
        <v>556</v>
      </c>
      <c r="K2" s="61" t="s">
        <v>1</v>
      </c>
      <c r="L2" s="61" t="s">
        <v>557</v>
      </c>
      <c r="M2" s="61" t="s">
        <v>60</v>
      </c>
      <c r="N2" s="61" t="s">
        <v>558</v>
      </c>
      <c r="O2" s="61" t="s">
        <v>559</v>
      </c>
      <c r="P2" s="61"/>
      <c r="Q2" t="s">
        <v>560</v>
      </c>
      <c r="R2" t="s">
        <v>561</v>
      </c>
    </row>
    <row r="3" spans="1:18" x14ac:dyDescent="0.25">
      <c r="A3" t="str">
        <f>TableOBEDEC[[#This Row],[Study Package Code]]</f>
        <v>EDUC1020</v>
      </c>
      <c r="B3" s="5">
        <f>TableOBEDEC[[#This Row],[Ver]]</f>
        <v>1</v>
      </c>
      <c r="C3" t="str">
        <f>LEFT(TableOBEDEC[[#This Row],[Structure Line]], FIND(" ", TableOBEDEC[[#This Row],[Structure Line]])-1)</f>
        <v>EDC105</v>
      </c>
      <c r="D3" t="str">
        <f>MID(TableOBEDEC[[#This Row],[Structure Line]],FIND(" ",TableOBEDEC[[#This Row],[Structure Line]])+1,LEN(TableOBEDEC[[#This Row],[Structure Line]]))</f>
        <v>Teaching and Learning in the Digital World</v>
      </c>
      <c r="E3" s="50">
        <f>TableOBEDEC[[#This Row],[Credit Points]]</f>
        <v>25</v>
      </c>
      <c r="F3" s="79">
        <v>1</v>
      </c>
      <c r="G3" s="79" t="s">
        <v>562</v>
      </c>
      <c r="H3" s="79">
        <v>1</v>
      </c>
      <c r="I3" s="79" t="s">
        <v>563</v>
      </c>
      <c r="J3" s="79" t="s">
        <v>47</v>
      </c>
      <c r="K3" s="79">
        <v>1</v>
      </c>
      <c r="L3" s="79" t="s">
        <v>564</v>
      </c>
      <c r="M3" s="79">
        <v>25</v>
      </c>
      <c r="N3" s="75">
        <v>43466</v>
      </c>
      <c r="O3" s="75"/>
      <c r="P3" s="75"/>
      <c r="Q3" t="s">
        <v>47</v>
      </c>
      <c r="R3">
        <v>1</v>
      </c>
    </row>
    <row r="4" spans="1:18" x14ac:dyDescent="0.25">
      <c r="A4" t="str">
        <f>TableOBEDEC[[#This Row],[Study Package Code]]</f>
        <v>EDUC1024</v>
      </c>
      <c r="B4" s="5">
        <f>TableOBEDEC[[#This Row],[Ver]]</f>
        <v>1</v>
      </c>
      <c r="C4" t="str">
        <f>LEFT(TableOBEDEC[[#This Row],[Structure Line]], FIND(" ", TableOBEDEC[[#This Row],[Structure Line]])-1)</f>
        <v>EDC121</v>
      </c>
      <c r="D4" t="str">
        <f>MID(TableOBEDEC[[#This Row],[Structure Line]],FIND(" ",TableOBEDEC[[#This Row],[Structure Line]])+1,LEN(TableOBEDEC[[#This Row],[Structure Line]]))</f>
        <v>Introducing Language, Literacy and Literature for Educators</v>
      </c>
      <c r="E4" s="50">
        <f>TableOBEDEC[[#This Row],[Credit Points]]</f>
        <v>25</v>
      </c>
      <c r="F4" s="79">
        <v>2</v>
      </c>
      <c r="G4" s="79" t="s">
        <v>562</v>
      </c>
      <c r="H4" s="79">
        <v>1</v>
      </c>
      <c r="I4" s="79" t="s">
        <v>563</v>
      </c>
      <c r="J4" s="79" t="s">
        <v>49</v>
      </c>
      <c r="K4" s="79">
        <v>1</v>
      </c>
      <c r="L4" s="79" t="s">
        <v>565</v>
      </c>
      <c r="M4" s="79">
        <v>25</v>
      </c>
      <c r="N4" s="75">
        <v>43466</v>
      </c>
      <c r="O4" s="75"/>
      <c r="P4" s="75"/>
      <c r="Q4" t="s">
        <v>49</v>
      </c>
      <c r="R4">
        <v>1</v>
      </c>
    </row>
    <row r="5" spans="1:18" x14ac:dyDescent="0.25">
      <c r="A5" t="str">
        <f>TableOBEDEC[[#This Row],[Study Package Code]]</f>
        <v>EDUC1022</v>
      </c>
      <c r="B5" s="5">
        <f>TableOBEDEC[[#This Row],[Ver]]</f>
        <v>1</v>
      </c>
      <c r="C5" t="str">
        <f>LEFT(TableOBEDEC[[#This Row],[Structure Line]], FIND(" ", TableOBEDEC[[#This Row],[Structure Line]])-1)</f>
        <v>EDC135</v>
      </c>
      <c r="D5" t="str">
        <f>MID(TableOBEDEC[[#This Row],[Structure Line]],FIND(" ",TableOBEDEC[[#This Row],[Structure Line]])+1,LEN(TableOBEDEC[[#This Row],[Structure Line]]))</f>
        <v>Child Development for Educators</v>
      </c>
      <c r="E5" s="50">
        <f>TableOBEDEC[[#This Row],[Credit Points]]</f>
        <v>25</v>
      </c>
      <c r="F5" s="79">
        <v>3</v>
      </c>
      <c r="G5" s="79" t="s">
        <v>562</v>
      </c>
      <c r="H5" s="79">
        <v>1</v>
      </c>
      <c r="I5" s="79" t="s">
        <v>563</v>
      </c>
      <c r="J5" s="79" t="s">
        <v>52</v>
      </c>
      <c r="K5" s="79">
        <v>1</v>
      </c>
      <c r="L5" s="79" t="s">
        <v>566</v>
      </c>
      <c r="M5" s="79">
        <v>25</v>
      </c>
      <c r="N5" s="75">
        <v>43466</v>
      </c>
      <c r="O5" s="75"/>
      <c r="P5" s="75"/>
      <c r="Q5" t="s">
        <v>52</v>
      </c>
      <c r="R5">
        <v>1</v>
      </c>
    </row>
    <row r="6" spans="1:18" x14ac:dyDescent="0.25">
      <c r="A6" t="str">
        <f>TableOBEDEC[[#This Row],[Study Package Code]]</f>
        <v>EDUC1026</v>
      </c>
      <c r="B6" s="5">
        <f>TableOBEDEC[[#This Row],[Ver]]</f>
        <v>1</v>
      </c>
      <c r="C6" t="str">
        <f>LEFT(TableOBEDEC[[#This Row],[Structure Line]], FIND(" ", TableOBEDEC[[#This Row],[Structure Line]])-1)</f>
        <v>EDC140</v>
      </c>
      <c r="D6" t="str">
        <f>MID(TableOBEDEC[[#This Row],[Structure Line]],FIND(" ",TableOBEDEC[[#This Row],[Structure Line]])+1,LEN(TableOBEDEC[[#This Row],[Structure Line]]))</f>
        <v>Exploring and Contesting Curriculum</v>
      </c>
      <c r="E6" s="50">
        <f>TableOBEDEC[[#This Row],[Credit Points]]</f>
        <v>25</v>
      </c>
      <c r="F6" s="79">
        <v>4</v>
      </c>
      <c r="G6" s="79" t="s">
        <v>562</v>
      </c>
      <c r="H6" s="79">
        <v>1</v>
      </c>
      <c r="I6" s="79" t="s">
        <v>563</v>
      </c>
      <c r="J6" s="79" t="s">
        <v>54</v>
      </c>
      <c r="K6" s="79">
        <v>1</v>
      </c>
      <c r="L6" s="79" t="s">
        <v>567</v>
      </c>
      <c r="M6" s="79">
        <v>25</v>
      </c>
      <c r="N6" s="75">
        <v>43466</v>
      </c>
      <c r="O6" s="75"/>
      <c r="P6" s="75"/>
      <c r="Q6" t="s">
        <v>54</v>
      </c>
      <c r="R6">
        <v>1</v>
      </c>
    </row>
    <row r="7" spans="1:18" x14ac:dyDescent="0.25">
      <c r="A7" t="str">
        <f>TableOBEDEC[[#This Row],[Study Package Code]]</f>
        <v>EDUC1032</v>
      </c>
      <c r="B7" s="5">
        <f>TableOBEDEC[[#This Row],[Ver]]</f>
        <v>1</v>
      </c>
      <c r="C7" t="str">
        <f>LEFT(TableOBEDEC[[#This Row],[Structure Line]], FIND(" ", TableOBEDEC[[#This Row],[Structure Line]])-1)</f>
        <v>EDC145</v>
      </c>
      <c r="D7" t="str">
        <f>MID(TableOBEDEC[[#This Row],[Structure Line]],FIND(" ",TableOBEDEC[[#This Row],[Structure Line]])+1,LEN(TableOBEDEC[[#This Row],[Structure Line]]))</f>
        <v>The Numerate Educator</v>
      </c>
      <c r="E7" s="50">
        <f>TableOBEDEC[[#This Row],[Credit Points]]</f>
        <v>25</v>
      </c>
      <c r="F7" s="79">
        <v>5</v>
      </c>
      <c r="G7" s="79" t="s">
        <v>562</v>
      </c>
      <c r="H7" s="79">
        <v>1</v>
      </c>
      <c r="I7" s="79" t="s">
        <v>563</v>
      </c>
      <c r="J7" s="79" t="s">
        <v>67</v>
      </c>
      <c r="K7" s="79">
        <v>1</v>
      </c>
      <c r="L7" s="79" t="s">
        <v>568</v>
      </c>
      <c r="M7" s="79">
        <v>25</v>
      </c>
      <c r="N7" s="75">
        <v>43466</v>
      </c>
      <c r="O7" s="75"/>
      <c r="P7" s="75"/>
      <c r="Q7" t="s">
        <v>67</v>
      </c>
      <c r="R7">
        <v>1</v>
      </c>
    </row>
    <row r="8" spans="1:18" x14ac:dyDescent="0.25">
      <c r="A8" t="str">
        <f>TableOBEDEC[[#This Row],[Study Package Code]]</f>
        <v>EDUC1030</v>
      </c>
      <c r="B8" s="5">
        <f>TableOBEDEC[[#This Row],[Ver]]</f>
        <v>1</v>
      </c>
      <c r="C8" t="str">
        <f>LEFT(TableOBEDEC[[#This Row],[Structure Line]], FIND(" ", TableOBEDEC[[#This Row],[Structure Line]])-1)</f>
        <v>EDC153</v>
      </c>
      <c r="D8" t="str">
        <f>MID(TableOBEDEC[[#This Row],[Structure Line]],FIND(" ",TableOBEDEC[[#This Row],[Structure Line]])+1,LEN(TableOBEDEC[[#This Row],[Structure Line]]))</f>
        <v>Performing Arts for Educators</v>
      </c>
      <c r="E8" s="50">
        <f>TableOBEDEC[[#This Row],[Credit Points]]</f>
        <v>25</v>
      </c>
      <c r="F8" s="79">
        <v>6</v>
      </c>
      <c r="G8" s="79" t="s">
        <v>562</v>
      </c>
      <c r="H8" s="79">
        <v>1</v>
      </c>
      <c r="I8" s="79" t="s">
        <v>563</v>
      </c>
      <c r="J8" s="79" t="s">
        <v>73</v>
      </c>
      <c r="K8" s="79">
        <v>1</v>
      </c>
      <c r="L8" s="79" t="s">
        <v>569</v>
      </c>
      <c r="M8" s="79">
        <v>25</v>
      </c>
      <c r="N8" s="75">
        <v>43466</v>
      </c>
      <c r="O8" s="75"/>
      <c r="P8" s="75"/>
      <c r="Q8" t="s">
        <v>73</v>
      </c>
      <c r="R8">
        <v>1</v>
      </c>
    </row>
    <row r="9" spans="1:18" x14ac:dyDescent="0.25">
      <c r="A9" t="str">
        <f>TableOBEDEC[[#This Row],[Study Package Code]]</f>
        <v>EDUC1038</v>
      </c>
      <c r="B9" s="5">
        <f>TableOBEDEC[[#This Row],[Ver]]</f>
        <v>1</v>
      </c>
      <c r="C9" t="str">
        <f>LEFT(TableOBEDEC[[#This Row],[Structure Line]], FIND(" ", TableOBEDEC[[#This Row],[Structure Line]])-1)</f>
        <v>EDC181</v>
      </c>
      <c r="D9" t="str">
        <f>MID(TableOBEDEC[[#This Row],[Structure Line]],FIND(" ",TableOBEDEC[[#This Row],[Structure Line]])+1,LEN(TableOBEDEC[[#This Row],[Structure Line]]))</f>
        <v>Communication Skills for Educators</v>
      </c>
      <c r="E9" s="50">
        <f>TableOBEDEC[[#This Row],[Credit Points]]</f>
        <v>25</v>
      </c>
      <c r="F9" s="79">
        <v>7</v>
      </c>
      <c r="G9" s="79" t="s">
        <v>562</v>
      </c>
      <c r="H9" s="79">
        <v>1</v>
      </c>
      <c r="I9" s="79" t="s">
        <v>563</v>
      </c>
      <c r="J9" s="79" t="s">
        <v>74</v>
      </c>
      <c r="K9" s="79">
        <v>1</v>
      </c>
      <c r="L9" s="79" t="s">
        <v>570</v>
      </c>
      <c r="M9" s="79">
        <v>25</v>
      </c>
      <c r="N9" s="75">
        <v>45658</v>
      </c>
      <c r="O9" s="75"/>
      <c r="P9" s="75"/>
      <c r="Q9" t="s">
        <v>571</v>
      </c>
      <c r="R9">
        <v>1</v>
      </c>
    </row>
    <row r="10" spans="1:18" x14ac:dyDescent="0.25">
      <c r="A10" t="str">
        <f>TableOBEDEC[[#This Row],[Study Package Code]]</f>
        <v>EDUC1028</v>
      </c>
      <c r="B10" s="5">
        <f>TableOBEDEC[[#This Row],[Ver]]</f>
        <v>1</v>
      </c>
      <c r="C10" t="str">
        <f>LEFT(TableOBEDEC[[#This Row],[Structure Line]], FIND(" ", TableOBEDEC[[#This Row],[Structure Line]])-1)</f>
        <v>EDC175</v>
      </c>
      <c r="D10" t="str">
        <f>MID(TableOBEDEC[[#This Row],[Structure Line]],FIND(" ",TableOBEDEC[[#This Row],[Structure Line]])+1,LEN(TableOBEDEC[[#This Row],[Structure Line]]))</f>
        <v>Educators Inquiring About the World</v>
      </c>
      <c r="E10" s="50">
        <f>TableOBEDEC[[#This Row],[Credit Points]]</f>
        <v>25</v>
      </c>
      <c r="F10" s="79">
        <v>8</v>
      </c>
      <c r="G10" s="79" t="s">
        <v>562</v>
      </c>
      <c r="H10" s="79">
        <v>1</v>
      </c>
      <c r="I10" s="79" t="s">
        <v>563</v>
      </c>
      <c r="J10" s="79" t="s">
        <v>70</v>
      </c>
      <c r="K10" s="79">
        <v>1</v>
      </c>
      <c r="L10" s="79" t="s">
        <v>572</v>
      </c>
      <c r="M10" s="79">
        <v>25</v>
      </c>
      <c r="N10" s="75">
        <v>43466</v>
      </c>
      <c r="O10" s="75"/>
      <c r="P10" s="75"/>
      <c r="Q10" t="s">
        <v>70</v>
      </c>
      <c r="R10">
        <v>1</v>
      </c>
    </row>
    <row r="11" spans="1:18" x14ac:dyDescent="0.25">
      <c r="A11" t="str">
        <f>TableOBEDEC[[#This Row],[Study Package Code]]</f>
        <v>EDUC2008</v>
      </c>
      <c r="B11" s="5">
        <f>TableOBEDEC[[#This Row],[Ver]]</f>
        <v>1</v>
      </c>
      <c r="C11" t="str">
        <f>LEFT(TableOBEDEC[[#This Row],[Structure Line]], FIND(" ", TableOBEDEC[[#This Row],[Structure Line]])-1)</f>
        <v>EDC235</v>
      </c>
      <c r="D11" t="str">
        <f>MID(TableOBEDEC[[#This Row],[Structure Line]],FIND(" ",TableOBEDEC[[#This Row],[Structure Line]])+1,LEN(TableOBEDEC[[#This Row],[Structure Line]]))</f>
        <v>Teaching Language, Literacy and Literature in Junior Primary</v>
      </c>
      <c r="E11" s="50">
        <f>TableOBEDEC[[#This Row],[Credit Points]]</f>
        <v>25</v>
      </c>
      <c r="F11" s="79">
        <v>9</v>
      </c>
      <c r="G11" s="79" t="s">
        <v>562</v>
      </c>
      <c r="H11" s="79">
        <v>2</v>
      </c>
      <c r="I11" s="79" t="s">
        <v>563</v>
      </c>
      <c r="J11" s="79" t="s">
        <v>90</v>
      </c>
      <c r="K11" s="79">
        <v>1</v>
      </c>
      <c r="L11" s="79" t="s">
        <v>573</v>
      </c>
      <c r="M11" s="79">
        <v>25</v>
      </c>
      <c r="N11" s="75">
        <v>43466</v>
      </c>
      <c r="O11" s="75"/>
      <c r="P11" s="75"/>
      <c r="Q11" t="s">
        <v>90</v>
      </c>
      <c r="R11">
        <v>1</v>
      </c>
    </row>
    <row r="12" spans="1:18" x14ac:dyDescent="0.25">
      <c r="A12" t="str">
        <f>TableOBEDEC[[#This Row],[Study Package Code]]</f>
        <v>EDUC2006</v>
      </c>
      <c r="B12" s="5">
        <f>TableOBEDEC[[#This Row],[Ver]]</f>
        <v>1</v>
      </c>
      <c r="C12" t="str">
        <f>LEFT(TableOBEDEC[[#This Row],[Structure Line]], FIND(" ", TableOBEDEC[[#This Row],[Structure Line]])-1)</f>
        <v>EDC245</v>
      </c>
      <c r="D12" t="str">
        <f>MID(TableOBEDEC[[#This Row],[Structure Line]],FIND(" ",TableOBEDEC[[#This Row],[Structure Line]])+1,LEN(TableOBEDEC[[#This Row],[Structure Line]]))</f>
        <v>Learning Theories, Diversity and Differentiation</v>
      </c>
      <c r="E12" s="50">
        <f>TableOBEDEC[[#This Row],[Credit Points]]</f>
        <v>25</v>
      </c>
      <c r="F12" s="79">
        <v>10</v>
      </c>
      <c r="G12" s="79" t="s">
        <v>562</v>
      </c>
      <c r="H12" s="79">
        <v>2</v>
      </c>
      <c r="I12" s="79" t="s">
        <v>563</v>
      </c>
      <c r="J12" s="79" t="s">
        <v>85</v>
      </c>
      <c r="K12" s="79">
        <v>1</v>
      </c>
      <c r="L12" s="79" t="s">
        <v>574</v>
      </c>
      <c r="M12" s="79">
        <v>25</v>
      </c>
      <c r="N12" s="75">
        <v>43466</v>
      </c>
      <c r="O12" s="75"/>
      <c r="P12" s="75"/>
      <c r="Q12" t="s">
        <v>85</v>
      </c>
      <c r="R12">
        <v>1</v>
      </c>
    </row>
    <row r="13" spans="1:18" x14ac:dyDescent="0.25">
      <c r="A13" t="str">
        <f>TableOBEDEC[[#This Row],[Study Package Code]]</f>
        <v>EDEC2020</v>
      </c>
      <c r="B13" s="5">
        <f>TableOBEDEC[[#This Row],[Ver]]</f>
        <v>1</v>
      </c>
      <c r="C13" t="str">
        <f>LEFT(TableOBEDEC[[#This Row],[Structure Line]], FIND(" ", TableOBEDEC[[#This Row],[Structure Line]])-1)</f>
        <v>EDE220</v>
      </c>
      <c r="D13" t="str">
        <f>MID(TableOBEDEC[[#This Row],[Structure Line]],FIND(" ",TableOBEDEC[[#This Row],[Structure Line]])+1,LEN(TableOBEDEC[[#This Row],[Structure Line]]))</f>
        <v>Early Childhood Professional Experience 1: Learning and Teaching in Junior Primary</v>
      </c>
      <c r="E13" s="50">
        <f>TableOBEDEC[[#This Row],[Credit Points]]</f>
        <v>25</v>
      </c>
      <c r="F13" s="79">
        <v>11</v>
      </c>
      <c r="G13" s="79" t="s">
        <v>562</v>
      </c>
      <c r="H13" s="79">
        <v>2</v>
      </c>
      <c r="I13" s="79" t="s">
        <v>563</v>
      </c>
      <c r="J13" s="79" t="s">
        <v>103</v>
      </c>
      <c r="K13" s="79">
        <v>1</v>
      </c>
      <c r="L13" s="79" t="s">
        <v>575</v>
      </c>
      <c r="M13" s="79">
        <v>25</v>
      </c>
      <c r="N13" s="75">
        <v>43466</v>
      </c>
      <c r="O13" s="75"/>
      <c r="P13" s="75"/>
      <c r="Q13" t="s">
        <v>103</v>
      </c>
      <c r="R13">
        <v>1</v>
      </c>
    </row>
    <row r="14" spans="1:18" x14ac:dyDescent="0.25">
      <c r="A14" t="str">
        <f>TableOBEDEC[[#This Row],[Study Package Code]]</f>
        <v>EDEC2026</v>
      </c>
      <c r="B14" s="5">
        <f>TableOBEDEC[[#This Row],[Ver]]</f>
        <v>1</v>
      </c>
      <c r="C14" t="str">
        <f>LEFT(TableOBEDEC[[#This Row],[Structure Line]], FIND(" ", TableOBEDEC[[#This Row],[Structure Line]])-1)</f>
        <v>EDE225</v>
      </c>
      <c r="D14" t="str">
        <f>MID(TableOBEDEC[[#This Row],[Structure Line]],FIND(" ",TableOBEDEC[[#This Row],[Structure Line]])+1,LEN(TableOBEDEC[[#This Row],[Structure Line]]))</f>
        <v>Mathematics for the Early Years</v>
      </c>
      <c r="E14" s="50">
        <f>TableOBEDEC[[#This Row],[Credit Points]]</f>
        <v>25</v>
      </c>
      <c r="F14" s="79">
        <v>12</v>
      </c>
      <c r="G14" s="79" t="s">
        <v>562</v>
      </c>
      <c r="H14" s="79">
        <v>2</v>
      </c>
      <c r="I14" s="79" t="s">
        <v>563</v>
      </c>
      <c r="J14" s="79" t="s">
        <v>104</v>
      </c>
      <c r="K14" s="79">
        <v>1</v>
      </c>
      <c r="L14" s="79" t="s">
        <v>576</v>
      </c>
      <c r="M14" s="79">
        <v>25</v>
      </c>
      <c r="N14" s="75">
        <v>43466</v>
      </c>
      <c r="O14" s="75"/>
      <c r="P14" s="75"/>
      <c r="Q14" t="s">
        <v>104</v>
      </c>
      <c r="R14">
        <v>1</v>
      </c>
    </row>
    <row r="15" spans="1:18" x14ac:dyDescent="0.25">
      <c r="A15" t="str">
        <f>TableOBEDEC[[#This Row],[Study Package Code]]</f>
        <v>EDEC2024</v>
      </c>
      <c r="B15" s="5">
        <f>TableOBEDEC[[#This Row],[Ver]]</f>
        <v>1</v>
      </c>
      <c r="C15" t="str">
        <f>LEFT(TableOBEDEC[[#This Row],[Structure Line]], FIND(" ", TableOBEDEC[[#This Row],[Structure Line]])-1)</f>
        <v>EDE252</v>
      </c>
      <c r="D15" t="str">
        <f>MID(TableOBEDEC[[#This Row],[Structure Line]],FIND(" ",TableOBEDEC[[#This Row],[Structure Line]])+1,LEN(TableOBEDEC[[#This Row],[Structure Line]]))</f>
        <v>Visual and Media Arts for Early Childhood</v>
      </c>
      <c r="E15" s="50">
        <f>TableOBEDEC[[#This Row],[Credit Points]]</f>
        <v>25</v>
      </c>
      <c r="F15" s="79">
        <v>13</v>
      </c>
      <c r="G15" s="79" t="s">
        <v>562</v>
      </c>
      <c r="H15" s="79">
        <v>2</v>
      </c>
      <c r="I15" s="79" t="s">
        <v>563</v>
      </c>
      <c r="J15" s="79" t="s">
        <v>105</v>
      </c>
      <c r="K15" s="79">
        <v>1</v>
      </c>
      <c r="L15" s="79" t="s">
        <v>577</v>
      </c>
      <c r="M15" s="79">
        <v>25</v>
      </c>
      <c r="N15" s="75">
        <v>43466</v>
      </c>
      <c r="O15" s="75"/>
      <c r="P15" s="75"/>
      <c r="Q15" t="s">
        <v>105</v>
      </c>
      <c r="R15">
        <v>1</v>
      </c>
    </row>
    <row r="16" spans="1:18" x14ac:dyDescent="0.25">
      <c r="A16" t="str">
        <f>TableOBEDEC[[#This Row],[Study Package Code]]</f>
        <v>EDEC2022</v>
      </c>
      <c r="B16" s="5">
        <f>TableOBEDEC[[#This Row],[Ver]]</f>
        <v>1</v>
      </c>
      <c r="C16" t="str">
        <f>LEFT(TableOBEDEC[[#This Row],[Structure Line]], FIND(" ", TableOBEDEC[[#This Row],[Structure Line]])-1)</f>
        <v>EDE255</v>
      </c>
      <c r="D16" t="str">
        <f>MID(TableOBEDEC[[#This Row],[Structure Line]],FIND(" ",TableOBEDEC[[#This Row],[Structure Line]])+1,LEN(TableOBEDEC[[#This Row],[Structure Line]]))</f>
        <v>Engaging Children in Science</v>
      </c>
      <c r="E16" s="50">
        <f>TableOBEDEC[[#This Row],[Credit Points]]</f>
        <v>25</v>
      </c>
      <c r="F16" s="79">
        <v>14</v>
      </c>
      <c r="G16" s="79" t="s">
        <v>562</v>
      </c>
      <c r="H16" s="79">
        <v>2</v>
      </c>
      <c r="I16" s="79" t="s">
        <v>563</v>
      </c>
      <c r="J16" s="79" t="s">
        <v>93</v>
      </c>
      <c r="K16" s="79">
        <v>1</v>
      </c>
      <c r="L16" s="79" t="s">
        <v>578</v>
      </c>
      <c r="M16" s="79">
        <v>25</v>
      </c>
      <c r="N16" s="75">
        <v>43466</v>
      </c>
      <c r="O16" s="75"/>
      <c r="P16" s="75"/>
      <c r="Q16" t="s">
        <v>93</v>
      </c>
      <c r="R16">
        <v>1</v>
      </c>
    </row>
    <row r="17" spans="1:18" x14ac:dyDescent="0.25">
      <c r="A17" t="str">
        <f>TableOBEDEC[[#This Row],[Study Package Code]]</f>
        <v>EDEC2028</v>
      </c>
      <c r="B17" s="5">
        <f>TableOBEDEC[[#This Row],[Ver]]</f>
        <v>1</v>
      </c>
      <c r="C17" t="str">
        <f>LEFT(TableOBEDEC[[#This Row],[Structure Line]], FIND(" ", TableOBEDEC[[#This Row],[Structure Line]])-1)</f>
        <v>EDE260</v>
      </c>
      <c r="D17" t="str">
        <f>MID(TableOBEDEC[[#This Row],[Structure Line]],FIND(" ",TableOBEDEC[[#This Row],[Structure Line]])+1,LEN(TableOBEDEC[[#This Row],[Structure Line]]))</f>
        <v>Health and Physical Education in Early Childhood</v>
      </c>
      <c r="E17" s="50">
        <f>TableOBEDEC[[#This Row],[Credit Points]]</f>
        <v>25</v>
      </c>
      <c r="F17" s="79">
        <v>15</v>
      </c>
      <c r="G17" s="79" t="s">
        <v>562</v>
      </c>
      <c r="H17" s="79">
        <v>2</v>
      </c>
      <c r="I17" s="79" t="s">
        <v>563</v>
      </c>
      <c r="J17" s="79" t="s">
        <v>107</v>
      </c>
      <c r="K17" s="79">
        <v>1</v>
      </c>
      <c r="L17" s="79" t="s">
        <v>579</v>
      </c>
      <c r="M17" s="79">
        <v>25</v>
      </c>
      <c r="N17" s="75">
        <v>43466</v>
      </c>
      <c r="O17" s="75"/>
      <c r="P17" s="75"/>
      <c r="Q17" t="s">
        <v>107</v>
      </c>
      <c r="R17">
        <v>1</v>
      </c>
    </row>
    <row r="18" spans="1:18" x14ac:dyDescent="0.25">
      <c r="A18" t="str">
        <f>TableOBEDEC[[#This Row],[Study Package Code]]</f>
        <v>EDEC2018</v>
      </c>
      <c r="B18" s="5">
        <f>TableOBEDEC[[#This Row],[Ver]]</f>
        <v>2</v>
      </c>
      <c r="C18" t="str">
        <f>LEFT(TableOBEDEC[[#This Row],[Structure Line]], FIND(" ", TableOBEDEC[[#This Row],[Structure Line]])-1)</f>
        <v>EDE292</v>
      </c>
      <c r="D18" t="str">
        <f>MID(TableOBEDEC[[#This Row],[Structure Line]],FIND(" ",TableOBEDEC[[#This Row],[Structure Line]])+1,LEN(TableOBEDEC[[#This Row],[Structure Line]]))</f>
        <v>Early Learning Through the Humanities and Social Sciences</v>
      </c>
      <c r="E18" s="50">
        <f>TableOBEDEC[[#This Row],[Credit Points]]</f>
        <v>25</v>
      </c>
      <c r="F18" s="79">
        <v>16</v>
      </c>
      <c r="G18" s="79" t="s">
        <v>562</v>
      </c>
      <c r="H18" s="79">
        <v>2</v>
      </c>
      <c r="I18" s="79" t="s">
        <v>563</v>
      </c>
      <c r="J18" s="79" t="s">
        <v>87</v>
      </c>
      <c r="K18" s="79">
        <v>2</v>
      </c>
      <c r="L18" s="79" t="s">
        <v>580</v>
      </c>
      <c r="M18" s="79">
        <v>25</v>
      </c>
      <c r="N18" s="75">
        <v>43466</v>
      </c>
      <c r="O18" s="75"/>
      <c r="P18" s="75"/>
      <c r="Q18" t="s">
        <v>87</v>
      </c>
      <c r="R18">
        <v>2</v>
      </c>
    </row>
    <row r="19" spans="1:18" x14ac:dyDescent="0.25">
      <c r="A19" t="str">
        <f>TableOBEDEC[[#This Row],[Study Package Code]]</f>
        <v>INED3002</v>
      </c>
      <c r="B19" s="5">
        <f>TableOBEDEC[[#This Row],[Ver]]</f>
        <v>2</v>
      </c>
      <c r="C19" t="str">
        <f>LEFT(TableOBEDEC[[#This Row],[Structure Line]], FIND(" ", TableOBEDEC[[#This Row],[Structure Line]])-1)</f>
        <v>EDC370</v>
      </c>
      <c r="D19" t="str">
        <f>MID(TableOBEDEC[[#This Row],[Structure Line]],FIND(" ",TableOBEDEC[[#This Row],[Structure Line]])+1,LEN(TableOBEDEC[[#This Row],[Structure Line]]))</f>
        <v>Indigenous Australian Education</v>
      </c>
      <c r="E19" s="50">
        <f>TableOBEDEC[[#This Row],[Credit Points]]</f>
        <v>25</v>
      </c>
      <c r="F19" s="79">
        <v>17</v>
      </c>
      <c r="G19" s="79" t="s">
        <v>562</v>
      </c>
      <c r="H19" s="79">
        <v>3</v>
      </c>
      <c r="I19" s="79" t="s">
        <v>563</v>
      </c>
      <c r="J19" s="79" t="s">
        <v>494</v>
      </c>
      <c r="K19" s="79">
        <v>2</v>
      </c>
      <c r="L19" s="79" t="s">
        <v>581</v>
      </c>
      <c r="M19" s="79">
        <v>25</v>
      </c>
      <c r="N19" s="75">
        <v>42370</v>
      </c>
      <c r="O19" s="75"/>
      <c r="P19" s="75"/>
      <c r="Q19" t="s">
        <v>494</v>
      </c>
      <c r="R19">
        <v>2</v>
      </c>
    </row>
    <row r="20" spans="1:18" x14ac:dyDescent="0.25">
      <c r="A20" t="str">
        <f>TableOBEDEC[[#This Row],[Study Package Code]]</f>
        <v>EDEC3019</v>
      </c>
      <c r="B20" s="5">
        <f>TableOBEDEC[[#This Row],[Ver]]</f>
        <v>1</v>
      </c>
      <c r="C20" t="str">
        <f>LEFT(TableOBEDEC[[#This Row],[Structure Line]], FIND(" ", TableOBEDEC[[#This Row],[Structure Line]])-1)</f>
        <v>EDE310</v>
      </c>
      <c r="D20" t="str">
        <f>MID(TableOBEDEC[[#This Row],[Structure Line]],FIND(" ",TableOBEDEC[[#This Row],[Structure Line]])+1,LEN(TableOBEDEC[[#This Row],[Structure Line]]))</f>
        <v>Early Childhood Professional Experience 3: Kindergarten to Pre-primary Learning Environments</v>
      </c>
      <c r="E20" s="50">
        <f>TableOBEDEC[[#This Row],[Credit Points]]</f>
        <v>25</v>
      </c>
      <c r="F20" s="79">
        <v>18</v>
      </c>
      <c r="G20" s="79" t="s">
        <v>562</v>
      </c>
      <c r="H20" s="79">
        <v>3</v>
      </c>
      <c r="I20" s="79" t="s">
        <v>563</v>
      </c>
      <c r="J20" s="79" t="s">
        <v>123</v>
      </c>
      <c r="K20" s="79">
        <v>1</v>
      </c>
      <c r="L20" s="79" t="s">
        <v>582</v>
      </c>
      <c r="M20" s="79">
        <v>25</v>
      </c>
      <c r="N20" s="75">
        <v>43466</v>
      </c>
      <c r="O20" s="75"/>
      <c r="P20" s="75"/>
      <c r="Q20" t="s">
        <v>123</v>
      </c>
      <c r="R20">
        <v>1</v>
      </c>
    </row>
    <row r="21" spans="1:18" x14ac:dyDescent="0.25">
      <c r="A21" t="str">
        <f>TableOBEDEC[[#This Row],[Study Package Code]]</f>
        <v>EDEC3023</v>
      </c>
      <c r="B21" s="5">
        <f>TableOBEDEC[[#This Row],[Ver]]</f>
        <v>1</v>
      </c>
      <c r="C21" t="str">
        <f>LEFT(TableOBEDEC[[#This Row],[Structure Line]], FIND(" ", TableOBEDEC[[#This Row],[Structure Line]])-1)</f>
        <v>EDE323</v>
      </c>
      <c r="D21" t="str">
        <f>MID(TableOBEDEC[[#This Row],[Structure Line]],FIND(" ",TableOBEDEC[[#This Row],[Structure Line]])+1,LEN(TableOBEDEC[[#This Row],[Structure Line]]))</f>
        <v>Mathematics during the First Five Years of Life</v>
      </c>
      <c r="E21" s="50">
        <f>TableOBEDEC[[#This Row],[Credit Points]]</f>
        <v>25</v>
      </c>
      <c r="F21" s="79">
        <v>19</v>
      </c>
      <c r="G21" s="79" t="s">
        <v>562</v>
      </c>
      <c r="H21" s="79">
        <v>3</v>
      </c>
      <c r="I21" s="79" t="s">
        <v>563</v>
      </c>
      <c r="J21" s="79" t="s">
        <v>112</v>
      </c>
      <c r="K21" s="79">
        <v>1</v>
      </c>
      <c r="L21" s="79" t="s">
        <v>583</v>
      </c>
      <c r="M21" s="79">
        <v>25</v>
      </c>
      <c r="N21" s="75">
        <v>43466</v>
      </c>
      <c r="O21" s="75"/>
      <c r="P21" s="75"/>
      <c r="Q21" t="s">
        <v>112</v>
      </c>
      <c r="R21">
        <v>1</v>
      </c>
    </row>
    <row r="22" spans="1:18" x14ac:dyDescent="0.25">
      <c r="A22" t="str">
        <f>TableOBEDEC[[#This Row],[Study Package Code]]</f>
        <v>EDEC3021</v>
      </c>
      <c r="B22" s="5">
        <f>TableOBEDEC[[#This Row],[Ver]]</f>
        <v>1</v>
      </c>
      <c r="C22" t="str">
        <f>LEFT(TableOBEDEC[[#This Row],[Structure Line]], FIND(" ", TableOBEDEC[[#This Row],[Structure Line]])-1)</f>
        <v>EDE345</v>
      </c>
      <c r="D22" t="str">
        <f>MID(TableOBEDEC[[#This Row],[Structure Line]],FIND(" ",TableOBEDEC[[#This Row],[Structure Line]])+1,LEN(TableOBEDEC[[#This Row],[Structure Line]]))</f>
        <v>Leadership in Early Childhood Education</v>
      </c>
      <c r="E22" s="50">
        <f>TableOBEDEC[[#This Row],[Credit Points]]</f>
        <v>25</v>
      </c>
      <c r="F22" s="79">
        <v>20</v>
      </c>
      <c r="G22" s="79" t="s">
        <v>562</v>
      </c>
      <c r="H22" s="79">
        <v>3</v>
      </c>
      <c r="I22" s="79" t="s">
        <v>563</v>
      </c>
      <c r="J22" s="79" t="s">
        <v>125</v>
      </c>
      <c r="K22" s="79">
        <v>1</v>
      </c>
      <c r="L22" s="79" t="s">
        <v>584</v>
      </c>
      <c r="M22" s="79">
        <v>25</v>
      </c>
      <c r="N22" s="75">
        <v>43466</v>
      </c>
      <c r="O22" s="75"/>
      <c r="P22" s="75"/>
      <c r="Q22" t="s">
        <v>125</v>
      </c>
      <c r="R22">
        <v>1</v>
      </c>
    </row>
    <row r="23" spans="1:18" x14ac:dyDescent="0.25">
      <c r="A23" t="str">
        <f>TableOBEDEC[[#This Row],[Study Package Code]]</f>
        <v>EDEC3025</v>
      </c>
      <c r="B23" s="5">
        <f>TableOBEDEC[[#This Row],[Ver]]</f>
        <v>1</v>
      </c>
      <c r="C23" t="str">
        <f>LEFT(TableOBEDEC[[#This Row],[Structure Line]], FIND(" ", TableOBEDEC[[#This Row],[Structure Line]])-1)</f>
        <v>EDE355</v>
      </c>
      <c r="D23" t="str">
        <f>MID(TableOBEDEC[[#This Row],[Structure Line]],FIND(" ",TableOBEDEC[[#This Row],[Structure Line]])+1,LEN(TableOBEDEC[[#This Row],[Structure Line]]))</f>
        <v>Early Childhood Literacies</v>
      </c>
      <c r="E23" s="50">
        <f>TableOBEDEC[[#This Row],[Credit Points]]</f>
        <v>25</v>
      </c>
      <c r="F23" s="79">
        <v>21</v>
      </c>
      <c r="G23" s="79" t="s">
        <v>562</v>
      </c>
      <c r="H23" s="79">
        <v>3</v>
      </c>
      <c r="I23" s="79" t="s">
        <v>563</v>
      </c>
      <c r="J23" s="79" t="s">
        <v>114</v>
      </c>
      <c r="K23" s="79">
        <v>1</v>
      </c>
      <c r="L23" s="79" t="s">
        <v>585</v>
      </c>
      <c r="M23" s="79">
        <v>25</v>
      </c>
      <c r="N23" s="75">
        <v>43466</v>
      </c>
      <c r="O23" s="75"/>
      <c r="P23" s="75"/>
      <c r="Q23" t="s">
        <v>114</v>
      </c>
      <c r="R23">
        <v>1</v>
      </c>
    </row>
    <row r="24" spans="1:18" x14ac:dyDescent="0.25">
      <c r="A24" t="str">
        <f>TableOBEDEC[[#This Row],[Study Package Code]]</f>
        <v>EDEC3017</v>
      </c>
      <c r="B24" s="5">
        <f>TableOBEDEC[[#This Row],[Ver]]</f>
        <v>1</v>
      </c>
      <c r="C24" t="str">
        <f>LEFT(TableOBEDEC[[#This Row],[Structure Line]], FIND(" ", TableOBEDEC[[#This Row],[Structure Line]])-1)</f>
        <v>EDE360</v>
      </c>
      <c r="D24" t="str">
        <f>MID(TableOBEDEC[[#This Row],[Structure Line]],FIND(" ",TableOBEDEC[[#This Row],[Structure Line]])+1,LEN(TableOBEDEC[[#This Row],[Structure Line]]))</f>
        <v>Early Childhood Professional Experience 2: Quality Frameworks in Early Learning Centres</v>
      </c>
      <c r="E24" s="50">
        <f>TableOBEDEC[[#This Row],[Credit Points]]</f>
        <v>25</v>
      </c>
      <c r="F24" s="79">
        <v>22</v>
      </c>
      <c r="G24" s="79" t="s">
        <v>562</v>
      </c>
      <c r="H24" s="79">
        <v>3</v>
      </c>
      <c r="I24" s="79" t="s">
        <v>563</v>
      </c>
      <c r="J24" s="79" t="s">
        <v>120</v>
      </c>
      <c r="K24" s="79">
        <v>1</v>
      </c>
      <c r="L24" s="79" t="s">
        <v>586</v>
      </c>
      <c r="M24" s="79">
        <v>25</v>
      </c>
      <c r="N24" s="75">
        <v>43466</v>
      </c>
      <c r="O24" s="75"/>
      <c r="P24" s="75"/>
      <c r="Q24" t="s">
        <v>120</v>
      </c>
      <c r="R24">
        <v>1</v>
      </c>
    </row>
    <row r="25" spans="1:18" x14ac:dyDescent="0.25">
      <c r="A25" t="str">
        <f>TableOBEDEC[[#This Row],[Study Package Code]]</f>
        <v>EDEC3006</v>
      </c>
      <c r="B25" s="5">
        <f>TableOBEDEC[[#This Row],[Ver]]</f>
        <v>1</v>
      </c>
      <c r="C25" t="str">
        <f>LEFT(TableOBEDEC[[#This Row],[Structure Line]], FIND(" ", TableOBEDEC[[#This Row],[Structure Line]])-1)</f>
        <v>EDE392</v>
      </c>
      <c r="D25" t="str">
        <f>MID(TableOBEDEC[[#This Row],[Structure Line]],FIND(" ",TableOBEDEC[[#This Row],[Structure Line]])+1,LEN(TableOBEDEC[[#This Row],[Structure Line]]))</f>
        <v>Pedagogical Contexts for Play</v>
      </c>
      <c r="E25" s="50">
        <f>TableOBEDEC[[#This Row],[Credit Points]]</f>
        <v>25</v>
      </c>
      <c r="F25" s="79">
        <v>23</v>
      </c>
      <c r="G25" s="79" t="s">
        <v>562</v>
      </c>
      <c r="H25" s="79">
        <v>3</v>
      </c>
      <c r="I25" s="79" t="s">
        <v>563</v>
      </c>
      <c r="J25" s="79" t="s">
        <v>126</v>
      </c>
      <c r="K25" s="79">
        <v>1</v>
      </c>
      <c r="L25" s="79" t="s">
        <v>587</v>
      </c>
      <c r="M25" s="79">
        <v>25</v>
      </c>
      <c r="N25" s="75">
        <v>42370</v>
      </c>
      <c r="O25" s="75"/>
      <c r="P25" s="75"/>
      <c r="Q25" t="s">
        <v>126</v>
      </c>
      <c r="R25">
        <v>1</v>
      </c>
    </row>
    <row r="26" spans="1:18" x14ac:dyDescent="0.25">
      <c r="A26" t="str">
        <f>TableOBEDEC[[#This Row],[Study Package Code]]</f>
        <v>Option</v>
      </c>
      <c r="B26" s="5">
        <f>TableOBEDEC[[#This Row],[Ver]]</f>
        <v>0</v>
      </c>
      <c r="D26" t="str">
        <f>TableOBEDEC[[#This Row],[Structure Line]]</f>
        <v>Options for Year 3 and 4</v>
      </c>
      <c r="E26" s="50">
        <f>TableOBEDEC[[#This Row],[Credit Points]]</f>
        <v>25</v>
      </c>
      <c r="F26" s="79">
        <v>24</v>
      </c>
      <c r="G26" s="79" t="s">
        <v>588</v>
      </c>
      <c r="H26" s="79">
        <v>3</v>
      </c>
      <c r="I26" s="79" t="s">
        <v>563</v>
      </c>
      <c r="J26" s="79" t="s">
        <v>588</v>
      </c>
      <c r="K26" s="79">
        <v>0</v>
      </c>
      <c r="L26" s="79" t="s">
        <v>589</v>
      </c>
      <c r="M26" s="79">
        <v>25</v>
      </c>
      <c r="N26" s="75"/>
      <c r="O26" s="75"/>
      <c r="P26" s="75"/>
      <c r="Q26" t="s">
        <v>588</v>
      </c>
      <c r="R26">
        <v>0</v>
      </c>
    </row>
    <row r="27" spans="1:18" x14ac:dyDescent="0.25">
      <c r="A27" t="str">
        <f>TableOBEDEC[[#This Row],[Study Package Code]]</f>
        <v>EDUC4050</v>
      </c>
      <c r="B27" s="5">
        <f>TableOBEDEC[[#This Row],[Ver]]</f>
        <v>1</v>
      </c>
      <c r="C27" t="str">
        <f>LEFT(TableOBEDEC[[#This Row],[Structure Line]], FIND(" ", TableOBEDEC[[#This Row],[Structure Line]])-1)</f>
        <v>EDC445</v>
      </c>
      <c r="D27" t="str">
        <f>MID(TableOBEDEC[[#This Row],[Structure Line]],FIND(" ",TableOBEDEC[[#This Row],[Structure Line]])+1,LEN(TableOBEDEC[[#This Row],[Structure Line]]))</f>
        <v>The Professional Educator: Transition to the Profession</v>
      </c>
      <c r="E27" s="50">
        <f>TableOBEDEC[[#This Row],[Credit Points]]</f>
        <v>25</v>
      </c>
      <c r="F27" s="79">
        <v>25</v>
      </c>
      <c r="G27" s="79" t="s">
        <v>562</v>
      </c>
      <c r="H27" s="79">
        <v>4</v>
      </c>
      <c r="I27" s="79" t="s">
        <v>563</v>
      </c>
      <c r="J27" s="79" t="s">
        <v>132</v>
      </c>
      <c r="K27" s="79">
        <v>1</v>
      </c>
      <c r="L27" s="79" t="s">
        <v>590</v>
      </c>
      <c r="M27" s="79">
        <v>25</v>
      </c>
      <c r="N27" s="75">
        <v>43466</v>
      </c>
      <c r="O27" s="75"/>
      <c r="P27" s="75"/>
      <c r="Q27" t="s">
        <v>132</v>
      </c>
      <c r="R27">
        <v>1</v>
      </c>
    </row>
    <row r="28" spans="1:18" x14ac:dyDescent="0.25">
      <c r="A28" t="str">
        <f>TableOBEDEC[[#This Row],[Study Package Code]]</f>
        <v>EDEC4007</v>
      </c>
      <c r="B28" s="5">
        <f>TableOBEDEC[[#This Row],[Ver]]</f>
        <v>1</v>
      </c>
      <c r="C28" t="str">
        <f>LEFT(TableOBEDEC[[#This Row],[Structure Line]], FIND(" ", TableOBEDEC[[#This Row],[Structure Line]])-1)</f>
        <v>EDE413</v>
      </c>
      <c r="D28" t="str">
        <f>MID(TableOBEDEC[[#This Row],[Structure Line]],FIND(" ",TableOBEDEC[[#This Row],[Structure Line]])+1,LEN(TableOBEDEC[[#This Row],[Structure Line]]))</f>
        <v>Social Justice and Diversity in Early Childhood</v>
      </c>
      <c r="E28" s="50">
        <f>TableOBEDEC[[#This Row],[Credit Points]]</f>
        <v>25</v>
      </c>
      <c r="F28" s="79">
        <v>26</v>
      </c>
      <c r="G28" s="79" t="s">
        <v>562</v>
      </c>
      <c r="H28" s="79">
        <v>4</v>
      </c>
      <c r="I28" s="79" t="s">
        <v>563</v>
      </c>
      <c r="J28" s="79" t="s">
        <v>130</v>
      </c>
      <c r="K28" s="79">
        <v>1</v>
      </c>
      <c r="L28" s="79" t="s">
        <v>591</v>
      </c>
      <c r="M28" s="79">
        <v>25</v>
      </c>
      <c r="N28" s="75">
        <v>43466</v>
      </c>
      <c r="O28" s="75"/>
      <c r="P28" s="75"/>
      <c r="Q28" t="s">
        <v>130</v>
      </c>
      <c r="R28">
        <v>1</v>
      </c>
    </row>
    <row r="29" spans="1:18" x14ac:dyDescent="0.25">
      <c r="A29" t="str">
        <f>TableOBEDEC[[#This Row],[Study Package Code]]</f>
        <v>EDEC4005</v>
      </c>
      <c r="B29" s="5">
        <f>TableOBEDEC[[#This Row],[Ver]]</f>
        <v>1</v>
      </c>
      <c r="C29" t="str">
        <f>LEFT(TableOBEDEC[[#This Row],[Structure Line]], FIND(" ", TableOBEDEC[[#This Row],[Structure Line]])-1)</f>
        <v>EDE425</v>
      </c>
      <c r="D29" t="str">
        <f>MID(TableOBEDEC[[#This Row],[Structure Line]],FIND(" ",TableOBEDEC[[#This Row],[Structure Line]])+1,LEN(TableOBEDEC[[#This Row],[Structure Line]]))</f>
        <v>Curriculum Integration and Differentiation</v>
      </c>
      <c r="E29" s="50">
        <f>TableOBEDEC[[#This Row],[Credit Points]]</f>
        <v>25</v>
      </c>
      <c r="F29" s="79">
        <v>27</v>
      </c>
      <c r="G29" s="79" t="s">
        <v>562</v>
      </c>
      <c r="H29" s="79">
        <v>4</v>
      </c>
      <c r="I29" s="79" t="s">
        <v>563</v>
      </c>
      <c r="J29" s="79" t="s">
        <v>137</v>
      </c>
      <c r="K29" s="79">
        <v>1</v>
      </c>
      <c r="L29" s="79" t="s">
        <v>592</v>
      </c>
      <c r="M29" s="79">
        <v>25</v>
      </c>
      <c r="N29" s="75">
        <v>43466</v>
      </c>
      <c r="O29" s="75"/>
      <c r="P29" s="75"/>
      <c r="Q29" t="s">
        <v>137</v>
      </c>
      <c r="R29">
        <v>1</v>
      </c>
    </row>
    <row r="30" spans="1:18" x14ac:dyDescent="0.25">
      <c r="A30" t="str">
        <f>TableOBEDEC[[#This Row],[Study Package Code]]</f>
        <v>Option</v>
      </c>
      <c r="B30" s="5">
        <f>TableOBEDEC[[#This Row],[Ver]]</f>
        <v>0</v>
      </c>
      <c r="D30" t="str">
        <f>TableOBEDEC[[#This Row],[Structure Line]]</f>
        <v>Options for Year 3 and 4</v>
      </c>
      <c r="E30" s="50">
        <f>TableOBEDEC[[#This Row],[Credit Points]]</f>
        <v>25</v>
      </c>
      <c r="F30" s="79">
        <v>28</v>
      </c>
      <c r="G30" s="79" t="s">
        <v>588</v>
      </c>
      <c r="H30" s="79">
        <v>4</v>
      </c>
      <c r="I30" s="79" t="s">
        <v>563</v>
      </c>
      <c r="J30" s="79" t="s">
        <v>588</v>
      </c>
      <c r="K30" s="79">
        <v>0</v>
      </c>
      <c r="L30" s="79" t="s">
        <v>589</v>
      </c>
      <c r="M30" s="79">
        <v>25</v>
      </c>
      <c r="N30" s="75"/>
      <c r="O30" s="75"/>
      <c r="P30" s="75"/>
      <c r="Q30" t="s">
        <v>588</v>
      </c>
      <c r="R30">
        <v>0</v>
      </c>
    </row>
    <row r="31" spans="1:18" x14ac:dyDescent="0.25">
      <c r="A31" t="str">
        <f>TableOBEDEC[[#This Row],[Study Package Code]]</f>
        <v>EDUC4041</v>
      </c>
      <c r="B31" s="5">
        <f>TableOBEDEC[[#This Row],[Ver]]</f>
        <v>1</v>
      </c>
      <c r="C31" t="str">
        <f>LEFT(TableOBEDEC[[#This Row],[Structure Line]], FIND(" ", TableOBEDEC[[#This Row],[Structure Line]])-1)</f>
        <v>EDC450</v>
      </c>
      <c r="D31" t="str">
        <f>MID(TableOBEDEC[[#This Row],[Structure Line]],FIND(" ",TableOBEDEC[[#This Row],[Structure Line]])+1,LEN(TableOBEDEC[[#This Row],[Structure Line]]))</f>
        <v>Professional Experience 4: The Internship</v>
      </c>
      <c r="E31" s="50">
        <f>TableOBEDEC[[#This Row],[Credit Points]]</f>
        <v>100</v>
      </c>
      <c r="F31" s="79">
        <v>29</v>
      </c>
      <c r="G31" s="79" t="s">
        <v>562</v>
      </c>
      <c r="H31" s="79">
        <v>4</v>
      </c>
      <c r="I31" s="79" t="s">
        <v>563</v>
      </c>
      <c r="J31" s="79" t="s">
        <v>142</v>
      </c>
      <c r="K31" s="79">
        <v>1</v>
      </c>
      <c r="L31" s="79" t="s">
        <v>593</v>
      </c>
      <c r="M31" s="79">
        <v>100</v>
      </c>
      <c r="N31" s="75">
        <v>43466</v>
      </c>
      <c r="O31" s="75"/>
      <c r="P31" s="75"/>
      <c r="Q31" t="s">
        <v>142</v>
      </c>
      <c r="R31">
        <v>1</v>
      </c>
    </row>
    <row r="32" spans="1:18" x14ac:dyDescent="0.25">
      <c r="A32">
        <f>TableOBEDEC[[#This Row],[Study Package Code]]</f>
        <v>0</v>
      </c>
      <c r="B32" s="5">
        <f>TableOBEDEC[[#This Row],[Ver]]</f>
        <v>0</v>
      </c>
      <c r="C32" t="e">
        <f>LEFT(TableOBEDEC[[#This Row],[Structure Line]], FIND(" ", TableOBEDEC[[#This Row],[Structure Line]])-1)</f>
        <v>#VALUE!</v>
      </c>
      <c r="D32" t="e">
        <f>MID(TableOBEDEC[[#This Row],[Structure Line]],FIND(" ",TableOBEDEC[[#This Row],[Structure Line]])+1,LEN(TableOBEDEC[[#This Row],[Structure Line]]))</f>
        <v>#VALUE!</v>
      </c>
      <c r="E32" s="50">
        <f>TableOBEDEC[[#This Row],[Credit Points]]</f>
        <v>0</v>
      </c>
      <c r="F32" s="79"/>
      <c r="G32" s="79"/>
      <c r="H32" s="79"/>
      <c r="I32" s="79"/>
      <c r="J32" s="79"/>
      <c r="K32" s="79"/>
      <c r="L32" s="79"/>
      <c r="M32" s="79"/>
      <c r="N32" s="75"/>
      <c r="O32" s="75"/>
      <c r="P32" s="75"/>
      <c r="Q32" t="s">
        <v>594</v>
      </c>
      <c r="R32">
        <v>1</v>
      </c>
    </row>
    <row r="33" spans="1:18" x14ac:dyDescent="0.25">
      <c r="A33" t="str">
        <f>TableOBEDEC[[#This Row],[Study Package Code]]</f>
        <v>CTED4004</v>
      </c>
      <c r="B33" s="5">
        <f>TableOBEDEC[[#This Row],[Ver]]</f>
        <v>2</v>
      </c>
      <c r="C33" t="str">
        <f>LEFT(TableOBEDEC[[#This Row],[Structure Line]], FIND(" ", TableOBEDEC[[#This Row],[Structure Line]])-1)</f>
        <v>EDC484</v>
      </c>
      <c r="D33" t="str">
        <f>MID(TableOBEDEC[[#This Row],[Structure Line]],FIND(" ",TableOBEDEC[[#This Row],[Structure Line]])+1,LEN(TableOBEDEC[[#This Row],[Structure Line]]))</f>
        <v>Teaching About Sacraments in Catholic Schools</v>
      </c>
      <c r="E33" s="50">
        <f>TableOBEDEC[[#This Row],[Credit Points]]</f>
        <v>25</v>
      </c>
      <c r="F33" s="79"/>
      <c r="G33" s="79" t="s">
        <v>588</v>
      </c>
      <c r="H33" s="79"/>
      <c r="I33" s="79" t="s">
        <v>563</v>
      </c>
      <c r="J33" s="79" t="s">
        <v>168</v>
      </c>
      <c r="K33" s="79">
        <v>2</v>
      </c>
      <c r="L33" s="79" t="s">
        <v>595</v>
      </c>
      <c r="M33" s="79">
        <v>25</v>
      </c>
      <c r="N33" s="75">
        <v>45292</v>
      </c>
      <c r="O33" s="75"/>
      <c r="P33" s="75"/>
      <c r="Q33" t="s">
        <v>168</v>
      </c>
      <c r="R33">
        <v>2</v>
      </c>
    </row>
    <row r="34" spans="1:18" x14ac:dyDescent="0.25">
      <c r="A34">
        <f>TableOBEDEC[[#This Row],[Study Package Code]]</f>
        <v>0</v>
      </c>
      <c r="B34" s="5">
        <f>TableOBEDEC[[#This Row],[Ver]]</f>
        <v>0</v>
      </c>
      <c r="C34" t="e">
        <f>LEFT(TableOBEDEC[[#This Row],[Structure Line]], FIND(" ", TableOBEDEC[[#This Row],[Structure Line]])-1)</f>
        <v>#VALUE!</v>
      </c>
      <c r="D34" t="e">
        <f>MID(TableOBEDEC[[#This Row],[Structure Line]],FIND(" ",TableOBEDEC[[#This Row],[Structure Line]])+1,LEN(TableOBEDEC[[#This Row],[Structure Line]]))</f>
        <v>#VALUE!</v>
      </c>
      <c r="E34" s="50">
        <f>TableOBEDEC[[#This Row],[Credit Points]]</f>
        <v>0</v>
      </c>
      <c r="F34" s="79"/>
      <c r="G34" s="79"/>
      <c r="H34" s="79"/>
      <c r="I34" s="79"/>
      <c r="J34" s="79"/>
      <c r="K34" s="79"/>
      <c r="L34" s="79"/>
      <c r="M34" s="79"/>
      <c r="N34" s="75"/>
      <c r="O34" s="75"/>
      <c r="P34" s="75"/>
      <c r="Q34" t="s">
        <v>596</v>
      </c>
      <c r="R34">
        <v>2</v>
      </c>
    </row>
    <row r="35" spans="1:18" x14ac:dyDescent="0.25">
      <c r="A35" t="str">
        <f>TableOBEDEC[[#This Row],[Study Package Code]]</f>
        <v>CTED4007</v>
      </c>
      <c r="B35" s="5">
        <f>TableOBEDEC[[#This Row],[Ver]]</f>
        <v>1</v>
      </c>
      <c r="C35" t="str">
        <f>LEFT(TableOBEDEC[[#This Row],[Structure Line]], FIND(" ", TableOBEDEC[[#This Row],[Structure Line]])-1)</f>
        <v>EDC430</v>
      </c>
      <c r="D35" t="str">
        <f>MID(TableOBEDEC[[#This Row],[Structure Line]],FIND(" ",TableOBEDEC[[#This Row],[Structure Line]])+1,LEN(TableOBEDEC[[#This Row],[Structure Line]]))</f>
        <v>Teaching About Jesus in Catholic Schools</v>
      </c>
      <c r="E35" s="50">
        <f>TableOBEDEC[[#This Row],[Credit Points]]</f>
        <v>25</v>
      </c>
      <c r="F35" s="79"/>
      <c r="G35" s="79" t="s">
        <v>588</v>
      </c>
      <c r="H35" s="79"/>
      <c r="I35" s="79" t="s">
        <v>563</v>
      </c>
      <c r="J35" s="79" t="s">
        <v>169</v>
      </c>
      <c r="K35" s="79">
        <v>1</v>
      </c>
      <c r="L35" s="79" t="s">
        <v>597</v>
      </c>
      <c r="M35" s="79">
        <v>25</v>
      </c>
      <c r="N35" s="104">
        <v>45292</v>
      </c>
      <c r="O35" s="104"/>
      <c r="P35" s="75"/>
      <c r="Q35" t="s">
        <v>169</v>
      </c>
      <c r="R35">
        <v>1</v>
      </c>
    </row>
    <row r="36" spans="1:18" x14ac:dyDescent="0.25">
      <c r="A36" t="str">
        <f>TableOBEDEC[[#This Row],[Study Package Code]]</f>
        <v>CTED4009</v>
      </c>
      <c r="B36" s="5">
        <f>TableOBEDEC[[#This Row],[Ver]]</f>
        <v>1</v>
      </c>
      <c r="C36" t="str">
        <f>LEFT(TableOBEDEC[[#This Row],[Structure Line]], FIND(" ", TableOBEDEC[[#This Row],[Structure Line]])-1)</f>
        <v>EDC435</v>
      </c>
      <c r="D36" t="str">
        <f>MID(TableOBEDEC[[#This Row],[Structure Line]],FIND(" ",TableOBEDEC[[#This Row],[Structure Line]])+1,LEN(TableOBEDEC[[#This Row],[Structure Line]]))</f>
        <v>Teaching About the Gospels in Catholic Schools</v>
      </c>
      <c r="E36" s="50">
        <f>TableOBEDEC[[#This Row],[Credit Points]]</f>
        <v>25</v>
      </c>
      <c r="F36" s="79"/>
      <c r="G36" s="79" t="s">
        <v>588</v>
      </c>
      <c r="H36" s="79"/>
      <c r="I36" s="79" t="s">
        <v>563</v>
      </c>
      <c r="J36" s="79" t="s">
        <v>170</v>
      </c>
      <c r="K36" s="79">
        <v>1</v>
      </c>
      <c r="L36" s="79" t="s">
        <v>598</v>
      </c>
      <c r="M36" s="79">
        <v>25</v>
      </c>
      <c r="N36" s="104">
        <v>45292</v>
      </c>
      <c r="O36" s="104"/>
      <c r="P36" s="75"/>
      <c r="Q36" t="s">
        <v>170</v>
      </c>
      <c r="R36">
        <v>1</v>
      </c>
    </row>
    <row r="37" spans="1:18" x14ac:dyDescent="0.25">
      <c r="A37">
        <f>TableOBEDEC[[#This Row],[Study Package Code]]</f>
        <v>0</v>
      </c>
      <c r="B37" s="5">
        <f>TableOBEDEC[[#This Row],[Ver]]</f>
        <v>0</v>
      </c>
      <c r="C37" t="e">
        <f>LEFT(TableOBEDEC[[#This Row],[Structure Line]], FIND(" ", TableOBEDEC[[#This Row],[Structure Line]])-1)</f>
        <v>#VALUE!</v>
      </c>
      <c r="D37" t="e">
        <f>MID(TableOBEDEC[[#This Row],[Structure Line]],FIND(" ",TableOBEDEC[[#This Row],[Structure Line]])+1,LEN(TableOBEDEC[[#This Row],[Structure Line]]))</f>
        <v>#VALUE!</v>
      </c>
      <c r="E37" s="50">
        <f>TableOBEDEC[[#This Row],[Credit Points]]</f>
        <v>0</v>
      </c>
      <c r="F37" s="79"/>
      <c r="G37" s="79"/>
      <c r="H37" s="79"/>
      <c r="I37" s="79"/>
      <c r="J37" s="79"/>
      <c r="K37" s="79"/>
      <c r="L37" s="79"/>
      <c r="M37" s="79"/>
      <c r="N37" s="75"/>
      <c r="O37" s="75"/>
      <c r="P37" s="75"/>
      <c r="Q37" t="s">
        <v>253</v>
      </c>
      <c r="R37">
        <v>1</v>
      </c>
    </row>
    <row r="38" spans="1:18" x14ac:dyDescent="0.25">
      <c r="A38">
        <f>TableOBEDEC[[#This Row],[Study Package Code]]</f>
        <v>0</v>
      </c>
      <c r="B38" s="5">
        <f>TableOBEDEC[[#This Row],[Ver]]</f>
        <v>0</v>
      </c>
      <c r="C38" t="e">
        <f>LEFT(TableOBEDEC[[#This Row],[Structure Line]], FIND(" ", TableOBEDEC[[#This Row],[Structure Line]])-1)</f>
        <v>#VALUE!</v>
      </c>
      <c r="D38" t="e">
        <f>MID(TableOBEDEC[[#This Row],[Structure Line]],FIND(" ",TableOBEDEC[[#This Row],[Structure Line]])+1,LEN(TableOBEDEC[[#This Row],[Structure Line]]))</f>
        <v>#VALUE!</v>
      </c>
      <c r="E38" s="50">
        <f>TableOBEDEC[[#This Row],[Credit Points]]</f>
        <v>0</v>
      </c>
      <c r="F38" s="79"/>
      <c r="G38" s="79"/>
      <c r="H38" s="79"/>
      <c r="I38" s="79"/>
      <c r="J38" s="79"/>
      <c r="K38" s="79"/>
      <c r="L38" s="79"/>
      <c r="M38" s="79"/>
      <c r="N38" s="75"/>
      <c r="O38" s="75"/>
      <c r="P38" s="75"/>
      <c r="Q38" t="s">
        <v>599</v>
      </c>
      <c r="R38">
        <v>1</v>
      </c>
    </row>
    <row r="39" spans="1:18" x14ac:dyDescent="0.25">
      <c r="A39">
        <f>TableOBEDEC[[#This Row],[Study Package Code]]</f>
        <v>0</v>
      </c>
      <c r="B39" s="5">
        <f>TableOBEDEC[[#This Row],[Ver]]</f>
        <v>0</v>
      </c>
      <c r="C39" t="e">
        <f>LEFT(TableOBEDEC[[#This Row],[Structure Line]], FIND(" ", TableOBEDEC[[#This Row],[Structure Line]])-1)</f>
        <v>#VALUE!</v>
      </c>
      <c r="D39" t="e">
        <f>MID(TableOBEDEC[[#This Row],[Structure Line]],FIND(" ",TableOBEDEC[[#This Row],[Structure Line]])+1,LEN(TableOBEDEC[[#This Row],[Structure Line]]))</f>
        <v>#VALUE!</v>
      </c>
      <c r="E39" s="50">
        <f>TableOBEDEC[[#This Row],[Credit Points]]</f>
        <v>0</v>
      </c>
      <c r="F39" s="79"/>
      <c r="G39" s="79"/>
      <c r="H39" s="79"/>
      <c r="I39" s="79"/>
      <c r="J39" s="79"/>
      <c r="K39" s="79"/>
      <c r="L39" s="79"/>
      <c r="M39" s="79"/>
      <c r="N39" s="75"/>
      <c r="O39" s="75"/>
      <c r="P39" s="75"/>
      <c r="Q39" t="s">
        <v>255</v>
      </c>
      <c r="R39">
        <v>1</v>
      </c>
    </row>
    <row r="40" spans="1:18" x14ac:dyDescent="0.25">
      <c r="A40" t="str">
        <f>TableOBEDEC[[#This Row],[Study Package Code]]</f>
        <v>EDUC4024</v>
      </c>
      <c r="B40" s="5">
        <f>TableOBEDEC[[#This Row],[Ver]]</f>
        <v>1</v>
      </c>
      <c r="C40" t="str">
        <f>LEFT(TableOBEDEC[[#This Row],[Structure Line]], FIND(" ", TableOBEDEC[[#This Row],[Structure Line]])-1)</f>
        <v>EDC486</v>
      </c>
      <c r="D40" t="str">
        <f>MID(TableOBEDEC[[#This Row],[Structure Line]],FIND(" ",TableOBEDEC[[#This Row],[Structure Line]])+1,LEN(TableOBEDEC[[#This Row],[Structure Line]]))</f>
        <v>Creating and Responding to Literature</v>
      </c>
      <c r="E40" s="50">
        <f>TableOBEDEC[[#This Row],[Credit Points]]</f>
        <v>25</v>
      </c>
      <c r="F40" s="79"/>
      <c r="G40" s="79" t="s">
        <v>588</v>
      </c>
      <c r="H40" s="79"/>
      <c r="I40" s="79" t="s">
        <v>563</v>
      </c>
      <c r="J40" s="79" t="s">
        <v>156</v>
      </c>
      <c r="K40" s="79">
        <v>1</v>
      </c>
      <c r="L40" s="79" t="s">
        <v>600</v>
      </c>
      <c r="M40" s="79">
        <v>25</v>
      </c>
      <c r="N40" s="75">
        <v>43282</v>
      </c>
      <c r="O40" s="75"/>
      <c r="P40" s="75"/>
      <c r="Q40" t="s">
        <v>156</v>
      </c>
      <c r="R40">
        <v>1</v>
      </c>
    </row>
    <row r="41" spans="1:18" x14ac:dyDescent="0.25">
      <c r="A41" t="str">
        <f>TableOBEDEC[[#This Row],[Study Package Code]]</f>
        <v>EDUC4025</v>
      </c>
      <c r="B41" s="5">
        <f>TableOBEDEC[[#This Row],[Ver]]</f>
        <v>1</v>
      </c>
      <c r="C41" t="str">
        <f>LEFT(TableOBEDEC[[#This Row],[Structure Line]], FIND(" ", TableOBEDEC[[#This Row],[Structure Line]])-1)</f>
        <v>EDC487</v>
      </c>
      <c r="D41" t="str">
        <f>MID(TableOBEDEC[[#This Row],[Structure Line]],FIND(" ",TableOBEDEC[[#This Row],[Structure Line]])+1,LEN(TableOBEDEC[[#This Row],[Structure Line]]))</f>
        <v>Creative Literacies</v>
      </c>
      <c r="E41" s="50">
        <f>TableOBEDEC[[#This Row],[Credit Points]]</f>
        <v>25</v>
      </c>
      <c r="F41" s="79"/>
      <c r="G41" s="79" t="s">
        <v>588</v>
      </c>
      <c r="H41" s="79"/>
      <c r="I41" s="79" t="s">
        <v>563</v>
      </c>
      <c r="J41" s="79" t="s">
        <v>157</v>
      </c>
      <c r="K41" s="79">
        <v>1</v>
      </c>
      <c r="L41" s="79" t="s">
        <v>601</v>
      </c>
      <c r="M41" s="79">
        <v>25</v>
      </c>
      <c r="N41" s="75">
        <v>43282</v>
      </c>
      <c r="O41" s="75"/>
      <c r="P41" s="75"/>
      <c r="Q41" t="s">
        <v>157</v>
      </c>
      <c r="R41">
        <v>1</v>
      </c>
    </row>
    <row r="42" spans="1:18" x14ac:dyDescent="0.25">
      <c r="A42" t="str">
        <f>TableOBEDEC[[#This Row],[Study Package Code]]</f>
        <v>EDUC4026</v>
      </c>
      <c r="B42" s="5">
        <f>TableOBEDEC[[#This Row],[Ver]]</f>
        <v>1</v>
      </c>
      <c r="C42" t="str">
        <f>LEFT(TableOBEDEC[[#This Row],[Structure Line]], FIND(" ", TableOBEDEC[[#This Row],[Structure Line]])-1)</f>
        <v>EDC488</v>
      </c>
      <c r="D42" t="str">
        <f>MID(TableOBEDEC[[#This Row],[Structure Line]],FIND(" ",TableOBEDEC[[#This Row],[Structure Line]])+1,LEN(TableOBEDEC[[#This Row],[Structure Line]]))</f>
        <v>Project-based iSTEM Education</v>
      </c>
      <c r="E42" s="50">
        <f>TableOBEDEC[[#This Row],[Credit Points]]</f>
        <v>25</v>
      </c>
      <c r="F42" s="79"/>
      <c r="G42" s="79" t="s">
        <v>588</v>
      </c>
      <c r="H42" s="79"/>
      <c r="I42" s="79" t="s">
        <v>563</v>
      </c>
      <c r="J42" s="79" t="s">
        <v>152</v>
      </c>
      <c r="K42" s="79">
        <v>1</v>
      </c>
      <c r="L42" s="79" t="s">
        <v>602</v>
      </c>
      <c r="M42" s="79">
        <v>25</v>
      </c>
      <c r="N42" s="75">
        <v>43282</v>
      </c>
      <c r="O42" s="75"/>
      <c r="P42" s="75"/>
      <c r="Q42" t="s">
        <v>152</v>
      </c>
      <c r="R42">
        <v>1</v>
      </c>
    </row>
    <row r="43" spans="1:18" x14ac:dyDescent="0.25">
      <c r="A43">
        <f>TableOBEDEC[[#This Row],[Study Package Code]]</f>
        <v>0</v>
      </c>
      <c r="B43" s="5">
        <f>TableOBEDEC[[#This Row],[Ver]]</f>
        <v>0</v>
      </c>
      <c r="C43" t="e">
        <f>LEFT(TableOBEDEC[[#This Row],[Structure Line]], FIND(" ", TableOBEDEC[[#This Row],[Structure Line]])-1)</f>
        <v>#VALUE!</v>
      </c>
      <c r="D43" t="e">
        <f>MID(TableOBEDEC[[#This Row],[Structure Line]],FIND(" ",TableOBEDEC[[#This Row],[Structure Line]])+1,LEN(TableOBEDEC[[#This Row],[Structure Line]]))</f>
        <v>#VALUE!</v>
      </c>
      <c r="E43" s="50">
        <f>TableOBEDEC[[#This Row],[Credit Points]]</f>
        <v>0</v>
      </c>
      <c r="F43" s="79"/>
      <c r="G43" s="79"/>
      <c r="H43" s="79"/>
      <c r="I43" s="79"/>
      <c r="J43" s="79"/>
      <c r="K43" s="79"/>
      <c r="L43" s="79"/>
      <c r="M43" s="79"/>
      <c r="N43" s="75"/>
      <c r="O43" s="75"/>
      <c r="P43" s="75"/>
      <c r="Q43" t="s">
        <v>603</v>
      </c>
      <c r="R43">
        <v>1</v>
      </c>
    </row>
    <row r="44" spans="1:18" x14ac:dyDescent="0.25">
      <c r="A44" t="str">
        <f>TableOBEDEC[[#This Row],[Study Package Code]]</f>
        <v>EDUC4028</v>
      </c>
      <c r="B44" s="5">
        <f>TableOBEDEC[[#This Row],[Ver]]</f>
        <v>1</v>
      </c>
      <c r="C44" t="str">
        <f>LEFT(TableOBEDEC[[#This Row],[Structure Line]], FIND(" ", TableOBEDEC[[#This Row],[Structure Line]])-1)</f>
        <v>EDC490</v>
      </c>
      <c r="D44" t="str">
        <f>MID(TableOBEDEC[[#This Row],[Structure Line]],FIND(" ",TableOBEDEC[[#This Row],[Structure Line]])+1,LEN(TableOBEDEC[[#This Row],[Structure Line]]))</f>
        <v>Supporting Literacy and Numeracy Development for Diverse Learners</v>
      </c>
      <c r="E44" s="50">
        <f>TableOBEDEC[[#This Row],[Credit Points]]</f>
        <v>25</v>
      </c>
      <c r="F44" s="79"/>
      <c r="G44" s="79" t="s">
        <v>588</v>
      </c>
      <c r="H44" s="79"/>
      <c r="I44" s="79" t="s">
        <v>563</v>
      </c>
      <c r="J44" s="79" t="s">
        <v>160</v>
      </c>
      <c r="K44" s="79">
        <v>1</v>
      </c>
      <c r="L44" s="79" t="s">
        <v>604</v>
      </c>
      <c r="M44" s="79">
        <v>25</v>
      </c>
      <c r="N44" s="75">
        <v>43282</v>
      </c>
      <c r="O44" s="75"/>
      <c r="P44" s="75"/>
      <c r="Q44" t="s">
        <v>160</v>
      </c>
      <c r="R44">
        <v>1</v>
      </c>
    </row>
    <row r="45" spans="1:18" x14ac:dyDescent="0.25">
      <c r="A45" t="str">
        <f>TableOBEDEC[[#This Row],[Study Package Code]]</f>
        <v>EDUC4030</v>
      </c>
      <c r="B45" s="5">
        <f>TableOBEDEC[[#This Row],[Ver]]</f>
        <v>1</v>
      </c>
      <c r="C45" t="str">
        <f>LEFT(TableOBEDEC[[#This Row],[Structure Line]], FIND(" ", TableOBEDEC[[#This Row],[Structure Line]])-1)</f>
        <v>EDC491</v>
      </c>
      <c r="D45" t="str">
        <f>MID(TableOBEDEC[[#This Row],[Structure Line]],FIND(" ",TableOBEDEC[[#This Row],[Structure Line]])+1,LEN(TableOBEDEC[[#This Row],[Structure Line]]))</f>
        <v>Technologies: Coding for Teachers</v>
      </c>
      <c r="E45" s="50">
        <f>TableOBEDEC[[#This Row],[Credit Points]]</f>
        <v>25</v>
      </c>
      <c r="F45" s="79"/>
      <c r="G45" s="79" t="s">
        <v>588</v>
      </c>
      <c r="H45" s="79"/>
      <c r="I45" s="79" t="s">
        <v>563</v>
      </c>
      <c r="J45" s="79" t="s">
        <v>164</v>
      </c>
      <c r="K45" s="79">
        <v>1</v>
      </c>
      <c r="L45" s="79" t="s">
        <v>605</v>
      </c>
      <c r="M45" s="79">
        <v>25</v>
      </c>
      <c r="N45" s="75">
        <v>43282</v>
      </c>
      <c r="O45" s="75"/>
      <c r="P45" s="75"/>
      <c r="Q45" t="s">
        <v>164</v>
      </c>
      <c r="R45">
        <v>1</v>
      </c>
    </row>
    <row r="46" spans="1:18" x14ac:dyDescent="0.25">
      <c r="A46" t="str">
        <f>TableOBEDEC[[#This Row],[Study Package Code]]</f>
        <v>EDUC4033</v>
      </c>
      <c r="B46" s="5">
        <f>TableOBEDEC[[#This Row],[Ver]]</f>
        <v>1</v>
      </c>
      <c r="C46" t="str">
        <f>LEFT(TableOBEDEC[[#This Row],[Structure Line]], FIND(" ", TableOBEDEC[[#This Row],[Structure Line]])-1)</f>
        <v>EDC492</v>
      </c>
      <c r="D46" t="str">
        <f>MID(TableOBEDEC[[#This Row],[Structure Line]],FIND(" ",TableOBEDEC[[#This Row],[Structure Line]])+1,LEN(TableOBEDEC[[#This Row],[Structure Line]]))</f>
        <v>iSTEM Education through Digital Stories</v>
      </c>
      <c r="E46" s="50">
        <f>TableOBEDEC[[#This Row],[Credit Points]]</f>
        <v>25</v>
      </c>
      <c r="F46" s="79"/>
      <c r="G46" s="79" t="s">
        <v>588</v>
      </c>
      <c r="H46" s="79"/>
      <c r="I46" s="79" t="s">
        <v>563</v>
      </c>
      <c r="J46" s="79" t="s">
        <v>153</v>
      </c>
      <c r="K46" s="79">
        <v>1</v>
      </c>
      <c r="L46" s="79" t="s">
        <v>606</v>
      </c>
      <c r="M46" s="79">
        <v>25</v>
      </c>
      <c r="N46" s="75">
        <v>43466</v>
      </c>
      <c r="O46" s="75"/>
      <c r="P46" s="75"/>
      <c r="Q46" t="s">
        <v>153</v>
      </c>
      <c r="R46">
        <v>1</v>
      </c>
    </row>
    <row r="47" spans="1:18" x14ac:dyDescent="0.25">
      <c r="A47" t="str">
        <f>TableOBEDEC[[#This Row],[Study Package Code]]</f>
        <v>EDUC4035</v>
      </c>
      <c r="B47" s="5">
        <f>TableOBEDEC[[#This Row],[Ver]]</f>
        <v>1</v>
      </c>
      <c r="C47" t="str">
        <f>LEFT(TableOBEDEC[[#This Row],[Structure Line]], FIND(" ", TableOBEDEC[[#This Row],[Structure Line]])-1)</f>
        <v>EDC493</v>
      </c>
      <c r="D47" t="str">
        <f>MID(TableOBEDEC[[#This Row],[Structure Line]],FIND(" ",TableOBEDEC[[#This Row],[Structure Line]])+1,LEN(TableOBEDEC[[#This Row],[Structure Line]]))</f>
        <v>iSTEM: Social Issues</v>
      </c>
      <c r="E47" s="50">
        <f>TableOBEDEC[[#This Row],[Credit Points]]</f>
        <v>25</v>
      </c>
      <c r="F47" s="79"/>
      <c r="G47" s="79" t="s">
        <v>588</v>
      </c>
      <c r="H47" s="79"/>
      <c r="I47" s="79" t="s">
        <v>563</v>
      </c>
      <c r="J47" s="79" t="s">
        <v>154</v>
      </c>
      <c r="K47" s="79">
        <v>1</v>
      </c>
      <c r="L47" s="79" t="s">
        <v>607</v>
      </c>
      <c r="M47" s="79">
        <v>25</v>
      </c>
      <c r="N47" s="75">
        <v>43466</v>
      </c>
      <c r="O47" s="75"/>
      <c r="P47" s="75"/>
      <c r="Q47" t="s">
        <v>154</v>
      </c>
      <c r="R47">
        <v>1</v>
      </c>
    </row>
    <row r="48" spans="1:18" x14ac:dyDescent="0.25">
      <c r="A48" t="str">
        <f>TableOBEDEC[[#This Row],[Study Package Code]]</f>
        <v>EDUC4037</v>
      </c>
      <c r="B48" s="5">
        <f>TableOBEDEC[[#This Row],[Ver]]</f>
        <v>1</v>
      </c>
      <c r="C48" t="str">
        <f>LEFT(TableOBEDEC[[#This Row],[Structure Line]], FIND(" ", TableOBEDEC[[#This Row],[Structure Line]])-1)</f>
        <v>EDC494</v>
      </c>
      <c r="D48" t="str">
        <f>MID(TableOBEDEC[[#This Row],[Structure Line]],FIND(" ",TableOBEDEC[[#This Row],[Structure Line]])+1,LEN(TableOBEDEC[[#This Row],[Structure Line]]))</f>
        <v>Language and Diversity</v>
      </c>
      <c r="E48" s="50">
        <f>TableOBEDEC[[#This Row],[Credit Points]]</f>
        <v>25</v>
      </c>
      <c r="F48" s="79"/>
      <c r="G48" s="79" t="s">
        <v>588</v>
      </c>
      <c r="H48" s="79"/>
      <c r="I48" s="79" t="s">
        <v>563</v>
      </c>
      <c r="J48" s="79" t="s">
        <v>158</v>
      </c>
      <c r="K48" s="79">
        <v>1</v>
      </c>
      <c r="L48" s="79" t="s">
        <v>608</v>
      </c>
      <c r="M48" s="79">
        <v>25</v>
      </c>
      <c r="N48" s="75">
        <v>43466</v>
      </c>
      <c r="O48" s="75"/>
      <c r="P48" s="75"/>
      <c r="Q48" t="s">
        <v>158</v>
      </c>
      <c r="R48">
        <v>1</v>
      </c>
    </row>
    <row r="49" spans="1:18" x14ac:dyDescent="0.25">
      <c r="A49" t="str">
        <f>TableOBEDEC[[#This Row],[Study Package Code]]</f>
        <v>EDUC4039</v>
      </c>
      <c r="B49" s="5">
        <f>TableOBEDEC[[#This Row],[Ver]]</f>
        <v>1</v>
      </c>
      <c r="C49" t="str">
        <f>LEFT(TableOBEDEC[[#This Row],[Structure Line]], FIND(" ", TableOBEDEC[[#This Row],[Structure Line]])-1)</f>
        <v>EDC495</v>
      </c>
      <c r="D49" t="str">
        <f>MID(TableOBEDEC[[#This Row],[Structure Line]],FIND(" ",TableOBEDEC[[#This Row],[Structure Line]])+1,LEN(TableOBEDEC[[#This Row],[Structure Line]]))</f>
        <v>Technologies: Design Solutions</v>
      </c>
      <c r="E49" s="50">
        <f>TableOBEDEC[[#This Row],[Credit Points]]</f>
        <v>25</v>
      </c>
      <c r="F49" s="79"/>
      <c r="G49" s="79" t="s">
        <v>588</v>
      </c>
      <c r="H49" s="79"/>
      <c r="I49" s="79" t="s">
        <v>563</v>
      </c>
      <c r="J49" s="79" t="s">
        <v>165</v>
      </c>
      <c r="K49" s="79">
        <v>1</v>
      </c>
      <c r="L49" s="79" t="s">
        <v>609</v>
      </c>
      <c r="M49" s="79">
        <v>25</v>
      </c>
      <c r="N49" s="75">
        <v>43466</v>
      </c>
      <c r="O49" s="75"/>
      <c r="P49" s="75"/>
      <c r="Q49" t="s">
        <v>165</v>
      </c>
      <c r="R49">
        <v>1</v>
      </c>
    </row>
    <row r="50" spans="1:18" x14ac:dyDescent="0.25">
      <c r="A50" t="str">
        <f>TableOBEDEC[[#This Row],[Study Package Code]]</f>
        <v>EDUC4043</v>
      </c>
      <c r="B50" s="5">
        <f>TableOBEDEC[[#This Row],[Ver]]</f>
        <v>1</v>
      </c>
      <c r="C50" t="str">
        <f>LEFT(TableOBEDEC[[#This Row],[Structure Line]], FIND(" ", TableOBEDEC[[#This Row],[Structure Line]])-1)</f>
        <v>EDC465</v>
      </c>
      <c r="D50" t="str">
        <f>MID(TableOBEDEC[[#This Row],[Structure Line]],FIND(" ",TableOBEDEC[[#This Row],[Structure Line]])+1,LEN(TableOBEDEC[[#This Row],[Structure Line]]))</f>
        <v>Alternative Approaches to Teaching Literacy and Numeracy</v>
      </c>
      <c r="E50" s="50">
        <f>TableOBEDEC[[#This Row],[Credit Points]]</f>
        <v>25</v>
      </c>
      <c r="F50" s="79"/>
      <c r="G50" s="79" t="s">
        <v>588</v>
      </c>
      <c r="H50" s="79"/>
      <c r="I50" s="79" t="s">
        <v>563</v>
      </c>
      <c r="J50" s="79" t="s">
        <v>161</v>
      </c>
      <c r="K50" s="79">
        <v>1</v>
      </c>
      <c r="L50" s="79" t="s">
        <v>610</v>
      </c>
      <c r="M50" s="79">
        <v>25</v>
      </c>
      <c r="N50" s="75">
        <v>43466</v>
      </c>
      <c r="O50" s="75"/>
      <c r="P50" s="75"/>
      <c r="Q50" t="s">
        <v>161</v>
      </c>
      <c r="R50">
        <v>1</v>
      </c>
    </row>
    <row r="51" spans="1:18" x14ac:dyDescent="0.25">
      <c r="A51" t="str">
        <f>TableOBEDEC[[#This Row],[Study Package Code]]</f>
        <v>EDUC4045</v>
      </c>
      <c r="B51" s="5">
        <f>TableOBEDEC[[#This Row],[Ver]]</f>
        <v>2</v>
      </c>
      <c r="C51" t="str">
        <f>LEFT(TableOBEDEC[[#This Row],[Structure Line]], FIND(" ", TableOBEDEC[[#This Row],[Structure Line]])-1)</f>
        <v>EDC460</v>
      </c>
      <c r="D51" t="str">
        <f>MID(TableOBEDEC[[#This Row],[Structure Line]],FIND(" ",TableOBEDEC[[#This Row],[Structure Line]])+1,LEN(TableOBEDEC[[#This Row],[Structure Line]]))</f>
        <v>Literacy and Numeracy for First Nations Peoples of Australia</v>
      </c>
      <c r="E51" s="50">
        <f>TableOBEDEC[[#This Row],[Credit Points]]</f>
        <v>25</v>
      </c>
      <c r="F51" s="79"/>
      <c r="G51" s="79" t="s">
        <v>588</v>
      </c>
      <c r="H51" s="79"/>
      <c r="I51" s="79" t="s">
        <v>563</v>
      </c>
      <c r="J51" s="79" t="s">
        <v>162</v>
      </c>
      <c r="K51" s="79">
        <v>2</v>
      </c>
      <c r="L51" s="79" t="s">
        <v>611</v>
      </c>
      <c r="M51" s="79">
        <v>25</v>
      </c>
      <c r="N51" s="75">
        <v>44927</v>
      </c>
      <c r="O51" s="75"/>
      <c r="Q51" t="s">
        <v>162</v>
      </c>
      <c r="R51">
        <v>2</v>
      </c>
    </row>
    <row r="52" spans="1:18" x14ac:dyDescent="0.25">
      <c r="A52" t="str">
        <f>TableOBEDEC[[#This Row],[Study Package Code]]</f>
        <v>EDUC4047</v>
      </c>
      <c r="B52" s="5">
        <f>TableOBEDEC[[#This Row],[Ver]]</f>
        <v>1</v>
      </c>
      <c r="C52" t="str">
        <f>LEFT(TableOBEDEC[[#This Row],[Structure Line]], FIND(" ", TableOBEDEC[[#This Row],[Structure Line]])-1)</f>
        <v>EDC470</v>
      </c>
      <c r="D52" t="str">
        <f>MID(TableOBEDEC[[#This Row],[Structure Line]],FIND(" ",TableOBEDEC[[#This Row],[Structure Line]])+1,LEN(TableOBEDEC[[#This Row],[Structure Line]]))</f>
        <v>Technologies: Digital Solutions</v>
      </c>
      <c r="E52" s="50">
        <f>TableOBEDEC[[#This Row],[Credit Points]]</f>
        <v>25</v>
      </c>
      <c r="F52" s="79"/>
      <c r="G52" s="79" t="s">
        <v>588</v>
      </c>
      <c r="H52" s="79"/>
      <c r="I52" s="79" t="s">
        <v>563</v>
      </c>
      <c r="J52" s="79" t="s">
        <v>166</v>
      </c>
      <c r="K52" s="79">
        <v>1</v>
      </c>
      <c r="L52" s="79" t="s">
        <v>612</v>
      </c>
      <c r="M52" s="79">
        <v>25</v>
      </c>
      <c r="N52" s="75">
        <v>43466</v>
      </c>
      <c r="O52" s="75"/>
      <c r="P52" s="61"/>
      <c r="Q52" t="s">
        <v>166</v>
      </c>
      <c r="R52">
        <v>1</v>
      </c>
    </row>
    <row r="53" spans="1:18" x14ac:dyDescent="0.25">
      <c r="A53" s="47"/>
      <c r="B53" s="49"/>
      <c r="C53" s="47"/>
      <c r="G53" s="48" t="s">
        <v>548</v>
      </c>
      <c r="H53" s="199">
        <v>45658</v>
      </c>
      <c r="J53" s="202" t="s">
        <v>75</v>
      </c>
      <c r="K53" s="200" t="s">
        <v>64</v>
      </c>
      <c r="L53" s="47" t="s">
        <v>35</v>
      </c>
      <c r="M53" s="47"/>
      <c r="N53" s="107" t="s">
        <v>549</v>
      </c>
      <c r="O53" s="75">
        <v>45551</v>
      </c>
      <c r="P53" s="75"/>
    </row>
    <row r="54" spans="1:18" ht="31.5" x14ac:dyDescent="0.25">
      <c r="A54" s="61" t="s">
        <v>0</v>
      </c>
      <c r="B54" s="62" t="s">
        <v>551</v>
      </c>
      <c r="C54" s="61" t="s">
        <v>18</v>
      </c>
      <c r="D54" s="61" t="s">
        <v>3</v>
      </c>
      <c r="E54" s="63" t="s">
        <v>552</v>
      </c>
      <c r="F54" s="61" t="s">
        <v>553</v>
      </c>
      <c r="G54" s="61" t="s">
        <v>554</v>
      </c>
      <c r="H54" s="61" t="s">
        <v>555</v>
      </c>
      <c r="I54" s="61" t="s">
        <v>19</v>
      </c>
      <c r="J54" s="61" t="s">
        <v>556</v>
      </c>
      <c r="K54" s="61" t="s">
        <v>1</v>
      </c>
      <c r="L54" s="61" t="s">
        <v>557</v>
      </c>
      <c r="M54" s="61" t="s">
        <v>60</v>
      </c>
      <c r="N54" s="61" t="s">
        <v>558</v>
      </c>
      <c r="O54" s="61" t="s">
        <v>559</v>
      </c>
      <c r="P54" s="75"/>
      <c r="Q54" t="s">
        <v>560</v>
      </c>
      <c r="R54" t="s">
        <v>561</v>
      </c>
    </row>
    <row r="55" spans="1:18" x14ac:dyDescent="0.25">
      <c r="A55" t="str">
        <f>TableOBEDPR[[#This Row],[Study Package Code]]</f>
        <v>EDUC1020</v>
      </c>
      <c r="B55" s="5">
        <f>TableOBEDPR[[#This Row],[Ver]]</f>
        <v>1</v>
      </c>
      <c r="C55" t="str">
        <f>LEFT(TableOBEDPR[[#This Row],[Structure Line]], FIND(" ", TableOBEDPR[[#This Row],[Structure Line]])-1)</f>
        <v>EDC105</v>
      </c>
      <c r="D55" t="str">
        <f>MID(TableOBEDPR[[#This Row],[Structure Line]],FIND(" ",TableOBEDPR[[#This Row],[Structure Line]])+1,LEN(TableOBEDPR[[#This Row],[Structure Line]]))</f>
        <v>Teaching and Learning in the Digital World</v>
      </c>
      <c r="E55" s="50">
        <f>TableOBEDPR[[#This Row],[Credit Points]]</f>
        <v>25</v>
      </c>
      <c r="F55" s="79">
        <v>1</v>
      </c>
      <c r="G55" s="79" t="s">
        <v>562</v>
      </c>
      <c r="H55" s="79">
        <v>1</v>
      </c>
      <c r="I55" s="79" t="s">
        <v>563</v>
      </c>
      <c r="J55" s="79" t="s">
        <v>47</v>
      </c>
      <c r="K55" s="79">
        <v>1</v>
      </c>
      <c r="L55" s="79" t="s">
        <v>564</v>
      </c>
      <c r="M55" s="79">
        <v>25</v>
      </c>
      <c r="N55" s="75">
        <v>43466</v>
      </c>
      <c r="O55" s="75"/>
      <c r="P55" s="75"/>
      <c r="Q55" t="s">
        <v>47</v>
      </c>
      <c r="R55">
        <v>1</v>
      </c>
    </row>
    <row r="56" spans="1:18" x14ac:dyDescent="0.25">
      <c r="A56" t="str">
        <f>TableOBEDPR[[#This Row],[Study Package Code]]</f>
        <v>EDUC1024</v>
      </c>
      <c r="B56" s="5">
        <f>TableOBEDPR[[#This Row],[Ver]]</f>
        <v>1</v>
      </c>
      <c r="C56" t="str">
        <f>LEFT(TableOBEDPR[[#This Row],[Structure Line]], FIND(" ", TableOBEDPR[[#This Row],[Structure Line]])-1)</f>
        <v>EDC121</v>
      </c>
      <c r="D56" t="str">
        <f>MID(TableOBEDPR[[#This Row],[Structure Line]],FIND(" ",TableOBEDPR[[#This Row],[Structure Line]])+1,LEN(TableOBEDPR[[#This Row],[Structure Line]]))</f>
        <v>Introducing Language, Literacy and Literature for Educators</v>
      </c>
      <c r="E56" s="50">
        <f>TableOBEDPR[[#This Row],[Credit Points]]</f>
        <v>25</v>
      </c>
      <c r="F56" s="79">
        <v>2</v>
      </c>
      <c r="G56" s="79" t="s">
        <v>562</v>
      </c>
      <c r="H56" s="79">
        <v>1</v>
      </c>
      <c r="I56" s="79" t="s">
        <v>563</v>
      </c>
      <c r="J56" s="79" t="s">
        <v>49</v>
      </c>
      <c r="K56" s="79">
        <v>1</v>
      </c>
      <c r="L56" s="79" t="s">
        <v>565</v>
      </c>
      <c r="M56" s="79">
        <v>25</v>
      </c>
      <c r="N56" s="75">
        <v>43466</v>
      </c>
      <c r="O56" s="75"/>
      <c r="P56" s="75"/>
      <c r="Q56" t="s">
        <v>49</v>
      </c>
      <c r="R56">
        <v>1</v>
      </c>
    </row>
    <row r="57" spans="1:18" x14ac:dyDescent="0.25">
      <c r="A57" t="str">
        <f>TableOBEDPR[[#This Row],[Study Package Code]]</f>
        <v>EDUC1022</v>
      </c>
      <c r="B57" s="5">
        <f>TableOBEDPR[[#This Row],[Ver]]</f>
        <v>1</v>
      </c>
      <c r="C57" t="str">
        <f>LEFT(TableOBEDPR[[#This Row],[Structure Line]], FIND(" ", TableOBEDPR[[#This Row],[Structure Line]])-1)</f>
        <v>EDC135</v>
      </c>
      <c r="D57" t="str">
        <f>MID(TableOBEDPR[[#This Row],[Structure Line]],FIND(" ",TableOBEDPR[[#This Row],[Structure Line]])+1,LEN(TableOBEDPR[[#This Row],[Structure Line]]))</f>
        <v>Child Development for Educators</v>
      </c>
      <c r="E57" s="50">
        <f>TableOBEDPR[[#This Row],[Credit Points]]</f>
        <v>25</v>
      </c>
      <c r="F57" s="79">
        <v>3</v>
      </c>
      <c r="G57" s="79" t="s">
        <v>562</v>
      </c>
      <c r="H57" s="79">
        <v>1</v>
      </c>
      <c r="I57" s="79" t="s">
        <v>563</v>
      </c>
      <c r="J57" s="79" t="s">
        <v>52</v>
      </c>
      <c r="K57" s="79">
        <v>1</v>
      </c>
      <c r="L57" s="79" t="s">
        <v>566</v>
      </c>
      <c r="M57" s="79">
        <v>25</v>
      </c>
      <c r="N57" s="75">
        <v>43466</v>
      </c>
      <c r="O57" s="75"/>
      <c r="P57" s="75"/>
      <c r="Q57" t="s">
        <v>52</v>
      </c>
      <c r="R57">
        <v>1</v>
      </c>
    </row>
    <row r="58" spans="1:18" x14ac:dyDescent="0.25">
      <c r="A58" t="str">
        <f>TableOBEDPR[[#This Row],[Study Package Code]]</f>
        <v>EDUC1026</v>
      </c>
      <c r="B58" s="5">
        <f>TableOBEDPR[[#This Row],[Ver]]</f>
        <v>1</v>
      </c>
      <c r="C58" t="str">
        <f>LEFT(TableOBEDPR[[#This Row],[Structure Line]], FIND(" ", TableOBEDPR[[#This Row],[Structure Line]])-1)</f>
        <v>EDC140</v>
      </c>
      <c r="D58" t="str">
        <f>MID(TableOBEDPR[[#This Row],[Structure Line]],FIND(" ",TableOBEDPR[[#This Row],[Structure Line]])+1,LEN(TableOBEDPR[[#This Row],[Structure Line]]))</f>
        <v>Exploring and Contesting Curriculum</v>
      </c>
      <c r="E58" s="50">
        <f>TableOBEDPR[[#This Row],[Credit Points]]</f>
        <v>25</v>
      </c>
      <c r="F58" s="79">
        <v>4</v>
      </c>
      <c r="G58" s="79" t="s">
        <v>562</v>
      </c>
      <c r="H58" s="79">
        <v>1</v>
      </c>
      <c r="I58" s="79" t="s">
        <v>563</v>
      </c>
      <c r="J58" s="79" t="s">
        <v>54</v>
      </c>
      <c r="K58" s="79">
        <v>1</v>
      </c>
      <c r="L58" s="79" t="s">
        <v>567</v>
      </c>
      <c r="M58" s="79">
        <v>25</v>
      </c>
      <c r="N58" s="75">
        <v>43466</v>
      </c>
      <c r="O58" s="75"/>
      <c r="P58" s="75"/>
      <c r="Q58" t="s">
        <v>54</v>
      </c>
      <c r="R58">
        <v>1</v>
      </c>
    </row>
    <row r="59" spans="1:18" x14ac:dyDescent="0.25">
      <c r="A59" t="str">
        <f>TableOBEDPR[[#This Row],[Study Package Code]]</f>
        <v>EDUC1032</v>
      </c>
      <c r="B59" s="5">
        <f>TableOBEDPR[[#This Row],[Ver]]</f>
        <v>1</v>
      </c>
      <c r="C59" t="str">
        <f>LEFT(TableOBEDPR[[#This Row],[Structure Line]], FIND(" ", TableOBEDPR[[#This Row],[Structure Line]])-1)</f>
        <v>EDC145</v>
      </c>
      <c r="D59" t="str">
        <f>MID(TableOBEDPR[[#This Row],[Structure Line]],FIND(" ",TableOBEDPR[[#This Row],[Structure Line]])+1,LEN(TableOBEDPR[[#This Row],[Structure Line]]))</f>
        <v>The Numerate Educator</v>
      </c>
      <c r="E59" s="50">
        <f>TableOBEDPR[[#This Row],[Credit Points]]</f>
        <v>25</v>
      </c>
      <c r="F59" s="79">
        <v>5</v>
      </c>
      <c r="G59" s="79" t="s">
        <v>562</v>
      </c>
      <c r="H59" s="79">
        <v>1</v>
      </c>
      <c r="I59" s="79" t="s">
        <v>563</v>
      </c>
      <c r="J59" s="79" t="s">
        <v>67</v>
      </c>
      <c r="K59" s="79">
        <v>1</v>
      </c>
      <c r="L59" s="79" t="s">
        <v>568</v>
      </c>
      <c r="M59" s="79">
        <v>25</v>
      </c>
      <c r="N59" s="75">
        <v>43466</v>
      </c>
      <c r="O59" s="75"/>
      <c r="P59" s="75"/>
      <c r="Q59" t="s">
        <v>67</v>
      </c>
      <c r="R59">
        <v>1</v>
      </c>
    </row>
    <row r="60" spans="1:18" x14ac:dyDescent="0.25">
      <c r="A60" t="str">
        <f>TableOBEDPR[[#This Row],[Study Package Code]]</f>
        <v>EDUC1030</v>
      </c>
      <c r="B60" s="5">
        <f>TableOBEDPR[[#This Row],[Ver]]</f>
        <v>1</v>
      </c>
      <c r="C60" t="str">
        <f>LEFT(TableOBEDPR[[#This Row],[Structure Line]], FIND(" ", TableOBEDPR[[#This Row],[Structure Line]])-1)</f>
        <v>EDC153</v>
      </c>
      <c r="D60" t="str">
        <f>MID(TableOBEDPR[[#This Row],[Structure Line]],FIND(" ",TableOBEDPR[[#This Row],[Structure Line]])+1,LEN(TableOBEDPR[[#This Row],[Structure Line]]))</f>
        <v>Performing Arts for Educators</v>
      </c>
      <c r="E60" s="50">
        <f>TableOBEDPR[[#This Row],[Credit Points]]</f>
        <v>25</v>
      </c>
      <c r="F60" s="79">
        <v>6</v>
      </c>
      <c r="G60" s="79" t="s">
        <v>562</v>
      </c>
      <c r="H60" s="79">
        <v>1</v>
      </c>
      <c r="I60" s="79" t="s">
        <v>563</v>
      </c>
      <c r="J60" s="79" t="s">
        <v>73</v>
      </c>
      <c r="K60" s="79">
        <v>1</v>
      </c>
      <c r="L60" s="79" t="s">
        <v>569</v>
      </c>
      <c r="M60" s="79">
        <v>25</v>
      </c>
      <c r="N60" s="75">
        <v>43466</v>
      </c>
      <c r="O60" s="75"/>
      <c r="P60" s="75"/>
      <c r="Q60" t="s">
        <v>73</v>
      </c>
      <c r="R60">
        <v>1</v>
      </c>
    </row>
    <row r="61" spans="1:18" x14ac:dyDescent="0.25">
      <c r="A61" t="str">
        <f>TableOBEDPR[[#This Row],[Study Package Code]]</f>
        <v>EDUC1038</v>
      </c>
      <c r="B61" s="5">
        <f>TableOBEDPR[[#This Row],[Ver]]</f>
        <v>1</v>
      </c>
      <c r="C61" t="str">
        <f>LEFT(TableOBEDPR[[#This Row],[Structure Line]], FIND(" ", TableOBEDPR[[#This Row],[Structure Line]])-1)</f>
        <v>EDC181</v>
      </c>
      <c r="D61" t="str">
        <f>MID(TableOBEDPR[[#This Row],[Structure Line]],FIND(" ",TableOBEDPR[[#This Row],[Structure Line]])+1,LEN(TableOBEDPR[[#This Row],[Structure Line]]))</f>
        <v>Communication Skills for Educators</v>
      </c>
      <c r="E61" s="50">
        <f>TableOBEDPR[[#This Row],[Credit Points]]</f>
        <v>25</v>
      </c>
      <c r="F61" s="79">
        <v>7</v>
      </c>
      <c r="G61" s="79" t="s">
        <v>562</v>
      </c>
      <c r="H61" s="79">
        <v>1</v>
      </c>
      <c r="I61" s="79" t="s">
        <v>563</v>
      </c>
      <c r="J61" s="79" t="s">
        <v>74</v>
      </c>
      <c r="K61" s="79">
        <v>1</v>
      </c>
      <c r="L61" s="79" t="s">
        <v>570</v>
      </c>
      <c r="M61" s="79">
        <v>25</v>
      </c>
      <c r="N61" s="75">
        <v>45658</v>
      </c>
      <c r="O61" s="75"/>
      <c r="P61" s="75"/>
      <c r="Q61" t="s">
        <v>571</v>
      </c>
      <c r="R61">
        <v>1</v>
      </c>
    </row>
    <row r="62" spans="1:18" x14ac:dyDescent="0.25">
      <c r="A62" t="str">
        <f>TableOBEDPR[[#This Row],[Study Package Code]]</f>
        <v>EDUC1028</v>
      </c>
      <c r="B62" s="5">
        <f>TableOBEDPR[[#This Row],[Ver]]</f>
        <v>1</v>
      </c>
      <c r="C62" t="str">
        <f>LEFT(TableOBEDPR[[#This Row],[Structure Line]], FIND(" ", TableOBEDPR[[#This Row],[Structure Line]])-1)</f>
        <v>EDC175</v>
      </c>
      <c r="D62" t="str">
        <f>MID(TableOBEDPR[[#This Row],[Structure Line]],FIND(" ",TableOBEDPR[[#This Row],[Structure Line]])+1,LEN(TableOBEDPR[[#This Row],[Structure Line]]))</f>
        <v>Educators Inquiring About the World</v>
      </c>
      <c r="E62" s="50">
        <f>TableOBEDPR[[#This Row],[Credit Points]]</f>
        <v>25</v>
      </c>
      <c r="F62" s="79">
        <v>8</v>
      </c>
      <c r="G62" s="79" t="s">
        <v>562</v>
      </c>
      <c r="H62" s="79">
        <v>1</v>
      </c>
      <c r="I62" s="79" t="s">
        <v>563</v>
      </c>
      <c r="J62" s="79" t="s">
        <v>70</v>
      </c>
      <c r="K62" s="79">
        <v>1</v>
      </c>
      <c r="L62" s="79" t="s">
        <v>572</v>
      </c>
      <c r="M62" s="79">
        <v>25</v>
      </c>
      <c r="N62" s="75">
        <v>43466</v>
      </c>
      <c r="O62" s="75"/>
      <c r="P62" s="75"/>
      <c r="Q62" t="s">
        <v>70</v>
      </c>
      <c r="R62">
        <v>1</v>
      </c>
    </row>
    <row r="63" spans="1:18" x14ac:dyDescent="0.25">
      <c r="A63" t="str">
        <f>TableOBEDPR[[#This Row],[Study Package Code]]</f>
        <v>EDUC2008</v>
      </c>
      <c r="B63" s="5">
        <f>TableOBEDPR[[#This Row],[Ver]]</f>
        <v>1</v>
      </c>
      <c r="C63" t="str">
        <f>LEFT(TableOBEDPR[[#This Row],[Structure Line]], FIND(" ", TableOBEDPR[[#This Row],[Structure Line]])-1)</f>
        <v>EDC235</v>
      </c>
      <c r="D63" t="str">
        <f>MID(TableOBEDPR[[#This Row],[Structure Line]],FIND(" ",TableOBEDPR[[#This Row],[Structure Line]])+1,LEN(TableOBEDPR[[#This Row],[Structure Line]]))</f>
        <v>Teaching Language, Literacy and Literature in Junior Primary</v>
      </c>
      <c r="E63" s="50">
        <f>TableOBEDPR[[#This Row],[Credit Points]]</f>
        <v>25</v>
      </c>
      <c r="F63" s="79">
        <v>9</v>
      </c>
      <c r="G63" s="79" t="s">
        <v>562</v>
      </c>
      <c r="H63" s="79">
        <v>2</v>
      </c>
      <c r="I63" s="79" t="s">
        <v>563</v>
      </c>
      <c r="J63" s="79" t="s">
        <v>90</v>
      </c>
      <c r="K63" s="79">
        <v>1</v>
      </c>
      <c r="L63" s="79" t="s">
        <v>573</v>
      </c>
      <c r="M63" s="79">
        <v>25</v>
      </c>
      <c r="N63" s="75">
        <v>43466</v>
      </c>
      <c r="O63" s="75"/>
      <c r="P63" s="75"/>
      <c r="Q63" t="s">
        <v>90</v>
      </c>
      <c r="R63">
        <v>1</v>
      </c>
    </row>
    <row r="64" spans="1:18" x14ac:dyDescent="0.25">
      <c r="A64" t="str">
        <f>TableOBEDPR[[#This Row],[Study Package Code]]</f>
        <v>EDUC2006</v>
      </c>
      <c r="B64" s="5">
        <f>TableOBEDPR[[#This Row],[Ver]]</f>
        <v>1</v>
      </c>
      <c r="C64" t="str">
        <f>LEFT(TableOBEDPR[[#This Row],[Structure Line]], FIND(" ", TableOBEDPR[[#This Row],[Structure Line]])-1)</f>
        <v>EDC245</v>
      </c>
      <c r="D64" t="str">
        <f>MID(TableOBEDPR[[#This Row],[Structure Line]],FIND(" ",TableOBEDPR[[#This Row],[Structure Line]])+1,LEN(TableOBEDPR[[#This Row],[Structure Line]]))</f>
        <v>Learning Theories, Diversity and Differentiation</v>
      </c>
      <c r="E64" s="50">
        <f>TableOBEDPR[[#This Row],[Credit Points]]</f>
        <v>25</v>
      </c>
      <c r="F64" s="79">
        <v>10</v>
      </c>
      <c r="G64" s="79" t="s">
        <v>562</v>
      </c>
      <c r="H64" s="79">
        <v>2</v>
      </c>
      <c r="I64" s="79" t="s">
        <v>563</v>
      </c>
      <c r="J64" s="79" t="s">
        <v>85</v>
      </c>
      <c r="K64" s="79">
        <v>1</v>
      </c>
      <c r="L64" s="79" t="s">
        <v>574</v>
      </c>
      <c r="M64" s="79">
        <v>25</v>
      </c>
      <c r="N64" s="75">
        <v>43466</v>
      </c>
      <c r="O64" s="75"/>
      <c r="P64" s="75"/>
      <c r="Q64" t="s">
        <v>85</v>
      </c>
      <c r="R64">
        <v>1</v>
      </c>
    </row>
    <row r="65" spans="1:18" x14ac:dyDescent="0.25">
      <c r="A65" t="str">
        <f>TableOBEDPR[[#This Row],[Study Package Code]]</f>
        <v>EDPR2013</v>
      </c>
      <c r="B65" s="5">
        <f>TableOBEDPR[[#This Row],[Ver]]</f>
        <v>1</v>
      </c>
      <c r="C65" t="str">
        <f>LEFT(TableOBEDPR[[#This Row],[Structure Line]], FIND(" ", TableOBEDPR[[#This Row],[Structure Line]])-1)</f>
        <v>EDP210</v>
      </c>
      <c r="D65" t="str">
        <f>MID(TableOBEDPR[[#This Row],[Structure Line]],FIND(" ",TableOBEDPR[[#This Row],[Structure Line]])+1,LEN(TableOBEDPR[[#This Row],[Structure Line]]))</f>
        <v>Primary Professional Experience 1: Planning for Teaching</v>
      </c>
      <c r="E65" s="50">
        <f>TableOBEDPR[[#This Row],[Credit Points]]</f>
        <v>25</v>
      </c>
      <c r="F65" s="79">
        <v>11</v>
      </c>
      <c r="G65" s="79" t="s">
        <v>562</v>
      </c>
      <c r="H65" s="79">
        <v>2</v>
      </c>
      <c r="I65" s="79" t="s">
        <v>563</v>
      </c>
      <c r="J65" s="79" t="s">
        <v>91</v>
      </c>
      <c r="K65" s="79">
        <v>1</v>
      </c>
      <c r="L65" s="79" t="s">
        <v>613</v>
      </c>
      <c r="M65" s="79">
        <v>25</v>
      </c>
      <c r="N65" s="75">
        <v>43466</v>
      </c>
      <c r="O65" s="75"/>
      <c r="P65" s="75"/>
      <c r="Q65" t="s">
        <v>91</v>
      </c>
      <c r="R65">
        <v>1</v>
      </c>
    </row>
    <row r="66" spans="1:18" x14ac:dyDescent="0.25">
      <c r="A66" t="str">
        <f>TableOBEDPR[[#This Row],[Study Package Code]]</f>
        <v>EDPR2015</v>
      </c>
      <c r="B66" s="5">
        <f>TableOBEDPR[[#This Row],[Ver]]</f>
        <v>1</v>
      </c>
      <c r="C66" t="str">
        <f>LEFT(TableOBEDPR[[#This Row],[Structure Line]], FIND(" ", TableOBEDPR[[#This Row],[Structure Line]])-1)</f>
        <v>EDP227</v>
      </c>
      <c r="D66" t="str">
        <f>MID(TableOBEDPR[[#This Row],[Structure Line]],FIND(" ",TableOBEDPR[[#This Row],[Structure Line]])+1,LEN(TableOBEDPR[[#This Row],[Structure Line]]))</f>
        <v>Primary Professional Experience 2: Leadership &amp; Stewardship for Diverse Learners</v>
      </c>
      <c r="E66" s="50">
        <f>TableOBEDPR[[#This Row],[Credit Points]]</f>
        <v>25</v>
      </c>
      <c r="F66" s="79">
        <v>12</v>
      </c>
      <c r="G66" s="79" t="s">
        <v>562</v>
      </c>
      <c r="H66" s="79">
        <v>2</v>
      </c>
      <c r="I66" s="79" t="s">
        <v>563</v>
      </c>
      <c r="J66" s="79" t="s">
        <v>97</v>
      </c>
      <c r="K66" s="79">
        <v>1</v>
      </c>
      <c r="L66" s="79" t="s">
        <v>614</v>
      </c>
      <c r="M66" s="79">
        <v>25</v>
      </c>
      <c r="N66" s="75">
        <v>43466</v>
      </c>
      <c r="O66" s="75"/>
      <c r="P66" s="75"/>
      <c r="Q66" t="s">
        <v>97</v>
      </c>
      <c r="R66">
        <v>1</v>
      </c>
    </row>
    <row r="67" spans="1:18" x14ac:dyDescent="0.25">
      <c r="A67" t="str">
        <f>TableOBEDPR[[#This Row],[Study Package Code]]</f>
        <v>EDPR2010</v>
      </c>
      <c r="B67" s="5">
        <f>TableOBEDPR[[#This Row],[Ver]]</f>
        <v>1</v>
      </c>
      <c r="C67" t="str">
        <f>LEFT(TableOBEDPR[[#This Row],[Structure Line]], FIND(" ", TableOBEDPR[[#This Row],[Structure Line]])-1)</f>
        <v>EDP273</v>
      </c>
      <c r="D67" t="str">
        <f>MID(TableOBEDPR[[#This Row],[Structure Line]],FIND(" ",TableOBEDPR[[#This Row],[Structure Line]])+1,LEN(TableOBEDPR[[#This Row],[Structure Line]]))</f>
        <v>Inquiry in the Science Classroom</v>
      </c>
      <c r="E67" s="50">
        <f>TableOBEDPR[[#This Row],[Credit Points]]</f>
        <v>25</v>
      </c>
      <c r="F67" s="79">
        <v>13</v>
      </c>
      <c r="G67" s="79" t="s">
        <v>562</v>
      </c>
      <c r="H67" s="79">
        <v>2</v>
      </c>
      <c r="I67" s="79" t="s">
        <v>563</v>
      </c>
      <c r="J67" s="79" t="s">
        <v>92</v>
      </c>
      <c r="K67" s="79">
        <v>1</v>
      </c>
      <c r="L67" s="79" t="s">
        <v>615</v>
      </c>
      <c r="M67" s="79">
        <v>25</v>
      </c>
      <c r="N67" s="75">
        <v>42005</v>
      </c>
      <c r="O67" s="75"/>
      <c r="P67" s="75"/>
      <c r="Q67" t="s">
        <v>92</v>
      </c>
      <c r="R67">
        <v>1</v>
      </c>
    </row>
    <row r="68" spans="1:18" x14ac:dyDescent="0.25">
      <c r="A68" t="str">
        <f>TableOBEDPR[[#This Row],[Study Package Code]]</f>
        <v>EDPR2017</v>
      </c>
      <c r="B68" s="5">
        <f>TableOBEDPR[[#This Row],[Ver]]</f>
        <v>1</v>
      </c>
      <c r="C68" t="str">
        <f>LEFT(TableOBEDPR[[#This Row],[Structure Line]], FIND(" ", TableOBEDPR[[#This Row],[Structure Line]])-1)</f>
        <v>EDP255</v>
      </c>
      <c r="D68" t="str">
        <f>MID(TableOBEDPR[[#This Row],[Structure Line]],FIND(" ",TableOBEDPR[[#This Row],[Structure Line]])+1,LEN(TableOBEDPR[[#This Row],[Structure Line]]))</f>
        <v>Health and Physical Education</v>
      </c>
      <c r="E68" s="50">
        <f>TableOBEDPR[[#This Row],[Credit Points]]</f>
        <v>25</v>
      </c>
      <c r="F68" s="79">
        <v>14</v>
      </c>
      <c r="G68" s="79" t="s">
        <v>562</v>
      </c>
      <c r="H68" s="79">
        <v>2</v>
      </c>
      <c r="I68" s="79" t="s">
        <v>563</v>
      </c>
      <c r="J68" s="79" t="s">
        <v>95</v>
      </c>
      <c r="K68" s="79">
        <v>1</v>
      </c>
      <c r="L68" s="79" t="s">
        <v>616</v>
      </c>
      <c r="M68" s="79">
        <v>25</v>
      </c>
      <c r="N68" s="75">
        <v>43466</v>
      </c>
      <c r="O68" s="75"/>
      <c r="P68" s="75"/>
      <c r="Q68" t="s">
        <v>95</v>
      </c>
      <c r="R68">
        <v>1</v>
      </c>
    </row>
    <row r="69" spans="1:18" x14ac:dyDescent="0.25">
      <c r="A69" t="str">
        <f>TableOBEDPR[[#This Row],[Study Package Code]]</f>
        <v>EDPR2006</v>
      </c>
      <c r="B69" s="5">
        <f>TableOBEDPR[[#This Row],[Ver]]</f>
        <v>1</v>
      </c>
      <c r="C69" t="str">
        <f>LEFT(TableOBEDPR[[#This Row],[Structure Line]], FIND(" ", TableOBEDPR[[#This Row],[Structure Line]])-1)</f>
        <v>EDP243</v>
      </c>
      <c r="D69" t="str">
        <f>MID(TableOBEDPR[[#This Row],[Structure Line]],FIND(" ",TableOBEDPR[[#This Row],[Structure Line]])+1,LEN(TableOBEDPR[[#This Row],[Structure Line]]))</f>
        <v>Children as Mathematical Learners</v>
      </c>
      <c r="E69" s="50">
        <f>TableOBEDPR[[#This Row],[Credit Points]]</f>
        <v>25</v>
      </c>
      <c r="F69" s="79">
        <v>15</v>
      </c>
      <c r="G69" s="79" t="s">
        <v>562</v>
      </c>
      <c r="H69" s="79">
        <v>2</v>
      </c>
      <c r="I69" s="79" t="s">
        <v>563</v>
      </c>
      <c r="J69" s="79" t="s">
        <v>94</v>
      </c>
      <c r="K69" s="79">
        <v>1</v>
      </c>
      <c r="L69" s="79" t="s">
        <v>617</v>
      </c>
      <c r="M69" s="79">
        <v>25</v>
      </c>
      <c r="N69" s="75">
        <v>42005</v>
      </c>
      <c r="O69" s="75"/>
      <c r="P69" s="75"/>
      <c r="Q69" t="s">
        <v>94</v>
      </c>
      <c r="R69">
        <v>1</v>
      </c>
    </row>
    <row r="70" spans="1:18" x14ac:dyDescent="0.25">
      <c r="A70" t="str">
        <f>TableOBEDPR[[#This Row],[Study Package Code]]</f>
        <v>INED3002</v>
      </c>
      <c r="B70" s="5">
        <f>TableOBEDPR[[#This Row],[Ver]]</f>
        <v>2</v>
      </c>
      <c r="C70" t="str">
        <f>LEFT(TableOBEDPR[[#This Row],[Structure Line]], FIND(" ", TableOBEDPR[[#This Row],[Structure Line]])-1)</f>
        <v>EDC370</v>
      </c>
      <c r="D70" t="str">
        <f>MID(TableOBEDPR[[#This Row],[Structure Line]],FIND(" ",TableOBEDPR[[#This Row],[Structure Line]])+1,LEN(TableOBEDPR[[#This Row],[Structure Line]]))</f>
        <v>Indigenous Australian Education</v>
      </c>
      <c r="E70" s="50">
        <f>TableOBEDPR[[#This Row],[Credit Points]]</f>
        <v>25</v>
      </c>
      <c r="F70" s="79">
        <v>16</v>
      </c>
      <c r="G70" s="79" t="s">
        <v>562</v>
      </c>
      <c r="H70" s="79">
        <v>3</v>
      </c>
      <c r="I70" s="79" t="s">
        <v>563</v>
      </c>
      <c r="J70" s="79" t="s">
        <v>494</v>
      </c>
      <c r="K70" s="79">
        <v>2</v>
      </c>
      <c r="L70" s="79" t="s">
        <v>581</v>
      </c>
      <c r="M70" s="79">
        <v>25</v>
      </c>
      <c r="N70" s="75">
        <v>42370</v>
      </c>
      <c r="O70" s="75"/>
      <c r="P70" s="75"/>
      <c r="Q70" t="s">
        <v>588</v>
      </c>
      <c r="R70">
        <v>0</v>
      </c>
    </row>
    <row r="71" spans="1:18" x14ac:dyDescent="0.25">
      <c r="A71" t="str">
        <f>TableOBEDPR[[#This Row],[Study Package Code]]</f>
        <v>EDPR3013</v>
      </c>
      <c r="B71" s="5">
        <f>TableOBEDPR[[#This Row],[Ver]]</f>
        <v>1</v>
      </c>
      <c r="C71" t="str">
        <f>LEFT(TableOBEDPR[[#This Row],[Structure Line]], FIND(" ", TableOBEDPR[[#This Row],[Structure Line]])-1)</f>
        <v>EDP320</v>
      </c>
      <c r="D71" t="str">
        <f>MID(TableOBEDPR[[#This Row],[Structure Line]],FIND(" ",TableOBEDPR[[#This Row],[Structure Line]])+1,LEN(TableOBEDPR[[#This Row],[Structure Line]]))</f>
        <v>Primary Professional Experience 3: Evaluating Learning</v>
      </c>
      <c r="E71" s="50">
        <f>TableOBEDPR[[#This Row],[Credit Points]]</f>
        <v>25</v>
      </c>
      <c r="F71" s="79">
        <v>17</v>
      </c>
      <c r="G71" s="79" t="s">
        <v>562</v>
      </c>
      <c r="H71" s="79">
        <v>3</v>
      </c>
      <c r="I71" s="79" t="s">
        <v>563</v>
      </c>
      <c r="J71" s="79" t="s">
        <v>127</v>
      </c>
      <c r="K71" s="79">
        <v>1</v>
      </c>
      <c r="L71" s="79" t="s">
        <v>618</v>
      </c>
      <c r="M71" s="79">
        <v>25</v>
      </c>
      <c r="N71" s="75">
        <v>43466</v>
      </c>
      <c r="O71" s="75"/>
      <c r="P71" s="75"/>
      <c r="Q71" t="s">
        <v>494</v>
      </c>
      <c r="R71">
        <v>2</v>
      </c>
    </row>
    <row r="72" spans="1:18" x14ac:dyDescent="0.25">
      <c r="A72" t="str">
        <f>TableOBEDPR[[#This Row],[Study Package Code]]</f>
        <v>EDPR3011</v>
      </c>
      <c r="B72" s="5">
        <f>TableOBEDPR[[#This Row],[Ver]]</f>
        <v>3</v>
      </c>
      <c r="C72" t="str">
        <f>LEFT(TableOBEDPR[[#This Row],[Structure Line]], FIND(" ", TableOBEDPR[[#This Row],[Structure Line]])-1)</f>
        <v>EDP333</v>
      </c>
      <c r="D72" t="str">
        <f>MID(TableOBEDPR[[#This Row],[Structure Line]],FIND(" ",TableOBEDPR[[#This Row],[Structure Line]])+1,LEN(TableOBEDPR[[#This Row],[Structure Line]]))</f>
        <v>English Pedagogies and the Integrated Curriculum</v>
      </c>
      <c r="E72" s="50">
        <f>TableOBEDPR[[#This Row],[Credit Points]]</f>
        <v>25</v>
      </c>
      <c r="F72" s="79">
        <v>18</v>
      </c>
      <c r="G72" s="79" t="s">
        <v>562</v>
      </c>
      <c r="H72" s="79">
        <v>3</v>
      </c>
      <c r="I72" s="79" t="s">
        <v>563</v>
      </c>
      <c r="J72" s="79" t="s">
        <v>118</v>
      </c>
      <c r="K72" s="79">
        <v>3</v>
      </c>
      <c r="L72" s="79" t="s">
        <v>619</v>
      </c>
      <c r="M72" s="79">
        <v>25</v>
      </c>
      <c r="N72" s="75">
        <v>43466</v>
      </c>
      <c r="O72" s="75"/>
      <c r="P72" s="75"/>
      <c r="Q72" t="s">
        <v>127</v>
      </c>
      <c r="R72">
        <v>1</v>
      </c>
    </row>
    <row r="73" spans="1:18" x14ac:dyDescent="0.25">
      <c r="A73" t="str">
        <f>TableOBEDPR[[#This Row],[Study Package Code]]</f>
        <v>EDPR3006</v>
      </c>
      <c r="B73" s="5">
        <f>TableOBEDPR[[#This Row],[Ver]]</f>
        <v>1</v>
      </c>
      <c r="C73" t="str">
        <f>LEFT(TableOBEDPR[[#This Row],[Structure Line]], FIND(" ", TableOBEDPR[[#This Row],[Structure Line]])-1)</f>
        <v>EDP343</v>
      </c>
      <c r="D73" t="str">
        <f>MID(TableOBEDPR[[#This Row],[Structure Line]],FIND(" ",TableOBEDPR[[#This Row],[Structure Line]])+1,LEN(TableOBEDPR[[#This Row],[Structure Line]]))</f>
        <v>Inquiry in the Mathematics Classroom</v>
      </c>
      <c r="E73" s="50">
        <f>TableOBEDPR[[#This Row],[Credit Points]]</f>
        <v>25</v>
      </c>
      <c r="F73" s="79">
        <v>19</v>
      </c>
      <c r="G73" s="79" t="s">
        <v>562</v>
      </c>
      <c r="H73" s="79">
        <v>3</v>
      </c>
      <c r="I73" s="79" t="s">
        <v>563</v>
      </c>
      <c r="J73" s="79" t="s">
        <v>124</v>
      </c>
      <c r="K73" s="79">
        <v>1</v>
      </c>
      <c r="L73" s="79" t="s">
        <v>620</v>
      </c>
      <c r="M73" s="79">
        <v>25</v>
      </c>
      <c r="N73" s="75">
        <v>42005</v>
      </c>
      <c r="O73" s="75"/>
      <c r="P73" s="75"/>
      <c r="Q73" t="s">
        <v>118</v>
      </c>
      <c r="R73">
        <v>3</v>
      </c>
    </row>
    <row r="74" spans="1:18" x14ac:dyDescent="0.25">
      <c r="A74" t="str">
        <f>TableOBEDPR[[#This Row],[Study Package Code]]</f>
        <v>EDPR3010</v>
      </c>
      <c r="B74" s="5">
        <f>TableOBEDPR[[#This Row],[Ver]]</f>
        <v>3</v>
      </c>
      <c r="C74" t="str">
        <f>LEFT(TableOBEDPR[[#This Row],[Structure Line]], FIND(" ", TableOBEDPR[[#This Row],[Structure Line]])-1)</f>
        <v>EDP373</v>
      </c>
      <c r="D74" t="str">
        <f>MID(TableOBEDPR[[#This Row],[Structure Line]],FIND(" ",TableOBEDPR[[#This Row],[Structure Line]])+1,LEN(TableOBEDPR[[#This Row],[Structure Line]]))</f>
        <v>Inquiry in the Humanities and Social Sciences Classroom</v>
      </c>
      <c r="E74" s="50">
        <f>TableOBEDPR[[#This Row],[Credit Points]]</f>
        <v>25</v>
      </c>
      <c r="F74" s="79">
        <v>20</v>
      </c>
      <c r="G74" s="79" t="s">
        <v>562</v>
      </c>
      <c r="H74" s="79">
        <v>3</v>
      </c>
      <c r="I74" s="79" t="s">
        <v>563</v>
      </c>
      <c r="J74" s="79" t="s">
        <v>121</v>
      </c>
      <c r="K74" s="79">
        <v>3</v>
      </c>
      <c r="L74" s="79" t="s">
        <v>621</v>
      </c>
      <c r="M74" s="79">
        <v>25</v>
      </c>
      <c r="N74" s="75">
        <v>43466</v>
      </c>
      <c r="O74" s="75"/>
      <c r="P74" s="75"/>
      <c r="Q74" t="s">
        <v>124</v>
      </c>
      <c r="R74">
        <v>1</v>
      </c>
    </row>
    <row r="75" spans="1:18" x14ac:dyDescent="0.25">
      <c r="A75" t="str">
        <f>TableOBEDPR[[#This Row],[Study Package Code]]</f>
        <v>EDPR3015</v>
      </c>
      <c r="B75" s="5">
        <f>TableOBEDPR[[#This Row],[Ver]]</f>
        <v>1</v>
      </c>
      <c r="C75" t="str">
        <f>LEFT(TableOBEDPR[[#This Row],[Structure Line]], FIND(" ", TableOBEDPR[[#This Row],[Structure Line]])-1)</f>
        <v>EDP385</v>
      </c>
      <c r="D75" t="str">
        <f>MID(TableOBEDPR[[#This Row],[Structure Line]],FIND(" ",TableOBEDPR[[#This Row],[Structure Line]])+1,LEN(TableOBEDPR[[#This Row],[Structure Line]]))</f>
        <v>Visual and Media Arts Education</v>
      </c>
      <c r="E75" s="50">
        <f>TableOBEDPR[[#This Row],[Credit Points]]</f>
        <v>25</v>
      </c>
      <c r="F75" s="79">
        <v>21</v>
      </c>
      <c r="G75" s="79" t="s">
        <v>562</v>
      </c>
      <c r="H75" s="79">
        <v>3</v>
      </c>
      <c r="I75" s="79" t="s">
        <v>563</v>
      </c>
      <c r="J75" s="79" t="s">
        <v>128</v>
      </c>
      <c r="K75" s="79">
        <v>1</v>
      </c>
      <c r="L75" s="79" t="s">
        <v>622</v>
      </c>
      <c r="M75" s="79">
        <v>25</v>
      </c>
      <c r="N75" s="75">
        <v>43466</v>
      </c>
      <c r="O75" s="75"/>
      <c r="P75" s="75"/>
      <c r="Q75" t="s">
        <v>121</v>
      </c>
      <c r="R75">
        <v>3</v>
      </c>
    </row>
    <row r="76" spans="1:18" x14ac:dyDescent="0.25">
      <c r="A76" t="str">
        <f>TableOBEDPR[[#This Row],[Study Package Code]]</f>
        <v>EDPR3007</v>
      </c>
      <c r="B76" s="5">
        <f>TableOBEDPR[[#This Row],[Ver]]</f>
        <v>2</v>
      </c>
      <c r="C76" t="str">
        <f>LEFT(TableOBEDPR[[#This Row],[Structure Line]], FIND(" ", TableOBEDPR[[#This Row],[Structure Line]])-1)</f>
        <v>EDP311</v>
      </c>
      <c r="D76" t="str">
        <f>MID(TableOBEDPR[[#This Row],[Structure Line]],FIND(" ",TableOBEDPR[[#This Row],[Structure Line]])+1,LEN(TableOBEDPR[[#This Row],[Structure Line]]))</f>
        <v>Cultural Contexts in Primary Education</v>
      </c>
      <c r="E76" s="50">
        <f>TableOBEDPR[[#This Row],[Credit Points]]</f>
        <v>25</v>
      </c>
      <c r="F76" s="79">
        <v>22</v>
      </c>
      <c r="G76" s="79" t="s">
        <v>562</v>
      </c>
      <c r="H76" s="79">
        <v>3</v>
      </c>
      <c r="I76" s="79" t="s">
        <v>563</v>
      </c>
      <c r="J76" s="79" t="s">
        <v>117</v>
      </c>
      <c r="K76" s="79">
        <v>2</v>
      </c>
      <c r="L76" s="79" t="s">
        <v>623</v>
      </c>
      <c r="M76" s="79">
        <v>25</v>
      </c>
      <c r="N76" s="75">
        <v>42370</v>
      </c>
      <c r="O76" s="75"/>
      <c r="P76" s="75"/>
      <c r="Q76" t="s">
        <v>128</v>
      </c>
      <c r="R76">
        <v>1</v>
      </c>
    </row>
    <row r="77" spans="1:18" x14ac:dyDescent="0.25">
      <c r="A77" t="str">
        <f>TableOBEDPR[[#This Row],[Study Package Code]]</f>
        <v>EDUC4050</v>
      </c>
      <c r="B77" s="5">
        <f>TableOBEDPR[[#This Row],[Ver]]</f>
        <v>1</v>
      </c>
      <c r="C77" t="str">
        <f>LEFT(TableOBEDPR[[#This Row],[Structure Line]], FIND(" ", TableOBEDPR[[#This Row],[Structure Line]])-1)</f>
        <v>EDC445</v>
      </c>
      <c r="D77" t="str">
        <f>MID(TableOBEDPR[[#This Row],[Structure Line]],FIND(" ",TableOBEDPR[[#This Row],[Structure Line]])+1,LEN(TableOBEDPR[[#This Row],[Structure Line]]))</f>
        <v>The Professional Educator: Transition to the Profession</v>
      </c>
      <c r="E77" s="50">
        <f>TableOBEDPR[[#This Row],[Credit Points]]</f>
        <v>25</v>
      </c>
      <c r="F77" s="79">
        <v>23</v>
      </c>
      <c r="G77" s="79" t="s">
        <v>562</v>
      </c>
      <c r="H77" s="79">
        <v>4</v>
      </c>
      <c r="I77" s="79" t="s">
        <v>563</v>
      </c>
      <c r="J77" s="79" t="s">
        <v>132</v>
      </c>
      <c r="K77" s="79">
        <v>1</v>
      </c>
      <c r="L77" s="79" t="s">
        <v>590</v>
      </c>
      <c r="M77" s="79">
        <v>25</v>
      </c>
      <c r="N77" s="75">
        <v>43466</v>
      </c>
      <c r="O77" s="75"/>
      <c r="P77" s="75"/>
      <c r="Q77" t="s">
        <v>117</v>
      </c>
      <c r="R77">
        <v>2</v>
      </c>
    </row>
    <row r="78" spans="1:18" x14ac:dyDescent="0.25">
      <c r="A78" t="str">
        <f>TableOBEDPR[[#This Row],[Study Package Code]]</f>
        <v>EDUC4041</v>
      </c>
      <c r="B78" s="5">
        <f>TableOBEDPR[[#This Row],[Ver]]</f>
        <v>1</v>
      </c>
      <c r="C78" t="str">
        <f>LEFT(TableOBEDPR[[#This Row],[Structure Line]], FIND(" ", TableOBEDPR[[#This Row],[Structure Line]])-1)</f>
        <v>EDC450</v>
      </c>
      <c r="D78" t="str">
        <f>MID(TableOBEDPR[[#This Row],[Structure Line]],FIND(" ",TableOBEDPR[[#This Row],[Structure Line]])+1,LEN(TableOBEDPR[[#This Row],[Structure Line]]))</f>
        <v>Professional Experience 4: The Internship</v>
      </c>
      <c r="E78" s="50">
        <f>TableOBEDPR[[#This Row],[Credit Points]]</f>
        <v>100</v>
      </c>
      <c r="F78" s="79">
        <v>24</v>
      </c>
      <c r="G78" s="79" t="s">
        <v>562</v>
      </c>
      <c r="H78" s="79">
        <v>4</v>
      </c>
      <c r="I78" s="79" t="s">
        <v>563</v>
      </c>
      <c r="J78" s="79" t="s">
        <v>142</v>
      </c>
      <c r="K78" s="79">
        <v>1</v>
      </c>
      <c r="L78" s="79" t="s">
        <v>593</v>
      </c>
      <c r="M78" s="79">
        <v>100</v>
      </c>
      <c r="N78" s="75">
        <v>43466</v>
      </c>
      <c r="O78" s="75"/>
      <c r="P78" s="75"/>
      <c r="Q78" t="s">
        <v>588</v>
      </c>
      <c r="R78">
        <v>0</v>
      </c>
    </row>
    <row r="79" spans="1:18" x14ac:dyDescent="0.25">
      <c r="A79" t="str">
        <f>TableOBEDPR[[#This Row],[Study Package Code]]</f>
        <v>EDPR4004</v>
      </c>
      <c r="B79" s="5">
        <f>TableOBEDPR[[#This Row],[Ver]]</f>
        <v>1</v>
      </c>
      <c r="C79" t="str">
        <f>LEFT(TableOBEDPR[[#This Row],[Structure Line]], FIND(" ", TableOBEDPR[[#This Row],[Structure Line]])-1)</f>
        <v>EDP415</v>
      </c>
      <c r="D79" t="str">
        <f>MID(TableOBEDPR[[#This Row],[Structure Line]],FIND(" ",TableOBEDPR[[#This Row],[Structure Line]])+1,LEN(TableOBEDPR[[#This Row],[Structure Line]]))</f>
        <v>The Literacy Researcher</v>
      </c>
      <c r="E79" s="50">
        <f>TableOBEDPR[[#This Row],[Credit Points]]</f>
        <v>25</v>
      </c>
      <c r="F79" s="79">
        <v>25</v>
      </c>
      <c r="G79" s="79" t="s">
        <v>562</v>
      </c>
      <c r="H79" s="79">
        <v>4</v>
      </c>
      <c r="I79" s="79" t="s">
        <v>563</v>
      </c>
      <c r="J79" s="79" t="s">
        <v>135</v>
      </c>
      <c r="K79" s="79">
        <v>1</v>
      </c>
      <c r="L79" s="79" t="s">
        <v>624</v>
      </c>
      <c r="M79" s="79">
        <v>25</v>
      </c>
      <c r="N79" s="75">
        <v>43466</v>
      </c>
      <c r="O79" s="75"/>
      <c r="P79" s="75"/>
      <c r="Q79" t="s">
        <v>132</v>
      </c>
      <c r="R79">
        <v>1</v>
      </c>
    </row>
    <row r="80" spans="1:18" x14ac:dyDescent="0.25">
      <c r="A80" t="str">
        <f>TableOBEDPR[[#This Row],[Study Package Code]]</f>
        <v>EDPR4002</v>
      </c>
      <c r="B80" s="5">
        <f>TableOBEDPR[[#This Row],[Ver]]</f>
        <v>3</v>
      </c>
      <c r="C80" t="str">
        <f>LEFT(TableOBEDPR[[#This Row],[Structure Line]], FIND(" ", TableOBEDPR[[#This Row],[Structure Line]])-1)</f>
        <v>EDP443</v>
      </c>
      <c r="D80" t="str">
        <f>MID(TableOBEDPR[[#This Row],[Structure Line]],FIND(" ",TableOBEDPR[[#This Row],[Structure Line]])+1,LEN(TableOBEDPR[[#This Row],[Structure Line]]))</f>
        <v>Mathematics Pedagogies and Integrated Curriculum</v>
      </c>
      <c r="E80" s="50">
        <f>TableOBEDPR[[#This Row],[Credit Points]]</f>
        <v>25</v>
      </c>
      <c r="F80" s="79">
        <v>26</v>
      </c>
      <c r="G80" s="79" t="s">
        <v>562</v>
      </c>
      <c r="H80" s="79">
        <v>4</v>
      </c>
      <c r="I80" s="79" t="s">
        <v>563</v>
      </c>
      <c r="J80" s="79" t="s">
        <v>138</v>
      </c>
      <c r="K80" s="79">
        <v>3</v>
      </c>
      <c r="L80" s="79" t="s">
        <v>625</v>
      </c>
      <c r="M80" s="79">
        <v>25</v>
      </c>
      <c r="N80" s="75">
        <v>43466</v>
      </c>
      <c r="O80" s="75"/>
      <c r="P80" s="75"/>
      <c r="Q80" t="s">
        <v>142</v>
      </c>
      <c r="R80">
        <v>1</v>
      </c>
    </row>
    <row r="81" spans="1:18" x14ac:dyDescent="0.25">
      <c r="A81" t="str">
        <f>TableOBEDPR[[#This Row],[Study Package Code]]</f>
        <v>Option</v>
      </c>
      <c r="B81" s="5">
        <f>TableOBEDPR[[#This Row],[Ver]]</f>
        <v>0</v>
      </c>
      <c r="D81" t="str">
        <f>TableOBEDPR[[#This Row],[Structure Line]]</f>
        <v>Select an Option</v>
      </c>
      <c r="E81" s="50">
        <f>TableOBEDPR[[#This Row],[Credit Points]]</f>
        <v>75</v>
      </c>
      <c r="F81" s="79">
        <v>27</v>
      </c>
      <c r="G81" s="79" t="s">
        <v>588</v>
      </c>
      <c r="H81" s="79">
        <v>0</v>
      </c>
      <c r="I81" s="79" t="s">
        <v>563</v>
      </c>
      <c r="J81" s="79" t="s">
        <v>588</v>
      </c>
      <c r="K81" s="79">
        <v>0</v>
      </c>
      <c r="L81" s="79" t="s">
        <v>626</v>
      </c>
      <c r="M81" s="79">
        <v>75</v>
      </c>
      <c r="N81" s="75"/>
      <c r="O81" s="75"/>
      <c r="P81" s="75"/>
      <c r="Q81" t="s">
        <v>135</v>
      </c>
      <c r="R81">
        <v>1</v>
      </c>
    </row>
    <row r="82" spans="1:18" x14ac:dyDescent="0.25">
      <c r="A82">
        <f>TableOBEDPR[[#This Row],[Study Package Code]]</f>
        <v>0</v>
      </c>
      <c r="B82" s="5">
        <f>TableOBEDPR[[#This Row],[Ver]]</f>
        <v>0</v>
      </c>
      <c r="C82" t="e">
        <f>LEFT(TableOBEDPR[[#This Row],[Structure Line]], FIND(" ", TableOBEDPR[[#This Row],[Structure Line]])-1)</f>
        <v>#VALUE!</v>
      </c>
      <c r="D82" t="e">
        <f>MID(TableOBEDPR[[#This Row],[Structure Line]],FIND(" ",TableOBEDPR[[#This Row],[Structure Line]])+1,LEN(TableOBEDPR[[#This Row],[Structure Line]]))</f>
        <v>#VALUE!</v>
      </c>
      <c r="E82" s="50">
        <f>TableOBEDPR[[#This Row],[Credit Points]]</f>
        <v>0</v>
      </c>
      <c r="F82" s="79"/>
      <c r="G82" s="79"/>
      <c r="H82" s="79"/>
      <c r="I82" s="79"/>
      <c r="J82" s="79"/>
      <c r="K82" s="79"/>
      <c r="L82" s="79"/>
      <c r="M82" s="79"/>
      <c r="N82" s="75"/>
      <c r="O82" s="75"/>
      <c r="P82" s="75"/>
      <c r="Q82" t="s">
        <v>138</v>
      </c>
      <c r="R82">
        <v>3</v>
      </c>
    </row>
    <row r="83" spans="1:18" x14ac:dyDescent="0.25">
      <c r="A83">
        <f>TableOBEDPR[[#This Row],[Study Package Code]]</f>
        <v>0</v>
      </c>
      <c r="B83" s="5">
        <f>TableOBEDPR[[#This Row],[Ver]]</f>
        <v>0</v>
      </c>
      <c r="D83">
        <f>TableOBEDPR[[#This Row],[Structure Line]]</f>
        <v>0</v>
      </c>
      <c r="E83" s="50">
        <f>TableOBEDPR[[#This Row],[Credit Points]]</f>
        <v>0</v>
      </c>
      <c r="F83" s="79"/>
      <c r="G83" s="79"/>
      <c r="H83" s="79"/>
      <c r="I83" s="79"/>
      <c r="J83" s="79"/>
      <c r="K83" s="79"/>
      <c r="L83" s="79"/>
      <c r="M83" s="79"/>
      <c r="N83" s="75"/>
      <c r="O83" s="75"/>
      <c r="P83" s="75"/>
      <c r="Q83" t="s">
        <v>588</v>
      </c>
      <c r="R83">
        <v>0</v>
      </c>
    </row>
    <row r="84" spans="1:18" x14ac:dyDescent="0.25">
      <c r="A84" t="str">
        <f>TableOBEDPR[[#This Row],[Study Package Code]]</f>
        <v>CTED4004</v>
      </c>
      <c r="B84" s="5">
        <f>TableOBEDPR[[#This Row],[Ver]]</f>
        <v>2</v>
      </c>
      <c r="C84" t="str">
        <f>LEFT(TableOBEDPR[[#This Row],[Structure Line]], FIND(" ", TableOBEDPR[[#This Row],[Structure Line]])-1)</f>
        <v>EDC484</v>
      </c>
      <c r="D84" t="str">
        <f>MID(TableOBEDPR[[#This Row],[Structure Line]],FIND(" ",TableOBEDPR[[#This Row],[Structure Line]])+1,LEN(TableOBEDPR[[#This Row],[Structure Line]]))</f>
        <v>Teaching About Sacraments in Catholic Schools</v>
      </c>
      <c r="E84" s="50">
        <f>TableOBEDPR[[#This Row],[Credit Points]]</f>
        <v>25</v>
      </c>
      <c r="F84" s="79">
        <v>27</v>
      </c>
      <c r="G84" s="79" t="s">
        <v>588</v>
      </c>
      <c r="H84" s="79">
        <v>0</v>
      </c>
      <c r="I84" s="79" t="s">
        <v>563</v>
      </c>
      <c r="J84" s="79" t="s">
        <v>168</v>
      </c>
      <c r="K84" s="79">
        <v>2</v>
      </c>
      <c r="L84" s="79" t="s">
        <v>595</v>
      </c>
      <c r="M84" s="79">
        <v>25</v>
      </c>
      <c r="N84" s="75">
        <v>45292</v>
      </c>
      <c r="O84" s="75"/>
      <c r="P84" s="75"/>
      <c r="Q84" t="s">
        <v>594</v>
      </c>
      <c r="R84">
        <v>1</v>
      </c>
    </row>
    <row r="85" spans="1:18" x14ac:dyDescent="0.25">
      <c r="A85" t="str">
        <f>TableOBEDPR[[#This Row],[Study Package Code]]</f>
        <v>CTED4007</v>
      </c>
      <c r="B85" s="5">
        <f>TableOBEDPR[[#This Row],[Ver]]</f>
        <v>1</v>
      </c>
      <c r="C85" t="str">
        <f>LEFT(TableOBEDPR[[#This Row],[Structure Line]], FIND(" ", TableOBEDPR[[#This Row],[Structure Line]])-1)</f>
        <v>EDC430</v>
      </c>
      <c r="D85" t="str">
        <f>MID(TableOBEDPR[[#This Row],[Structure Line]],FIND(" ",TableOBEDPR[[#This Row],[Structure Line]])+1,LEN(TableOBEDPR[[#This Row],[Structure Line]]))</f>
        <v>Teaching About Jesus in Catholic Schools</v>
      </c>
      <c r="E85" s="50">
        <f>TableOBEDPR[[#This Row],[Credit Points]]</f>
        <v>25</v>
      </c>
      <c r="F85" s="79">
        <v>27</v>
      </c>
      <c r="G85" s="79" t="s">
        <v>588</v>
      </c>
      <c r="H85" s="79">
        <v>0</v>
      </c>
      <c r="I85" s="79" t="s">
        <v>563</v>
      </c>
      <c r="J85" s="79" t="s">
        <v>169</v>
      </c>
      <c r="K85" s="79">
        <v>1</v>
      </c>
      <c r="L85" s="79" t="s">
        <v>597</v>
      </c>
      <c r="M85" s="79">
        <v>25</v>
      </c>
      <c r="N85" s="75">
        <v>45292</v>
      </c>
      <c r="O85" s="75"/>
      <c r="P85" s="75"/>
      <c r="Q85" t="s">
        <v>168</v>
      </c>
      <c r="R85">
        <v>2</v>
      </c>
    </row>
    <row r="86" spans="1:18" x14ac:dyDescent="0.25">
      <c r="A86" t="str">
        <f>TableOBEDPR[[#This Row],[Study Package Code]]</f>
        <v>CTED4009</v>
      </c>
      <c r="B86" s="5">
        <f>TableOBEDPR[[#This Row],[Ver]]</f>
        <v>1</v>
      </c>
      <c r="C86" t="str">
        <f>LEFT(TableOBEDPR[[#This Row],[Structure Line]], FIND(" ", TableOBEDPR[[#This Row],[Structure Line]])-1)</f>
        <v>EDC435</v>
      </c>
      <c r="D86" t="str">
        <f>MID(TableOBEDPR[[#This Row],[Structure Line]],FIND(" ",TableOBEDPR[[#This Row],[Structure Line]])+1,LEN(TableOBEDPR[[#This Row],[Structure Line]]))</f>
        <v>Teaching About the Gospels in Catholic Schools</v>
      </c>
      <c r="E86" s="50">
        <f>TableOBEDPR[[#This Row],[Credit Points]]</f>
        <v>25</v>
      </c>
      <c r="F86" s="79">
        <v>27</v>
      </c>
      <c r="G86" s="79" t="s">
        <v>588</v>
      </c>
      <c r="H86" s="79">
        <v>0</v>
      </c>
      <c r="I86" s="79" t="s">
        <v>563</v>
      </c>
      <c r="J86" s="79" t="s">
        <v>170</v>
      </c>
      <c r="K86" s="79">
        <v>1</v>
      </c>
      <c r="L86" s="79" t="s">
        <v>598</v>
      </c>
      <c r="M86" s="79">
        <v>25</v>
      </c>
      <c r="N86" s="75">
        <v>45292</v>
      </c>
      <c r="O86" s="75"/>
      <c r="P86" s="75"/>
      <c r="Q86" t="s">
        <v>596</v>
      </c>
      <c r="R86">
        <v>2</v>
      </c>
    </row>
    <row r="87" spans="1:18" x14ac:dyDescent="0.25">
      <c r="A87" t="str">
        <f>TableOBEDPR[[#This Row],[Study Package Code]]</f>
        <v>EDUC4003</v>
      </c>
      <c r="B87" s="5">
        <f>TableOBEDPR[[#This Row],[Ver]]</f>
        <v>1</v>
      </c>
      <c r="C87" t="str">
        <f>LEFT(TableOBEDPR[[#This Row],[Structure Line]], FIND(" ", TableOBEDPR[[#This Row],[Structure Line]])-1)</f>
        <v>EDC420</v>
      </c>
      <c r="D87" t="str">
        <f>MID(TableOBEDPR[[#This Row],[Structure Line]],FIND(" ",TableOBEDPR[[#This Row],[Structure Line]])+1,LEN(TableOBEDPR[[#This Row],[Structure Line]]))</f>
        <v>Physical Education Pedagogy</v>
      </c>
      <c r="E87" s="50">
        <f>TableOBEDPR[[#This Row],[Credit Points]]</f>
        <v>25</v>
      </c>
      <c r="F87" s="79">
        <v>27</v>
      </c>
      <c r="G87" s="79" t="s">
        <v>588</v>
      </c>
      <c r="H87" s="79">
        <v>0</v>
      </c>
      <c r="I87" s="79" t="s">
        <v>563</v>
      </c>
      <c r="J87" s="79" t="s">
        <v>172</v>
      </c>
      <c r="K87" s="79">
        <v>1</v>
      </c>
      <c r="L87" s="79" t="s">
        <v>627</v>
      </c>
      <c r="M87" s="79">
        <v>25</v>
      </c>
      <c r="N87" s="75">
        <v>45658</v>
      </c>
      <c r="O87" s="75"/>
      <c r="P87" s="75"/>
      <c r="Q87" t="s">
        <v>253</v>
      </c>
      <c r="R87">
        <v>1</v>
      </c>
    </row>
    <row r="88" spans="1:18" x14ac:dyDescent="0.25">
      <c r="A88" t="str">
        <f>TableOBEDPR[[#This Row],[Study Package Code]]</f>
        <v>EDUC4010</v>
      </c>
      <c r="B88" s="5">
        <f>TableOBEDPR[[#This Row],[Ver]]</f>
        <v>1</v>
      </c>
      <c r="C88" t="str">
        <f>LEFT(TableOBEDPR[[#This Row],[Structure Line]], FIND(" ", TableOBEDPR[[#This Row],[Structure Line]])-1)</f>
        <v>EDC425</v>
      </c>
      <c r="D88" t="str">
        <f>MID(TableOBEDPR[[#This Row],[Structure Line]],FIND(" ",TableOBEDPR[[#This Row],[Structure Line]])+1,LEN(TableOBEDPR[[#This Row],[Structure Line]]))</f>
        <v>Primary Physical Education: Curriculum &amp; Assessment</v>
      </c>
      <c r="E88" s="50">
        <f>TableOBEDPR[[#This Row],[Credit Points]]</f>
        <v>25</v>
      </c>
      <c r="F88" s="79">
        <v>27</v>
      </c>
      <c r="G88" s="79" t="s">
        <v>588</v>
      </c>
      <c r="H88" s="79">
        <v>0</v>
      </c>
      <c r="I88" s="79" t="s">
        <v>563</v>
      </c>
      <c r="J88" s="79" t="s">
        <v>173</v>
      </c>
      <c r="K88" s="79">
        <v>1</v>
      </c>
      <c r="L88" s="79" t="s">
        <v>628</v>
      </c>
      <c r="M88" s="79">
        <v>25</v>
      </c>
      <c r="N88" s="75">
        <v>45658</v>
      </c>
      <c r="O88" s="75"/>
      <c r="P88" s="75"/>
      <c r="Q88" t="s">
        <v>599</v>
      </c>
      <c r="R88">
        <v>1</v>
      </c>
    </row>
    <row r="89" spans="1:18" x14ac:dyDescent="0.25">
      <c r="A89">
        <f>TableOBEDPR[[#This Row],[Study Package Code]]</f>
        <v>0</v>
      </c>
      <c r="B89" s="5">
        <f>TableOBEDPR[[#This Row],[Ver]]</f>
        <v>0</v>
      </c>
      <c r="C89" t="e">
        <f>LEFT(TableOBEDPR[[#This Row],[Structure Line]], FIND(" ", TableOBEDPR[[#This Row],[Structure Line]])-1)</f>
        <v>#VALUE!</v>
      </c>
      <c r="D89" t="e">
        <f>MID(TableOBEDPR[[#This Row],[Structure Line]],FIND(" ",TableOBEDPR[[#This Row],[Structure Line]])+1,LEN(TableOBEDPR[[#This Row],[Structure Line]]))</f>
        <v>#VALUE!</v>
      </c>
      <c r="E89" s="50">
        <f>TableOBEDPR[[#This Row],[Credit Points]]</f>
        <v>0</v>
      </c>
      <c r="F89" s="79"/>
      <c r="G89" s="79"/>
      <c r="H89" s="79"/>
      <c r="I89" s="79"/>
      <c r="J89" s="79"/>
      <c r="K89" s="79"/>
      <c r="L89" s="79"/>
      <c r="M89" s="79"/>
      <c r="N89" s="75"/>
      <c r="O89" s="75"/>
      <c r="P89" s="75"/>
      <c r="Q89" t="s">
        <v>255</v>
      </c>
      <c r="R89">
        <v>1</v>
      </c>
    </row>
    <row r="90" spans="1:18" x14ac:dyDescent="0.25">
      <c r="A90" t="str">
        <f>TableOBEDPR[[#This Row],[Study Package Code]]</f>
        <v>EDUC4024</v>
      </c>
      <c r="B90" s="5">
        <f>TableOBEDPR[[#This Row],[Ver]]</f>
        <v>1</v>
      </c>
      <c r="C90" t="str">
        <f>LEFT(TableOBEDPR[[#This Row],[Structure Line]], FIND(" ", TableOBEDPR[[#This Row],[Structure Line]])-1)</f>
        <v>EDC486</v>
      </c>
      <c r="D90" t="str">
        <f>MID(TableOBEDPR[[#This Row],[Structure Line]],FIND(" ",TableOBEDPR[[#This Row],[Structure Line]])+1,LEN(TableOBEDPR[[#This Row],[Structure Line]]))</f>
        <v>Creating and Responding to Literature</v>
      </c>
      <c r="E90" s="50">
        <f>TableOBEDPR[[#This Row],[Credit Points]]</f>
        <v>25</v>
      </c>
      <c r="F90" s="79">
        <v>27</v>
      </c>
      <c r="G90" s="79" t="s">
        <v>588</v>
      </c>
      <c r="H90" s="79">
        <v>0</v>
      </c>
      <c r="I90" s="79" t="s">
        <v>563</v>
      </c>
      <c r="J90" s="79" t="s">
        <v>156</v>
      </c>
      <c r="K90" s="79">
        <v>1</v>
      </c>
      <c r="L90" s="79" t="s">
        <v>600</v>
      </c>
      <c r="M90" s="79">
        <v>25</v>
      </c>
      <c r="N90" s="75">
        <v>43282</v>
      </c>
      <c r="O90" s="75"/>
      <c r="P90" s="75"/>
      <c r="Q90" t="s">
        <v>156</v>
      </c>
      <c r="R90">
        <v>1</v>
      </c>
    </row>
    <row r="91" spans="1:18" x14ac:dyDescent="0.25">
      <c r="A91" t="str">
        <f>TableOBEDPR[[#This Row],[Study Package Code]]</f>
        <v>EDUC4025</v>
      </c>
      <c r="B91" s="5">
        <f>TableOBEDPR[[#This Row],[Ver]]</f>
        <v>1</v>
      </c>
      <c r="C91" t="str">
        <f>LEFT(TableOBEDPR[[#This Row],[Structure Line]], FIND(" ", TableOBEDPR[[#This Row],[Structure Line]])-1)</f>
        <v>EDC487</v>
      </c>
      <c r="D91" t="str">
        <f>MID(TableOBEDPR[[#This Row],[Structure Line]],FIND(" ",TableOBEDPR[[#This Row],[Structure Line]])+1,LEN(TableOBEDPR[[#This Row],[Structure Line]]))</f>
        <v>Creative Literacies</v>
      </c>
      <c r="E91" s="50">
        <f>TableOBEDPR[[#This Row],[Credit Points]]</f>
        <v>25</v>
      </c>
      <c r="F91" s="79">
        <v>27</v>
      </c>
      <c r="G91" s="79" t="s">
        <v>588</v>
      </c>
      <c r="H91" s="79">
        <v>0</v>
      </c>
      <c r="I91" s="79" t="s">
        <v>563</v>
      </c>
      <c r="J91" s="79" t="s">
        <v>157</v>
      </c>
      <c r="K91" s="79">
        <v>1</v>
      </c>
      <c r="L91" s="79" t="s">
        <v>601</v>
      </c>
      <c r="M91" s="79">
        <v>25</v>
      </c>
      <c r="N91" s="75">
        <v>43282</v>
      </c>
      <c r="O91" s="75"/>
      <c r="P91" s="75"/>
      <c r="Q91" t="s">
        <v>157</v>
      </c>
      <c r="R91">
        <v>1</v>
      </c>
    </row>
    <row r="92" spans="1:18" x14ac:dyDescent="0.25">
      <c r="A92" t="str">
        <f>TableOBEDPR[[#This Row],[Study Package Code]]</f>
        <v>EDUC4026</v>
      </c>
      <c r="B92" s="5">
        <f>TableOBEDPR[[#This Row],[Ver]]</f>
        <v>1</v>
      </c>
      <c r="C92" t="str">
        <f>LEFT(TableOBEDPR[[#This Row],[Structure Line]], FIND(" ", TableOBEDPR[[#This Row],[Structure Line]])-1)</f>
        <v>EDC488</v>
      </c>
      <c r="D92" t="str">
        <f>MID(TableOBEDPR[[#This Row],[Structure Line]],FIND(" ",TableOBEDPR[[#This Row],[Structure Line]])+1,LEN(TableOBEDPR[[#This Row],[Structure Line]]))</f>
        <v>Project-based iSTEM Education</v>
      </c>
      <c r="E92" s="50">
        <f>TableOBEDPR[[#This Row],[Credit Points]]</f>
        <v>25</v>
      </c>
      <c r="F92" s="79">
        <v>27</v>
      </c>
      <c r="G92" s="79" t="s">
        <v>588</v>
      </c>
      <c r="H92" s="79">
        <v>0</v>
      </c>
      <c r="I92" s="79" t="s">
        <v>563</v>
      </c>
      <c r="J92" s="79" t="s">
        <v>152</v>
      </c>
      <c r="K92" s="79">
        <v>1</v>
      </c>
      <c r="L92" s="79" t="s">
        <v>602</v>
      </c>
      <c r="M92" s="79">
        <v>25</v>
      </c>
      <c r="N92" s="75">
        <v>43282</v>
      </c>
      <c r="O92" s="75"/>
      <c r="P92" s="75"/>
      <c r="Q92" t="s">
        <v>152</v>
      </c>
      <c r="R92">
        <v>1</v>
      </c>
    </row>
    <row r="93" spans="1:18" x14ac:dyDescent="0.25">
      <c r="A93">
        <f>TableOBEDPR[[#This Row],[Study Package Code]]</f>
        <v>0</v>
      </c>
      <c r="B93" s="5">
        <f>TableOBEDPR[[#This Row],[Ver]]</f>
        <v>0</v>
      </c>
      <c r="C93" t="e">
        <f>LEFT(TableOBEDPR[[#This Row],[Structure Line]], FIND(" ", TableOBEDPR[[#This Row],[Structure Line]])-1)</f>
        <v>#VALUE!</v>
      </c>
      <c r="D93" t="e">
        <f>MID(TableOBEDPR[[#This Row],[Structure Line]],FIND(" ",TableOBEDPR[[#This Row],[Structure Line]])+1,LEN(TableOBEDPR[[#This Row],[Structure Line]]))</f>
        <v>#VALUE!</v>
      </c>
      <c r="E93" s="50">
        <f>TableOBEDPR[[#This Row],[Credit Points]]</f>
        <v>0</v>
      </c>
      <c r="F93" s="79"/>
      <c r="G93" s="79"/>
      <c r="H93" s="79"/>
      <c r="I93" s="79"/>
      <c r="J93" s="79"/>
      <c r="K93" s="79"/>
      <c r="L93" s="79"/>
      <c r="M93" s="79"/>
      <c r="N93" s="75"/>
      <c r="O93" s="75"/>
      <c r="P93" s="75"/>
      <c r="Q93" t="s">
        <v>603</v>
      </c>
      <c r="R93">
        <v>1</v>
      </c>
    </row>
    <row r="94" spans="1:18" x14ac:dyDescent="0.25">
      <c r="A94" t="str">
        <f>TableOBEDPR[[#This Row],[Study Package Code]]</f>
        <v>EDUC4028</v>
      </c>
      <c r="B94" s="5">
        <f>TableOBEDPR[[#This Row],[Ver]]</f>
        <v>1</v>
      </c>
      <c r="C94" t="str">
        <f>LEFT(TableOBEDPR[[#This Row],[Structure Line]], FIND(" ", TableOBEDPR[[#This Row],[Structure Line]])-1)</f>
        <v>EDC490</v>
      </c>
      <c r="D94" t="str">
        <f>MID(TableOBEDPR[[#This Row],[Structure Line]],FIND(" ",TableOBEDPR[[#This Row],[Structure Line]])+1,LEN(TableOBEDPR[[#This Row],[Structure Line]]))</f>
        <v>Supporting Literacy and Numeracy Development for Diverse Learners</v>
      </c>
      <c r="E94" s="50">
        <f>TableOBEDPR[[#This Row],[Credit Points]]</f>
        <v>25</v>
      </c>
      <c r="F94" s="79">
        <v>27</v>
      </c>
      <c r="G94" s="79" t="s">
        <v>588</v>
      </c>
      <c r="H94" s="79">
        <v>0</v>
      </c>
      <c r="I94" s="79" t="s">
        <v>563</v>
      </c>
      <c r="J94" s="79" t="s">
        <v>160</v>
      </c>
      <c r="K94" s="79">
        <v>1</v>
      </c>
      <c r="L94" s="79" t="s">
        <v>604</v>
      </c>
      <c r="M94" s="79">
        <v>25</v>
      </c>
      <c r="N94" s="75">
        <v>43282</v>
      </c>
      <c r="O94" s="75"/>
      <c r="P94" s="75"/>
      <c r="Q94" t="s">
        <v>160</v>
      </c>
      <c r="R94">
        <v>1</v>
      </c>
    </row>
    <row r="95" spans="1:18" x14ac:dyDescent="0.25">
      <c r="A95" t="str">
        <f>TableOBEDPR[[#This Row],[Study Package Code]]</f>
        <v>EDUC4030</v>
      </c>
      <c r="B95" s="5">
        <f>TableOBEDPR[[#This Row],[Ver]]</f>
        <v>1</v>
      </c>
      <c r="C95" t="str">
        <f>LEFT(TableOBEDPR[[#This Row],[Structure Line]], FIND(" ", TableOBEDPR[[#This Row],[Structure Line]])-1)</f>
        <v>EDC491</v>
      </c>
      <c r="D95" t="str">
        <f>MID(TableOBEDPR[[#This Row],[Structure Line]],FIND(" ",TableOBEDPR[[#This Row],[Structure Line]])+1,LEN(TableOBEDPR[[#This Row],[Structure Line]]))</f>
        <v>Technologies: Coding for Teachers</v>
      </c>
      <c r="E95" s="50">
        <f>TableOBEDPR[[#This Row],[Credit Points]]</f>
        <v>25</v>
      </c>
      <c r="F95" s="79">
        <v>27</v>
      </c>
      <c r="G95" s="79" t="s">
        <v>588</v>
      </c>
      <c r="H95" s="79">
        <v>0</v>
      </c>
      <c r="I95" s="79" t="s">
        <v>563</v>
      </c>
      <c r="J95" s="79" t="s">
        <v>164</v>
      </c>
      <c r="K95" s="79">
        <v>1</v>
      </c>
      <c r="L95" s="79" t="s">
        <v>605</v>
      </c>
      <c r="M95" s="79">
        <v>25</v>
      </c>
      <c r="N95" s="75">
        <v>43282</v>
      </c>
      <c r="O95" s="75"/>
      <c r="P95" s="75"/>
      <c r="Q95" t="s">
        <v>164</v>
      </c>
      <c r="R95">
        <v>1</v>
      </c>
    </row>
    <row r="96" spans="1:18" x14ac:dyDescent="0.25">
      <c r="A96" t="str">
        <f>TableOBEDPR[[#This Row],[Study Package Code]]</f>
        <v>EDUC4033</v>
      </c>
      <c r="B96" s="5">
        <f>TableOBEDPR[[#This Row],[Ver]]</f>
        <v>1</v>
      </c>
      <c r="C96" t="str">
        <f>LEFT(TableOBEDPR[[#This Row],[Structure Line]], FIND(" ", TableOBEDPR[[#This Row],[Structure Line]])-1)</f>
        <v>EDC492</v>
      </c>
      <c r="D96" t="str">
        <f>MID(TableOBEDPR[[#This Row],[Structure Line]],FIND(" ",TableOBEDPR[[#This Row],[Structure Line]])+1,LEN(TableOBEDPR[[#This Row],[Structure Line]]))</f>
        <v>iSTEM Education through Digital Stories</v>
      </c>
      <c r="E96" s="50">
        <f>TableOBEDPR[[#This Row],[Credit Points]]</f>
        <v>25</v>
      </c>
      <c r="F96" s="79">
        <v>27</v>
      </c>
      <c r="G96" s="79" t="s">
        <v>588</v>
      </c>
      <c r="H96" s="79">
        <v>0</v>
      </c>
      <c r="I96" s="79" t="s">
        <v>563</v>
      </c>
      <c r="J96" s="79" t="s">
        <v>153</v>
      </c>
      <c r="K96" s="79">
        <v>1</v>
      </c>
      <c r="L96" s="79" t="s">
        <v>606</v>
      </c>
      <c r="M96" s="79">
        <v>25</v>
      </c>
      <c r="N96" s="75">
        <v>43466</v>
      </c>
      <c r="O96" s="75"/>
      <c r="P96" s="75"/>
      <c r="Q96" t="s">
        <v>153</v>
      </c>
      <c r="R96">
        <v>1</v>
      </c>
    </row>
    <row r="97" spans="1:18" x14ac:dyDescent="0.25">
      <c r="A97" t="str">
        <f>TableOBEDPR[[#This Row],[Study Package Code]]</f>
        <v>EDUC4035</v>
      </c>
      <c r="B97" s="5">
        <f>TableOBEDPR[[#This Row],[Ver]]</f>
        <v>1</v>
      </c>
      <c r="C97" t="str">
        <f>LEFT(TableOBEDPR[[#This Row],[Structure Line]], FIND(" ", TableOBEDPR[[#This Row],[Structure Line]])-1)</f>
        <v>EDC493</v>
      </c>
      <c r="D97" t="str">
        <f>MID(TableOBEDPR[[#This Row],[Structure Line]],FIND(" ",TableOBEDPR[[#This Row],[Structure Line]])+1,LEN(TableOBEDPR[[#This Row],[Structure Line]]))</f>
        <v>iSTEM: Social Issues</v>
      </c>
      <c r="E97" s="50">
        <f>TableOBEDPR[[#This Row],[Credit Points]]</f>
        <v>25</v>
      </c>
      <c r="F97" s="79">
        <v>27</v>
      </c>
      <c r="G97" s="79" t="s">
        <v>588</v>
      </c>
      <c r="H97" s="79">
        <v>0</v>
      </c>
      <c r="I97" s="79" t="s">
        <v>563</v>
      </c>
      <c r="J97" s="79" t="s">
        <v>154</v>
      </c>
      <c r="K97" s="79">
        <v>1</v>
      </c>
      <c r="L97" s="79" t="s">
        <v>607</v>
      </c>
      <c r="M97" s="79">
        <v>25</v>
      </c>
      <c r="N97" s="75">
        <v>43466</v>
      </c>
      <c r="O97" s="75"/>
      <c r="P97" s="75"/>
      <c r="Q97" t="s">
        <v>154</v>
      </c>
      <c r="R97">
        <v>1</v>
      </c>
    </row>
    <row r="98" spans="1:18" x14ac:dyDescent="0.25">
      <c r="A98" t="str">
        <f>TableOBEDPR[[#This Row],[Study Package Code]]</f>
        <v>EDUC4037</v>
      </c>
      <c r="B98" s="5">
        <f>TableOBEDPR[[#This Row],[Ver]]</f>
        <v>1</v>
      </c>
      <c r="C98" t="str">
        <f>LEFT(TableOBEDPR[[#This Row],[Structure Line]], FIND(" ", TableOBEDPR[[#This Row],[Structure Line]])-1)</f>
        <v>EDC494</v>
      </c>
      <c r="D98" t="str">
        <f>MID(TableOBEDPR[[#This Row],[Structure Line]],FIND(" ",TableOBEDPR[[#This Row],[Structure Line]])+1,LEN(TableOBEDPR[[#This Row],[Structure Line]]))</f>
        <v>Language and Diversity</v>
      </c>
      <c r="E98" s="50">
        <f>TableOBEDPR[[#This Row],[Credit Points]]</f>
        <v>25</v>
      </c>
      <c r="F98" s="79">
        <v>27</v>
      </c>
      <c r="G98" s="79" t="s">
        <v>588</v>
      </c>
      <c r="H98" s="79">
        <v>0</v>
      </c>
      <c r="I98" s="79" t="s">
        <v>563</v>
      </c>
      <c r="J98" s="79" t="s">
        <v>158</v>
      </c>
      <c r="K98" s="79">
        <v>1</v>
      </c>
      <c r="L98" s="79" t="s">
        <v>608</v>
      </c>
      <c r="M98" s="79">
        <v>25</v>
      </c>
      <c r="N98" s="75">
        <v>43466</v>
      </c>
      <c r="O98" s="75"/>
      <c r="P98" s="75"/>
      <c r="Q98" t="s">
        <v>158</v>
      </c>
      <c r="R98">
        <v>1</v>
      </c>
    </row>
    <row r="99" spans="1:18" x14ac:dyDescent="0.25">
      <c r="A99" t="str">
        <f>TableOBEDPR[[#This Row],[Study Package Code]]</f>
        <v>EDUC4039</v>
      </c>
      <c r="B99" s="5">
        <f>TableOBEDPR[[#This Row],[Ver]]</f>
        <v>1</v>
      </c>
      <c r="C99" t="str">
        <f>LEFT(TableOBEDPR[[#This Row],[Structure Line]], FIND(" ", TableOBEDPR[[#This Row],[Structure Line]])-1)</f>
        <v>EDC495</v>
      </c>
      <c r="D99" t="str">
        <f>MID(TableOBEDPR[[#This Row],[Structure Line]],FIND(" ",TableOBEDPR[[#This Row],[Structure Line]])+1,LEN(TableOBEDPR[[#This Row],[Structure Line]]))</f>
        <v>Technologies: Design Solutions</v>
      </c>
      <c r="E99" s="50">
        <f>TableOBEDPR[[#This Row],[Credit Points]]</f>
        <v>25</v>
      </c>
      <c r="F99" s="79">
        <v>27</v>
      </c>
      <c r="G99" s="79" t="s">
        <v>588</v>
      </c>
      <c r="H99" s="79">
        <v>0</v>
      </c>
      <c r="I99" s="79" t="s">
        <v>563</v>
      </c>
      <c r="J99" s="79" t="s">
        <v>165</v>
      </c>
      <c r="K99" s="79">
        <v>1</v>
      </c>
      <c r="L99" s="79" t="s">
        <v>609</v>
      </c>
      <c r="M99" s="79">
        <v>25</v>
      </c>
      <c r="N99" s="104">
        <v>43466</v>
      </c>
      <c r="O99" s="104"/>
      <c r="P99" s="75"/>
      <c r="Q99" t="s">
        <v>165</v>
      </c>
      <c r="R99">
        <v>1</v>
      </c>
    </row>
    <row r="100" spans="1:18" x14ac:dyDescent="0.25">
      <c r="A100" t="str">
        <f>TableOBEDPR[[#This Row],[Study Package Code]]</f>
        <v>EDUC4043</v>
      </c>
      <c r="B100" s="5">
        <f>TableOBEDPR[[#This Row],[Ver]]</f>
        <v>1</v>
      </c>
      <c r="C100" t="str">
        <f>LEFT(TableOBEDPR[[#This Row],[Structure Line]], FIND(" ", TableOBEDPR[[#This Row],[Structure Line]])-1)</f>
        <v>EDC465</v>
      </c>
      <c r="D100" t="str">
        <f>MID(TableOBEDPR[[#This Row],[Structure Line]],FIND(" ",TableOBEDPR[[#This Row],[Structure Line]])+1,LEN(TableOBEDPR[[#This Row],[Structure Line]]))</f>
        <v>Alternative Approaches to Teaching Literacy and Numeracy</v>
      </c>
      <c r="E100" s="50">
        <f>TableOBEDPR[[#This Row],[Credit Points]]</f>
        <v>25</v>
      </c>
      <c r="F100" s="79">
        <v>27</v>
      </c>
      <c r="G100" s="79" t="s">
        <v>588</v>
      </c>
      <c r="H100" s="79">
        <v>0</v>
      </c>
      <c r="I100" s="79" t="s">
        <v>563</v>
      </c>
      <c r="J100" s="79" t="s">
        <v>161</v>
      </c>
      <c r="K100" s="79">
        <v>1</v>
      </c>
      <c r="L100" s="79" t="s">
        <v>610</v>
      </c>
      <c r="M100" s="79">
        <v>25</v>
      </c>
      <c r="N100" s="104">
        <v>43466</v>
      </c>
      <c r="O100" s="104"/>
      <c r="P100" s="75"/>
      <c r="Q100" t="s">
        <v>161</v>
      </c>
      <c r="R100">
        <v>1</v>
      </c>
    </row>
    <row r="101" spans="1:18" x14ac:dyDescent="0.25">
      <c r="A101" t="str">
        <f>TableOBEDPR[[#This Row],[Study Package Code]]</f>
        <v>EDUC4045</v>
      </c>
      <c r="B101" s="5">
        <f>TableOBEDPR[[#This Row],[Ver]]</f>
        <v>2</v>
      </c>
      <c r="C101" t="str">
        <f>LEFT(TableOBEDPR[[#This Row],[Structure Line]], FIND(" ", TableOBEDPR[[#This Row],[Structure Line]])-1)</f>
        <v>EDC460</v>
      </c>
      <c r="D101" t="str">
        <f>MID(TableOBEDPR[[#This Row],[Structure Line]],FIND(" ",TableOBEDPR[[#This Row],[Structure Line]])+1,LEN(TableOBEDPR[[#This Row],[Structure Line]]))</f>
        <v>Literacy and Numeracy for First Nations Peoples of Australia</v>
      </c>
      <c r="E101" s="50">
        <f>TableOBEDPR[[#This Row],[Credit Points]]</f>
        <v>25</v>
      </c>
      <c r="F101" s="79">
        <v>27</v>
      </c>
      <c r="G101" s="79" t="s">
        <v>588</v>
      </c>
      <c r="H101" s="79">
        <v>0</v>
      </c>
      <c r="I101" s="79" t="s">
        <v>563</v>
      </c>
      <c r="J101" s="79" t="s">
        <v>162</v>
      </c>
      <c r="K101" s="79">
        <v>2</v>
      </c>
      <c r="L101" s="79" t="s">
        <v>611</v>
      </c>
      <c r="M101" s="79">
        <v>25</v>
      </c>
      <c r="N101" s="104">
        <v>44927</v>
      </c>
      <c r="O101" s="104"/>
      <c r="Q101" t="s">
        <v>162</v>
      </c>
      <c r="R101">
        <v>2</v>
      </c>
    </row>
    <row r="102" spans="1:18" x14ac:dyDescent="0.25">
      <c r="A102" t="str">
        <f>TableOBEDPR[[#This Row],[Study Package Code]]</f>
        <v>EDUC4047</v>
      </c>
      <c r="B102" s="5">
        <f>TableOBEDPR[[#This Row],[Ver]]</f>
        <v>1</v>
      </c>
      <c r="C102" t="str">
        <f>LEFT(TableOBEDPR[[#This Row],[Structure Line]], FIND(" ", TableOBEDPR[[#This Row],[Structure Line]])-1)</f>
        <v>EDC470</v>
      </c>
      <c r="D102" t="str">
        <f>MID(TableOBEDPR[[#This Row],[Structure Line]],FIND(" ",TableOBEDPR[[#This Row],[Structure Line]])+1,LEN(TableOBEDPR[[#This Row],[Structure Line]]))</f>
        <v>Technologies: Digital Solutions</v>
      </c>
      <c r="E102" s="50">
        <f>TableOBEDPR[[#This Row],[Credit Points]]</f>
        <v>25</v>
      </c>
      <c r="F102" s="79">
        <v>27</v>
      </c>
      <c r="G102" s="79" t="s">
        <v>588</v>
      </c>
      <c r="H102" s="79">
        <v>0</v>
      </c>
      <c r="I102" s="79" t="s">
        <v>563</v>
      </c>
      <c r="J102" s="79" t="s">
        <v>166</v>
      </c>
      <c r="K102" s="79">
        <v>1</v>
      </c>
      <c r="L102" s="79" t="s">
        <v>612</v>
      </c>
      <c r="M102" s="79">
        <v>25</v>
      </c>
      <c r="N102" s="104">
        <v>43466</v>
      </c>
      <c r="O102" s="104"/>
      <c r="P102" s="61"/>
      <c r="Q102" t="s">
        <v>166</v>
      </c>
      <c r="R102">
        <v>1</v>
      </c>
    </row>
    <row r="103" spans="1:18" x14ac:dyDescent="0.25">
      <c r="A103" t="str">
        <f>TableOBEDPR[[#This Row],[Study Package Code]]</f>
        <v>EDUC4054</v>
      </c>
      <c r="B103" s="5">
        <f>TableOBEDPR[[#This Row],[Ver]]</f>
        <v>1</v>
      </c>
      <c r="C103" t="str">
        <f>LEFT(TableOBEDPR[[#This Row],[Structure Line]], FIND(" ", TableOBEDPR[[#This Row],[Structure Line]])-1)</f>
        <v>EDC440</v>
      </c>
      <c r="D103" t="str">
        <f>MID(TableOBEDPR[[#This Row],[Structure Line]],FIND(" ",TableOBEDPR[[#This Row],[Structure Line]])+1,LEN(TableOBEDPR[[#This Row],[Structure Line]]))</f>
        <v>Teaching Health Education in Primary Schools</v>
      </c>
      <c r="E103" s="50">
        <f>TableOBEDPR[[#This Row],[Credit Points]]</f>
        <v>25</v>
      </c>
      <c r="F103" s="79">
        <v>27</v>
      </c>
      <c r="G103" s="79" t="s">
        <v>588</v>
      </c>
      <c r="H103" s="79">
        <v>0</v>
      </c>
      <c r="I103" s="79" t="s">
        <v>563</v>
      </c>
      <c r="J103" s="79" t="s">
        <v>174</v>
      </c>
      <c r="K103" s="79">
        <v>1</v>
      </c>
      <c r="L103" s="79" t="s">
        <v>629</v>
      </c>
      <c r="M103" s="79">
        <v>25</v>
      </c>
      <c r="N103" s="75">
        <v>45658</v>
      </c>
      <c r="O103" s="75"/>
      <c r="P103" s="75"/>
    </row>
    <row r="104" spans="1:18" x14ac:dyDescent="0.25">
      <c r="A104">
        <f>TableOBEDPR[[#This Row],[Study Package Code]]</f>
        <v>0</v>
      </c>
      <c r="B104" s="5">
        <f>TableOBEDPR[[#This Row],[Ver]]</f>
        <v>0</v>
      </c>
      <c r="C104" t="e">
        <f>LEFT(TableOBEDPR[[#This Row],[Structure Line]], FIND(" ", TableOBEDPR[[#This Row],[Structure Line]])-1)</f>
        <v>#VALUE!</v>
      </c>
      <c r="D104" t="e">
        <f>MID(TableOBEDPR[[#This Row],[Structure Line]],FIND(" ",TableOBEDPR[[#This Row],[Structure Line]])+1,LEN(TableOBEDPR[[#This Row],[Structure Line]]))</f>
        <v>#VALUE!</v>
      </c>
      <c r="E104" s="50">
        <f>TableOBEDPR[[#This Row],[Credit Points]]</f>
        <v>0</v>
      </c>
      <c r="F104" s="79"/>
      <c r="G104" s="79"/>
      <c r="H104" s="79"/>
      <c r="I104" s="79"/>
      <c r="J104" s="79"/>
      <c r="K104" s="79"/>
      <c r="L104" s="79"/>
      <c r="M104" s="79"/>
      <c r="N104" s="75"/>
      <c r="O104" s="75"/>
      <c r="P104" s="75"/>
    </row>
    <row r="105" spans="1:18" x14ac:dyDescent="0.25">
      <c r="A105">
        <f>TableOBEDPR[[#This Row],[Study Package Code]]</f>
        <v>0</v>
      </c>
      <c r="B105" s="5">
        <f>TableOBEDPR[[#This Row],[Ver]]</f>
        <v>0</v>
      </c>
      <c r="C105" t="e">
        <f>LEFT(TableOBEDPR[[#This Row],[Structure Line]], FIND(" ", TableOBEDPR[[#This Row],[Structure Line]])-1)</f>
        <v>#VALUE!</v>
      </c>
      <c r="D105" t="e">
        <f>MID(TableOBEDPR[[#This Row],[Structure Line]],FIND(" ",TableOBEDPR[[#This Row],[Structure Line]])+1,LEN(TableOBEDPR[[#This Row],[Structure Line]]))</f>
        <v>#VALUE!</v>
      </c>
      <c r="E105" s="50">
        <f>TableOBEDPR[[#This Row],[Credit Points]]</f>
        <v>0</v>
      </c>
      <c r="F105" s="79"/>
      <c r="G105" s="79"/>
      <c r="H105" s="79"/>
      <c r="I105" s="79"/>
      <c r="J105" s="79"/>
      <c r="K105" s="79"/>
      <c r="L105" s="79"/>
      <c r="M105" s="79"/>
      <c r="N105" s="75"/>
      <c r="O105" s="75"/>
      <c r="P105" s="75"/>
    </row>
    <row r="106" spans="1:18" x14ac:dyDescent="0.25">
      <c r="A106">
        <f>TableOBEDPR[[#This Row],[Study Package Code]]</f>
        <v>0</v>
      </c>
      <c r="B106" s="5">
        <f>TableOBEDPR[[#This Row],[Ver]]</f>
        <v>0</v>
      </c>
      <c r="C106" t="e">
        <f>LEFT(TableOBEDPR[[#This Row],[Structure Line]], FIND(" ", TableOBEDPR[[#This Row],[Structure Line]])-1)</f>
        <v>#VALUE!</v>
      </c>
      <c r="D106" t="e">
        <f>MID(TableOBEDPR[[#This Row],[Structure Line]],FIND(" ",TableOBEDPR[[#This Row],[Structure Line]])+1,LEN(TableOBEDPR[[#This Row],[Structure Line]]))</f>
        <v>#VALUE!</v>
      </c>
      <c r="E106" s="50">
        <f>TableOBEDPR[[#This Row],[Credit Points]]</f>
        <v>0</v>
      </c>
      <c r="F106" s="79"/>
      <c r="G106" s="79"/>
      <c r="H106" s="79"/>
      <c r="I106" s="79"/>
      <c r="J106" s="79"/>
      <c r="K106" s="79"/>
      <c r="L106" s="79"/>
      <c r="M106" s="79"/>
      <c r="N106" s="75"/>
      <c r="O106" s="75"/>
      <c r="P106" s="75"/>
    </row>
    <row r="107" spans="1:18" x14ac:dyDescent="0.25">
      <c r="A107" s="47"/>
      <c r="B107" s="49"/>
      <c r="C107" s="47"/>
      <c r="D107" s="47"/>
      <c r="G107" s="48" t="s">
        <v>548</v>
      </c>
      <c r="H107" s="199">
        <v>45658</v>
      </c>
      <c r="J107" s="202" t="s">
        <v>78</v>
      </c>
      <c r="K107" s="200" t="s">
        <v>79</v>
      </c>
      <c r="L107" s="47" t="s">
        <v>77</v>
      </c>
      <c r="M107" s="47"/>
      <c r="N107" s="107" t="s">
        <v>549</v>
      </c>
      <c r="O107" s="75">
        <v>45551</v>
      </c>
      <c r="P107" s="75"/>
    </row>
    <row r="108" spans="1:18" ht="31.5" x14ac:dyDescent="0.25">
      <c r="A108" s="61" t="s">
        <v>0</v>
      </c>
      <c r="B108" s="62" t="s">
        <v>551</v>
      </c>
      <c r="C108" s="61" t="s">
        <v>18</v>
      </c>
      <c r="D108" s="61" t="s">
        <v>3</v>
      </c>
      <c r="E108" s="63" t="s">
        <v>552</v>
      </c>
      <c r="F108" s="61" t="s">
        <v>553</v>
      </c>
      <c r="G108" s="61" t="s">
        <v>554</v>
      </c>
      <c r="H108" s="61" t="s">
        <v>555</v>
      </c>
      <c r="I108" s="61" t="s">
        <v>19</v>
      </c>
      <c r="J108" s="61" t="s">
        <v>556</v>
      </c>
      <c r="K108" s="61" t="s">
        <v>1</v>
      </c>
      <c r="L108" s="61" t="s">
        <v>557</v>
      </c>
      <c r="M108" s="61" t="s">
        <v>60</v>
      </c>
      <c r="N108" s="61" t="s">
        <v>558</v>
      </c>
      <c r="O108" s="61" t="s">
        <v>559</v>
      </c>
      <c r="P108" s="75"/>
      <c r="Q108" t="s">
        <v>560</v>
      </c>
      <c r="R108" t="s">
        <v>561</v>
      </c>
    </row>
    <row r="109" spans="1:18" x14ac:dyDescent="0.25">
      <c r="A109" t="str">
        <f>TableOBEDSC1[[#This Row],[Study Package Code]]</f>
        <v>EDUC1020</v>
      </c>
      <c r="B109" s="5">
        <f>TableOBEDSC1[[#This Row],[Ver]]</f>
        <v>1</v>
      </c>
      <c r="C109" t="str">
        <f>LEFT(TableOBEDSC1[[#This Row],[Structure Line]], FIND(" ", TableOBEDSC1[[#This Row],[Structure Line]])-1)</f>
        <v>EDC105</v>
      </c>
      <c r="D109" t="str">
        <f>MID(TableOBEDSC1[[#This Row],[Structure Line]],FIND(" ",TableOBEDSC1[[#This Row],[Structure Line]])+1,LEN(TableOBEDSC1[[#This Row],[Structure Line]]))</f>
        <v>Teaching and Learning in the Digital World</v>
      </c>
      <c r="E109" s="50">
        <f>TableOBEDSC1[[#This Row],[Credit Points]]</f>
        <v>25</v>
      </c>
      <c r="F109" s="79">
        <v>1</v>
      </c>
      <c r="G109" s="79" t="s">
        <v>562</v>
      </c>
      <c r="H109" s="79">
        <v>1</v>
      </c>
      <c r="I109" s="79" t="s">
        <v>563</v>
      </c>
      <c r="J109" s="79" t="s">
        <v>47</v>
      </c>
      <c r="K109" s="79">
        <v>1</v>
      </c>
      <c r="L109" s="79" t="s">
        <v>564</v>
      </c>
      <c r="M109" s="79">
        <v>25</v>
      </c>
      <c r="N109" s="75">
        <v>43466</v>
      </c>
      <c r="O109" s="75"/>
      <c r="P109" s="75"/>
      <c r="Q109" t="s">
        <v>47</v>
      </c>
      <c r="R109">
        <v>1</v>
      </c>
    </row>
    <row r="110" spans="1:18" x14ac:dyDescent="0.25">
      <c r="A110" t="str">
        <f>TableOBEDSC1[[#This Row],[Study Package Code]]</f>
        <v>EDUC1022</v>
      </c>
      <c r="B110" s="5">
        <f>TableOBEDSC1[[#This Row],[Ver]]</f>
        <v>1</v>
      </c>
      <c r="C110" t="str">
        <f>LEFT(TableOBEDSC1[[#This Row],[Structure Line]], FIND(" ", TableOBEDSC1[[#This Row],[Structure Line]])-1)</f>
        <v>EDC135</v>
      </c>
      <c r="D110" t="str">
        <f>MID(TableOBEDSC1[[#This Row],[Structure Line]],FIND(" ",TableOBEDSC1[[#This Row],[Structure Line]])+1,LEN(TableOBEDSC1[[#This Row],[Structure Line]]))</f>
        <v>Child Development for Educators</v>
      </c>
      <c r="E110" s="50">
        <f>TableOBEDSC1[[#This Row],[Credit Points]]</f>
        <v>25</v>
      </c>
      <c r="F110" s="79">
        <v>2</v>
      </c>
      <c r="G110" s="79" t="s">
        <v>562</v>
      </c>
      <c r="H110" s="79">
        <v>1</v>
      </c>
      <c r="I110" s="79" t="s">
        <v>563</v>
      </c>
      <c r="J110" s="79" t="s">
        <v>52</v>
      </c>
      <c r="K110" s="79">
        <v>1</v>
      </c>
      <c r="L110" s="79" t="s">
        <v>566</v>
      </c>
      <c r="M110" s="79">
        <v>25</v>
      </c>
      <c r="N110" s="75">
        <v>43466</v>
      </c>
      <c r="O110" s="75"/>
      <c r="P110" s="75"/>
      <c r="Q110" t="s">
        <v>52</v>
      </c>
      <c r="R110">
        <v>1</v>
      </c>
    </row>
    <row r="111" spans="1:18" x14ac:dyDescent="0.25">
      <c r="A111" t="str">
        <f>TableOBEDSC1[[#This Row],[Study Package Code]]</f>
        <v>EDUC1038</v>
      </c>
      <c r="B111" s="5">
        <f>TableOBEDSC1[[#This Row],[Ver]]</f>
        <v>1</v>
      </c>
      <c r="C111" t="str">
        <f>LEFT(TableOBEDSC1[[#This Row],[Structure Line]], FIND(" ", TableOBEDSC1[[#This Row],[Structure Line]])-1)</f>
        <v>EDC181</v>
      </c>
      <c r="D111" t="str">
        <f>MID(TableOBEDSC1[[#This Row],[Structure Line]],FIND(" ",TableOBEDSC1[[#This Row],[Structure Line]])+1,LEN(TableOBEDSC1[[#This Row],[Structure Line]]))</f>
        <v>Communication Skills for Educators</v>
      </c>
      <c r="E111" s="50">
        <f>TableOBEDSC1[[#This Row],[Credit Points]]</f>
        <v>25</v>
      </c>
      <c r="F111" s="79">
        <v>3</v>
      </c>
      <c r="G111" s="79" t="s">
        <v>562</v>
      </c>
      <c r="H111" s="79">
        <v>1</v>
      </c>
      <c r="I111" s="79" t="s">
        <v>563</v>
      </c>
      <c r="J111" s="79" t="s">
        <v>74</v>
      </c>
      <c r="K111" s="79">
        <v>1</v>
      </c>
      <c r="L111" s="79" t="s">
        <v>570</v>
      </c>
      <c r="M111" s="79">
        <v>25</v>
      </c>
      <c r="N111" s="75">
        <v>45658</v>
      </c>
      <c r="O111" s="75"/>
      <c r="P111" s="75"/>
      <c r="Q111" t="s">
        <v>571</v>
      </c>
      <c r="R111">
        <v>1</v>
      </c>
    </row>
    <row r="112" spans="1:18" x14ac:dyDescent="0.25">
      <c r="A112" t="str">
        <f>TableOBEDSC1[[#This Row],[Study Package Code]]</f>
        <v>EDUC1036</v>
      </c>
      <c r="B112" s="5">
        <f>TableOBEDSC1[[#This Row],[Ver]]</f>
        <v>1</v>
      </c>
      <c r="C112" t="str">
        <f>LEFT(TableOBEDSC1[[#This Row],[Structure Line]], FIND(" ", TableOBEDSC1[[#This Row],[Structure Line]])-1)</f>
        <v>EDC185</v>
      </c>
      <c r="D112" t="str">
        <f>MID(TableOBEDSC1[[#This Row],[Structure Line]],FIND(" ",TableOBEDSC1[[#This Row],[Structure Line]])+1,LEN(TableOBEDSC1[[#This Row],[Structure Line]]))</f>
        <v>Professional Experience 1</v>
      </c>
      <c r="E112" s="50">
        <f>TableOBEDSC1[[#This Row],[Credit Points]]</f>
        <v>25</v>
      </c>
      <c r="F112" s="79">
        <v>4</v>
      </c>
      <c r="G112" s="79" t="s">
        <v>562</v>
      </c>
      <c r="H112" s="79">
        <v>1</v>
      </c>
      <c r="I112" s="79" t="s">
        <v>563</v>
      </c>
      <c r="J112" s="79" t="s">
        <v>198</v>
      </c>
      <c r="K112" s="79">
        <v>1</v>
      </c>
      <c r="L112" s="79" t="s">
        <v>630</v>
      </c>
      <c r="M112" s="79">
        <v>25</v>
      </c>
      <c r="N112" s="75">
        <v>45658</v>
      </c>
      <c r="O112" s="75"/>
      <c r="P112" s="75"/>
      <c r="Q112" t="s">
        <v>631</v>
      </c>
      <c r="R112">
        <v>1</v>
      </c>
    </row>
    <row r="113" spans="1:18" x14ac:dyDescent="0.25">
      <c r="A113" t="str">
        <f>TableOBEDSC1[[#This Row],[Study Package Code]]</f>
        <v>EDUC1037</v>
      </c>
      <c r="B113" s="5">
        <f>TableOBEDSC1[[#This Row],[Ver]]</f>
        <v>1</v>
      </c>
      <c r="C113" t="str">
        <f>LEFT(TableOBEDSC1[[#This Row],[Structure Line]], FIND(" ", TableOBEDSC1[[#This Row],[Structure Line]])-1)</f>
        <v>EDC190</v>
      </c>
      <c r="D113" t="str">
        <f>MID(TableOBEDSC1[[#This Row],[Structure Line]],FIND(" ",TableOBEDSC1[[#This Row],[Structure Line]])+1,LEN(TableOBEDSC1[[#This Row],[Structure Line]]))</f>
        <v>Professional Teaching Practice 1</v>
      </c>
      <c r="E113" s="50">
        <f>TableOBEDSC1[[#This Row],[Credit Points]]</f>
        <v>25</v>
      </c>
      <c r="F113" s="79">
        <v>5</v>
      </c>
      <c r="G113" s="79" t="s">
        <v>562</v>
      </c>
      <c r="H113" s="79">
        <v>1</v>
      </c>
      <c r="I113" s="79" t="s">
        <v>563</v>
      </c>
      <c r="J113" s="79" t="s">
        <v>197</v>
      </c>
      <c r="K113" s="79">
        <v>1</v>
      </c>
      <c r="L113" s="79" t="s">
        <v>632</v>
      </c>
      <c r="M113" s="79">
        <v>25</v>
      </c>
      <c r="N113" s="75">
        <v>45658</v>
      </c>
      <c r="O113" s="75"/>
      <c r="P113" s="75"/>
      <c r="Q113" t="s">
        <v>633</v>
      </c>
      <c r="R113">
        <v>1</v>
      </c>
    </row>
    <row r="114" spans="1:18" x14ac:dyDescent="0.25">
      <c r="A114" t="str">
        <f>TableOBEDSC1[[#This Row],[Study Package Code]]</f>
        <v>AC-EDSC1</v>
      </c>
      <c r="B114" s="5">
        <f>TableOBEDSC1[[#This Row],[Ver]]</f>
        <v>0</v>
      </c>
      <c r="D114" t="str">
        <f>TableOBEDSC1[[#This Row],[Structure Line]]</f>
        <v>Choose Your Major</v>
      </c>
      <c r="E114" s="50">
        <f>TableOBEDSC1[[#This Row],[Credit Points]]</f>
        <v>375</v>
      </c>
      <c r="F114" s="79">
        <v>6</v>
      </c>
      <c r="G114" s="79" t="s">
        <v>634</v>
      </c>
      <c r="H114" s="79">
        <v>1</v>
      </c>
      <c r="I114" s="79" t="s">
        <v>563</v>
      </c>
      <c r="J114" s="79" t="s">
        <v>267</v>
      </c>
      <c r="K114" s="79">
        <v>0</v>
      </c>
      <c r="L114" s="79" t="s">
        <v>635</v>
      </c>
      <c r="M114" s="79">
        <v>375</v>
      </c>
      <c r="N114" s="75"/>
      <c r="O114" s="75"/>
      <c r="P114" s="75"/>
      <c r="Q114" t="s">
        <v>636</v>
      </c>
      <c r="R114">
        <v>0</v>
      </c>
    </row>
    <row r="115" spans="1:18" x14ac:dyDescent="0.25">
      <c r="A115" t="str">
        <f>TableOBEDSC1[[#This Row],[Study Package Code]]</f>
        <v>EDSC2014</v>
      </c>
      <c r="B115" s="5">
        <f>TableOBEDSC1[[#This Row],[Ver]]</f>
        <v>1</v>
      </c>
      <c r="C115" t="str">
        <f>LEFT(TableOBEDSC1[[#This Row],[Structure Line]], FIND(" ", TableOBEDSC1[[#This Row],[Structure Line]])-1)</f>
        <v>EDS215</v>
      </c>
      <c r="D115" t="str">
        <f>MID(TableOBEDSC1[[#This Row],[Structure Line]],FIND(" ",TableOBEDSC1[[#This Row],[Structure Line]])+1,LEN(TableOBEDSC1[[#This Row],[Structure Line]]))</f>
        <v>Educating Adolescents: Diversity, Differentiation and Inclusion</v>
      </c>
      <c r="E115" s="50">
        <f>TableOBEDSC1[[#This Row],[Credit Points]]</f>
        <v>25</v>
      </c>
      <c r="F115" s="79">
        <v>7</v>
      </c>
      <c r="G115" s="79" t="s">
        <v>562</v>
      </c>
      <c r="H115" s="79">
        <v>2</v>
      </c>
      <c r="I115" s="79" t="s">
        <v>563</v>
      </c>
      <c r="J115" s="79" t="s">
        <v>210</v>
      </c>
      <c r="K115" s="79">
        <v>1</v>
      </c>
      <c r="L115" s="79" t="s">
        <v>637</v>
      </c>
      <c r="M115" s="79">
        <v>25</v>
      </c>
      <c r="N115" s="75">
        <v>45658</v>
      </c>
      <c r="O115" s="75"/>
      <c r="P115" s="75"/>
      <c r="Q115" t="s">
        <v>85</v>
      </c>
      <c r="R115">
        <v>1</v>
      </c>
    </row>
    <row r="116" spans="1:18" x14ac:dyDescent="0.25">
      <c r="A116" t="str">
        <f>TableOBEDSC1[[#This Row],[Study Package Code]]</f>
        <v>EDSC2016</v>
      </c>
      <c r="B116" s="5">
        <f>TableOBEDSC1[[#This Row],[Ver]]</f>
        <v>1</v>
      </c>
      <c r="C116" t="str">
        <f>LEFT(TableOBEDSC1[[#This Row],[Structure Line]], FIND(" ", TableOBEDSC1[[#This Row],[Structure Line]])-1)</f>
        <v>EDS220</v>
      </c>
      <c r="D116" t="str">
        <f>MID(TableOBEDSC1[[#This Row],[Structure Line]],FIND(" ",TableOBEDSC1[[#This Row],[Structure Line]])+1,LEN(TableOBEDSC1[[#This Row],[Structure Line]]))</f>
        <v>Secondary Professional Experience 2</v>
      </c>
      <c r="E116" s="50">
        <f>TableOBEDSC1[[#This Row],[Credit Points]]</f>
        <v>25</v>
      </c>
      <c r="F116" s="79">
        <v>8</v>
      </c>
      <c r="G116" s="79" t="s">
        <v>562</v>
      </c>
      <c r="H116" s="79">
        <v>2</v>
      </c>
      <c r="I116" s="79" t="s">
        <v>563</v>
      </c>
      <c r="J116" s="79" t="s">
        <v>218</v>
      </c>
      <c r="K116" s="79">
        <v>1</v>
      </c>
      <c r="L116" s="79" t="s">
        <v>638</v>
      </c>
      <c r="M116" s="79">
        <v>25</v>
      </c>
      <c r="N116" s="75">
        <v>45658</v>
      </c>
      <c r="O116" s="75"/>
      <c r="P116" s="75"/>
      <c r="Q116" t="s">
        <v>639</v>
      </c>
      <c r="R116">
        <v>1</v>
      </c>
    </row>
    <row r="117" spans="1:18" x14ac:dyDescent="0.25">
      <c r="A117" t="str">
        <f>TableOBEDSC1[[#This Row],[Study Package Code]]</f>
        <v>EDSC2015</v>
      </c>
      <c r="B117" s="5">
        <f>TableOBEDSC1[[#This Row],[Ver]]</f>
        <v>1</v>
      </c>
      <c r="C117" t="str">
        <f>LEFT(TableOBEDSC1[[#This Row],[Structure Line]], FIND(" ", TableOBEDSC1[[#This Row],[Structure Line]])-1)</f>
        <v>EDS225</v>
      </c>
      <c r="D117" t="str">
        <f>MID(TableOBEDSC1[[#This Row],[Structure Line]],FIND(" ",TableOBEDSC1[[#This Row],[Structure Line]])+1,LEN(TableOBEDSC1[[#This Row],[Structure Line]]))</f>
        <v>Secondary Professional Teaching Practice 2</v>
      </c>
      <c r="E117" s="50">
        <f>TableOBEDSC1[[#This Row],[Credit Points]]</f>
        <v>25</v>
      </c>
      <c r="F117" s="79">
        <v>9</v>
      </c>
      <c r="G117" s="79" t="s">
        <v>562</v>
      </c>
      <c r="H117" s="79">
        <v>2</v>
      </c>
      <c r="I117" s="79" t="s">
        <v>563</v>
      </c>
      <c r="J117" s="79" t="s">
        <v>214</v>
      </c>
      <c r="K117" s="79">
        <v>1</v>
      </c>
      <c r="L117" s="79" t="s">
        <v>640</v>
      </c>
      <c r="M117" s="79">
        <v>25</v>
      </c>
      <c r="N117" s="75">
        <v>45658</v>
      </c>
      <c r="O117" s="75"/>
      <c r="P117" s="75"/>
      <c r="Q117" t="s">
        <v>641</v>
      </c>
      <c r="R117">
        <v>1</v>
      </c>
    </row>
    <row r="118" spans="1:18" x14ac:dyDescent="0.25">
      <c r="A118" t="str">
        <f>TableOBEDSC1[[#This Row],[Study Package Code]]</f>
        <v>INED3002</v>
      </c>
      <c r="B118" s="5">
        <f>TableOBEDSC1[[#This Row],[Ver]]</f>
        <v>2</v>
      </c>
      <c r="C118" t="str">
        <f>LEFT(TableOBEDSC1[[#This Row],[Structure Line]], FIND(" ", TableOBEDSC1[[#This Row],[Structure Line]])-1)</f>
        <v>EDC370</v>
      </c>
      <c r="D118" t="str">
        <f>MID(TableOBEDSC1[[#This Row],[Structure Line]],FIND(" ",TableOBEDSC1[[#This Row],[Structure Line]])+1,LEN(TableOBEDSC1[[#This Row],[Structure Line]]))</f>
        <v>Indigenous Australian Education</v>
      </c>
      <c r="E118" s="50">
        <f>TableOBEDSC1[[#This Row],[Credit Points]]</f>
        <v>25</v>
      </c>
      <c r="F118" s="79">
        <v>10</v>
      </c>
      <c r="G118" s="79" t="s">
        <v>562</v>
      </c>
      <c r="H118" s="79">
        <v>3</v>
      </c>
      <c r="I118" s="79" t="s">
        <v>563</v>
      </c>
      <c r="J118" s="79" t="s">
        <v>494</v>
      </c>
      <c r="K118" s="79">
        <v>2</v>
      </c>
      <c r="L118" s="79" t="s">
        <v>581</v>
      </c>
      <c r="M118" s="79">
        <v>25</v>
      </c>
      <c r="N118" s="75">
        <v>42370</v>
      </c>
      <c r="O118" s="75"/>
      <c r="P118" s="75"/>
      <c r="Q118" t="s">
        <v>494</v>
      </c>
      <c r="R118">
        <v>2</v>
      </c>
    </row>
    <row r="119" spans="1:18" x14ac:dyDescent="0.25">
      <c r="A119" t="str">
        <f>TableOBEDSC1[[#This Row],[Study Package Code]]</f>
        <v>EDSC3016</v>
      </c>
      <c r="B119" s="5">
        <f>TableOBEDSC1[[#This Row],[Ver]]</f>
        <v>1</v>
      </c>
      <c r="C119" t="str">
        <f>LEFT(TableOBEDSC1[[#This Row],[Structure Line]], FIND(" ", TableOBEDSC1[[#This Row],[Structure Line]])-1)</f>
        <v>EDS315</v>
      </c>
      <c r="D119" t="str">
        <f>MID(TableOBEDSC1[[#This Row],[Structure Line]],FIND(" ",TableOBEDSC1[[#This Row],[Structure Line]])+1,LEN(TableOBEDSC1[[#This Row],[Structure Line]]))</f>
        <v>Secondary Professional Experience 3</v>
      </c>
      <c r="E119" s="50">
        <f>TableOBEDSC1[[#This Row],[Credit Points]]</f>
        <v>25</v>
      </c>
      <c r="F119" s="79">
        <v>11</v>
      </c>
      <c r="G119" s="79" t="s">
        <v>562</v>
      </c>
      <c r="H119" s="79">
        <v>3</v>
      </c>
      <c r="I119" s="79" t="s">
        <v>563</v>
      </c>
      <c r="J119" s="79" t="s">
        <v>229</v>
      </c>
      <c r="K119" s="79">
        <v>1</v>
      </c>
      <c r="L119" s="79" t="s">
        <v>642</v>
      </c>
      <c r="M119" s="79">
        <v>25</v>
      </c>
      <c r="N119" s="75">
        <v>45658</v>
      </c>
      <c r="O119" s="75"/>
      <c r="P119" s="75"/>
      <c r="Q119" t="s">
        <v>230</v>
      </c>
      <c r="R119">
        <v>1</v>
      </c>
    </row>
    <row r="120" spans="1:18" x14ac:dyDescent="0.25">
      <c r="A120" t="str">
        <f>TableOBEDSC1[[#This Row],[Study Package Code]]</f>
        <v>EDSC3014</v>
      </c>
      <c r="B120" s="5">
        <f>TableOBEDSC1[[#This Row],[Ver]]</f>
        <v>1</v>
      </c>
      <c r="C120" t="str">
        <f>LEFT(TableOBEDSC1[[#This Row],[Structure Line]], FIND(" ", TableOBEDSC1[[#This Row],[Structure Line]])-1)</f>
        <v>EDS320</v>
      </c>
      <c r="D120" t="str">
        <f>MID(TableOBEDSC1[[#This Row],[Structure Line]],FIND(" ",TableOBEDSC1[[#This Row],[Structure Line]])+1,LEN(TableOBEDSC1[[#This Row],[Structure Line]]))</f>
        <v>Secondary Professional Teaching Practice 3</v>
      </c>
      <c r="E120" s="50">
        <f>TableOBEDSC1[[#This Row],[Credit Points]]</f>
        <v>25</v>
      </c>
      <c r="F120" s="79">
        <v>12</v>
      </c>
      <c r="G120" s="79" t="s">
        <v>562</v>
      </c>
      <c r="H120" s="79">
        <v>3</v>
      </c>
      <c r="I120" s="79" t="s">
        <v>563</v>
      </c>
      <c r="J120" s="79" t="s">
        <v>227</v>
      </c>
      <c r="K120" s="79">
        <v>1</v>
      </c>
      <c r="L120" s="79" t="s">
        <v>643</v>
      </c>
      <c r="M120" s="79">
        <v>25</v>
      </c>
      <c r="N120" s="75">
        <v>45658</v>
      </c>
      <c r="O120" s="75"/>
      <c r="Q120" t="s">
        <v>644</v>
      </c>
      <c r="R120">
        <v>1</v>
      </c>
    </row>
    <row r="121" spans="1:18" x14ac:dyDescent="0.25">
      <c r="A121" t="str">
        <f>TableOBEDSC1[[#This Row],[Study Package Code]]</f>
        <v>EDSC3008</v>
      </c>
      <c r="B121" s="5">
        <f>TableOBEDSC1[[#This Row],[Ver]]</f>
        <v>1</v>
      </c>
      <c r="C121" t="str">
        <f>LEFT(TableOBEDSC1[[#This Row],[Structure Line]], FIND(" ", TableOBEDSC1[[#This Row],[Structure Line]])-1)</f>
        <v>EDS355</v>
      </c>
      <c r="D121" t="str">
        <f>MID(TableOBEDSC1[[#This Row],[Structure Line]],FIND(" ",TableOBEDSC1[[#This Row],[Structure Line]])+1,LEN(TableOBEDSC1[[#This Row],[Structure Line]]))</f>
        <v>Curriculum and Culture in Secondary Schools</v>
      </c>
      <c r="E121" s="50">
        <f>TableOBEDSC1[[#This Row],[Credit Points]]</f>
        <v>25</v>
      </c>
      <c r="F121" s="79">
        <v>13</v>
      </c>
      <c r="G121" s="79" t="s">
        <v>562</v>
      </c>
      <c r="H121" s="79">
        <v>3</v>
      </c>
      <c r="I121" s="79" t="s">
        <v>563</v>
      </c>
      <c r="J121" s="79" t="s">
        <v>230</v>
      </c>
      <c r="K121" s="79">
        <v>1</v>
      </c>
      <c r="L121" s="79" t="s">
        <v>645</v>
      </c>
      <c r="M121" s="79">
        <v>25</v>
      </c>
      <c r="N121" s="75">
        <v>43466</v>
      </c>
      <c r="O121" s="75"/>
      <c r="P121" s="61"/>
    </row>
    <row r="122" spans="1:18" x14ac:dyDescent="0.25">
      <c r="A122" t="str">
        <f>TableOBEDSC1[[#This Row],[Study Package Code]]</f>
        <v>EDUC4050</v>
      </c>
      <c r="B122" s="5">
        <f>TableOBEDSC1[[#This Row],[Ver]]</f>
        <v>1</v>
      </c>
      <c r="C122" t="str">
        <f>LEFT(TableOBEDSC1[[#This Row],[Structure Line]], FIND(" ", TableOBEDSC1[[#This Row],[Structure Line]])-1)</f>
        <v>EDC445</v>
      </c>
      <c r="D122" t="str">
        <f>MID(TableOBEDSC1[[#This Row],[Structure Line]],FIND(" ",TableOBEDSC1[[#This Row],[Structure Line]])+1,LEN(TableOBEDSC1[[#This Row],[Structure Line]]))</f>
        <v>The Professional Educator: Transition to the Profession</v>
      </c>
      <c r="E122" s="50">
        <f>TableOBEDSC1[[#This Row],[Credit Points]]</f>
        <v>25</v>
      </c>
      <c r="F122" s="79">
        <v>14</v>
      </c>
      <c r="G122" s="79" t="s">
        <v>562</v>
      </c>
      <c r="H122" s="79">
        <v>4</v>
      </c>
      <c r="I122" s="79" t="s">
        <v>563</v>
      </c>
      <c r="J122" s="79" t="s">
        <v>132</v>
      </c>
      <c r="K122" s="79">
        <v>1</v>
      </c>
      <c r="L122" s="79" t="s">
        <v>590</v>
      </c>
      <c r="M122" s="79">
        <v>25</v>
      </c>
      <c r="N122" s="75">
        <v>43466</v>
      </c>
      <c r="O122" s="75"/>
      <c r="P122" s="75"/>
      <c r="Q122" t="s">
        <v>132</v>
      </c>
      <c r="R122">
        <v>1</v>
      </c>
    </row>
    <row r="123" spans="1:18" x14ac:dyDescent="0.25">
      <c r="A123" t="str">
        <f>TableOBEDSC1[[#This Row],[Study Package Code]]</f>
        <v>EDUC4041</v>
      </c>
      <c r="B123" s="5">
        <f>TableOBEDSC1[[#This Row],[Ver]]</f>
        <v>1</v>
      </c>
      <c r="C123" t="str">
        <f>LEFT(TableOBEDSC1[[#This Row],[Structure Line]], FIND(" ", TableOBEDSC1[[#This Row],[Structure Line]])-1)</f>
        <v>EDC450</v>
      </c>
      <c r="D123" t="str">
        <f>MID(TableOBEDSC1[[#This Row],[Structure Line]],FIND(" ",TableOBEDSC1[[#This Row],[Structure Line]])+1,LEN(TableOBEDSC1[[#This Row],[Structure Line]]))</f>
        <v>Professional Experience 4: The Internship</v>
      </c>
      <c r="E123" s="50">
        <f>TableOBEDSC1[[#This Row],[Credit Points]]</f>
        <v>100</v>
      </c>
      <c r="F123" s="79">
        <v>15</v>
      </c>
      <c r="G123" s="79" t="s">
        <v>562</v>
      </c>
      <c r="H123" s="79">
        <v>4</v>
      </c>
      <c r="I123" s="79" t="s">
        <v>563</v>
      </c>
      <c r="J123" s="79" t="s">
        <v>142</v>
      </c>
      <c r="K123" s="79">
        <v>1</v>
      </c>
      <c r="L123" s="79" t="s">
        <v>593</v>
      </c>
      <c r="M123" s="79">
        <v>100</v>
      </c>
      <c r="N123" s="75">
        <v>43466</v>
      </c>
      <c r="O123" s="75"/>
      <c r="P123" s="75"/>
      <c r="Q123" t="s">
        <v>142</v>
      </c>
      <c r="R123">
        <v>1</v>
      </c>
    </row>
    <row r="124" spans="1:18" x14ac:dyDescent="0.25">
      <c r="A124" t="str">
        <f>TableOBEDSC1[[#This Row],[Study Package Code]]</f>
        <v>OUMU-ARVA1</v>
      </c>
      <c r="B124" s="5">
        <f>TableOBEDSC1[[#This Row],[Ver]]</f>
        <v>1</v>
      </c>
      <c r="D124" t="str">
        <f>TableOBEDSC1[[#This Row],[Structure Line]]</f>
        <v>The Arts Education Major (Visual Arts) (BEd Secondary) (OpenUnis)</v>
      </c>
      <c r="E124" s="50">
        <f>TableOBEDSC1[[#This Row],[Credit Points]]</f>
        <v>375</v>
      </c>
      <c r="F124" s="79">
        <v>6</v>
      </c>
      <c r="G124" s="79" t="s">
        <v>634</v>
      </c>
      <c r="H124" s="79">
        <v>1</v>
      </c>
      <c r="I124" s="79" t="s">
        <v>563</v>
      </c>
      <c r="J124" s="79" t="s">
        <v>191</v>
      </c>
      <c r="K124" s="79">
        <v>1</v>
      </c>
      <c r="L124" s="79" t="s">
        <v>190</v>
      </c>
      <c r="M124" s="79">
        <v>375</v>
      </c>
      <c r="N124" s="75">
        <v>45658</v>
      </c>
      <c r="O124" s="75"/>
      <c r="P124" s="75"/>
      <c r="Q124" t="s">
        <v>259</v>
      </c>
      <c r="R124">
        <v>2</v>
      </c>
    </row>
    <row r="125" spans="1:18" x14ac:dyDescent="0.25">
      <c r="A125" t="str">
        <f>TableOBEDSC1[[#This Row],[Study Package Code]]</f>
        <v>OUMU-ENGL1</v>
      </c>
      <c r="B125" s="5">
        <f>TableOBEDSC1[[#This Row],[Ver]]</f>
        <v>1</v>
      </c>
      <c r="D125" t="str">
        <f>TableOBEDSC1[[#This Row],[Structure Line]]</f>
        <v>English Education Major (BEd Secondary) (OpenUnis)</v>
      </c>
      <c r="E125" s="50">
        <f>TableOBEDSC1[[#This Row],[Credit Points]]</f>
        <v>375</v>
      </c>
      <c r="F125" s="79">
        <v>6</v>
      </c>
      <c r="G125" s="79" t="s">
        <v>634</v>
      </c>
      <c r="H125" s="79">
        <v>1</v>
      </c>
      <c r="I125" s="79" t="s">
        <v>563</v>
      </c>
      <c r="J125" s="79" t="s">
        <v>194</v>
      </c>
      <c r="K125" s="79">
        <v>1</v>
      </c>
      <c r="L125" s="79" t="s">
        <v>176</v>
      </c>
      <c r="M125" s="79">
        <v>375</v>
      </c>
      <c r="N125" s="75">
        <v>45658</v>
      </c>
      <c r="O125" s="75"/>
      <c r="P125" s="75"/>
      <c r="Q125" t="s">
        <v>260</v>
      </c>
      <c r="R125">
        <v>2</v>
      </c>
    </row>
    <row r="126" spans="1:18" x14ac:dyDescent="0.25">
      <c r="A126" t="str">
        <f>TableOBEDSC1[[#This Row],[Study Package Code]]</f>
        <v>OUMU-HSGE1</v>
      </c>
      <c r="B126" s="5">
        <f>TableOBEDSC1[[#This Row],[Ver]]</f>
        <v>1</v>
      </c>
      <c r="D126" t="str">
        <f>TableOBEDSC1[[#This Row],[Structure Line]]</f>
        <v>Humanities and Social Sciences Education Major (Geography) (BEd Secondary) (OpenUnis)</v>
      </c>
      <c r="E126" s="50">
        <f>TableOBEDSC1[[#This Row],[Credit Points]]</f>
        <v>375</v>
      </c>
      <c r="F126" s="79">
        <v>6</v>
      </c>
      <c r="G126" s="79" t="s">
        <v>634</v>
      </c>
      <c r="H126" s="79">
        <v>1</v>
      </c>
      <c r="I126" s="79" t="s">
        <v>563</v>
      </c>
      <c r="J126" s="79" t="s">
        <v>196</v>
      </c>
      <c r="K126" s="79">
        <v>1</v>
      </c>
      <c r="L126" s="79" t="s">
        <v>195</v>
      </c>
      <c r="M126" s="79">
        <v>375</v>
      </c>
      <c r="N126" s="75">
        <v>45658</v>
      </c>
      <c r="O126" s="75"/>
      <c r="P126" s="75"/>
      <c r="Q126" t="s">
        <v>261</v>
      </c>
      <c r="R126">
        <v>1</v>
      </c>
    </row>
    <row r="127" spans="1:18" x14ac:dyDescent="0.25">
      <c r="A127" s="47"/>
      <c r="B127" s="49"/>
      <c r="C127" s="47"/>
      <c r="D127" s="47"/>
      <c r="G127" s="48" t="s">
        <v>548</v>
      </c>
      <c r="H127" s="199">
        <v>45658</v>
      </c>
      <c r="J127" s="209" t="s">
        <v>191</v>
      </c>
      <c r="K127" s="200" t="s">
        <v>192</v>
      </c>
      <c r="L127" s="209" t="s">
        <v>190</v>
      </c>
      <c r="M127" s="47"/>
      <c r="N127" s="107" t="s">
        <v>549</v>
      </c>
      <c r="O127" s="75">
        <v>45604</v>
      </c>
      <c r="P127" s="75"/>
    </row>
    <row r="128" spans="1:18" ht="31.5" x14ac:dyDescent="0.25">
      <c r="A128" s="61" t="s">
        <v>0</v>
      </c>
      <c r="B128" s="62" t="s">
        <v>551</v>
      </c>
      <c r="C128" s="61" t="s">
        <v>18</v>
      </c>
      <c r="D128" s="61" t="s">
        <v>3</v>
      </c>
      <c r="E128" s="63" t="s">
        <v>552</v>
      </c>
      <c r="F128" s="61" t="s">
        <v>553</v>
      </c>
      <c r="G128" s="61" t="s">
        <v>554</v>
      </c>
      <c r="H128" s="61" t="s">
        <v>555</v>
      </c>
      <c r="I128" s="61" t="s">
        <v>19</v>
      </c>
      <c r="J128" s="61" t="s">
        <v>556</v>
      </c>
      <c r="K128" s="61" t="s">
        <v>1</v>
      </c>
      <c r="L128" s="61" t="s">
        <v>557</v>
      </c>
      <c r="M128" s="61" t="s">
        <v>60</v>
      </c>
      <c r="N128" s="61" t="s">
        <v>558</v>
      </c>
      <c r="O128" s="61" t="s">
        <v>559</v>
      </c>
      <c r="P128" s="75"/>
      <c r="Q128" t="s">
        <v>560</v>
      </c>
      <c r="R128" t="s">
        <v>561</v>
      </c>
    </row>
    <row r="129" spans="1:18" x14ac:dyDescent="0.25">
      <c r="A129" t="str">
        <f>TableOUMUARTST[[#This Row],[Study Package Code]]</f>
        <v>Opt-ARVA1</v>
      </c>
      <c r="B129" s="5">
        <f>TableOUMUARTST[[#This Row],[Ver]]</f>
        <v>0</v>
      </c>
      <c r="D129" t="str">
        <f>TableOUMUARTST[[#This Row],[Structure Line]]</f>
        <v>Choose Options</v>
      </c>
      <c r="E129" s="50" t="str">
        <f>TableOUMUARTST[[#This Row],[Credit Points]]</f>
        <v/>
      </c>
      <c r="F129" s="79">
        <v>1</v>
      </c>
      <c r="G129" s="79" t="s">
        <v>588</v>
      </c>
      <c r="H129" s="79">
        <v>0</v>
      </c>
      <c r="I129" s="79" t="s">
        <v>563</v>
      </c>
      <c r="J129" s="79" t="s">
        <v>245</v>
      </c>
      <c r="K129" s="79">
        <v>0</v>
      </c>
      <c r="L129" s="79" t="s">
        <v>646</v>
      </c>
      <c r="M129" s="79" t="s">
        <v>647</v>
      </c>
      <c r="N129" s="75"/>
      <c r="O129" s="75"/>
      <c r="P129" s="75"/>
      <c r="Q129" t="s">
        <v>245</v>
      </c>
      <c r="R129">
        <v>0</v>
      </c>
    </row>
    <row r="130" spans="1:18" x14ac:dyDescent="0.25">
      <c r="A130" t="str">
        <f>TableOUMUARTST[[#This Row],[Study Package Code]]</f>
        <v>EDSC4033</v>
      </c>
      <c r="B130" s="5">
        <f>TableOUMUARTST[[#This Row],[Ver]]</f>
        <v>1</v>
      </c>
      <c r="C130" t="str">
        <f>LEFT(TableOUMUARTST[[#This Row],[Structure Line]], FIND(" ", TableOUMUARTST[[#This Row],[Structure Line]])-1)</f>
        <v>EDS155</v>
      </c>
      <c r="D130" t="str">
        <f>MID(TableOUMUARTST[[#This Row],[Structure Line]],FIND(" ",TableOUMUARTST[[#This Row],[Structure Line]])+1,LEN(TableOUMUARTST[[#This Row],[Structure Line]]))</f>
        <v>Curriculum and Instruction Lower Secondary: The Arts</v>
      </c>
      <c r="E130" s="50">
        <f>TableOUMUARTST[[#This Row],[Credit Points]]</f>
        <v>25</v>
      </c>
      <c r="F130" s="79">
        <v>2</v>
      </c>
      <c r="G130" s="79" t="s">
        <v>562</v>
      </c>
      <c r="H130" s="79">
        <v>1</v>
      </c>
      <c r="I130" s="79" t="s">
        <v>563</v>
      </c>
      <c r="J130" s="79" t="s">
        <v>207</v>
      </c>
      <c r="K130" s="79">
        <v>1</v>
      </c>
      <c r="L130" s="79" t="s">
        <v>648</v>
      </c>
      <c r="M130" s="79">
        <v>25</v>
      </c>
      <c r="N130" s="75">
        <v>43466</v>
      </c>
      <c r="O130" s="75"/>
      <c r="P130" s="75"/>
      <c r="Q130" t="s">
        <v>207</v>
      </c>
      <c r="R130">
        <v>1</v>
      </c>
    </row>
    <row r="131" spans="1:18" x14ac:dyDescent="0.25">
      <c r="A131" t="str">
        <f>TableOUMUARTST[[#This Row],[Study Package Code]]</f>
        <v>VISA1014</v>
      </c>
      <c r="B131" s="5">
        <f>TableOUMUARTST[[#This Row],[Ver]]</f>
        <v>2</v>
      </c>
      <c r="C131" t="str">
        <f>LEFT(TableOUMUARTST[[#This Row],[Structure Line]], FIND(" ", TableOUMUARTST[[#This Row],[Structure Line]])-1)</f>
        <v>VAR110</v>
      </c>
      <c r="D131" t="str">
        <f>MID(TableOUMUARTST[[#This Row],[Structure Line]],FIND(" ",TableOUMUARTST[[#This Row],[Structure Line]])+1,LEN(TableOUMUARTST[[#This Row],[Structure Line]]))</f>
        <v>Drawing</v>
      </c>
      <c r="E131" s="50">
        <f>TableOUMUARTST[[#This Row],[Credit Points]]</f>
        <v>25</v>
      </c>
      <c r="F131" s="79">
        <v>3</v>
      </c>
      <c r="G131" s="79" t="s">
        <v>562</v>
      </c>
      <c r="H131" s="79">
        <v>1</v>
      </c>
      <c r="I131" s="79" t="s">
        <v>563</v>
      </c>
      <c r="J131" s="79" t="s">
        <v>201</v>
      </c>
      <c r="K131" s="79">
        <v>2</v>
      </c>
      <c r="L131" s="79" t="s">
        <v>649</v>
      </c>
      <c r="M131" s="79">
        <v>25</v>
      </c>
      <c r="N131" s="75">
        <v>43831</v>
      </c>
      <c r="O131" s="75"/>
      <c r="P131" s="75"/>
      <c r="Q131" t="s">
        <v>201</v>
      </c>
      <c r="R131">
        <v>2</v>
      </c>
    </row>
    <row r="132" spans="1:18" x14ac:dyDescent="0.25">
      <c r="A132" t="str">
        <f>TableOUMUARTST[[#This Row],[Study Package Code]]</f>
        <v>VISA1013</v>
      </c>
      <c r="B132" s="5">
        <f>TableOUMUARTST[[#This Row],[Ver]]</f>
        <v>2</v>
      </c>
      <c r="C132" t="str">
        <f>LEFT(TableOUMUARTST[[#This Row],[Structure Line]], FIND(" ", TableOUMUARTST[[#This Row],[Structure Line]])-1)</f>
        <v>VSW14</v>
      </c>
      <c r="D132" t="str">
        <f>MID(TableOUMUARTST[[#This Row],[Structure Line]],FIND(" ",TableOUMUARTST[[#This Row],[Structure Line]])+1,LEN(TableOUMUARTST[[#This Row],[Structure Line]]))</f>
        <v>Fine Art Studio Methods</v>
      </c>
      <c r="E132" s="50">
        <f>TableOUMUARTST[[#This Row],[Credit Points]]</f>
        <v>25</v>
      </c>
      <c r="F132" s="79">
        <v>4</v>
      </c>
      <c r="G132" s="79" t="s">
        <v>562</v>
      </c>
      <c r="H132" s="79">
        <v>1</v>
      </c>
      <c r="I132" s="79" t="s">
        <v>563</v>
      </c>
      <c r="J132" s="79" t="s">
        <v>204</v>
      </c>
      <c r="K132" s="79">
        <v>2</v>
      </c>
      <c r="L132" s="79" t="s">
        <v>650</v>
      </c>
      <c r="M132" s="79">
        <v>25</v>
      </c>
      <c r="N132" s="75">
        <v>42370</v>
      </c>
      <c r="O132" s="75"/>
      <c r="P132" s="75"/>
      <c r="Q132" t="s">
        <v>204</v>
      </c>
      <c r="R132">
        <v>2</v>
      </c>
    </row>
    <row r="133" spans="1:18" x14ac:dyDescent="0.25">
      <c r="A133" t="str">
        <f>TableOUMUARTST[[#This Row],[Study Package Code]]</f>
        <v>EDSC4029</v>
      </c>
      <c r="B133" s="5">
        <f>TableOUMUARTST[[#This Row],[Ver]]</f>
        <v>2</v>
      </c>
      <c r="C133" t="str">
        <f>LEFT(TableOUMUARTST[[#This Row],[Structure Line]], FIND(" ", TableOUMUARTST[[#This Row],[Structure Line]])-1)</f>
        <v>EDS310</v>
      </c>
      <c r="D133" t="str">
        <f>MID(TableOUMUARTST[[#This Row],[Structure Line]],FIND(" ",TableOUMUARTST[[#This Row],[Structure Line]])+1,LEN(TableOUMUARTST[[#This Row],[Structure Line]]))</f>
        <v>Curriculum and Instruction Senior Secondary: The Arts</v>
      </c>
      <c r="E133" s="50">
        <f>TableOUMUARTST[[#This Row],[Credit Points]]</f>
        <v>25</v>
      </c>
      <c r="F133" s="79">
        <v>5</v>
      </c>
      <c r="G133" s="79" t="s">
        <v>562</v>
      </c>
      <c r="H133" s="79">
        <v>2</v>
      </c>
      <c r="I133" s="79" t="s">
        <v>563</v>
      </c>
      <c r="J133" s="79" t="s">
        <v>223</v>
      </c>
      <c r="K133" s="79">
        <v>2</v>
      </c>
      <c r="L133" s="79" t="s">
        <v>651</v>
      </c>
      <c r="M133" s="79">
        <v>25</v>
      </c>
      <c r="N133" s="75">
        <v>43831</v>
      </c>
      <c r="O133" s="75"/>
      <c r="P133" s="75"/>
      <c r="Q133" t="s">
        <v>223</v>
      </c>
      <c r="R133">
        <v>2</v>
      </c>
    </row>
    <row r="134" spans="1:18" x14ac:dyDescent="0.25">
      <c r="A134" t="str">
        <f>TableOUMUARTST[[#This Row],[Study Package Code]]</f>
        <v>VISA1008</v>
      </c>
      <c r="B134" s="5">
        <f>TableOUMUARTST[[#This Row],[Ver]]</f>
        <v>2</v>
      </c>
      <c r="C134" t="str">
        <f>LEFT(TableOUMUARTST[[#This Row],[Structure Line]], FIND(" ", TableOUMUARTST[[#This Row],[Structure Line]])-1)</f>
        <v>VIS18</v>
      </c>
      <c r="D134" t="str">
        <f>MID(TableOUMUARTST[[#This Row],[Structure Line]],FIND(" ",TableOUMUARTST[[#This Row],[Structure Line]])+1,LEN(TableOUMUARTST[[#This Row],[Structure Line]]))</f>
        <v>Introduction to History of Art and Design</v>
      </c>
      <c r="E134" s="50">
        <f>TableOUMUARTST[[#This Row],[Credit Points]]</f>
        <v>25</v>
      </c>
      <c r="F134" s="79">
        <v>6</v>
      </c>
      <c r="G134" s="79" t="s">
        <v>562</v>
      </c>
      <c r="H134" s="79">
        <v>2</v>
      </c>
      <c r="I134" s="79" t="s">
        <v>563</v>
      </c>
      <c r="J134" s="79" t="s">
        <v>215</v>
      </c>
      <c r="K134" s="79">
        <v>2</v>
      </c>
      <c r="L134" s="79" t="s">
        <v>652</v>
      </c>
      <c r="M134" s="79">
        <v>25</v>
      </c>
      <c r="N134" s="75">
        <v>42552</v>
      </c>
      <c r="O134" s="75"/>
      <c r="P134" s="75"/>
      <c r="Q134" t="s">
        <v>215</v>
      </c>
      <c r="R134">
        <v>2</v>
      </c>
    </row>
    <row r="135" spans="1:18" x14ac:dyDescent="0.25">
      <c r="A135" t="str">
        <f>TableOUMUARTST[[#This Row],[Study Package Code]]</f>
        <v>VISA2013</v>
      </c>
      <c r="B135" s="5">
        <f>TableOUMUARTST[[#This Row],[Ver]]</f>
        <v>3</v>
      </c>
      <c r="C135" t="str">
        <f>LEFT(TableOUMUARTST[[#This Row],[Structure Line]], FIND(" ", TableOUMUARTST[[#This Row],[Structure Line]])-1)</f>
        <v>VSW230</v>
      </c>
      <c r="D135" t="str">
        <f>MID(TableOUMUARTST[[#This Row],[Structure Line]],FIND(" ",TableOUMUARTST[[#This Row],[Structure Line]])+1,LEN(TableOUMUARTST[[#This Row],[Structure Line]]))</f>
        <v>Fine Art Studio Extension</v>
      </c>
      <c r="E135" s="50">
        <f>TableOUMUARTST[[#This Row],[Credit Points]]</f>
        <v>25</v>
      </c>
      <c r="F135" s="79">
        <v>7</v>
      </c>
      <c r="G135" s="79" t="s">
        <v>562</v>
      </c>
      <c r="H135" s="79">
        <v>2</v>
      </c>
      <c r="I135" s="79" t="s">
        <v>563</v>
      </c>
      <c r="J135" s="79" t="s">
        <v>221</v>
      </c>
      <c r="K135" s="79">
        <v>3</v>
      </c>
      <c r="L135" s="79" t="s">
        <v>653</v>
      </c>
      <c r="M135" s="79">
        <v>25</v>
      </c>
      <c r="N135" s="75">
        <v>43831</v>
      </c>
      <c r="O135" s="75"/>
      <c r="P135" s="75"/>
      <c r="Q135" t="s">
        <v>221</v>
      </c>
      <c r="R135">
        <v>3</v>
      </c>
    </row>
    <row r="136" spans="1:18" x14ac:dyDescent="0.25">
      <c r="A136" t="str">
        <f>TableOUMUARTST[[#This Row],[Study Package Code]]</f>
        <v>AC-ARVA1</v>
      </c>
      <c r="B136" s="5">
        <f>TableOUMUARTST[[#This Row],[Ver]]</f>
        <v>0</v>
      </c>
      <c r="D136" t="str">
        <f>TableOUMUARTST[[#This Row],[Structure Line]]</f>
        <v>Choose VISA2011 or VISA2012</v>
      </c>
      <c r="E136" s="50" t="str">
        <f>TableOUMUARTST[[#This Row],[Credit Points]]</f>
        <v/>
      </c>
      <c r="F136" s="79">
        <v>8</v>
      </c>
      <c r="G136" s="79" t="s">
        <v>634</v>
      </c>
      <c r="H136" s="79">
        <v>2</v>
      </c>
      <c r="I136" s="79" t="s">
        <v>563</v>
      </c>
      <c r="J136" s="79" t="s">
        <v>211</v>
      </c>
      <c r="K136" s="79">
        <v>0</v>
      </c>
      <c r="L136" s="79" t="s">
        <v>654</v>
      </c>
      <c r="M136" s="79" t="s">
        <v>647</v>
      </c>
      <c r="N136" s="75"/>
      <c r="O136" s="75"/>
      <c r="P136" s="75"/>
      <c r="Q136" t="s">
        <v>211</v>
      </c>
      <c r="R136">
        <v>0</v>
      </c>
    </row>
    <row r="137" spans="1:18" x14ac:dyDescent="0.25">
      <c r="A137" t="str">
        <f>TableOUMUARTST[[#This Row],[Study Package Code]]</f>
        <v>EDPR3015</v>
      </c>
      <c r="B137" s="5">
        <f>TableOUMUARTST[[#This Row],[Ver]]</f>
        <v>1</v>
      </c>
      <c r="C137" t="str">
        <f>LEFT(TableOUMUARTST[[#This Row],[Structure Line]], FIND(" ", TableOUMUARTST[[#This Row],[Structure Line]])-1)</f>
        <v>EDP385</v>
      </c>
      <c r="D137" t="str">
        <f>MID(TableOUMUARTST[[#This Row],[Structure Line]],FIND(" ",TableOUMUARTST[[#This Row],[Structure Line]])+1,LEN(TableOUMUARTST[[#This Row],[Structure Line]]))</f>
        <v>Visual and Media Arts Education</v>
      </c>
      <c r="E137" s="50">
        <f>TableOUMUARTST[[#This Row],[Credit Points]]</f>
        <v>25</v>
      </c>
      <c r="F137" s="79">
        <v>9</v>
      </c>
      <c r="G137" s="79" t="s">
        <v>562</v>
      </c>
      <c r="H137" s="79">
        <v>3</v>
      </c>
      <c r="I137" s="79" t="s">
        <v>563</v>
      </c>
      <c r="J137" s="79" t="s">
        <v>128</v>
      </c>
      <c r="K137" s="79">
        <v>1</v>
      </c>
      <c r="L137" s="79" t="s">
        <v>622</v>
      </c>
      <c r="M137" s="79">
        <v>25</v>
      </c>
      <c r="N137" s="75">
        <v>43466</v>
      </c>
      <c r="O137" s="75"/>
      <c r="P137" s="75"/>
      <c r="Q137" t="s">
        <v>128</v>
      </c>
      <c r="R137">
        <v>1</v>
      </c>
    </row>
    <row r="138" spans="1:18" x14ac:dyDescent="0.25">
      <c r="A138" t="str">
        <f>TableOUMUARTST[[#This Row],[Study Package Code]]</f>
        <v>VISA2027</v>
      </c>
      <c r="B138" s="5">
        <f>TableOUMUARTST[[#This Row],[Ver]]</f>
        <v>1</v>
      </c>
      <c r="C138" t="str">
        <f>LEFT(TableOUMUARTST[[#This Row],[Structure Line]], FIND(" ", TableOUMUARTST[[#This Row],[Structure Line]])-1)</f>
        <v>VIS24</v>
      </c>
      <c r="D138" t="str">
        <f>MID(TableOUMUARTST[[#This Row],[Structure Line]],FIND(" ",TableOUMUARTST[[#This Row],[Structure Line]])+1,LEN(TableOUMUARTST[[#This Row],[Structure Line]]))</f>
        <v>Australian Art</v>
      </c>
      <c r="E138" s="50">
        <f>TableOUMUARTST[[#This Row],[Credit Points]]</f>
        <v>25</v>
      </c>
      <c r="F138" s="79">
        <v>10</v>
      </c>
      <c r="G138" s="79" t="s">
        <v>562</v>
      </c>
      <c r="H138" s="79">
        <v>3</v>
      </c>
      <c r="I138" s="79" t="s">
        <v>563</v>
      </c>
      <c r="J138" s="79" t="s">
        <v>225</v>
      </c>
      <c r="K138" s="79">
        <v>1</v>
      </c>
      <c r="L138" s="79" t="s">
        <v>655</v>
      </c>
      <c r="M138" s="79">
        <v>25</v>
      </c>
      <c r="N138" s="75">
        <v>42005</v>
      </c>
      <c r="O138" s="75"/>
      <c r="P138" s="75"/>
      <c r="Q138" t="s">
        <v>225</v>
      </c>
      <c r="R138">
        <v>1</v>
      </c>
    </row>
    <row r="139" spans="1:18" x14ac:dyDescent="0.25">
      <c r="A139" t="str">
        <f>TableOUMUARTST[[#This Row],[Study Package Code]]</f>
        <v>VISA3013</v>
      </c>
      <c r="B139" s="5">
        <f>TableOUMUARTST[[#This Row],[Ver]]</f>
        <v>2</v>
      </c>
      <c r="C139" t="str">
        <f>LEFT(TableOUMUARTST[[#This Row],[Structure Line]], FIND(" ", TableOUMUARTST[[#This Row],[Structure Line]])-1)</f>
        <v>VSW31</v>
      </c>
      <c r="D139" t="str">
        <f>MID(TableOUMUARTST[[#This Row],[Structure Line]],FIND(" ",TableOUMUARTST[[#This Row],[Structure Line]])+1,LEN(TableOUMUARTST[[#This Row],[Structure Line]]))</f>
        <v>Fine Art Studio Practice</v>
      </c>
      <c r="E139" s="50">
        <f>TableOUMUARTST[[#This Row],[Credit Points]]</f>
        <v>25</v>
      </c>
      <c r="F139" s="79">
        <v>11</v>
      </c>
      <c r="G139" s="79" t="s">
        <v>562</v>
      </c>
      <c r="H139" s="79">
        <v>4</v>
      </c>
      <c r="I139" s="79" t="s">
        <v>563</v>
      </c>
      <c r="J139" s="79" t="s">
        <v>234</v>
      </c>
      <c r="K139" s="79">
        <v>2</v>
      </c>
      <c r="L139" s="79" t="s">
        <v>656</v>
      </c>
      <c r="M139" s="79">
        <v>25</v>
      </c>
      <c r="N139" s="75">
        <v>42370</v>
      </c>
      <c r="O139" s="75"/>
      <c r="P139" s="75"/>
      <c r="Q139" t="s">
        <v>234</v>
      </c>
      <c r="R139">
        <v>2</v>
      </c>
    </row>
    <row r="140" spans="1:18" x14ac:dyDescent="0.25">
      <c r="A140" t="str">
        <f>TableOUMUARTST[[#This Row],[Study Package Code]]</f>
        <v>VISA3015</v>
      </c>
      <c r="B140" s="5">
        <f>TableOUMUARTST[[#This Row],[Ver]]</f>
        <v>3</v>
      </c>
      <c r="C140" t="str">
        <f>LEFT(TableOUMUARTST[[#This Row],[Structure Line]], FIND(" ", TableOUMUARTST[[#This Row],[Structure Line]])-1)</f>
        <v>VSW330</v>
      </c>
      <c r="D140" t="str">
        <f>MID(TableOUMUARTST[[#This Row],[Structure Line]],FIND(" ",TableOUMUARTST[[#This Row],[Structure Line]])+1,LEN(TableOUMUARTST[[#This Row],[Structure Line]]))</f>
        <v>Fine Art Concepts and Contexts</v>
      </c>
      <c r="E140" s="50">
        <f>TableOUMUARTST[[#This Row],[Credit Points]]</f>
        <v>25</v>
      </c>
      <c r="F140" s="79">
        <v>12</v>
      </c>
      <c r="G140" s="79" t="s">
        <v>562</v>
      </c>
      <c r="H140" s="79">
        <v>4</v>
      </c>
      <c r="I140" s="79" t="s">
        <v>563</v>
      </c>
      <c r="J140" s="79" t="s">
        <v>237</v>
      </c>
      <c r="K140" s="79">
        <v>3</v>
      </c>
      <c r="L140" s="79" t="s">
        <v>657</v>
      </c>
      <c r="M140" s="79">
        <v>25</v>
      </c>
      <c r="N140" s="75">
        <v>43831</v>
      </c>
      <c r="O140" s="75"/>
      <c r="P140" s="75"/>
      <c r="Q140" t="s">
        <v>237</v>
      </c>
      <c r="R140">
        <v>3</v>
      </c>
    </row>
    <row r="141" spans="1:18" x14ac:dyDescent="0.25">
      <c r="A141" t="str">
        <f>TableOUMUARTST[[#This Row],[Study Package Code]]</f>
        <v>CTED4004</v>
      </c>
      <c r="B141" s="5">
        <f>TableOUMUARTST[[#This Row],[Ver]]</f>
        <v>2</v>
      </c>
      <c r="C141" t="str">
        <f>LEFT(TableOUMUARTST[[#This Row],[Structure Line]], FIND(" ", TableOUMUARTST[[#This Row],[Structure Line]])-1)</f>
        <v>EDC484</v>
      </c>
      <c r="D141" t="str">
        <f>MID(TableOUMUARTST[[#This Row],[Structure Line]],FIND(" ",TableOUMUARTST[[#This Row],[Structure Line]])+1,LEN(TableOUMUARTST[[#This Row],[Structure Line]]))</f>
        <v>Teaching About Sacraments in Catholic Schools</v>
      </c>
      <c r="E141" s="50">
        <f>TableOUMUARTST[[#This Row],[Credit Points]]</f>
        <v>25</v>
      </c>
      <c r="F141" s="79">
        <v>1</v>
      </c>
      <c r="G141" s="79" t="s">
        <v>588</v>
      </c>
      <c r="H141" s="79">
        <v>0</v>
      </c>
      <c r="I141" s="79" t="s">
        <v>563</v>
      </c>
      <c r="J141" s="79" t="s">
        <v>168</v>
      </c>
      <c r="K141" s="79">
        <v>2</v>
      </c>
      <c r="L141" s="79" t="s">
        <v>595</v>
      </c>
      <c r="M141" s="79">
        <v>25</v>
      </c>
      <c r="N141" s="75">
        <v>45292</v>
      </c>
      <c r="O141" s="75"/>
      <c r="P141" s="75"/>
      <c r="Q141" t="s">
        <v>168</v>
      </c>
      <c r="R141">
        <v>2</v>
      </c>
    </row>
    <row r="142" spans="1:18" x14ac:dyDescent="0.25">
      <c r="A142" t="str">
        <f>TableOUMUARTST[[#This Row],[Study Package Code]]</f>
        <v>CTED4007</v>
      </c>
      <c r="B142" s="5">
        <f>TableOUMUARTST[[#This Row],[Ver]]</f>
        <v>1</v>
      </c>
      <c r="C142" t="str">
        <f>LEFT(TableOUMUARTST[[#This Row],[Structure Line]], FIND(" ", TableOUMUARTST[[#This Row],[Structure Line]])-1)</f>
        <v>EDC430</v>
      </c>
      <c r="D142" t="str">
        <f>MID(TableOUMUARTST[[#This Row],[Structure Line]],FIND(" ",TableOUMUARTST[[#This Row],[Structure Line]])+1,LEN(TableOUMUARTST[[#This Row],[Structure Line]]))</f>
        <v>Teaching About Jesus in Catholic Schools</v>
      </c>
      <c r="E142" s="50">
        <f>TableOUMUARTST[[#This Row],[Credit Points]]</f>
        <v>25</v>
      </c>
      <c r="F142" s="79">
        <v>1</v>
      </c>
      <c r="G142" s="79" t="s">
        <v>588</v>
      </c>
      <c r="H142" s="79">
        <v>0</v>
      </c>
      <c r="I142" s="79" t="s">
        <v>563</v>
      </c>
      <c r="J142" s="79" t="s">
        <v>169</v>
      </c>
      <c r="K142" s="79">
        <v>1</v>
      </c>
      <c r="L142" s="79" t="s">
        <v>597</v>
      </c>
      <c r="M142" s="79">
        <v>25</v>
      </c>
      <c r="N142" s="75">
        <v>45292</v>
      </c>
      <c r="O142" s="75"/>
      <c r="P142" s="75"/>
      <c r="Q142" t="s">
        <v>169</v>
      </c>
      <c r="R142">
        <v>1</v>
      </c>
    </row>
    <row r="143" spans="1:18" x14ac:dyDescent="0.25">
      <c r="A143" t="str">
        <f>TableOUMUARTST[[#This Row],[Study Package Code]]</f>
        <v>CTED4009</v>
      </c>
      <c r="B143" s="5">
        <f>TableOUMUARTST[[#This Row],[Ver]]</f>
        <v>1</v>
      </c>
      <c r="C143" t="str">
        <f>LEFT(TableOUMUARTST[[#This Row],[Structure Line]], FIND(" ", TableOUMUARTST[[#This Row],[Structure Line]])-1)</f>
        <v>EDC435</v>
      </c>
      <c r="D143" t="str">
        <f>MID(TableOUMUARTST[[#This Row],[Structure Line]],FIND(" ",TableOUMUARTST[[#This Row],[Structure Line]])+1,LEN(TableOUMUARTST[[#This Row],[Structure Line]]))</f>
        <v>Teaching About the Gospels in Catholic Schools</v>
      </c>
      <c r="E143" s="50">
        <f>TableOUMUARTST[[#This Row],[Credit Points]]</f>
        <v>25</v>
      </c>
      <c r="F143" s="79">
        <v>1</v>
      </c>
      <c r="G143" s="79" t="s">
        <v>588</v>
      </c>
      <c r="H143" s="79">
        <v>0</v>
      </c>
      <c r="I143" s="79" t="s">
        <v>563</v>
      </c>
      <c r="J143" s="79" t="s">
        <v>170</v>
      </c>
      <c r="K143" s="79">
        <v>1</v>
      </c>
      <c r="L143" s="79" t="s">
        <v>598</v>
      </c>
      <c r="M143" s="79">
        <v>25</v>
      </c>
      <c r="N143" s="75">
        <v>45292</v>
      </c>
      <c r="O143" s="75"/>
      <c r="P143" s="75"/>
      <c r="Q143" t="s">
        <v>170</v>
      </c>
      <c r="R143">
        <v>1</v>
      </c>
    </row>
    <row r="144" spans="1:18" x14ac:dyDescent="0.25">
      <c r="A144" t="str">
        <f>TableOUMUARTST[[#This Row],[Study Package Code]]</f>
        <v>EDUC4024</v>
      </c>
      <c r="B144" s="5">
        <f>TableOUMUARTST[[#This Row],[Ver]]</f>
        <v>1</v>
      </c>
      <c r="C144" t="str">
        <f>LEFT(TableOUMUARTST[[#This Row],[Structure Line]], FIND(" ", TableOUMUARTST[[#This Row],[Structure Line]])-1)</f>
        <v>EDC486</v>
      </c>
      <c r="D144" t="str">
        <f>MID(TableOUMUARTST[[#This Row],[Structure Line]],FIND(" ",TableOUMUARTST[[#This Row],[Structure Line]])+1,LEN(TableOUMUARTST[[#This Row],[Structure Line]]))</f>
        <v>Creating and Responding to Literature</v>
      </c>
      <c r="E144" s="50">
        <f>TableOUMUARTST[[#This Row],[Credit Points]]</f>
        <v>25</v>
      </c>
      <c r="F144" s="79">
        <v>1</v>
      </c>
      <c r="G144" s="79" t="s">
        <v>588</v>
      </c>
      <c r="H144" s="79">
        <v>0</v>
      </c>
      <c r="I144" s="79" t="s">
        <v>563</v>
      </c>
      <c r="J144" s="79" t="s">
        <v>156</v>
      </c>
      <c r="K144" s="79">
        <v>1</v>
      </c>
      <c r="L144" s="79" t="s">
        <v>600</v>
      </c>
      <c r="M144" s="79">
        <v>25</v>
      </c>
      <c r="N144" s="75">
        <v>43282</v>
      </c>
      <c r="O144" s="75"/>
      <c r="P144" s="75"/>
      <c r="Q144" t="s">
        <v>156</v>
      </c>
      <c r="R144">
        <v>1</v>
      </c>
    </row>
    <row r="145" spans="1:18" x14ac:dyDescent="0.25">
      <c r="A145" t="str">
        <f>TableOUMUARTST[[#This Row],[Study Package Code]]</f>
        <v>EDUC4025</v>
      </c>
      <c r="B145" s="5">
        <f>TableOUMUARTST[[#This Row],[Ver]]</f>
        <v>1</v>
      </c>
      <c r="C145" t="str">
        <f>LEFT(TableOUMUARTST[[#This Row],[Structure Line]], FIND(" ", TableOUMUARTST[[#This Row],[Structure Line]])-1)</f>
        <v>EDC487</v>
      </c>
      <c r="D145" t="str">
        <f>MID(TableOUMUARTST[[#This Row],[Structure Line]],FIND(" ",TableOUMUARTST[[#This Row],[Structure Line]])+1,LEN(TableOUMUARTST[[#This Row],[Structure Line]]))</f>
        <v>Creative Literacies</v>
      </c>
      <c r="E145" s="50">
        <f>TableOUMUARTST[[#This Row],[Credit Points]]</f>
        <v>25</v>
      </c>
      <c r="F145" s="79">
        <v>1</v>
      </c>
      <c r="G145" s="79" t="s">
        <v>588</v>
      </c>
      <c r="H145" s="79">
        <v>0</v>
      </c>
      <c r="I145" s="79" t="s">
        <v>563</v>
      </c>
      <c r="J145" s="79" t="s">
        <v>157</v>
      </c>
      <c r="K145" s="79">
        <v>1</v>
      </c>
      <c r="L145" s="79" t="s">
        <v>601</v>
      </c>
      <c r="M145" s="79">
        <v>25</v>
      </c>
      <c r="N145" s="75">
        <v>43282</v>
      </c>
      <c r="O145" s="75"/>
      <c r="P145" s="75"/>
      <c r="Q145" t="s">
        <v>157</v>
      </c>
      <c r="R145">
        <v>1</v>
      </c>
    </row>
    <row r="146" spans="1:18" x14ac:dyDescent="0.25">
      <c r="A146" t="str">
        <f>TableOUMUARTST[[#This Row],[Study Package Code]]</f>
        <v>EDUC4026</v>
      </c>
      <c r="B146" s="5">
        <f>TableOUMUARTST[[#This Row],[Ver]]</f>
        <v>1</v>
      </c>
      <c r="C146" t="str">
        <f>LEFT(TableOUMUARTST[[#This Row],[Structure Line]], FIND(" ", TableOUMUARTST[[#This Row],[Structure Line]])-1)</f>
        <v>EDC488</v>
      </c>
      <c r="D146" t="str">
        <f>MID(TableOUMUARTST[[#This Row],[Structure Line]],FIND(" ",TableOUMUARTST[[#This Row],[Structure Line]])+1,LEN(TableOUMUARTST[[#This Row],[Structure Line]]))</f>
        <v>Project-based iSTEM Education</v>
      </c>
      <c r="E146" s="50">
        <f>TableOUMUARTST[[#This Row],[Credit Points]]</f>
        <v>25</v>
      </c>
      <c r="F146" s="79">
        <v>1</v>
      </c>
      <c r="G146" s="79" t="s">
        <v>588</v>
      </c>
      <c r="H146" s="79">
        <v>0</v>
      </c>
      <c r="I146" s="79" t="s">
        <v>563</v>
      </c>
      <c r="J146" s="79" t="s">
        <v>152</v>
      </c>
      <c r="K146" s="79">
        <v>1</v>
      </c>
      <c r="L146" s="79" t="s">
        <v>602</v>
      </c>
      <c r="M146" s="79">
        <v>25</v>
      </c>
      <c r="N146" s="75">
        <v>43282</v>
      </c>
      <c r="O146" s="75"/>
      <c r="P146" s="75"/>
      <c r="Q146" t="s">
        <v>152</v>
      </c>
      <c r="R146">
        <v>1</v>
      </c>
    </row>
    <row r="147" spans="1:18" x14ac:dyDescent="0.25">
      <c r="A147" t="str">
        <f>TableOUMUARTST[[#This Row],[Study Package Code]]</f>
        <v>EDUC4028</v>
      </c>
      <c r="B147" s="5">
        <f>TableOUMUARTST[[#This Row],[Ver]]</f>
        <v>1</v>
      </c>
      <c r="C147" t="str">
        <f>LEFT(TableOUMUARTST[[#This Row],[Structure Line]], FIND(" ", TableOUMUARTST[[#This Row],[Structure Line]])-1)</f>
        <v>EDC490</v>
      </c>
      <c r="D147" t="str">
        <f>MID(TableOUMUARTST[[#This Row],[Structure Line]],FIND(" ",TableOUMUARTST[[#This Row],[Structure Line]])+1,LEN(TableOUMUARTST[[#This Row],[Structure Line]]))</f>
        <v>Supporting Literacy and Numeracy Development for Diverse Learners</v>
      </c>
      <c r="E147" s="50">
        <f>TableOUMUARTST[[#This Row],[Credit Points]]</f>
        <v>25</v>
      </c>
      <c r="F147" s="79">
        <v>1</v>
      </c>
      <c r="G147" s="79" t="s">
        <v>588</v>
      </c>
      <c r="H147" s="79">
        <v>0</v>
      </c>
      <c r="I147" s="79" t="s">
        <v>563</v>
      </c>
      <c r="J147" s="79" t="s">
        <v>160</v>
      </c>
      <c r="K147" s="79">
        <v>1</v>
      </c>
      <c r="L147" s="79" t="s">
        <v>604</v>
      </c>
      <c r="M147" s="79">
        <v>25</v>
      </c>
      <c r="N147" s="75">
        <v>43282</v>
      </c>
      <c r="O147" s="75"/>
      <c r="P147" s="75"/>
      <c r="Q147" t="s">
        <v>160</v>
      </c>
      <c r="R147">
        <v>1</v>
      </c>
    </row>
    <row r="148" spans="1:18" x14ac:dyDescent="0.25">
      <c r="A148" t="str">
        <f>TableOUMUARTST[[#This Row],[Study Package Code]]</f>
        <v>EDUC4030</v>
      </c>
      <c r="B148" s="5">
        <f>TableOUMUARTST[[#This Row],[Ver]]</f>
        <v>1</v>
      </c>
      <c r="C148" t="str">
        <f>LEFT(TableOUMUARTST[[#This Row],[Structure Line]], FIND(" ", TableOUMUARTST[[#This Row],[Structure Line]])-1)</f>
        <v>EDC491</v>
      </c>
      <c r="D148" t="str">
        <f>MID(TableOUMUARTST[[#This Row],[Structure Line]],FIND(" ",TableOUMUARTST[[#This Row],[Structure Line]])+1,LEN(TableOUMUARTST[[#This Row],[Structure Line]]))</f>
        <v>Technologies: Coding for Teachers</v>
      </c>
      <c r="E148" s="50">
        <f>TableOUMUARTST[[#This Row],[Credit Points]]</f>
        <v>25</v>
      </c>
      <c r="F148" s="79">
        <v>1</v>
      </c>
      <c r="G148" s="79" t="s">
        <v>588</v>
      </c>
      <c r="H148" s="79">
        <v>0</v>
      </c>
      <c r="I148" s="79" t="s">
        <v>563</v>
      </c>
      <c r="J148" s="79" t="s">
        <v>164</v>
      </c>
      <c r="K148" s="79">
        <v>1</v>
      </c>
      <c r="L148" s="79" t="s">
        <v>605</v>
      </c>
      <c r="M148" s="79">
        <v>25</v>
      </c>
      <c r="N148" s="75">
        <v>43282</v>
      </c>
      <c r="O148" s="75"/>
      <c r="P148" s="75"/>
      <c r="Q148" t="s">
        <v>164</v>
      </c>
      <c r="R148">
        <v>1</v>
      </c>
    </row>
    <row r="149" spans="1:18" x14ac:dyDescent="0.25">
      <c r="A149" t="str">
        <f>TableOUMUARTST[[#This Row],[Study Package Code]]</f>
        <v>EDUC4033</v>
      </c>
      <c r="B149" s="5">
        <f>TableOUMUARTST[[#This Row],[Ver]]</f>
        <v>1</v>
      </c>
      <c r="C149" t="str">
        <f>LEFT(TableOUMUARTST[[#This Row],[Structure Line]], FIND(" ", TableOUMUARTST[[#This Row],[Structure Line]])-1)</f>
        <v>EDC492</v>
      </c>
      <c r="D149" t="str">
        <f>MID(TableOUMUARTST[[#This Row],[Structure Line]],FIND(" ",TableOUMUARTST[[#This Row],[Structure Line]])+1,LEN(TableOUMUARTST[[#This Row],[Structure Line]]))</f>
        <v>iSTEM Education through Digital Stories</v>
      </c>
      <c r="E149" s="50">
        <f>TableOUMUARTST[[#This Row],[Credit Points]]</f>
        <v>25</v>
      </c>
      <c r="F149" s="79">
        <v>1</v>
      </c>
      <c r="G149" s="79" t="s">
        <v>588</v>
      </c>
      <c r="H149" s="79">
        <v>0</v>
      </c>
      <c r="I149" s="79" t="s">
        <v>563</v>
      </c>
      <c r="J149" s="79" t="s">
        <v>153</v>
      </c>
      <c r="K149" s="79">
        <v>1</v>
      </c>
      <c r="L149" s="79" t="s">
        <v>606</v>
      </c>
      <c r="M149" s="79">
        <v>25</v>
      </c>
      <c r="N149" s="75">
        <v>43466</v>
      </c>
      <c r="O149" s="75"/>
      <c r="P149" s="75"/>
      <c r="Q149" t="s">
        <v>153</v>
      </c>
      <c r="R149">
        <v>1</v>
      </c>
    </row>
    <row r="150" spans="1:18" x14ac:dyDescent="0.25">
      <c r="A150" t="str">
        <f>TableOUMUARTST[[#This Row],[Study Package Code]]</f>
        <v>EDUC4035</v>
      </c>
      <c r="B150" s="5">
        <f>TableOUMUARTST[[#This Row],[Ver]]</f>
        <v>1</v>
      </c>
      <c r="C150" t="str">
        <f>LEFT(TableOUMUARTST[[#This Row],[Structure Line]], FIND(" ", TableOUMUARTST[[#This Row],[Structure Line]])-1)</f>
        <v>EDC493</v>
      </c>
      <c r="D150" t="str">
        <f>MID(TableOUMUARTST[[#This Row],[Structure Line]],FIND(" ",TableOUMUARTST[[#This Row],[Structure Line]])+1,LEN(TableOUMUARTST[[#This Row],[Structure Line]]))</f>
        <v>iSTEM: Social Issues</v>
      </c>
      <c r="E150" s="50">
        <f>TableOUMUARTST[[#This Row],[Credit Points]]</f>
        <v>25</v>
      </c>
      <c r="F150" s="79">
        <v>1</v>
      </c>
      <c r="G150" s="79" t="s">
        <v>588</v>
      </c>
      <c r="H150" s="79">
        <v>0</v>
      </c>
      <c r="I150" s="79" t="s">
        <v>563</v>
      </c>
      <c r="J150" s="79" t="s">
        <v>154</v>
      </c>
      <c r="K150" s="79">
        <v>1</v>
      </c>
      <c r="L150" s="79" t="s">
        <v>607</v>
      </c>
      <c r="M150" s="79">
        <v>25</v>
      </c>
      <c r="N150" s="75">
        <v>43466</v>
      </c>
      <c r="O150" s="75"/>
      <c r="P150" s="75"/>
      <c r="Q150" t="s">
        <v>154</v>
      </c>
      <c r="R150">
        <v>1</v>
      </c>
    </row>
    <row r="151" spans="1:18" x14ac:dyDescent="0.25">
      <c r="A151" t="str">
        <f>TableOUMUARTST[[#This Row],[Study Package Code]]</f>
        <v>EDUC4037</v>
      </c>
      <c r="B151" s="5">
        <f>TableOUMUARTST[[#This Row],[Ver]]</f>
        <v>1</v>
      </c>
      <c r="C151" t="str">
        <f>LEFT(TableOUMUARTST[[#This Row],[Structure Line]], FIND(" ", TableOUMUARTST[[#This Row],[Structure Line]])-1)</f>
        <v>EDC494</v>
      </c>
      <c r="D151" t="str">
        <f>MID(TableOUMUARTST[[#This Row],[Structure Line]],FIND(" ",TableOUMUARTST[[#This Row],[Structure Line]])+1,LEN(TableOUMUARTST[[#This Row],[Structure Line]]))</f>
        <v>Language and Diversity</v>
      </c>
      <c r="E151" s="50">
        <f>TableOUMUARTST[[#This Row],[Credit Points]]</f>
        <v>25</v>
      </c>
      <c r="F151" s="79">
        <v>1</v>
      </c>
      <c r="G151" s="79" t="s">
        <v>588</v>
      </c>
      <c r="H151" s="79">
        <v>0</v>
      </c>
      <c r="I151" s="79" t="s">
        <v>563</v>
      </c>
      <c r="J151" s="79" t="s">
        <v>158</v>
      </c>
      <c r="K151" s="79">
        <v>1</v>
      </c>
      <c r="L151" s="79" t="s">
        <v>608</v>
      </c>
      <c r="M151" s="79">
        <v>25</v>
      </c>
      <c r="N151" s="75">
        <v>43466</v>
      </c>
      <c r="O151" s="75"/>
      <c r="P151" s="75"/>
      <c r="Q151" t="s">
        <v>158</v>
      </c>
      <c r="R151">
        <v>1</v>
      </c>
    </row>
    <row r="152" spans="1:18" x14ac:dyDescent="0.25">
      <c r="A152" t="str">
        <f>TableOUMUARTST[[#This Row],[Study Package Code]]</f>
        <v>EDUC4039</v>
      </c>
      <c r="B152" s="5">
        <f>TableOUMUARTST[[#This Row],[Ver]]</f>
        <v>1</v>
      </c>
      <c r="C152" t="str">
        <f>LEFT(TableOUMUARTST[[#This Row],[Structure Line]], FIND(" ", TableOUMUARTST[[#This Row],[Structure Line]])-1)</f>
        <v>EDC495</v>
      </c>
      <c r="D152" t="str">
        <f>MID(TableOUMUARTST[[#This Row],[Structure Line]],FIND(" ",TableOUMUARTST[[#This Row],[Structure Line]])+1,LEN(TableOUMUARTST[[#This Row],[Structure Line]]))</f>
        <v>Technologies: Design Solutions</v>
      </c>
      <c r="E152" s="50">
        <f>TableOUMUARTST[[#This Row],[Credit Points]]</f>
        <v>25</v>
      </c>
      <c r="F152" s="79">
        <v>1</v>
      </c>
      <c r="G152" s="79" t="s">
        <v>588</v>
      </c>
      <c r="H152" s="79">
        <v>0</v>
      </c>
      <c r="I152" s="79" t="s">
        <v>563</v>
      </c>
      <c r="J152" s="79" t="s">
        <v>165</v>
      </c>
      <c r="K152" s="79">
        <v>1</v>
      </c>
      <c r="L152" s="79" t="s">
        <v>609</v>
      </c>
      <c r="M152" s="79">
        <v>25</v>
      </c>
      <c r="N152" s="75">
        <v>43466</v>
      </c>
      <c r="O152" s="75"/>
      <c r="P152" s="75"/>
    </row>
    <row r="153" spans="1:18" x14ac:dyDescent="0.25">
      <c r="A153" t="str">
        <f>TableOUMUARTST[[#This Row],[Study Package Code]]</f>
        <v>EDUC4043</v>
      </c>
      <c r="B153" s="5">
        <f>TableOUMUARTST[[#This Row],[Ver]]</f>
        <v>1</v>
      </c>
      <c r="C153" t="str">
        <f>LEFT(TableOUMUARTST[[#This Row],[Structure Line]], FIND(" ", TableOUMUARTST[[#This Row],[Structure Line]])-1)</f>
        <v>EDC465</v>
      </c>
      <c r="D153" t="str">
        <f>MID(TableOUMUARTST[[#This Row],[Structure Line]],FIND(" ",TableOUMUARTST[[#This Row],[Structure Line]])+1,LEN(TableOUMUARTST[[#This Row],[Structure Line]]))</f>
        <v>Alternative Approaches to Teaching Literacy and Numeracy</v>
      </c>
      <c r="E153" s="50">
        <f>TableOUMUARTST[[#This Row],[Credit Points]]</f>
        <v>25</v>
      </c>
      <c r="F153" s="79">
        <v>1</v>
      </c>
      <c r="G153" s="79" t="s">
        <v>588</v>
      </c>
      <c r="H153" s="79">
        <v>0</v>
      </c>
      <c r="I153" s="79" t="s">
        <v>563</v>
      </c>
      <c r="J153" s="79" t="s">
        <v>161</v>
      </c>
      <c r="K153" s="79">
        <v>1</v>
      </c>
      <c r="L153" s="79" t="s">
        <v>610</v>
      </c>
      <c r="M153" s="79">
        <v>25</v>
      </c>
      <c r="N153" s="75">
        <v>43466</v>
      </c>
      <c r="O153" s="75"/>
      <c r="P153" s="75"/>
      <c r="Q153" t="s">
        <v>161</v>
      </c>
      <c r="R153">
        <v>1</v>
      </c>
    </row>
    <row r="154" spans="1:18" x14ac:dyDescent="0.25">
      <c r="A154" t="str">
        <f>TableOUMUARTST[[#This Row],[Study Package Code]]</f>
        <v>EDUC4045</v>
      </c>
      <c r="B154" s="5">
        <f>TableOUMUARTST[[#This Row],[Ver]]</f>
        <v>2</v>
      </c>
      <c r="C154" t="str">
        <f>LEFT(TableOUMUARTST[[#This Row],[Structure Line]], FIND(" ", TableOUMUARTST[[#This Row],[Structure Line]])-1)</f>
        <v>EDC460</v>
      </c>
      <c r="D154" t="str">
        <f>MID(TableOUMUARTST[[#This Row],[Structure Line]],FIND(" ",TableOUMUARTST[[#This Row],[Structure Line]])+1,LEN(TableOUMUARTST[[#This Row],[Structure Line]]))</f>
        <v>Literacy and Numeracy for First Nations Peoples of Australia</v>
      </c>
      <c r="E154" s="50">
        <f>TableOUMUARTST[[#This Row],[Credit Points]]</f>
        <v>25</v>
      </c>
      <c r="F154" s="79">
        <v>1</v>
      </c>
      <c r="G154" s="79" t="s">
        <v>588</v>
      </c>
      <c r="H154" s="79">
        <v>0</v>
      </c>
      <c r="I154" s="79" t="s">
        <v>563</v>
      </c>
      <c r="J154" s="79" t="s">
        <v>162</v>
      </c>
      <c r="K154" s="79">
        <v>2</v>
      </c>
      <c r="L154" s="79" t="s">
        <v>611</v>
      </c>
      <c r="M154" s="79">
        <v>25</v>
      </c>
      <c r="N154" s="75">
        <v>44927</v>
      </c>
      <c r="O154" s="75"/>
      <c r="P154" s="75"/>
      <c r="Q154" t="s">
        <v>162</v>
      </c>
      <c r="R154">
        <v>2</v>
      </c>
    </row>
    <row r="155" spans="1:18" x14ac:dyDescent="0.25">
      <c r="A155" t="str">
        <f>TableOUMUARTST[[#This Row],[Study Package Code]]</f>
        <v>EDUC4047</v>
      </c>
      <c r="B155" s="5">
        <f>TableOUMUARTST[[#This Row],[Ver]]</f>
        <v>1</v>
      </c>
      <c r="C155" t="str">
        <f>LEFT(TableOUMUARTST[[#This Row],[Structure Line]], FIND(" ", TableOUMUARTST[[#This Row],[Structure Line]])-1)</f>
        <v>EDC470</v>
      </c>
      <c r="D155" t="str">
        <f>MID(TableOUMUARTST[[#This Row],[Structure Line]],FIND(" ",TableOUMUARTST[[#This Row],[Structure Line]])+1,LEN(TableOUMUARTST[[#This Row],[Structure Line]]))</f>
        <v>Technologies: Digital Solutions</v>
      </c>
      <c r="E155" s="50">
        <f>TableOUMUARTST[[#This Row],[Credit Points]]</f>
        <v>25</v>
      </c>
      <c r="F155" s="79">
        <v>1</v>
      </c>
      <c r="G155" s="79" t="s">
        <v>588</v>
      </c>
      <c r="H155" s="79">
        <v>0</v>
      </c>
      <c r="I155" s="79" t="s">
        <v>563</v>
      </c>
      <c r="J155" s="79" t="s">
        <v>166</v>
      </c>
      <c r="K155" s="79">
        <v>1</v>
      </c>
      <c r="L155" s="79" t="s">
        <v>612</v>
      </c>
      <c r="M155" s="79">
        <v>25</v>
      </c>
      <c r="N155" s="75">
        <v>43466</v>
      </c>
      <c r="O155" s="75"/>
      <c r="P155" s="75"/>
      <c r="Q155" t="s">
        <v>166</v>
      </c>
      <c r="R155">
        <v>1</v>
      </c>
    </row>
    <row r="156" spans="1:18" x14ac:dyDescent="0.25">
      <c r="A156" t="str">
        <f>TableOUMUARTST[[#This Row],[Study Package Code]]</f>
        <v>VISA2011</v>
      </c>
      <c r="B156" s="5">
        <f>TableOUMUARTST[[#This Row],[Ver]]</f>
        <v>3</v>
      </c>
      <c r="C156" t="str">
        <f>LEFT(TableOUMUARTST[[#This Row],[Structure Line]], FIND(" ", TableOUMUARTST[[#This Row],[Structure Line]])-1)</f>
        <v>VSW210</v>
      </c>
      <c r="D156" t="str">
        <f>MID(TableOUMUARTST[[#This Row],[Structure Line]],FIND(" ",TableOUMUARTST[[#This Row],[Structure Line]])+1,LEN(TableOUMUARTST[[#This Row],[Structure Line]]))</f>
        <v>Fine Art Studio Strategies</v>
      </c>
      <c r="E156" s="50">
        <f>TableOUMUARTST[[#This Row],[Credit Points]]</f>
        <v>25</v>
      </c>
      <c r="F156" s="79">
        <v>8</v>
      </c>
      <c r="G156" s="79" t="s">
        <v>634</v>
      </c>
      <c r="H156" s="79">
        <v>2</v>
      </c>
      <c r="I156" s="79" t="s">
        <v>563</v>
      </c>
      <c r="J156" s="79" t="s">
        <v>240</v>
      </c>
      <c r="K156" s="79">
        <v>3</v>
      </c>
      <c r="L156" s="79" t="s">
        <v>658</v>
      </c>
      <c r="M156" s="79">
        <v>25</v>
      </c>
      <c r="N156" s="104">
        <v>43831</v>
      </c>
      <c r="O156" s="104"/>
      <c r="Q156" t="s">
        <v>240</v>
      </c>
      <c r="R156">
        <v>3</v>
      </c>
    </row>
    <row r="157" spans="1:18" x14ac:dyDescent="0.25">
      <c r="A157" t="str">
        <f>TableOUMUARTST[[#This Row],[Study Package Code]]</f>
        <v>VISA2012</v>
      </c>
      <c r="B157" s="5">
        <f>TableOUMUARTST[[#This Row],[Ver]]</f>
        <v>3</v>
      </c>
      <c r="C157" t="str">
        <f>LEFT(TableOUMUARTST[[#This Row],[Structure Line]], FIND(" ", TableOUMUARTST[[#This Row],[Structure Line]])-1)</f>
        <v>VSW220</v>
      </c>
      <c r="D157" t="str">
        <f>MID(TableOUMUARTST[[#This Row],[Structure Line]],FIND(" ",TableOUMUARTST[[#This Row],[Structure Line]])+1,LEN(TableOUMUARTST[[#This Row],[Structure Line]]))</f>
        <v>Fine Art Studio Processes</v>
      </c>
      <c r="E157" s="50">
        <f>TableOUMUARTST[[#This Row],[Credit Points]]</f>
        <v>25</v>
      </c>
      <c r="F157" s="79">
        <v>8</v>
      </c>
      <c r="G157" s="79" t="s">
        <v>634</v>
      </c>
      <c r="H157" s="79">
        <v>2</v>
      </c>
      <c r="I157" s="79" t="s">
        <v>563</v>
      </c>
      <c r="J157" s="79" t="s">
        <v>242</v>
      </c>
      <c r="K157" s="79">
        <v>3</v>
      </c>
      <c r="L157" s="79" t="s">
        <v>659</v>
      </c>
      <c r="M157" s="79">
        <v>25</v>
      </c>
      <c r="N157" s="75">
        <v>43831</v>
      </c>
      <c r="O157" s="75"/>
      <c r="P157" s="61"/>
      <c r="Q157" t="s">
        <v>242</v>
      </c>
      <c r="R157">
        <v>3</v>
      </c>
    </row>
    <row r="158" spans="1:18" x14ac:dyDescent="0.25">
      <c r="A158" s="47"/>
      <c r="B158" s="49"/>
      <c r="C158" s="47"/>
      <c r="D158" s="47"/>
      <c r="G158" s="48" t="s">
        <v>548</v>
      </c>
      <c r="H158" s="199">
        <v>45658</v>
      </c>
      <c r="J158" s="209" t="s">
        <v>194</v>
      </c>
      <c r="K158" s="200" t="s">
        <v>192</v>
      </c>
      <c r="L158" s="209" t="s">
        <v>176</v>
      </c>
      <c r="M158" s="47"/>
      <c r="N158" s="107" t="s">
        <v>549</v>
      </c>
      <c r="O158" s="75">
        <v>45604</v>
      </c>
      <c r="P158" s="75"/>
    </row>
    <row r="159" spans="1:18" ht="31.5" x14ac:dyDescent="0.25">
      <c r="A159" s="61" t="s">
        <v>0</v>
      </c>
      <c r="B159" s="62" t="s">
        <v>551</v>
      </c>
      <c r="C159" s="61" t="s">
        <v>18</v>
      </c>
      <c r="D159" s="61" t="s">
        <v>3</v>
      </c>
      <c r="E159" s="63" t="s">
        <v>552</v>
      </c>
      <c r="F159" s="61" t="s">
        <v>553</v>
      </c>
      <c r="G159" s="61" t="s">
        <v>554</v>
      </c>
      <c r="H159" s="61" t="s">
        <v>555</v>
      </c>
      <c r="I159" s="61" t="s">
        <v>19</v>
      </c>
      <c r="J159" s="61" t="s">
        <v>556</v>
      </c>
      <c r="K159" s="61" t="s">
        <v>1</v>
      </c>
      <c r="L159" s="61" t="s">
        <v>557</v>
      </c>
      <c r="M159" s="61" t="s">
        <v>60</v>
      </c>
      <c r="N159" s="61" t="s">
        <v>558</v>
      </c>
      <c r="O159" s="61" t="s">
        <v>559</v>
      </c>
      <c r="P159" s="75"/>
      <c r="Q159" t="s">
        <v>560</v>
      </c>
      <c r="R159" t="s">
        <v>561</v>
      </c>
    </row>
    <row r="160" spans="1:18" x14ac:dyDescent="0.25">
      <c r="A160" t="str">
        <f>TableOUMUENGLT[[#This Row],[Study Package Code]]</f>
        <v>Opt-ENGL1</v>
      </c>
      <c r="B160" s="5">
        <f>TableOUMUENGLT[[#This Row],[Ver]]</f>
        <v>0</v>
      </c>
      <c r="D160" t="str">
        <f>TableOUMUENGLT[[#This Row],[Structure Line]]</f>
        <v>Choose Options</v>
      </c>
      <c r="E160" s="50" t="str">
        <f>TableOUMUENGLT[[#This Row],[Credit Points]]</f>
        <v/>
      </c>
      <c r="F160" s="79">
        <v>1</v>
      </c>
      <c r="G160" s="79" t="s">
        <v>588</v>
      </c>
      <c r="H160" s="79">
        <v>0</v>
      </c>
      <c r="I160" s="79" t="s">
        <v>563</v>
      </c>
      <c r="J160" s="79" t="s">
        <v>239</v>
      </c>
      <c r="K160" s="79">
        <v>0</v>
      </c>
      <c r="L160" s="79" t="s">
        <v>646</v>
      </c>
      <c r="M160" s="79" t="s">
        <v>647</v>
      </c>
      <c r="N160" s="75"/>
      <c r="O160" s="75"/>
      <c r="P160" s="75"/>
      <c r="Q160" t="s">
        <v>239</v>
      </c>
      <c r="R160">
        <v>0</v>
      </c>
    </row>
    <row r="161" spans="1:18" x14ac:dyDescent="0.25">
      <c r="A161" t="str">
        <f>TableOUMUENGLT[[#This Row],[Study Package Code]]</f>
        <v>EDSC4031</v>
      </c>
      <c r="B161" s="5">
        <f>TableOUMUENGLT[[#This Row],[Ver]]</f>
        <v>1</v>
      </c>
      <c r="C161" t="str">
        <f>LEFT(TableOUMUENGLT[[#This Row],[Structure Line]], FIND(" ", TableOUMUENGLT[[#This Row],[Structure Line]])-1)</f>
        <v>EDS133</v>
      </c>
      <c r="D161" t="str">
        <f>MID(TableOUMUENGLT[[#This Row],[Structure Line]],FIND(" ",TableOUMUENGLT[[#This Row],[Structure Line]])+1,LEN(TableOUMUENGLT[[#This Row],[Structure Line]]))</f>
        <v>Curriculum and Instruction Lower Secondary: English</v>
      </c>
      <c r="E161" s="50">
        <f>TableOUMUENGLT[[#This Row],[Credit Points]]</f>
        <v>25</v>
      </c>
      <c r="F161" s="79">
        <v>2</v>
      </c>
      <c r="G161" s="79" t="s">
        <v>562</v>
      </c>
      <c r="H161" s="79">
        <v>1</v>
      </c>
      <c r="I161" s="79" t="s">
        <v>563</v>
      </c>
      <c r="J161" s="79" t="s">
        <v>208</v>
      </c>
      <c r="K161" s="79">
        <v>1</v>
      </c>
      <c r="L161" s="79" t="s">
        <v>660</v>
      </c>
      <c r="M161" s="79">
        <v>25</v>
      </c>
      <c r="N161" s="75">
        <v>43466</v>
      </c>
      <c r="O161" s="75"/>
      <c r="P161" s="75"/>
      <c r="Q161" t="s">
        <v>208</v>
      </c>
      <c r="R161">
        <v>1</v>
      </c>
    </row>
    <row r="162" spans="1:18" x14ac:dyDescent="0.25">
      <c r="A162" t="str">
        <f>TableOUMUENGLT[[#This Row],[Study Package Code]]</f>
        <v>LCST1005</v>
      </c>
      <c r="B162" s="5">
        <f>TableOUMUENGLT[[#This Row],[Ver]]</f>
        <v>1</v>
      </c>
      <c r="C162" t="str">
        <f>LEFT(TableOUMUENGLT[[#This Row],[Structure Line]], FIND(" ", TableOUMUENGLT[[#This Row],[Structure Line]])-1)</f>
        <v>ENG100</v>
      </c>
      <c r="D162" t="str">
        <f>MID(TableOUMUENGLT[[#This Row],[Structure Line]],FIND(" ",TableOUMUENGLT[[#This Row],[Structure Line]])+1,LEN(TableOUMUENGLT[[#This Row],[Structure Line]]))</f>
        <v>Introduction to Cultural Studies</v>
      </c>
      <c r="E162" s="50">
        <f>TableOUMUENGLT[[#This Row],[Credit Points]]</f>
        <v>25</v>
      </c>
      <c r="F162" s="79">
        <v>3</v>
      </c>
      <c r="G162" s="79" t="s">
        <v>562</v>
      </c>
      <c r="H162" s="79">
        <v>1</v>
      </c>
      <c r="I162" s="79" t="s">
        <v>563</v>
      </c>
      <c r="J162" s="79" t="s">
        <v>205</v>
      </c>
      <c r="K162" s="79">
        <v>1</v>
      </c>
      <c r="L162" s="79" t="s">
        <v>661</v>
      </c>
      <c r="M162" s="79">
        <v>25</v>
      </c>
      <c r="N162" s="75">
        <v>44562</v>
      </c>
      <c r="O162" s="75"/>
      <c r="P162" s="75"/>
      <c r="Q162" t="s">
        <v>205</v>
      </c>
      <c r="R162">
        <v>1</v>
      </c>
    </row>
    <row r="163" spans="1:18" x14ac:dyDescent="0.25">
      <c r="A163" t="str">
        <f>TableOUMUENGLT[[#This Row],[Study Package Code]]</f>
        <v>CWRI1004</v>
      </c>
      <c r="B163" s="5">
        <f>TableOUMUENGLT[[#This Row],[Ver]]</f>
        <v>4</v>
      </c>
      <c r="C163" t="str">
        <f>LEFT(TableOUMUENGLT[[#This Row],[Structure Line]], FIND(" ", TableOUMUENGLT[[#This Row],[Structure Line]])-1)</f>
        <v>MCA110</v>
      </c>
      <c r="D163" t="str">
        <f>MID(TableOUMUENGLT[[#This Row],[Structure Line]],FIND(" ",TableOUMUENGLT[[#This Row],[Structure Line]])+1,LEN(TableOUMUENGLT[[#This Row],[Structure Line]]))</f>
        <v>Engaging Narrative</v>
      </c>
      <c r="E163" s="50">
        <f>TableOUMUENGLT[[#This Row],[Credit Points]]</f>
        <v>25</v>
      </c>
      <c r="F163" s="79">
        <v>4</v>
      </c>
      <c r="G163" s="79" t="s">
        <v>562</v>
      </c>
      <c r="H163" s="79">
        <v>1</v>
      </c>
      <c r="I163" s="79" t="s">
        <v>563</v>
      </c>
      <c r="J163" s="79" t="s">
        <v>202</v>
      </c>
      <c r="K163" s="79">
        <v>4</v>
      </c>
      <c r="L163" s="79" t="s">
        <v>662</v>
      </c>
      <c r="M163" s="79">
        <v>25</v>
      </c>
      <c r="N163" s="75">
        <v>44562</v>
      </c>
      <c r="O163" s="75"/>
      <c r="P163" s="75"/>
      <c r="Q163" t="s">
        <v>202</v>
      </c>
      <c r="R163">
        <v>4</v>
      </c>
    </row>
    <row r="164" spans="1:18" x14ac:dyDescent="0.25">
      <c r="A164" t="str">
        <f>TableOUMUENGLT[[#This Row],[Study Package Code]]</f>
        <v>EDUC4025</v>
      </c>
      <c r="B164" s="5">
        <f>TableOUMUENGLT[[#This Row],[Ver]]</f>
        <v>1</v>
      </c>
      <c r="C164" t="str">
        <f>LEFT(TableOUMUENGLT[[#This Row],[Structure Line]], FIND(" ", TableOUMUENGLT[[#This Row],[Structure Line]])-1)</f>
        <v>EDC487</v>
      </c>
      <c r="D164" t="str">
        <f>MID(TableOUMUENGLT[[#This Row],[Structure Line]],FIND(" ",TableOUMUENGLT[[#This Row],[Structure Line]])+1,LEN(TableOUMUENGLT[[#This Row],[Structure Line]]))</f>
        <v>Creative Literacies</v>
      </c>
      <c r="E164" s="50">
        <f>TableOUMUENGLT[[#This Row],[Credit Points]]</f>
        <v>25</v>
      </c>
      <c r="F164" s="79">
        <v>5</v>
      </c>
      <c r="G164" s="79" t="s">
        <v>562</v>
      </c>
      <c r="H164" s="79">
        <v>2</v>
      </c>
      <c r="I164" s="79" t="s">
        <v>563</v>
      </c>
      <c r="J164" s="79" t="s">
        <v>157</v>
      </c>
      <c r="K164" s="79">
        <v>1</v>
      </c>
      <c r="L164" s="79" t="s">
        <v>601</v>
      </c>
      <c r="M164" s="79">
        <v>25</v>
      </c>
      <c r="N164" s="75">
        <v>43282</v>
      </c>
      <c r="O164" s="75"/>
      <c r="P164" s="75"/>
      <c r="Q164" t="s">
        <v>157</v>
      </c>
      <c r="R164">
        <v>1</v>
      </c>
    </row>
    <row r="165" spans="1:18" x14ac:dyDescent="0.25">
      <c r="A165" t="str">
        <f>TableOUMUENGLT[[#This Row],[Study Package Code]]</f>
        <v>EDSC4019</v>
      </c>
      <c r="B165" s="5">
        <f>TableOUMUENGLT[[#This Row],[Ver]]</f>
        <v>2</v>
      </c>
      <c r="C165" t="str">
        <f>LEFT(TableOUMUENGLT[[#This Row],[Structure Line]], FIND(" ", TableOUMUENGLT[[#This Row],[Structure Line]])-1)</f>
        <v>EDS365</v>
      </c>
      <c r="D165" t="str">
        <f>MID(TableOUMUENGLT[[#This Row],[Structure Line]],FIND(" ",TableOUMUENGLT[[#This Row],[Structure Line]])+1,LEN(TableOUMUENGLT[[#This Row],[Structure Line]]))</f>
        <v>Curriculum and Instruction Senior Secondary: English</v>
      </c>
      <c r="E165" s="50">
        <f>TableOUMUENGLT[[#This Row],[Credit Points]]</f>
        <v>25</v>
      </c>
      <c r="F165" s="79">
        <v>6</v>
      </c>
      <c r="G165" s="79" t="s">
        <v>562</v>
      </c>
      <c r="H165" s="79">
        <v>2</v>
      </c>
      <c r="I165" s="79" t="s">
        <v>563</v>
      </c>
      <c r="J165" s="79" t="s">
        <v>224</v>
      </c>
      <c r="K165" s="79">
        <v>2</v>
      </c>
      <c r="L165" s="79" t="s">
        <v>663</v>
      </c>
      <c r="M165" s="79">
        <v>25</v>
      </c>
      <c r="N165" s="75">
        <v>43831</v>
      </c>
      <c r="O165" s="75"/>
      <c r="P165" s="75"/>
      <c r="Q165" t="s">
        <v>224</v>
      </c>
      <c r="R165">
        <v>2</v>
      </c>
    </row>
    <row r="166" spans="1:18" x14ac:dyDescent="0.25">
      <c r="A166" t="str">
        <f>TableOUMUENGLT[[#This Row],[Study Package Code]]</f>
        <v>LCST2008</v>
      </c>
      <c r="B166" s="5">
        <f>TableOUMUENGLT[[#This Row],[Ver]]</f>
        <v>2</v>
      </c>
      <c r="C166" t="str">
        <f>LEFT(TableOUMUENGLT[[#This Row],[Structure Line]], FIND(" ", TableOUMUENGLT[[#This Row],[Structure Line]])-1)</f>
        <v>ENG200</v>
      </c>
      <c r="D166" t="str">
        <f>MID(TableOUMUENGLT[[#This Row],[Structure Line]],FIND(" ",TableOUMUENGLT[[#This Row],[Structure Line]])+1,LEN(TableOUMUENGLT[[#This Row],[Structure Line]]))</f>
        <v>Genre and Classic Texts</v>
      </c>
      <c r="E166" s="50">
        <f>TableOUMUENGLT[[#This Row],[Credit Points]]</f>
        <v>25</v>
      </c>
      <c r="F166" s="79">
        <v>7</v>
      </c>
      <c r="G166" s="79" t="s">
        <v>562</v>
      </c>
      <c r="H166" s="79">
        <v>2</v>
      </c>
      <c r="I166" s="79" t="s">
        <v>563</v>
      </c>
      <c r="J166" s="79" t="s">
        <v>216</v>
      </c>
      <c r="K166" s="79">
        <v>2</v>
      </c>
      <c r="L166" s="79" t="s">
        <v>664</v>
      </c>
      <c r="M166" s="79">
        <v>25</v>
      </c>
      <c r="N166" s="75">
        <v>45383</v>
      </c>
      <c r="O166" s="75"/>
      <c r="P166" s="75"/>
      <c r="Q166" t="s">
        <v>216</v>
      </c>
      <c r="R166">
        <v>2</v>
      </c>
    </row>
    <row r="167" spans="1:18" x14ac:dyDescent="0.25">
      <c r="A167" t="str">
        <f>TableOUMUENGLT[[#This Row],[Study Package Code]]</f>
        <v>PWRP1001</v>
      </c>
      <c r="B167" s="5">
        <f>TableOUMUENGLT[[#This Row],[Ver]]</f>
        <v>2</v>
      </c>
      <c r="C167" t="str">
        <f>LEFT(TableOUMUENGLT[[#This Row],[Structure Line]], FIND(" ", TableOUMUENGLT[[#This Row],[Structure Line]])-1)</f>
        <v>PWP110</v>
      </c>
      <c r="D167" t="str">
        <f>MID(TableOUMUENGLT[[#This Row],[Structure Line]],FIND(" ",TableOUMUENGLT[[#This Row],[Structure Line]])+1,LEN(TableOUMUENGLT[[#This Row],[Structure Line]]))</f>
        <v>Introduction to Creative and Professional Writing</v>
      </c>
      <c r="E167" s="50">
        <f>TableOUMUENGLT[[#This Row],[Credit Points]]</f>
        <v>25</v>
      </c>
      <c r="F167" s="79">
        <v>8</v>
      </c>
      <c r="G167" s="79" t="s">
        <v>562</v>
      </c>
      <c r="H167" s="79">
        <v>2</v>
      </c>
      <c r="I167" s="79" t="s">
        <v>563</v>
      </c>
      <c r="J167" s="79" t="s">
        <v>212</v>
      </c>
      <c r="K167" s="79">
        <v>2</v>
      </c>
      <c r="L167" s="79" t="s">
        <v>665</v>
      </c>
      <c r="M167" s="79">
        <v>25</v>
      </c>
      <c r="N167" s="75">
        <v>44197</v>
      </c>
      <c r="O167" s="75"/>
      <c r="P167" s="75"/>
      <c r="Q167" t="s">
        <v>212</v>
      </c>
      <c r="R167">
        <v>2</v>
      </c>
    </row>
    <row r="168" spans="1:18" x14ac:dyDescent="0.25">
      <c r="A168" t="str">
        <f>TableOUMUENGLT[[#This Row],[Study Package Code]]</f>
        <v>EDUC4024</v>
      </c>
      <c r="B168" s="5">
        <f>TableOUMUENGLT[[#This Row],[Ver]]</f>
        <v>1</v>
      </c>
      <c r="C168" t="str">
        <f>LEFT(TableOUMUENGLT[[#This Row],[Structure Line]], FIND(" ", TableOUMUENGLT[[#This Row],[Structure Line]])-1)</f>
        <v>EDC486</v>
      </c>
      <c r="D168" t="str">
        <f>MID(TableOUMUENGLT[[#This Row],[Structure Line]],FIND(" ",TableOUMUENGLT[[#This Row],[Structure Line]])+1,LEN(TableOUMUENGLT[[#This Row],[Structure Line]]))</f>
        <v>Creating and Responding to Literature</v>
      </c>
      <c r="E168" s="50">
        <f>TableOUMUENGLT[[#This Row],[Credit Points]]</f>
        <v>25</v>
      </c>
      <c r="F168" s="79">
        <v>9</v>
      </c>
      <c r="G168" s="79" t="s">
        <v>562</v>
      </c>
      <c r="H168" s="79">
        <v>3</v>
      </c>
      <c r="I168" s="79" t="s">
        <v>563</v>
      </c>
      <c r="J168" s="79" t="s">
        <v>156</v>
      </c>
      <c r="K168" s="79">
        <v>1</v>
      </c>
      <c r="L168" s="79" t="s">
        <v>600</v>
      </c>
      <c r="M168" s="79">
        <v>25</v>
      </c>
      <c r="N168" s="75">
        <v>43282</v>
      </c>
      <c r="O168" s="75"/>
      <c r="P168" s="75"/>
      <c r="Q168" t="s">
        <v>156</v>
      </c>
      <c r="R168">
        <v>1</v>
      </c>
    </row>
    <row r="169" spans="1:18" x14ac:dyDescent="0.25">
      <c r="A169" t="str">
        <f>TableOUMUENGLT[[#This Row],[Study Package Code]]</f>
        <v>LCST2009</v>
      </c>
      <c r="B169" s="5">
        <f>TableOUMUENGLT[[#This Row],[Ver]]</f>
        <v>1</v>
      </c>
      <c r="C169" t="str">
        <f>LEFT(TableOUMUENGLT[[#This Row],[Structure Line]], FIND(" ", TableOUMUENGLT[[#This Row],[Structure Line]])-1)</f>
        <v>ENG210</v>
      </c>
      <c r="D169" t="str">
        <f>MID(TableOUMUENGLT[[#This Row],[Structure Line]],FIND(" ",TableOUMUENGLT[[#This Row],[Structure Line]])+1,LEN(TableOUMUENGLT[[#This Row],[Structure Line]]))</f>
        <v>Reading Gender</v>
      </c>
      <c r="E169" s="50">
        <f>TableOUMUENGLT[[#This Row],[Credit Points]]</f>
        <v>25</v>
      </c>
      <c r="F169" s="79">
        <v>10</v>
      </c>
      <c r="G169" s="79" t="s">
        <v>562</v>
      </c>
      <c r="H169" s="79">
        <v>3</v>
      </c>
      <c r="I169" s="79" t="s">
        <v>563</v>
      </c>
      <c r="J169" s="79" t="s">
        <v>219</v>
      </c>
      <c r="K169" s="79">
        <v>1</v>
      </c>
      <c r="L169" s="79" t="s">
        <v>666</v>
      </c>
      <c r="M169" s="79">
        <v>25</v>
      </c>
      <c r="N169" s="75">
        <v>44562</v>
      </c>
      <c r="O169" s="75"/>
      <c r="P169" s="75"/>
      <c r="Q169" t="s">
        <v>219</v>
      </c>
      <c r="R169">
        <v>1</v>
      </c>
    </row>
    <row r="170" spans="1:18" x14ac:dyDescent="0.25">
      <c r="A170" t="str">
        <f>TableOUMUENGLT[[#This Row],[Study Package Code]]</f>
        <v>LCST3008</v>
      </c>
      <c r="B170" s="5">
        <f>TableOUMUENGLT[[#This Row],[Ver]]</f>
        <v>1</v>
      </c>
      <c r="C170" t="str">
        <f>LEFT(TableOUMUENGLT[[#This Row],[Structure Line]], FIND(" ", TableOUMUENGLT[[#This Row],[Structure Line]])-1)</f>
        <v>ENG300</v>
      </c>
      <c r="D170" t="str">
        <f>MID(TableOUMUENGLT[[#This Row],[Structure Line]],FIND(" ",TableOUMUENGLT[[#This Row],[Structure Line]])+1,LEN(TableOUMUENGLT[[#This Row],[Structure Line]]))</f>
        <v>Decolonising Place</v>
      </c>
      <c r="E170" s="50">
        <f>TableOUMUENGLT[[#This Row],[Credit Points]]</f>
        <v>25</v>
      </c>
      <c r="F170" s="79">
        <v>11</v>
      </c>
      <c r="G170" s="79" t="s">
        <v>562</v>
      </c>
      <c r="H170" s="79">
        <v>4</v>
      </c>
      <c r="I170" s="79" t="s">
        <v>563</v>
      </c>
      <c r="J170" s="79" t="s">
        <v>235</v>
      </c>
      <c r="K170" s="79">
        <v>1</v>
      </c>
      <c r="L170" s="79" t="s">
        <v>667</v>
      </c>
      <c r="M170" s="79">
        <v>25</v>
      </c>
      <c r="N170" s="75">
        <v>44562</v>
      </c>
      <c r="O170" s="75"/>
      <c r="P170" s="75"/>
      <c r="Q170" t="s">
        <v>235</v>
      </c>
      <c r="R170">
        <v>1</v>
      </c>
    </row>
    <row r="171" spans="1:18" x14ac:dyDescent="0.25">
      <c r="A171" t="str">
        <f>TableOUMUENGLT[[#This Row],[Study Package Code]]</f>
        <v>LCST3009</v>
      </c>
      <c r="B171" s="5">
        <f>TableOUMUENGLT[[#This Row],[Ver]]</f>
        <v>1</v>
      </c>
      <c r="C171" t="str">
        <f>LEFT(TableOUMUENGLT[[#This Row],[Structure Line]], FIND(" ", TableOUMUENGLT[[#This Row],[Structure Line]])-1)</f>
        <v>ENG310</v>
      </c>
      <c r="D171" t="str">
        <f>MID(TableOUMUENGLT[[#This Row],[Structure Line]],FIND(" ",TableOUMUENGLT[[#This Row],[Structure Line]])+1,LEN(TableOUMUENGLT[[#This Row],[Structure Line]]))</f>
        <v>Textual Futures</v>
      </c>
      <c r="E171" s="50">
        <f>TableOUMUENGLT[[#This Row],[Credit Points]]</f>
        <v>25</v>
      </c>
      <c r="F171" s="79">
        <v>12</v>
      </c>
      <c r="G171" s="79" t="s">
        <v>562</v>
      </c>
      <c r="H171" s="79">
        <v>4</v>
      </c>
      <c r="I171" s="79" t="s">
        <v>563</v>
      </c>
      <c r="J171" s="79" t="s">
        <v>238</v>
      </c>
      <c r="K171" s="79">
        <v>1</v>
      </c>
      <c r="L171" s="79" t="s">
        <v>668</v>
      </c>
      <c r="M171" s="79">
        <v>25</v>
      </c>
      <c r="N171" s="75">
        <v>44562</v>
      </c>
      <c r="O171" s="75"/>
      <c r="P171" s="75"/>
      <c r="Q171" t="s">
        <v>238</v>
      </c>
      <c r="R171">
        <v>1</v>
      </c>
    </row>
    <row r="172" spans="1:18" x14ac:dyDescent="0.25">
      <c r="A172" t="str">
        <f>TableOUMUENGLT[[#This Row],[Study Package Code]]</f>
        <v>CTED4004</v>
      </c>
      <c r="B172" s="5">
        <f>TableOUMUENGLT[[#This Row],[Ver]]</f>
        <v>2</v>
      </c>
      <c r="C172" t="str">
        <f>LEFT(TableOUMUENGLT[[#This Row],[Structure Line]], FIND(" ", TableOUMUENGLT[[#This Row],[Structure Line]])-1)</f>
        <v>EDC484</v>
      </c>
      <c r="D172" t="str">
        <f>MID(TableOUMUENGLT[[#This Row],[Structure Line]],FIND(" ",TableOUMUENGLT[[#This Row],[Structure Line]])+1,LEN(TableOUMUENGLT[[#This Row],[Structure Line]]))</f>
        <v>Teaching About Sacraments in Catholic Schools</v>
      </c>
      <c r="E172" s="50">
        <f>TableOUMUENGLT[[#This Row],[Credit Points]]</f>
        <v>25</v>
      </c>
      <c r="F172" s="79">
        <v>1</v>
      </c>
      <c r="G172" s="79" t="s">
        <v>588</v>
      </c>
      <c r="H172" s="79">
        <v>0</v>
      </c>
      <c r="I172" s="79" t="s">
        <v>563</v>
      </c>
      <c r="J172" s="79" t="s">
        <v>168</v>
      </c>
      <c r="K172" s="79">
        <v>2</v>
      </c>
      <c r="L172" s="79" t="s">
        <v>595</v>
      </c>
      <c r="M172" s="79">
        <v>25</v>
      </c>
      <c r="N172" s="75">
        <v>45292</v>
      </c>
      <c r="O172" s="75"/>
      <c r="P172" s="75"/>
      <c r="Q172" t="s">
        <v>168</v>
      </c>
      <c r="R172">
        <v>2</v>
      </c>
    </row>
    <row r="173" spans="1:18" x14ac:dyDescent="0.25">
      <c r="A173" t="str">
        <f>TableOUMUENGLT[[#This Row],[Study Package Code]]</f>
        <v>CTED4007</v>
      </c>
      <c r="B173" s="5">
        <f>TableOUMUENGLT[[#This Row],[Ver]]</f>
        <v>1</v>
      </c>
      <c r="C173" t="str">
        <f>LEFT(TableOUMUENGLT[[#This Row],[Structure Line]], FIND(" ", TableOUMUENGLT[[#This Row],[Structure Line]])-1)</f>
        <v>EDC430</v>
      </c>
      <c r="D173" t="str">
        <f>MID(TableOUMUENGLT[[#This Row],[Structure Line]],FIND(" ",TableOUMUENGLT[[#This Row],[Structure Line]])+1,LEN(TableOUMUENGLT[[#This Row],[Structure Line]]))</f>
        <v>Teaching About Jesus in Catholic Schools</v>
      </c>
      <c r="E173" s="50">
        <f>TableOUMUENGLT[[#This Row],[Credit Points]]</f>
        <v>25</v>
      </c>
      <c r="F173" s="79">
        <v>1</v>
      </c>
      <c r="G173" s="79" t="s">
        <v>588</v>
      </c>
      <c r="H173" s="79">
        <v>0</v>
      </c>
      <c r="I173" s="79" t="s">
        <v>563</v>
      </c>
      <c r="J173" s="79" t="s">
        <v>169</v>
      </c>
      <c r="K173" s="79">
        <v>1</v>
      </c>
      <c r="L173" s="79" t="s">
        <v>597</v>
      </c>
      <c r="M173" s="79">
        <v>25</v>
      </c>
      <c r="N173" s="75">
        <v>45292</v>
      </c>
      <c r="O173" s="75"/>
      <c r="P173" s="75"/>
      <c r="Q173" t="s">
        <v>169</v>
      </c>
      <c r="R173">
        <v>1</v>
      </c>
    </row>
    <row r="174" spans="1:18" x14ac:dyDescent="0.25">
      <c r="A174" t="str">
        <f>TableOUMUENGLT[[#This Row],[Study Package Code]]</f>
        <v>CTED4009</v>
      </c>
      <c r="B174" s="5">
        <f>TableOUMUENGLT[[#This Row],[Ver]]</f>
        <v>1</v>
      </c>
      <c r="C174" t="str">
        <f>LEFT(TableOUMUENGLT[[#This Row],[Structure Line]], FIND(" ", TableOUMUENGLT[[#This Row],[Structure Line]])-1)</f>
        <v>EDC435</v>
      </c>
      <c r="D174" t="str">
        <f>MID(TableOUMUENGLT[[#This Row],[Structure Line]],FIND(" ",TableOUMUENGLT[[#This Row],[Structure Line]])+1,LEN(TableOUMUENGLT[[#This Row],[Structure Line]]))</f>
        <v>Teaching About the Gospels in Catholic Schools</v>
      </c>
      <c r="E174" s="50">
        <f>TableOUMUENGLT[[#This Row],[Credit Points]]</f>
        <v>25</v>
      </c>
      <c r="F174" s="79">
        <v>1</v>
      </c>
      <c r="G174" s="79" t="s">
        <v>588</v>
      </c>
      <c r="H174" s="79">
        <v>0</v>
      </c>
      <c r="I174" s="79" t="s">
        <v>563</v>
      </c>
      <c r="J174" s="79" t="s">
        <v>170</v>
      </c>
      <c r="K174" s="79">
        <v>1</v>
      </c>
      <c r="L174" s="79" t="s">
        <v>598</v>
      </c>
      <c r="M174" s="79">
        <v>25</v>
      </c>
      <c r="N174" s="75">
        <v>45292</v>
      </c>
      <c r="O174" s="75"/>
      <c r="P174" s="75"/>
      <c r="Q174" t="s">
        <v>170</v>
      </c>
      <c r="R174">
        <v>1</v>
      </c>
    </row>
    <row r="175" spans="1:18" x14ac:dyDescent="0.25">
      <c r="A175" t="str">
        <f>TableOUMUENGLT[[#This Row],[Study Package Code]]</f>
        <v>EDUC4026</v>
      </c>
      <c r="B175" s="5">
        <f>TableOUMUENGLT[[#This Row],[Ver]]</f>
        <v>1</v>
      </c>
      <c r="C175" t="str">
        <f>LEFT(TableOUMUENGLT[[#This Row],[Structure Line]], FIND(" ", TableOUMUENGLT[[#This Row],[Structure Line]])-1)</f>
        <v>EDC488</v>
      </c>
      <c r="D175" t="str">
        <f>MID(TableOUMUENGLT[[#This Row],[Structure Line]],FIND(" ",TableOUMUENGLT[[#This Row],[Structure Line]])+1,LEN(TableOUMUENGLT[[#This Row],[Structure Line]]))</f>
        <v>Project-based iSTEM Education</v>
      </c>
      <c r="E175" s="50">
        <f>TableOUMUENGLT[[#This Row],[Credit Points]]</f>
        <v>25</v>
      </c>
      <c r="F175" s="79">
        <v>1</v>
      </c>
      <c r="G175" s="79" t="s">
        <v>588</v>
      </c>
      <c r="H175" s="79">
        <v>0</v>
      </c>
      <c r="I175" s="79" t="s">
        <v>563</v>
      </c>
      <c r="J175" s="79" t="s">
        <v>152</v>
      </c>
      <c r="K175" s="79">
        <v>1</v>
      </c>
      <c r="L175" s="79" t="s">
        <v>602</v>
      </c>
      <c r="M175" s="79">
        <v>25</v>
      </c>
      <c r="N175" s="75">
        <v>43282</v>
      </c>
      <c r="O175" s="75"/>
      <c r="P175" s="75"/>
      <c r="Q175" t="s">
        <v>152</v>
      </c>
      <c r="R175">
        <v>1</v>
      </c>
    </row>
    <row r="176" spans="1:18" x14ac:dyDescent="0.25">
      <c r="A176" t="str">
        <f>TableOUMUENGLT[[#This Row],[Study Package Code]]</f>
        <v>EDUC4028</v>
      </c>
      <c r="B176" s="5">
        <f>TableOUMUENGLT[[#This Row],[Ver]]</f>
        <v>1</v>
      </c>
      <c r="C176" t="str">
        <f>LEFT(TableOUMUENGLT[[#This Row],[Structure Line]], FIND(" ", TableOUMUENGLT[[#This Row],[Structure Line]])-1)</f>
        <v>EDC490</v>
      </c>
      <c r="D176" t="str">
        <f>MID(TableOUMUENGLT[[#This Row],[Structure Line]],FIND(" ",TableOUMUENGLT[[#This Row],[Structure Line]])+1,LEN(TableOUMUENGLT[[#This Row],[Structure Line]]))</f>
        <v>Supporting Literacy and Numeracy Development for Diverse Learners</v>
      </c>
      <c r="E176" s="50">
        <f>TableOUMUENGLT[[#This Row],[Credit Points]]</f>
        <v>25</v>
      </c>
      <c r="F176" s="79">
        <v>1</v>
      </c>
      <c r="G176" s="79" t="s">
        <v>588</v>
      </c>
      <c r="H176" s="79">
        <v>0</v>
      </c>
      <c r="I176" s="79" t="s">
        <v>563</v>
      </c>
      <c r="J176" s="79" t="s">
        <v>160</v>
      </c>
      <c r="K176" s="79">
        <v>1</v>
      </c>
      <c r="L176" s="79" t="s">
        <v>604</v>
      </c>
      <c r="M176" s="79">
        <v>25</v>
      </c>
      <c r="N176" s="75">
        <v>43282</v>
      </c>
      <c r="O176" s="75"/>
      <c r="P176" s="75"/>
      <c r="Q176" t="s">
        <v>160</v>
      </c>
      <c r="R176">
        <v>1</v>
      </c>
    </row>
    <row r="177" spans="1:18" x14ac:dyDescent="0.25">
      <c r="A177" t="str">
        <f>TableOUMUENGLT[[#This Row],[Study Package Code]]</f>
        <v>EDUC4030</v>
      </c>
      <c r="B177" s="5">
        <f>TableOUMUENGLT[[#This Row],[Ver]]</f>
        <v>1</v>
      </c>
      <c r="C177" t="str">
        <f>LEFT(TableOUMUENGLT[[#This Row],[Structure Line]], FIND(" ", TableOUMUENGLT[[#This Row],[Structure Line]])-1)</f>
        <v>EDC491</v>
      </c>
      <c r="D177" t="str">
        <f>MID(TableOUMUENGLT[[#This Row],[Structure Line]],FIND(" ",TableOUMUENGLT[[#This Row],[Structure Line]])+1,LEN(TableOUMUENGLT[[#This Row],[Structure Line]]))</f>
        <v>Technologies: Coding for Teachers</v>
      </c>
      <c r="E177" s="50">
        <f>TableOUMUENGLT[[#This Row],[Credit Points]]</f>
        <v>25</v>
      </c>
      <c r="F177" s="79">
        <v>1</v>
      </c>
      <c r="G177" s="79" t="s">
        <v>588</v>
      </c>
      <c r="H177" s="79">
        <v>0</v>
      </c>
      <c r="I177" s="79" t="s">
        <v>563</v>
      </c>
      <c r="J177" s="79" t="s">
        <v>164</v>
      </c>
      <c r="K177" s="79">
        <v>1</v>
      </c>
      <c r="L177" s="79" t="s">
        <v>605</v>
      </c>
      <c r="M177" s="79">
        <v>25</v>
      </c>
      <c r="N177" s="75">
        <v>43282</v>
      </c>
      <c r="O177" s="75"/>
      <c r="P177" s="75"/>
      <c r="Q177" t="s">
        <v>164</v>
      </c>
      <c r="R177">
        <v>1</v>
      </c>
    </row>
    <row r="178" spans="1:18" x14ac:dyDescent="0.25">
      <c r="A178" t="str">
        <f>TableOUMUENGLT[[#This Row],[Study Package Code]]</f>
        <v>EDUC4033</v>
      </c>
      <c r="B178" s="5">
        <f>TableOUMUENGLT[[#This Row],[Ver]]</f>
        <v>1</v>
      </c>
      <c r="C178" t="str">
        <f>LEFT(TableOUMUENGLT[[#This Row],[Structure Line]], FIND(" ", TableOUMUENGLT[[#This Row],[Structure Line]])-1)</f>
        <v>EDC492</v>
      </c>
      <c r="D178" t="str">
        <f>MID(TableOUMUENGLT[[#This Row],[Structure Line]],FIND(" ",TableOUMUENGLT[[#This Row],[Structure Line]])+1,LEN(TableOUMUENGLT[[#This Row],[Structure Line]]))</f>
        <v>iSTEM Education through Digital Stories</v>
      </c>
      <c r="E178" s="50">
        <f>TableOUMUENGLT[[#This Row],[Credit Points]]</f>
        <v>25</v>
      </c>
      <c r="F178" s="79">
        <v>1</v>
      </c>
      <c r="G178" s="79" t="s">
        <v>588</v>
      </c>
      <c r="H178" s="79">
        <v>0</v>
      </c>
      <c r="I178" s="79" t="s">
        <v>563</v>
      </c>
      <c r="J178" s="79" t="s">
        <v>153</v>
      </c>
      <c r="K178" s="79">
        <v>1</v>
      </c>
      <c r="L178" s="79" t="s">
        <v>606</v>
      </c>
      <c r="M178" s="79">
        <v>25</v>
      </c>
      <c r="N178" s="75">
        <v>43466</v>
      </c>
      <c r="O178" s="75"/>
      <c r="P178" s="75"/>
      <c r="Q178" t="s">
        <v>153</v>
      </c>
      <c r="R178">
        <v>1</v>
      </c>
    </row>
    <row r="179" spans="1:18" x14ac:dyDescent="0.25">
      <c r="A179" t="str">
        <f>TableOUMUENGLT[[#This Row],[Study Package Code]]</f>
        <v>EDUC4035</v>
      </c>
      <c r="B179" s="5">
        <f>TableOUMUENGLT[[#This Row],[Ver]]</f>
        <v>1</v>
      </c>
      <c r="C179" t="str">
        <f>LEFT(TableOUMUENGLT[[#This Row],[Structure Line]], FIND(" ", TableOUMUENGLT[[#This Row],[Structure Line]])-1)</f>
        <v>EDC493</v>
      </c>
      <c r="D179" t="str">
        <f>MID(TableOUMUENGLT[[#This Row],[Structure Line]],FIND(" ",TableOUMUENGLT[[#This Row],[Structure Line]])+1,LEN(TableOUMUENGLT[[#This Row],[Structure Line]]))</f>
        <v>iSTEM: Social Issues</v>
      </c>
      <c r="E179" s="50">
        <f>TableOUMUENGLT[[#This Row],[Credit Points]]</f>
        <v>25</v>
      </c>
      <c r="F179" s="79">
        <v>1</v>
      </c>
      <c r="G179" s="79" t="s">
        <v>588</v>
      </c>
      <c r="H179" s="79">
        <v>0</v>
      </c>
      <c r="I179" s="79" t="s">
        <v>563</v>
      </c>
      <c r="J179" s="79" t="s">
        <v>154</v>
      </c>
      <c r="K179" s="79">
        <v>1</v>
      </c>
      <c r="L179" s="79" t="s">
        <v>607</v>
      </c>
      <c r="M179" s="79">
        <v>25</v>
      </c>
      <c r="N179" s="75">
        <v>43466</v>
      </c>
      <c r="O179" s="75"/>
      <c r="P179" s="75"/>
      <c r="Q179" t="s">
        <v>154</v>
      </c>
      <c r="R179">
        <v>1</v>
      </c>
    </row>
    <row r="180" spans="1:18" x14ac:dyDescent="0.25">
      <c r="A180" t="str">
        <f>TableOUMUENGLT[[#This Row],[Study Package Code]]</f>
        <v>EDUC4037</v>
      </c>
      <c r="B180" s="5">
        <f>TableOUMUENGLT[[#This Row],[Ver]]</f>
        <v>1</v>
      </c>
      <c r="C180" t="str">
        <f>LEFT(TableOUMUENGLT[[#This Row],[Structure Line]], FIND(" ", TableOUMUENGLT[[#This Row],[Structure Line]])-1)</f>
        <v>EDC494</v>
      </c>
      <c r="D180" t="str">
        <f>MID(TableOUMUENGLT[[#This Row],[Structure Line]],FIND(" ",TableOUMUENGLT[[#This Row],[Structure Line]])+1,LEN(TableOUMUENGLT[[#This Row],[Structure Line]]))</f>
        <v>Language and Diversity</v>
      </c>
      <c r="E180" s="50">
        <f>TableOUMUENGLT[[#This Row],[Credit Points]]</f>
        <v>25</v>
      </c>
      <c r="F180" s="79">
        <v>1</v>
      </c>
      <c r="G180" s="79" t="s">
        <v>588</v>
      </c>
      <c r="H180" s="79">
        <v>0</v>
      </c>
      <c r="I180" s="79" t="s">
        <v>563</v>
      </c>
      <c r="J180" s="79" t="s">
        <v>158</v>
      </c>
      <c r="K180" s="79">
        <v>1</v>
      </c>
      <c r="L180" s="79" t="s">
        <v>608</v>
      </c>
      <c r="M180" s="79">
        <v>25</v>
      </c>
      <c r="N180" s="75">
        <v>43466</v>
      </c>
      <c r="O180" s="75"/>
      <c r="P180" s="75"/>
      <c r="Q180" t="s">
        <v>158</v>
      </c>
      <c r="R180">
        <v>1</v>
      </c>
    </row>
    <row r="181" spans="1:18" x14ac:dyDescent="0.25">
      <c r="A181" t="str">
        <f>TableOUMUENGLT[[#This Row],[Study Package Code]]</f>
        <v>EDUC4039</v>
      </c>
      <c r="B181" s="5">
        <f>TableOUMUENGLT[[#This Row],[Ver]]</f>
        <v>1</v>
      </c>
      <c r="C181" t="str">
        <f>LEFT(TableOUMUENGLT[[#This Row],[Structure Line]], FIND(" ", TableOUMUENGLT[[#This Row],[Structure Line]])-1)</f>
        <v>EDC495</v>
      </c>
      <c r="D181" t="str">
        <f>MID(TableOUMUENGLT[[#This Row],[Structure Line]],FIND(" ",TableOUMUENGLT[[#This Row],[Structure Line]])+1,LEN(TableOUMUENGLT[[#This Row],[Structure Line]]))</f>
        <v>Technologies: Design Solutions</v>
      </c>
      <c r="E181" s="50">
        <f>TableOUMUENGLT[[#This Row],[Credit Points]]</f>
        <v>25</v>
      </c>
      <c r="F181" s="79">
        <v>1</v>
      </c>
      <c r="G181" s="79" t="s">
        <v>588</v>
      </c>
      <c r="H181" s="79">
        <v>0</v>
      </c>
      <c r="I181" s="79" t="s">
        <v>563</v>
      </c>
      <c r="J181" s="79" t="s">
        <v>165</v>
      </c>
      <c r="K181" s="79">
        <v>1</v>
      </c>
      <c r="L181" s="79" t="s">
        <v>609</v>
      </c>
      <c r="M181" s="79">
        <v>25</v>
      </c>
      <c r="N181" s="75">
        <v>43466</v>
      </c>
      <c r="O181" s="75"/>
      <c r="P181" s="75"/>
      <c r="Q181" t="s">
        <v>165</v>
      </c>
      <c r="R181">
        <v>1</v>
      </c>
    </row>
    <row r="182" spans="1:18" x14ac:dyDescent="0.25">
      <c r="A182" t="str">
        <f>TableOUMUENGLT[[#This Row],[Study Package Code]]</f>
        <v>EDUC4043</v>
      </c>
      <c r="B182" s="5">
        <f>TableOUMUENGLT[[#This Row],[Ver]]</f>
        <v>1</v>
      </c>
      <c r="C182" t="str">
        <f>LEFT(TableOUMUENGLT[[#This Row],[Structure Line]], FIND(" ", TableOUMUENGLT[[#This Row],[Structure Line]])-1)</f>
        <v>EDC465</v>
      </c>
      <c r="D182" t="str">
        <f>MID(TableOUMUENGLT[[#This Row],[Structure Line]],FIND(" ",TableOUMUENGLT[[#This Row],[Structure Line]])+1,LEN(TableOUMUENGLT[[#This Row],[Structure Line]]))</f>
        <v>Alternative Approaches to Teaching Literacy and Numeracy</v>
      </c>
      <c r="E182" s="50">
        <f>TableOUMUENGLT[[#This Row],[Credit Points]]</f>
        <v>25</v>
      </c>
      <c r="F182" s="79">
        <v>1</v>
      </c>
      <c r="G182" s="79" t="s">
        <v>588</v>
      </c>
      <c r="H182" s="79">
        <v>0</v>
      </c>
      <c r="I182" s="79" t="s">
        <v>563</v>
      </c>
      <c r="J182" s="79" t="s">
        <v>161</v>
      </c>
      <c r="K182" s="79">
        <v>1</v>
      </c>
      <c r="L182" s="79" t="s">
        <v>610</v>
      </c>
      <c r="M182" s="79">
        <v>25</v>
      </c>
      <c r="N182" s="75">
        <v>43466</v>
      </c>
      <c r="O182" s="75"/>
      <c r="P182" s="75"/>
      <c r="Q182" t="s">
        <v>161</v>
      </c>
      <c r="R182">
        <v>1</v>
      </c>
    </row>
    <row r="183" spans="1:18" x14ac:dyDescent="0.25">
      <c r="A183" t="str">
        <f>TableOUMUENGLT[[#This Row],[Study Package Code]]</f>
        <v>EDUC4045</v>
      </c>
      <c r="B183" s="5">
        <f>TableOUMUENGLT[[#This Row],[Ver]]</f>
        <v>2</v>
      </c>
      <c r="C183" t="str">
        <f>LEFT(TableOUMUENGLT[[#This Row],[Structure Line]], FIND(" ", TableOUMUENGLT[[#This Row],[Structure Line]])-1)</f>
        <v>EDC460</v>
      </c>
      <c r="D183" t="str">
        <f>MID(TableOUMUENGLT[[#This Row],[Structure Line]],FIND(" ",TableOUMUENGLT[[#This Row],[Structure Line]])+1,LEN(TableOUMUENGLT[[#This Row],[Structure Line]]))</f>
        <v>Literacy and Numeracy for First Nations Peoples of Australia</v>
      </c>
      <c r="E183" s="50">
        <f>TableOUMUENGLT[[#This Row],[Credit Points]]</f>
        <v>25</v>
      </c>
      <c r="F183" s="79">
        <v>1</v>
      </c>
      <c r="G183" s="79" t="s">
        <v>588</v>
      </c>
      <c r="H183" s="79">
        <v>0</v>
      </c>
      <c r="I183" s="79" t="s">
        <v>563</v>
      </c>
      <c r="J183" s="79" t="s">
        <v>162</v>
      </c>
      <c r="K183" s="79">
        <v>2</v>
      </c>
      <c r="L183" s="79" t="s">
        <v>611</v>
      </c>
      <c r="M183" s="79">
        <v>25</v>
      </c>
      <c r="N183" s="75">
        <v>44927</v>
      </c>
      <c r="O183" s="75"/>
      <c r="P183" s="75"/>
      <c r="Q183" t="s">
        <v>162</v>
      </c>
      <c r="R183">
        <v>2</v>
      </c>
    </row>
    <row r="184" spans="1:18" x14ac:dyDescent="0.25">
      <c r="A184" t="str">
        <f>TableOUMUENGLT[[#This Row],[Study Package Code]]</f>
        <v>EDUC4047</v>
      </c>
      <c r="B184" s="5">
        <f>TableOUMUENGLT[[#This Row],[Ver]]</f>
        <v>1</v>
      </c>
      <c r="C184" t="str">
        <f>LEFT(TableOUMUENGLT[[#This Row],[Structure Line]], FIND(" ", TableOUMUENGLT[[#This Row],[Structure Line]])-1)</f>
        <v>EDC470</v>
      </c>
      <c r="D184" t="str">
        <f>MID(TableOUMUENGLT[[#This Row],[Structure Line]],FIND(" ",TableOUMUENGLT[[#This Row],[Structure Line]])+1,LEN(TableOUMUENGLT[[#This Row],[Structure Line]]))</f>
        <v>Technologies: Digital Solutions</v>
      </c>
      <c r="E184" s="50">
        <f>TableOUMUENGLT[[#This Row],[Credit Points]]</f>
        <v>25</v>
      </c>
      <c r="F184" s="79">
        <v>1</v>
      </c>
      <c r="G184" s="79" t="s">
        <v>588</v>
      </c>
      <c r="H184" s="79">
        <v>0</v>
      </c>
      <c r="I184" s="79" t="s">
        <v>563</v>
      </c>
      <c r="J184" s="79" t="s">
        <v>166</v>
      </c>
      <c r="K184" s="79">
        <v>1</v>
      </c>
      <c r="L184" s="79" t="s">
        <v>612</v>
      </c>
      <c r="M184" s="79">
        <v>25</v>
      </c>
      <c r="N184" s="75">
        <v>43466</v>
      </c>
      <c r="O184" s="75"/>
      <c r="P184" s="75"/>
      <c r="Q184" t="s">
        <v>166</v>
      </c>
      <c r="R184">
        <v>1</v>
      </c>
    </row>
    <row r="185" spans="1:18" x14ac:dyDescent="0.25">
      <c r="A185" s="47"/>
      <c r="B185" s="49"/>
      <c r="C185" s="47"/>
      <c r="D185" s="47"/>
      <c r="G185" s="48" t="s">
        <v>548</v>
      </c>
      <c r="H185" s="199">
        <v>45658</v>
      </c>
      <c r="J185" s="209" t="s">
        <v>196</v>
      </c>
      <c r="K185" s="200" t="s">
        <v>192</v>
      </c>
      <c r="L185" s="209" t="s">
        <v>195</v>
      </c>
      <c r="M185" s="47"/>
      <c r="N185" s="107" t="s">
        <v>549</v>
      </c>
      <c r="O185" s="75">
        <v>45551</v>
      </c>
      <c r="P185" s="75"/>
      <c r="Q185" s="75"/>
    </row>
    <row r="186" spans="1:18" ht="31.5" x14ac:dyDescent="0.25">
      <c r="A186" s="61" t="s">
        <v>0</v>
      </c>
      <c r="B186" s="62" t="s">
        <v>551</v>
      </c>
      <c r="C186" s="61" t="s">
        <v>18</v>
      </c>
      <c r="D186" s="61" t="s">
        <v>3</v>
      </c>
      <c r="E186" s="63" t="s">
        <v>552</v>
      </c>
      <c r="F186" s="61" t="s">
        <v>553</v>
      </c>
      <c r="G186" s="61" t="s">
        <v>554</v>
      </c>
      <c r="H186" s="61" t="s">
        <v>555</v>
      </c>
      <c r="I186" s="61" t="s">
        <v>19</v>
      </c>
      <c r="J186" s="61" t="s">
        <v>556</v>
      </c>
      <c r="K186" s="61" t="s">
        <v>1</v>
      </c>
      <c r="L186" s="61" t="s">
        <v>557</v>
      </c>
      <c r="M186" s="61" t="s">
        <v>60</v>
      </c>
      <c r="N186" s="61" t="s">
        <v>558</v>
      </c>
      <c r="O186" s="61" t="s">
        <v>559</v>
      </c>
      <c r="P186" s="75"/>
      <c r="Q186" t="s">
        <v>560</v>
      </c>
      <c r="R186" t="s">
        <v>561</v>
      </c>
    </row>
    <row r="187" spans="1:18" x14ac:dyDescent="0.25">
      <c r="A187" t="str">
        <f>TableOUMUHUSGE[[#This Row],[Study Package Code]]</f>
        <v>Opt-HSGE1</v>
      </c>
      <c r="B187" s="5">
        <f>TableOUMUHUSGE[[#This Row],[Ver]]</f>
        <v>0</v>
      </c>
      <c r="D187" t="str">
        <f>TableOUMUHUSGE[[#This Row],[Structure Line]]</f>
        <v>Choose Options</v>
      </c>
      <c r="E187" s="50">
        <f>TableOUMUHUSGE[[#This Row],[Credit Points]]</f>
        <v>100</v>
      </c>
      <c r="F187" s="79">
        <v>1</v>
      </c>
      <c r="G187" s="79" t="s">
        <v>588</v>
      </c>
      <c r="H187" s="79">
        <v>0</v>
      </c>
      <c r="I187" s="79" t="s">
        <v>563</v>
      </c>
      <c r="J187" s="79" t="s">
        <v>250</v>
      </c>
      <c r="K187" s="79">
        <v>0</v>
      </c>
      <c r="L187" s="79" t="s">
        <v>646</v>
      </c>
      <c r="M187" s="79">
        <v>100</v>
      </c>
      <c r="N187" s="75"/>
      <c r="O187" s="75"/>
      <c r="P187" s="75"/>
    </row>
    <row r="188" spans="1:18" x14ac:dyDescent="0.25">
      <c r="A188" t="str">
        <f>TableOUMUHUSGE[[#This Row],[Study Package Code]]</f>
        <v>COMS1012</v>
      </c>
      <c r="B188" s="5">
        <f>TableOUMUHUSGE[[#This Row],[Ver]]</f>
        <v>2</v>
      </c>
      <c r="C188" t="str">
        <f>LEFT(TableOUMUHUSGE[[#This Row],[Structure Line]], FIND(" ", TableOUMUHUSGE[[#This Row],[Structure Line]])-1)</f>
        <v>COM155</v>
      </c>
      <c r="D188" t="str">
        <f>MID(TableOUMUHUSGE[[#This Row],[Structure Line]],FIND(" ",TableOUMUHUSGE[[#This Row],[Structure Line]])+1,LEN(TableOUMUHUSGE[[#This Row],[Structure Line]]))</f>
        <v>Culture to Cultures</v>
      </c>
      <c r="E188" s="50">
        <f>TableOUMUHUSGE[[#This Row],[Credit Points]]</f>
        <v>25</v>
      </c>
      <c r="F188" s="79">
        <v>2</v>
      </c>
      <c r="G188" s="79" t="s">
        <v>562</v>
      </c>
      <c r="H188" s="79">
        <v>1</v>
      </c>
      <c r="I188" s="79" t="s">
        <v>563</v>
      </c>
      <c r="J188" s="79" t="s">
        <v>206</v>
      </c>
      <c r="K188" s="79">
        <v>2</v>
      </c>
      <c r="L188" s="79" t="s">
        <v>669</v>
      </c>
      <c r="M188" s="79">
        <v>25</v>
      </c>
      <c r="N188" s="75">
        <v>44562</v>
      </c>
      <c r="O188" s="75"/>
      <c r="P188" s="75"/>
    </row>
    <row r="189" spans="1:18" x14ac:dyDescent="0.25">
      <c r="A189" t="str">
        <f>TableOUMUHUSGE[[#This Row],[Study Package Code]]</f>
        <v>EDSC4025</v>
      </c>
      <c r="B189" s="5">
        <f>TableOUMUHUSGE[[#This Row],[Ver]]</f>
        <v>1</v>
      </c>
      <c r="C189" t="str">
        <f>LEFT(TableOUMUHUSGE[[#This Row],[Structure Line]], FIND(" ", TableOUMUHUSGE[[#This Row],[Structure Line]])-1)</f>
        <v>EDS144</v>
      </c>
      <c r="D189" t="str">
        <f>MID(TableOUMUHUSGE[[#This Row],[Structure Line]],FIND(" ",TableOUMUHUSGE[[#This Row],[Structure Line]])+1,LEN(TableOUMUHUSGE[[#This Row],[Structure Line]]))</f>
        <v>Curriculum and Instruction Lower Secondary: Humanities and Social Sciences</v>
      </c>
      <c r="E189" s="50">
        <f>TableOUMUHUSGE[[#This Row],[Credit Points]]</f>
        <v>25</v>
      </c>
      <c r="F189" s="79">
        <v>3</v>
      </c>
      <c r="G189" s="79" t="s">
        <v>562</v>
      </c>
      <c r="H189" s="79">
        <v>1</v>
      </c>
      <c r="I189" s="79" t="s">
        <v>563</v>
      </c>
      <c r="J189" s="79" t="s">
        <v>209</v>
      </c>
      <c r="K189" s="79">
        <v>1</v>
      </c>
      <c r="L189" s="79" t="s">
        <v>670</v>
      </c>
      <c r="M189" s="79">
        <v>25</v>
      </c>
      <c r="N189" s="75">
        <v>43556</v>
      </c>
      <c r="O189" s="75"/>
      <c r="P189" s="75"/>
    </row>
    <row r="190" spans="1:18" x14ac:dyDescent="0.25">
      <c r="A190" t="str">
        <f>TableOUMUHUSGE[[#This Row],[Study Package Code]]</f>
        <v>GEOG1001</v>
      </c>
      <c r="B190" s="5">
        <f>TableOUMUHUSGE[[#This Row],[Ver]]</f>
        <v>1</v>
      </c>
      <c r="C190" t="str">
        <f>LEFT(TableOUMUHUSGE[[#This Row],[Structure Line]], FIND(" ", TableOUMUHUSGE[[#This Row],[Structure Line]])-1)</f>
        <v>GPH100</v>
      </c>
      <c r="D190" t="str">
        <f>MID(TableOUMUHUSGE[[#This Row],[Structure Line]],FIND(" ",TableOUMUHUSGE[[#This Row],[Structure Line]])+1,LEN(TableOUMUHUSGE[[#This Row],[Structure Line]]))</f>
        <v>Human Geography</v>
      </c>
      <c r="E190" s="50">
        <f>TableOUMUHUSGE[[#This Row],[Credit Points]]</f>
        <v>25</v>
      </c>
      <c r="F190" s="79">
        <v>4</v>
      </c>
      <c r="G190" s="79" t="s">
        <v>562</v>
      </c>
      <c r="H190" s="79">
        <v>1</v>
      </c>
      <c r="I190" s="79" t="s">
        <v>563</v>
      </c>
      <c r="J190" s="79" t="s">
        <v>203</v>
      </c>
      <c r="K190" s="79">
        <v>1</v>
      </c>
      <c r="L190" s="79" t="s">
        <v>671</v>
      </c>
      <c r="M190" s="79">
        <v>25</v>
      </c>
      <c r="N190" s="75">
        <v>42979</v>
      </c>
      <c r="O190" s="75"/>
      <c r="P190" s="75"/>
    </row>
    <row r="191" spans="1:18" x14ac:dyDescent="0.25">
      <c r="A191" t="str">
        <f>TableOUMUHUSGE[[#This Row],[Study Package Code]]</f>
        <v>ECON1002</v>
      </c>
      <c r="B191" s="5">
        <f>TableOUMUHUSGE[[#This Row],[Ver]]</f>
        <v>1</v>
      </c>
      <c r="C191" t="str">
        <f>LEFT(TableOUMUHUSGE[[#This Row],[Structure Line]], FIND(" ", TableOUMUHUSGE[[#This Row],[Structure Line]])-1)</f>
        <v>BAN12</v>
      </c>
      <c r="D191" t="str">
        <f>MID(TableOUMUHUSGE[[#This Row],[Structure Line]],FIND(" ",TableOUMUHUSGE[[#This Row],[Structure Line]])+1,LEN(TableOUMUHUSGE[[#This Row],[Structure Line]]))</f>
        <v>Introductory Economics</v>
      </c>
      <c r="E191" s="50">
        <f>TableOUMUHUSGE[[#This Row],[Credit Points]]</f>
        <v>25</v>
      </c>
      <c r="F191" s="79">
        <v>5</v>
      </c>
      <c r="G191" s="79" t="s">
        <v>562</v>
      </c>
      <c r="H191" s="79">
        <v>2</v>
      </c>
      <c r="I191" s="79" t="s">
        <v>563</v>
      </c>
      <c r="J191" s="235" t="s">
        <v>288</v>
      </c>
      <c r="K191" s="235">
        <v>1</v>
      </c>
      <c r="L191" s="235" t="s">
        <v>672</v>
      </c>
      <c r="M191" s="79">
        <v>25</v>
      </c>
      <c r="N191" s="75">
        <v>42917</v>
      </c>
      <c r="O191" s="75"/>
      <c r="P191" s="75"/>
    </row>
    <row r="192" spans="1:18" x14ac:dyDescent="0.25">
      <c r="A192" t="str">
        <f>TableOUMUHUSGE[[#This Row],[Study Package Code]]</f>
        <v>EDSC4027</v>
      </c>
      <c r="B192" s="5">
        <f>TableOUMUHUSGE[[#This Row],[Ver]]</f>
        <v>2</v>
      </c>
      <c r="C192" t="str">
        <f>LEFT(TableOUMUHUSGE[[#This Row],[Structure Line]], FIND(" ", TableOUMUHUSGE[[#This Row],[Structure Line]])-1)</f>
        <v>EDS375</v>
      </c>
      <c r="D192" t="str">
        <f>MID(TableOUMUHUSGE[[#This Row],[Structure Line]],FIND(" ",TableOUMUHUSGE[[#This Row],[Structure Line]])+1,LEN(TableOUMUHUSGE[[#This Row],[Structure Line]]))</f>
        <v>Curriculum and Instruction Senior Secondary: Humanities and Social Sciences</v>
      </c>
      <c r="E192" s="50">
        <f>TableOUMUHUSGE[[#This Row],[Credit Points]]</f>
        <v>25</v>
      </c>
      <c r="F192" s="79">
        <v>6</v>
      </c>
      <c r="G192" s="79" t="s">
        <v>562</v>
      </c>
      <c r="H192" s="79">
        <v>2</v>
      </c>
      <c r="I192" s="79" t="s">
        <v>563</v>
      </c>
      <c r="J192" s="79" t="s">
        <v>222</v>
      </c>
      <c r="K192" s="79">
        <v>2</v>
      </c>
      <c r="L192" s="79" t="s">
        <v>673</v>
      </c>
      <c r="M192" s="79">
        <v>25</v>
      </c>
      <c r="N192" s="75">
        <v>43831</v>
      </c>
      <c r="O192" s="75"/>
    </row>
    <row r="193" spans="1:16" x14ac:dyDescent="0.25">
      <c r="A193" t="str">
        <f>TableOUMUHUSGE[[#This Row],[Study Package Code]]</f>
        <v>PHGY1001</v>
      </c>
      <c r="B193" s="5">
        <f>TableOUMUHUSGE[[#This Row],[Ver]]</f>
        <v>1</v>
      </c>
      <c r="C193" t="str">
        <f>LEFT(TableOUMUHUSGE[[#This Row],[Structure Line]], FIND(" ", TableOUMUHUSGE[[#This Row],[Structure Line]])-1)</f>
        <v>GPH110</v>
      </c>
      <c r="D193" t="str">
        <f>MID(TableOUMUHUSGE[[#This Row],[Structure Line]],FIND(" ",TableOUMUHUSGE[[#This Row],[Structure Line]])+1,LEN(TableOUMUHUSGE[[#This Row],[Structure Line]]))</f>
        <v>Physical Geography</v>
      </c>
      <c r="E193" s="50">
        <f>TableOUMUHUSGE[[#This Row],[Credit Points]]</f>
        <v>25</v>
      </c>
      <c r="F193" s="79">
        <v>7</v>
      </c>
      <c r="G193" s="79" t="s">
        <v>562</v>
      </c>
      <c r="H193" s="79">
        <v>2</v>
      </c>
      <c r="I193" s="79" t="s">
        <v>563</v>
      </c>
      <c r="J193" s="79" t="s">
        <v>217</v>
      </c>
      <c r="K193" s="79">
        <v>1</v>
      </c>
      <c r="L193" s="79" t="s">
        <v>674</v>
      </c>
      <c r="M193" s="79">
        <v>25</v>
      </c>
      <c r="N193" s="75">
        <v>42979</v>
      </c>
      <c r="O193" s="75"/>
      <c r="P193" s="61"/>
    </row>
    <row r="194" spans="1:16" x14ac:dyDescent="0.25">
      <c r="A194" t="str">
        <f>TableOUMUHUSGE[[#This Row],[Study Package Code]]</f>
        <v>AC-HSGE11</v>
      </c>
      <c r="B194" s="5">
        <f>TableOUMUHUSGE[[#This Row],[Ver]]</f>
        <v>0</v>
      </c>
      <c r="D194" t="str">
        <f>TableOUMUHUSGE[[#This Row],[Structure Line]]</f>
        <v>Choose GEOG2005 or PHGY2001</v>
      </c>
      <c r="E194" s="50">
        <f>TableOUMUHUSGE[[#This Row],[Credit Points]]</f>
        <v>25</v>
      </c>
      <c r="F194" s="79">
        <v>8</v>
      </c>
      <c r="G194" s="79" t="s">
        <v>634</v>
      </c>
      <c r="H194" s="79">
        <v>2</v>
      </c>
      <c r="I194" s="79" t="s">
        <v>563</v>
      </c>
      <c r="J194" s="79" t="s">
        <v>220</v>
      </c>
      <c r="K194" s="79">
        <v>0</v>
      </c>
      <c r="L194" s="79" t="s">
        <v>675</v>
      </c>
      <c r="M194" s="79">
        <v>25</v>
      </c>
      <c r="N194" s="75"/>
      <c r="O194" s="75"/>
      <c r="P194" s="75"/>
    </row>
    <row r="195" spans="1:16" x14ac:dyDescent="0.25">
      <c r="A195" t="str">
        <f>TableOUMUHUSGE[[#This Row],[Study Package Code]]</f>
        <v>EDPR3010</v>
      </c>
      <c r="B195" s="5">
        <f>TableOUMUHUSGE[[#This Row],[Ver]]</f>
        <v>3</v>
      </c>
      <c r="C195" t="str">
        <f>LEFT(TableOUMUHUSGE[[#This Row],[Structure Line]], FIND(" ", TableOUMUHUSGE[[#This Row],[Structure Line]])-1)</f>
        <v>EDP373</v>
      </c>
      <c r="D195" t="str">
        <f>MID(TableOUMUHUSGE[[#This Row],[Structure Line]],FIND(" ",TableOUMUHUSGE[[#This Row],[Structure Line]])+1,LEN(TableOUMUHUSGE[[#This Row],[Structure Line]]))</f>
        <v>Inquiry in the Humanities and Social Sciences Classroom</v>
      </c>
      <c r="E195" s="50">
        <f>TableOUMUHUSGE[[#This Row],[Credit Points]]</f>
        <v>25</v>
      </c>
      <c r="F195" s="79">
        <v>9</v>
      </c>
      <c r="G195" s="79" t="s">
        <v>562</v>
      </c>
      <c r="H195" s="79">
        <v>3</v>
      </c>
      <c r="I195" s="79" t="s">
        <v>563</v>
      </c>
      <c r="J195" s="79" t="s">
        <v>121</v>
      </c>
      <c r="K195" s="79">
        <v>3</v>
      </c>
      <c r="L195" s="79" t="s">
        <v>621</v>
      </c>
      <c r="M195" s="79">
        <v>25</v>
      </c>
      <c r="N195" s="75">
        <v>43466</v>
      </c>
      <c r="O195" s="75"/>
      <c r="P195" s="75"/>
    </row>
    <row r="196" spans="1:16" x14ac:dyDescent="0.25">
      <c r="A196" t="str">
        <f>TableOUMUHUSGE[[#This Row],[Study Package Code]]</f>
        <v>AC-HSGE12</v>
      </c>
      <c r="B196" s="5">
        <f>TableOUMUHUSGE[[#This Row],[Ver]]</f>
        <v>0</v>
      </c>
      <c r="D196" t="str">
        <f>TableOUMUHUSGE[[#This Row],[Structure Line]]</f>
        <v>Choose GEOG2004 or GEOG2003</v>
      </c>
      <c r="E196" s="50">
        <f>TableOUMUHUSGE[[#This Row],[Credit Points]]</f>
        <v>25</v>
      </c>
      <c r="F196" s="79">
        <v>10</v>
      </c>
      <c r="G196" s="79" t="s">
        <v>634</v>
      </c>
      <c r="H196" s="79">
        <v>3</v>
      </c>
      <c r="I196" s="79" t="s">
        <v>563</v>
      </c>
      <c r="J196" s="79" t="s">
        <v>228</v>
      </c>
      <c r="K196" s="79">
        <v>0</v>
      </c>
      <c r="L196" s="79" t="s">
        <v>676</v>
      </c>
      <c r="M196" s="79">
        <v>25</v>
      </c>
      <c r="N196" s="75"/>
      <c r="O196" s="75"/>
      <c r="P196" s="75"/>
    </row>
    <row r="197" spans="1:16" x14ac:dyDescent="0.25">
      <c r="A197" t="str">
        <f>TableOUMUHUSGE[[#This Row],[Study Package Code]]</f>
        <v>GEOG3003</v>
      </c>
      <c r="B197" s="5">
        <f>TableOUMUHUSGE[[#This Row],[Ver]]</f>
        <v>1</v>
      </c>
      <c r="C197" t="str">
        <f>LEFT(TableOUMUHUSGE[[#This Row],[Structure Line]], FIND(" ", TableOUMUHUSGE[[#This Row],[Structure Line]])-1)</f>
        <v>GPH300</v>
      </c>
      <c r="D197" t="str">
        <f>MID(TableOUMUHUSGE[[#This Row],[Structure Line]],FIND(" ",TableOUMUHUSGE[[#This Row],[Structure Line]])+1,LEN(TableOUMUHUSGE[[#This Row],[Structure Line]]))</f>
        <v>Sustainable Livelihoods</v>
      </c>
      <c r="E197" s="50">
        <f>TableOUMUHUSGE[[#This Row],[Credit Points]]</f>
        <v>25</v>
      </c>
      <c r="F197" s="79">
        <v>11</v>
      </c>
      <c r="G197" s="79" t="s">
        <v>562</v>
      </c>
      <c r="H197" s="79">
        <v>4</v>
      </c>
      <c r="I197" s="79" t="s">
        <v>563</v>
      </c>
      <c r="J197" s="79" t="s">
        <v>232</v>
      </c>
      <c r="K197" s="79">
        <v>1</v>
      </c>
      <c r="L197" s="79" t="s">
        <v>677</v>
      </c>
      <c r="M197" s="79">
        <v>25</v>
      </c>
      <c r="N197" s="75">
        <v>42979</v>
      </c>
      <c r="O197" s="75"/>
      <c r="P197" s="75"/>
    </row>
    <row r="198" spans="1:16" x14ac:dyDescent="0.25">
      <c r="A198" t="str">
        <f>TableOUMUHUSGE[[#This Row],[Study Package Code]]</f>
        <v>AC-HSGE13</v>
      </c>
      <c r="B198" s="5">
        <f>TableOUMUHUSGE[[#This Row],[Ver]]</f>
        <v>0</v>
      </c>
      <c r="D198" t="str">
        <f>TableOUMUHUSGE[[#This Row],[Structure Line]]</f>
        <v>Choose PHGY3001 or GEOG3002</v>
      </c>
      <c r="E198" s="50">
        <f>TableOUMUHUSGE[[#This Row],[Credit Points]]</f>
        <v>25</v>
      </c>
      <c r="F198" s="79">
        <v>12</v>
      </c>
      <c r="G198" s="79" t="s">
        <v>634</v>
      </c>
      <c r="H198" s="79">
        <v>4</v>
      </c>
      <c r="I198" s="79" t="s">
        <v>563</v>
      </c>
      <c r="J198" s="79" t="s">
        <v>236</v>
      </c>
      <c r="K198" s="79">
        <v>0</v>
      </c>
      <c r="L198" s="79" t="s">
        <v>678</v>
      </c>
      <c r="M198" s="79">
        <v>25</v>
      </c>
      <c r="N198" s="75"/>
      <c r="O198" s="75"/>
      <c r="P198" s="75"/>
    </row>
    <row r="199" spans="1:16" x14ac:dyDescent="0.25">
      <c r="A199" t="str">
        <f>TableOUMUHUSGE[[#This Row],[Study Package Code]]</f>
        <v>CTED4004</v>
      </c>
      <c r="B199" s="5">
        <f>TableOUMUHUSGE[[#This Row],[Ver]]</f>
        <v>2</v>
      </c>
      <c r="C199" t="str">
        <f>LEFT(TableOUMUHUSGE[[#This Row],[Structure Line]], FIND(" ", TableOUMUHUSGE[[#This Row],[Structure Line]])-1)</f>
        <v>EDC484</v>
      </c>
      <c r="D199" t="str">
        <f>MID(TableOUMUHUSGE[[#This Row],[Structure Line]],FIND(" ",TableOUMUHUSGE[[#This Row],[Structure Line]])+1,LEN(TableOUMUHUSGE[[#This Row],[Structure Line]]))</f>
        <v>Teaching About Sacraments in Catholic Schools</v>
      </c>
      <c r="E199" s="50">
        <f>TableOUMUHUSGE[[#This Row],[Credit Points]]</f>
        <v>25</v>
      </c>
      <c r="F199" s="79">
        <v>1</v>
      </c>
      <c r="G199" s="79" t="s">
        <v>588</v>
      </c>
      <c r="H199" s="79">
        <v>0</v>
      </c>
      <c r="I199" s="79" t="s">
        <v>563</v>
      </c>
      <c r="J199" s="79" t="s">
        <v>168</v>
      </c>
      <c r="K199" s="79">
        <v>2</v>
      </c>
      <c r="L199" s="79" t="s">
        <v>595</v>
      </c>
      <c r="M199" s="79">
        <v>25</v>
      </c>
      <c r="N199" s="75">
        <v>45292</v>
      </c>
      <c r="O199" s="75"/>
    </row>
    <row r="200" spans="1:16" x14ac:dyDescent="0.25">
      <c r="A200" t="str">
        <f>TableOUMUHUSGE[[#This Row],[Study Package Code]]</f>
        <v>CTED4007</v>
      </c>
      <c r="B200" s="5">
        <f>TableOUMUHUSGE[[#This Row],[Ver]]</f>
        <v>1</v>
      </c>
      <c r="C200" t="str">
        <f>LEFT(TableOUMUHUSGE[[#This Row],[Structure Line]], FIND(" ", TableOUMUHUSGE[[#This Row],[Structure Line]])-1)</f>
        <v>EDC430</v>
      </c>
      <c r="D200" t="str">
        <f>MID(TableOUMUHUSGE[[#This Row],[Structure Line]],FIND(" ",TableOUMUHUSGE[[#This Row],[Structure Line]])+1,LEN(TableOUMUHUSGE[[#This Row],[Structure Line]]))</f>
        <v>Teaching About Jesus in Catholic Schools</v>
      </c>
      <c r="E200" s="50">
        <f>TableOUMUHUSGE[[#This Row],[Credit Points]]</f>
        <v>25</v>
      </c>
      <c r="F200" s="79">
        <v>1</v>
      </c>
      <c r="G200" s="79" t="s">
        <v>588</v>
      </c>
      <c r="H200" s="79">
        <v>0</v>
      </c>
      <c r="I200" s="79" t="s">
        <v>563</v>
      </c>
      <c r="J200" s="79" t="s">
        <v>169</v>
      </c>
      <c r="K200" s="79">
        <v>1</v>
      </c>
      <c r="L200" s="79" t="s">
        <v>597</v>
      </c>
      <c r="M200" s="79">
        <v>25</v>
      </c>
      <c r="N200" s="75">
        <v>45292</v>
      </c>
      <c r="O200" s="75"/>
    </row>
    <row r="201" spans="1:16" x14ac:dyDescent="0.25">
      <c r="A201" t="str">
        <f>TableOUMUHUSGE[[#This Row],[Study Package Code]]</f>
        <v>CTED4009</v>
      </c>
      <c r="B201" s="5">
        <f>TableOUMUHUSGE[[#This Row],[Ver]]</f>
        <v>1</v>
      </c>
      <c r="C201" t="str">
        <f>LEFT(TableOUMUHUSGE[[#This Row],[Structure Line]], FIND(" ", TableOUMUHUSGE[[#This Row],[Structure Line]])-1)</f>
        <v>EDC435</v>
      </c>
      <c r="D201" t="str">
        <f>MID(TableOUMUHUSGE[[#This Row],[Structure Line]],FIND(" ",TableOUMUHUSGE[[#This Row],[Structure Line]])+1,LEN(TableOUMUHUSGE[[#This Row],[Structure Line]]))</f>
        <v>Teaching About the Gospels in Catholic Schools</v>
      </c>
      <c r="E201" s="50">
        <f>TableOUMUHUSGE[[#This Row],[Credit Points]]</f>
        <v>25</v>
      </c>
      <c r="F201" s="79">
        <v>1</v>
      </c>
      <c r="G201" s="79" t="s">
        <v>588</v>
      </c>
      <c r="H201" s="79">
        <v>0</v>
      </c>
      <c r="I201" s="79" t="s">
        <v>563</v>
      </c>
      <c r="J201" s="79" t="s">
        <v>170</v>
      </c>
      <c r="K201" s="79">
        <v>1</v>
      </c>
      <c r="L201" s="79" t="s">
        <v>598</v>
      </c>
      <c r="M201" s="79">
        <v>25</v>
      </c>
      <c r="N201" s="75">
        <v>45292</v>
      </c>
      <c r="O201" s="75"/>
    </row>
    <row r="202" spans="1:16" x14ac:dyDescent="0.25">
      <c r="A202" t="str">
        <f>TableOUMUHUSGE[[#This Row],[Study Package Code]]</f>
        <v>EDUC4024</v>
      </c>
      <c r="B202" s="5">
        <f>TableOUMUHUSGE[[#This Row],[Ver]]</f>
        <v>1</v>
      </c>
      <c r="C202" t="str">
        <f>LEFT(TableOUMUHUSGE[[#This Row],[Structure Line]], FIND(" ", TableOUMUHUSGE[[#This Row],[Structure Line]])-1)</f>
        <v>EDC486</v>
      </c>
      <c r="D202" t="str">
        <f>MID(TableOUMUHUSGE[[#This Row],[Structure Line]],FIND(" ",TableOUMUHUSGE[[#This Row],[Structure Line]])+1,LEN(TableOUMUHUSGE[[#This Row],[Structure Line]]))</f>
        <v>Creating and Responding to Literature</v>
      </c>
      <c r="E202" s="50">
        <f>TableOUMUHUSGE[[#This Row],[Credit Points]]</f>
        <v>25</v>
      </c>
      <c r="F202" s="79">
        <v>1</v>
      </c>
      <c r="G202" s="79" t="s">
        <v>588</v>
      </c>
      <c r="H202" s="79">
        <v>0</v>
      </c>
      <c r="I202" s="79" t="s">
        <v>563</v>
      </c>
      <c r="J202" s="79" t="s">
        <v>156</v>
      </c>
      <c r="K202" s="79">
        <v>1</v>
      </c>
      <c r="L202" s="79" t="s">
        <v>600</v>
      </c>
      <c r="M202" s="79">
        <v>25</v>
      </c>
      <c r="N202" s="75">
        <v>43282</v>
      </c>
      <c r="O202" s="75"/>
    </row>
    <row r="203" spans="1:16" x14ac:dyDescent="0.25">
      <c r="A203" t="str">
        <f>TableOUMUHUSGE[[#This Row],[Study Package Code]]</f>
        <v>EDUC4025</v>
      </c>
      <c r="B203" s="5">
        <f>TableOUMUHUSGE[[#This Row],[Ver]]</f>
        <v>1</v>
      </c>
      <c r="C203" t="str">
        <f>LEFT(TableOUMUHUSGE[[#This Row],[Structure Line]], FIND(" ", TableOUMUHUSGE[[#This Row],[Structure Line]])-1)</f>
        <v>EDC487</v>
      </c>
      <c r="D203" t="str">
        <f>MID(TableOUMUHUSGE[[#This Row],[Structure Line]],FIND(" ",TableOUMUHUSGE[[#This Row],[Structure Line]])+1,LEN(TableOUMUHUSGE[[#This Row],[Structure Line]]))</f>
        <v>Creative Literacies</v>
      </c>
      <c r="E203" s="50">
        <f>TableOUMUHUSGE[[#This Row],[Credit Points]]</f>
        <v>25</v>
      </c>
      <c r="F203" s="79">
        <v>1</v>
      </c>
      <c r="G203" s="79" t="s">
        <v>588</v>
      </c>
      <c r="H203" s="79">
        <v>0</v>
      </c>
      <c r="I203" s="79" t="s">
        <v>563</v>
      </c>
      <c r="J203" s="79" t="s">
        <v>157</v>
      </c>
      <c r="K203" s="79">
        <v>1</v>
      </c>
      <c r="L203" s="79" t="s">
        <v>601</v>
      </c>
      <c r="M203" s="79">
        <v>25</v>
      </c>
      <c r="N203" s="75">
        <v>43282</v>
      </c>
      <c r="O203" s="75"/>
    </row>
    <row r="204" spans="1:16" x14ac:dyDescent="0.25">
      <c r="A204" t="str">
        <f>TableOUMUHUSGE[[#This Row],[Study Package Code]]</f>
        <v>EDUC4026</v>
      </c>
      <c r="B204" s="5">
        <f>TableOUMUHUSGE[[#This Row],[Ver]]</f>
        <v>1</v>
      </c>
      <c r="C204" t="str">
        <f>LEFT(TableOUMUHUSGE[[#This Row],[Structure Line]], FIND(" ", TableOUMUHUSGE[[#This Row],[Structure Line]])-1)</f>
        <v>EDC488</v>
      </c>
      <c r="D204" t="str">
        <f>MID(TableOUMUHUSGE[[#This Row],[Structure Line]],FIND(" ",TableOUMUHUSGE[[#This Row],[Structure Line]])+1,LEN(TableOUMUHUSGE[[#This Row],[Structure Line]]))</f>
        <v>Project-based iSTEM Education</v>
      </c>
      <c r="E204" s="50">
        <f>TableOUMUHUSGE[[#This Row],[Credit Points]]</f>
        <v>25</v>
      </c>
      <c r="F204" s="79">
        <v>1</v>
      </c>
      <c r="G204" s="79" t="s">
        <v>588</v>
      </c>
      <c r="H204" s="79">
        <v>0</v>
      </c>
      <c r="I204" s="79" t="s">
        <v>563</v>
      </c>
      <c r="J204" s="79" t="s">
        <v>152</v>
      </c>
      <c r="K204" s="79">
        <v>1</v>
      </c>
      <c r="L204" s="79" t="s">
        <v>602</v>
      </c>
      <c r="M204" s="79">
        <v>25</v>
      </c>
      <c r="N204" s="75">
        <v>43282</v>
      </c>
      <c r="O204" s="75"/>
    </row>
    <row r="205" spans="1:16" x14ac:dyDescent="0.25">
      <c r="A205" t="str">
        <f>TableOUMUHUSGE[[#This Row],[Study Package Code]]</f>
        <v>EDUC4030</v>
      </c>
      <c r="B205" s="5">
        <f>TableOUMUHUSGE[[#This Row],[Ver]]</f>
        <v>1</v>
      </c>
      <c r="C205" t="str">
        <f>LEFT(TableOUMUHUSGE[[#This Row],[Structure Line]], FIND(" ", TableOUMUHUSGE[[#This Row],[Structure Line]])-1)</f>
        <v>EDC491</v>
      </c>
      <c r="D205" t="str">
        <f>MID(TableOUMUHUSGE[[#This Row],[Structure Line]],FIND(" ",TableOUMUHUSGE[[#This Row],[Structure Line]])+1,LEN(TableOUMUHUSGE[[#This Row],[Structure Line]]))</f>
        <v>Technologies: Coding for Teachers</v>
      </c>
      <c r="E205" s="50">
        <f>TableOUMUHUSGE[[#This Row],[Credit Points]]</f>
        <v>25</v>
      </c>
      <c r="F205" s="79">
        <v>1</v>
      </c>
      <c r="G205" s="79" t="s">
        <v>588</v>
      </c>
      <c r="H205" s="79">
        <v>0</v>
      </c>
      <c r="I205" s="79" t="s">
        <v>563</v>
      </c>
      <c r="J205" s="79" t="s">
        <v>164</v>
      </c>
      <c r="K205" s="79">
        <v>1</v>
      </c>
      <c r="L205" s="79" t="s">
        <v>605</v>
      </c>
      <c r="M205" s="79">
        <v>25</v>
      </c>
      <c r="N205" s="75">
        <v>43282</v>
      </c>
      <c r="O205" s="75"/>
    </row>
    <row r="206" spans="1:16" x14ac:dyDescent="0.25">
      <c r="A206" t="str">
        <f>TableOUMUHUSGE[[#This Row],[Study Package Code]]</f>
        <v>EDUC4033</v>
      </c>
      <c r="B206" s="5">
        <f>TableOUMUHUSGE[[#This Row],[Ver]]</f>
        <v>1</v>
      </c>
      <c r="C206" t="str">
        <f>LEFT(TableOUMUHUSGE[[#This Row],[Structure Line]], FIND(" ", TableOUMUHUSGE[[#This Row],[Structure Line]])-1)</f>
        <v>EDC492</v>
      </c>
      <c r="D206" t="str">
        <f>MID(TableOUMUHUSGE[[#This Row],[Structure Line]],FIND(" ",TableOUMUHUSGE[[#This Row],[Structure Line]])+1,LEN(TableOUMUHUSGE[[#This Row],[Structure Line]]))</f>
        <v>iSTEM Education through Digital Stories</v>
      </c>
      <c r="E206" s="50">
        <f>TableOUMUHUSGE[[#This Row],[Credit Points]]</f>
        <v>25</v>
      </c>
      <c r="F206" s="79">
        <v>1</v>
      </c>
      <c r="G206" s="79" t="s">
        <v>588</v>
      </c>
      <c r="H206" s="79">
        <v>0</v>
      </c>
      <c r="I206" s="79" t="s">
        <v>563</v>
      </c>
      <c r="J206" s="79" t="s">
        <v>153</v>
      </c>
      <c r="K206" s="79">
        <v>1</v>
      </c>
      <c r="L206" s="79" t="s">
        <v>606</v>
      </c>
      <c r="M206" s="79">
        <v>25</v>
      </c>
      <c r="N206" s="75">
        <v>43466</v>
      </c>
      <c r="O206" s="75"/>
    </row>
    <row r="207" spans="1:16" x14ac:dyDescent="0.25">
      <c r="A207" t="str">
        <f>TableOUMUHUSGE[[#This Row],[Study Package Code]]</f>
        <v>EDUC4035</v>
      </c>
      <c r="B207" s="5">
        <f>TableOUMUHUSGE[[#This Row],[Ver]]</f>
        <v>1</v>
      </c>
      <c r="C207" t="str">
        <f>LEFT(TableOUMUHUSGE[[#This Row],[Structure Line]], FIND(" ", TableOUMUHUSGE[[#This Row],[Structure Line]])-1)</f>
        <v>EDC493</v>
      </c>
      <c r="D207" t="str">
        <f>MID(TableOUMUHUSGE[[#This Row],[Structure Line]],FIND(" ",TableOUMUHUSGE[[#This Row],[Structure Line]])+1,LEN(TableOUMUHUSGE[[#This Row],[Structure Line]]))</f>
        <v>iSTEM: Social Issues</v>
      </c>
      <c r="E207" s="50">
        <f>TableOUMUHUSGE[[#This Row],[Credit Points]]</f>
        <v>25</v>
      </c>
      <c r="F207" s="79">
        <v>1</v>
      </c>
      <c r="G207" s="79" t="s">
        <v>588</v>
      </c>
      <c r="H207" s="79">
        <v>0</v>
      </c>
      <c r="I207" s="79" t="s">
        <v>563</v>
      </c>
      <c r="J207" s="79" t="s">
        <v>154</v>
      </c>
      <c r="K207" s="79">
        <v>1</v>
      </c>
      <c r="L207" s="79" t="s">
        <v>607</v>
      </c>
      <c r="M207" s="79">
        <v>25</v>
      </c>
      <c r="N207" s="75">
        <v>43466</v>
      </c>
      <c r="O207" s="75"/>
    </row>
    <row r="208" spans="1:16" x14ac:dyDescent="0.25">
      <c r="A208" t="str">
        <f>TableOUMUHUSGE[[#This Row],[Study Package Code]]</f>
        <v>EDUC4037</v>
      </c>
      <c r="B208" s="5">
        <f>TableOUMUHUSGE[[#This Row],[Ver]]</f>
        <v>1</v>
      </c>
      <c r="C208" t="str">
        <f>LEFT(TableOUMUHUSGE[[#This Row],[Structure Line]], FIND(" ", TableOUMUHUSGE[[#This Row],[Structure Line]])-1)</f>
        <v>EDC494</v>
      </c>
      <c r="D208" t="str">
        <f>MID(TableOUMUHUSGE[[#This Row],[Structure Line]],FIND(" ",TableOUMUHUSGE[[#This Row],[Structure Line]])+1,LEN(TableOUMUHUSGE[[#This Row],[Structure Line]]))</f>
        <v>Language and Diversity</v>
      </c>
      <c r="E208" s="50">
        <f>TableOUMUHUSGE[[#This Row],[Credit Points]]</f>
        <v>25</v>
      </c>
      <c r="F208" s="79">
        <v>1</v>
      </c>
      <c r="G208" s="79" t="s">
        <v>588</v>
      </c>
      <c r="H208" s="79">
        <v>0</v>
      </c>
      <c r="I208" s="79" t="s">
        <v>563</v>
      </c>
      <c r="J208" s="79" t="s">
        <v>158</v>
      </c>
      <c r="K208" s="79">
        <v>1</v>
      </c>
      <c r="L208" s="79" t="s">
        <v>608</v>
      </c>
      <c r="M208" s="79">
        <v>25</v>
      </c>
      <c r="N208" s="75">
        <v>43466</v>
      </c>
      <c r="O208" s="75"/>
    </row>
    <row r="209" spans="1:15" x14ac:dyDescent="0.25">
      <c r="A209" t="str">
        <f>TableOUMUHUSGE[[#This Row],[Study Package Code]]</f>
        <v>EDUC4039</v>
      </c>
      <c r="B209" s="5">
        <f>TableOUMUHUSGE[[#This Row],[Ver]]</f>
        <v>1</v>
      </c>
      <c r="C209" t="str">
        <f>LEFT(TableOUMUHUSGE[[#This Row],[Structure Line]], FIND(" ", TableOUMUHUSGE[[#This Row],[Structure Line]])-1)</f>
        <v>EDC495</v>
      </c>
      <c r="D209" t="str">
        <f>MID(TableOUMUHUSGE[[#This Row],[Structure Line]],FIND(" ",TableOUMUHUSGE[[#This Row],[Structure Line]])+1,LEN(TableOUMUHUSGE[[#This Row],[Structure Line]]))</f>
        <v>Technologies: Design Solutions</v>
      </c>
      <c r="E209" s="50">
        <f>TableOUMUHUSGE[[#This Row],[Credit Points]]</f>
        <v>25</v>
      </c>
      <c r="F209" s="79">
        <v>1</v>
      </c>
      <c r="G209" s="79" t="s">
        <v>588</v>
      </c>
      <c r="H209" s="79">
        <v>0</v>
      </c>
      <c r="I209" s="79" t="s">
        <v>563</v>
      </c>
      <c r="J209" s="79" t="s">
        <v>165</v>
      </c>
      <c r="K209" s="79">
        <v>1</v>
      </c>
      <c r="L209" s="79" t="s">
        <v>609</v>
      </c>
      <c r="M209" s="79">
        <v>25</v>
      </c>
      <c r="N209" s="75">
        <v>43466</v>
      </c>
      <c r="O209" s="75"/>
    </row>
    <row r="210" spans="1:15" x14ac:dyDescent="0.25">
      <c r="A210" t="str">
        <f>TableOUMUHUSGE[[#This Row],[Study Package Code]]</f>
        <v>EDUC4043</v>
      </c>
      <c r="B210" s="5">
        <f>TableOUMUHUSGE[[#This Row],[Ver]]</f>
        <v>1</v>
      </c>
      <c r="C210" t="str">
        <f>LEFT(TableOUMUHUSGE[[#This Row],[Structure Line]], FIND(" ", TableOUMUHUSGE[[#This Row],[Structure Line]])-1)</f>
        <v>EDC465</v>
      </c>
      <c r="D210" t="str">
        <f>MID(TableOUMUHUSGE[[#This Row],[Structure Line]],FIND(" ",TableOUMUHUSGE[[#This Row],[Structure Line]])+1,LEN(TableOUMUHUSGE[[#This Row],[Structure Line]]))</f>
        <v>Alternative Approaches to Teaching Literacy and Numeracy</v>
      </c>
      <c r="E210" s="50">
        <f>TableOUMUHUSGE[[#This Row],[Credit Points]]</f>
        <v>25</v>
      </c>
      <c r="F210" s="79">
        <v>1</v>
      </c>
      <c r="G210" s="79" t="s">
        <v>588</v>
      </c>
      <c r="H210" s="79">
        <v>0</v>
      </c>
      <c r="I210" s="79" t="s">
        <v>563</v>
      </c>
      <c r="J210" s="79" t="s">
        <v>161</v>
      </c>
      <c r="K210" s="79">
        <v>1</v>
      </c>
      <c r="L210" s="79" t="s">
        <v>610</v>
      </c>
      <c r="M210" s="79">
        <v>25</v>
      </c>
      <c r="N210" s="75">
        <v>43466</v>
      </c>
      <c r="O210" s="75"/>
    </row>
    <row r="211" spans="1:15" x14ac:dyDescent="0.25">
      <c r="A211" t="str">
        <f>TableOUMUHUSGE[[#This Row],[Study Package Code]]</f>
        <v>EDUC4045</v>
      </c>
      <c r="B211" s="5">
        <f>TableOUMUHUSGE[[#This Row],[Ver]]</f>
        <v>2</v>
      </c>
      <c r="C211" t="str">
        <f>LEFT(TableOUMUHUSGE[[#This Row],[Structure Line]], FIND(" ", TableOUMUHUSGE[[#This Row],[Structure Line]])-1)</f>
        <v>EDC460</v>
      </c>
      <c r="D211" t="str">
        <f>MID(TableOUMUHUSGE[[#This Row],[Structure Line]],FIND(" ",TableOUMUHUSGE[[#This Row],[Structure Line]])+1,LEN(TableOUMUHUSGE[[#This Row],[Structure Line]]))</f>
        <v>Literacy and Numeracy for First Nations Peoples of Australia</v>
      </c>
      <c r="E211" s="50">
        <f>TableOUMUHUSGE[[#This Row],[Credit Points]]</f>
        <v>25</v>
      </c>
      <c r="F211" s="79">
        <v>1</v>
      </c>
      <c r="G211" s="79" t="s">
        <v>588</v>
      </c>
      <c r="H211" s="79">
        <v>0</v>
      </c>
      <c r="I211" s="79" t="s">
        <v>563</v>
      </c>
      <c r="J211" s="79" t="s">
        <v>162</v>
      </c>
      <c r="K211" s="79">
        <v>2</v>
      </c>
      <c r="L211" s="79" t="s">
        <v>611</v>
      </c>
      <c r="M211" s="79">
        <v>25</v>
      </c>
      <c r="N211" s="75">
        <v>44927</v>
      </c>
      <c r="O211" s="75"/>
    </row>
    <row r="212" spans="1:15" x14ac:dyDescent="0.25">
      <c r="A212" t="str">
        <f>TableOUMUHUSGE[[#This Row],[Study Package Code]]</f>
        <v>EDUC4047</v>
      </c>
      <c r="B212" s="5">
        <f>TableOUMUHUSGE[[#This Row],[Ver]]</f>
        <v>1</v>
      </c>
      <c r="C212" t="str">
        <f>LEFT(TableOUMUHUSGE[[#This Row],[Structure Line]], FIND(" ", TableOUMUHUSGE[[#This Row],[Structure Line]])-1)</f>
        <v>EDC470</v>
      </c>
      <c r="D212" t="str">
        <f>MID(TableOUMUHUSGE[[#This Row],[Structure Line]],FIND(" ",TableOUMUHUSGE[[#This Row],[Structure Line]])+1,LEN(TableOUMUHUSGE[[#This Row],[Structure Line]]))</f>
        <v>Technologies: Digital Solutions</v>
      </c>
      <c r="E212" s="50">
        <f>TableOUMUHUSGE[[#This Row],[Credit Points]]</f>
        <v>25</v>
      </c>
      <c r="F212" s="79">
        <v>1</v>
      </c>
      <c r="G212" s="79" t="s">
        <v>588</v>
      </c>
      <c r="H212" s="79">
        <v>0</v>
      </c>
      <c r="I212" s="79" t="s">
        <v>563</v>
      </c>
      <c r="J212" s="79" t="s">
        <v>166</v>
      </c>
      <c r="K212" s="79">
        <v>1</v>
      </c>
      <c r="L212" s="79" t="s">
        <v>612</v>
      </c>
      <c r="M212" s="79">
        <v>25</v>
      </c>
      <c r="N212" s="75">
        <v>43466</v>
      </c>
      <c r="O212" s="75"/>
    </row>
    <row r="213" spans="1:15" x14ac:dyDescent="0.25">
      <c r="A213" t="str">
        <f>TableOUMUHUSGE[[#This Row],[Study Package Code]]</f>
        <v>GEOG2005</v>
      </c>
      <c r="B213" s="5">
        <f>TableOUMUHUSGE[[#This Row],[Ver]]</f>
        <v>1</v>
      </c>
      <c r="C213" t="str">
        <f>LEFT(TableOUMUHUSGE[[#This Row],[Structure Line]], FIND(" ", TableOUMUHUSGE[[#This Row],[Structure Line]])-1)</f>
        <v>GPH210</v>
      </c>
      <c r="D213" t="str">
        <f>MID(TableOUMUHUSGE[[#This Row],[Structure Line]],FIND(" ",TableOUMUHUSGE[[#This Row],[Structure Line]])+1,LEN(TableOUMUHUSGE[[#This Row],[Structure Line]]))</f>
        <v>Fieldwork Skills</v>
      </c>
      <c r="E213" s="50">
        <f>TableOUMUHUSGE[[#This Row],[Credit Points]]</f>
        <v>25</v>
      </c>
      <c r="F213" s="79">
        <v>8</v>
      </c>
      <c r="G213" s="79" t="s">
        <v>634</v>
      </c>
      <c r="H213" s="79">
        <v>2</v>
      </c>
      <c r="I213" s="79" t="s">
        <v>563</v>
      </c>
      <c r="J213" s="79" t="s">
        <v>241</v>
      </c>
      <c r="K213" s="79">
        <v>1</v>
      </c>
      <c r="L213" s="79" t="s">
        <v>679</v>
      </c>
      <c r="M213" s="79">
        <v>25</v>
      </c>
      <c r="N213" s="75">
        <v>42979</v>
      </c>
      <c r="O213" s="75"/>
    </row>
    <row r="214" spans="1:15" x14ac:dyDescent="0.25">
      <c r="A214" t="str">
        <f>TableOUMUHUSGE[[#This Row],[Study Package Code]]</f>
        <v>PHGY2001</v>
      </c>
      <c r="B214" s="5">
        <f>TableOUMUHUSGE[[#This Row],[Ver]]</f>
        <v>1</v>
      </c>
      <c r="C214" t="str">
        <f>LEFT(TableOUMUHUSGE[[#This Row],[Structure Line]], FIND(" ", TableOUMUHUSGE[[#This Row],[Structure Line]])-1)</f>
        <v>GPH230</v>
      </c>
      <c r="D214" t="str">
        <f>MID(TableOUMUHUSGE[[#This Row],[Structure Line]],FIND(" ",TableOUMUHUSGE[[#This Row],[Structure Line]])+1,LEN(TableOUMUHUSGE[[#This Row],[Structure Line]]))</f>
        <v>Natural Hazards</v>
      </c>
      <c r="E214" s="50">
        <f>TableOUMUHUSGE[[#This Row],[Credit Points]]</f>
        <v>25</v>
      </c>
      <c r="F214" s="79">
        <v>8</v>
      </c>
      <c r="G214" s="79" t="s">
        <v>634</v>
      </c>
      <c r="H214" s="79">
        <v>2</v>
      </c>
      <c r="I214" s="79" t="s">
        <v>563</v>
      </c>
      <c r="J214" s="79" t="s">
        <v>243</v>
      </c>
      <c r="K214" s="79">
        <v>1</v>
      </c>
      <c r="L214" s="79" t="s">
        <v>680</v>
      </c>
      <c r="M214" s="79">
        <v>25</v>
      </c>
      <c r="N214" s="75">
        <v>42979</v>
      </c>
      <c r="O214" s="75"/>
    </row>
    <row r="215" spans="1:15" x14ac:dyDescent="0.25">
      <c r="A215" t="str">
        <f>TableOUMUHUSGE[[#This Row],[Study Package Code]]</f>
        <v>GEOG2003</v>
      </c>
      <c r="B215" s="5">
        <f>TableOUMUHUSGE[[#This Row],[Ver]]</f>
        <v>1</v>
      </c>
      <c r="C215" t="str">
        <f>LEFT(TableOUMUHUSGE[[#This Row],[Structure Line]], FIND(" ", TableOUMUHUSGE[[#This Row],[Structure Line]])-1)</f>
        <v>GPH220</v>
      </c>
      <c r="D215" t="str">
        <f>MID(TableOUMUHUSGE[[#This Row],[Structure Line]],FIND(" ",TableOUMUHUSGE[[#This Row],[Structure Line]])+1,LEN(TableOUMUHUSGE[[#This Row],[Structure Line]]))</f>
        <v>Geographies of Migration</v>
      </c>
      <c r="E215" s="50">
        <f>TableOUMUHUSGE[[#This Row],[Credit Points]]</f>
        <v>25</v>
      </c>
      <c r="F215" s="79">
        <v>10</v>
      </c>
      <c r="G215" s="79" t="s">
        <v>634</v>
      </c>
      <c r="H215" s="79">
        <v>3</v>
      </c>
      <c r="I215" s="79" t="s">
        <v>563</v>
      </c>
      <c r="J215" s="79" t="s">
        <v>246</v>
      </c>
      <c r="K215" s="79">
        <v>1</v>
      </c>
      <c r="L215" s="79" t="s">
        <v>681</v>
      </c>
      <c r="M215" s="79">
        <v>25</v>
      </c>
      <c r="N215" s="75">
        <v>42979</v>
      </c>
      <c r="O215" s="75"/>
    </row>
    <row r="216" spans="1:15" x14ac:dyDescent="0.25">
      <c r="A216" t="str">
        <f>TableOUMUHUSGE[[#This Row],[Study Package Code]]</f>
        <v>GEOG2004</v>
      </c>
      <c r="B216" s="5">
        <f>TableOUMUHUSGE[[#This Row],[Ver]]</f>
        <v>1</v>
      </c>
      <c r="C216" t="str">
        <f>LEFT(TableOUMUHUSGE[[#This Row],[Structure Line]], FIND(" ", TableOUMUHUSGE[[#This Row],[Structure Line]])-1)</f>
        <v>GPH200</v>
      </c>
      <c r="D216" t="str">
        <f>MID(TableOUMUHUSGE[[#This Row],[Structure Line]],FIND(" ",TableOUMUHUSGE[[#This Row],[Structure Line]])+1,LEN(TableOUMUHUSGE[[#This Row],[Structure Line]]))</f>
        <v>Geographies of Food Security</v>
      </c>
      <c r="E216" s="50">
        <f>TableOUMUHUSGE[[#This Row],[Credit Points]]</f>
        <v>25</v>
      </c>
      <c r="F216" s="79">
        <v>10</v>
      </c>
      <c r="G216" s="79" t="s">
        <v>634</v>
      </c>
      <c r="H216" s="79">
        <v>3</v>
      </c>
      <c r="I216" s="79" t="s">
        <v>563</v>
      </c>
      <c r="J216" s="79" t="s">
        <v>247</v>
      </c>
      <c r="K216" s="79">
        <v>1</v>
      </c>
      <c r="L216" s="79" t="s">
        <v>682</v>
      </c>
      <c r="M216" s="79">
        <v>25</v>
      </c>
      <c r="N216" s="75">
        <v>42979</v>
      </c>
      <c r="O216" s="75"/>
    </row>
    <row r="217" spans="1:15" x14ac:dyDescent="0.25">
      <c r="A217" t="str">
        <f>TableOUMUHUSGE[[#This Row],[Study Package Code]]</f>
        <v>GEOG3002</v>
      </c>
      <c r="B217" s="5">
        <f>TableOUMUHUSGE[[#This Row],[Ver]]</f>
        <v>2</v>
      </c>
      <c r="C217" t="str">
        <f>LEFT(TableOUMUHUSGE[[#This Row],[Structure Line]], FIND(" ", TableOUMUHUSGE[[#This Row],[Structure Line]])-1)</f>
        <v>GPH320</v>
      </c>
      <c r="D217" t="str">
        <f>MID(TableOUMUHUSGE[[#This Row],[Structure Line]],FIND(" ",TableOUMUHUSGE[[#This Row],[Structure Line]])+1,LEN(TableOUMUHUSGE[[#This Row],[Structure Line]]))</f>
        <v>Urban Geographies</v>
      </c>
      <c r="E217" s="50">
        <f>TableOUMUHUSGE[[#This Row],[Credit Points]]</f>
        <v>25</v>
      </c>
      <c r="F217" s="79">
        <v>12</v>
      </c>
      <c r="G217" s="79" t="s">
        <v>634</v>
      </c>
      <c r="H217" s="79">
        <v>4</v>
      </c>
      <c r="I217" s="79" t="s">
        <v>563</v>
      </c>
      <c r="J217" s="79" t="s">
        <v>248</v>
      </c>
      <c r="K217" s="79">
        <v>2</v>
      </c>
      <c r="L217" s="79" t="s">
        <v>683</v>
      </c>
      <c r="M217" s="79">
        <v>25</v>
      </c>
      <c r="N217" s="75">
        <v>44562</v>
      </c>
      <c r="O217" s="75"/>
    </row>
    <row r="218" spans="1:15" x14ac:dyDescent="0.25">
      <c r="A218" t="str">
        <f>TableOUMUHUSGE[[#This Row],[Study Package Code]]</f>
        <v>PHGY3001</v>
      </c>
      <c r="B218" s="5">
        <f>TableOUMUHUSGE[[#This Row],[Ver]]</f>
        <v>3</v>
      </c>
      <c r="C218" t="str">
        <f>LEFT(TableOUMUHUSGE[[#This Row],[Structure Line]], FIND(" ", TableOUMUHUSGE[[#This Row],[Structure Line]])-1)</f>
        <v>GPH311</v>
      </c>
      <c r="D218" t="str">
        <f>MID(TableOUMUHUSGE[[#This Row],[Structure Line]],FIND(" ",TableOUMUHUSGE[[#This Row],[Structure Line]])+1,LEN(TableOUMUHUSGE[[#This Row],[Structure Line]]))</f>
        <v>Cultural Landscapes</v>
      </c>
      <c r="E218" s="50">
        <f>TableOUMUHUSGE[[#This Row],[Credit Points]]</f>
        <v>25</v>
      </c>
      <c r="F218" s="79">
        <v>12</v>
      </c>
      <c r="G218" s="79" t="s">
        <v>634</v>
      </c>
      <c r="H218" s="79">
        <v>4</v>
      </c>
      <c r="I218" s="79" t="s">
        <v>563</v>
      </c>
      <c r="J218" s="79" t="s">
        <v>249</v>
      </c>
      <c r="K218" s="79">
        <v>3</v>
      </c>
      <c r="L218" s="79" t="s">
        <v>684</v>
      </c>
      <c r="M218" s="79">
        <v>25</v>
      </c>
      <c r="N218" s="75">
        <v>44562</v>
      </c>
      <c r="O218" s="75"/>
    </row>
  </sheetData>
  <conditionalFormatting sqref="J3:J52">
    <cfRule type="duplicateValues" dxfId="17" priority="21"/>
  </conditionalFormatting>
  <conditionalFormatting sqref="J55:J106">
    <cfRule type="duplicateValues" dxfId="16" priority="133"/>
  </conditionalFormatting>
  <conditionalFormatting sqref="J109:J126">
    <cfRule type="duplicateValues" dxfId="15" priority="16"/>
  </conditionalFormatting>
  <conditionalFormatting sqref="J129:J157">
    <cfRule type="duplicateValues" dxfId="14" priority="200"/>
  </conditionalFormatting>
  <conditionalFormatting sqref="J160:J184">
    <cfRule type="duplicateValues" dxfId="13" priority="10"/>
  </conditionalFormatting>
  <conditionalFormatting sqref="J187:J198 J200:J218">
    <cfRule type="duplicateValues" dxfId="12" priority="134"/>
  </conditionalFormatting>
  <conditionalFormatting sqref="J199">
    <cfRule type="duplicateValues" dxfId="11" priority="4"/>
  </conditionalFormatting>
  <conditionalFormatting sqref="N3:N52 N55:N106 N129:N157">
    <cfRule type="cellIs" dxfId="10" priority="22" operator="greaterThan">
      <formula>$P$1</formula>
    </cfRule>
  </conditionalFormatting>
  <conditionalFormatting sqref="N109:N126">
    <cfRule type="cellIs" dxfId="9" priority="14" operator="greaterThan">
      <formula>$P$1</formula>
    </cfRule>
  </conditionalFormatting>
  <conditionalFormatting sqref="N160:N184">
    <cfRule type="cellIs" dxfId="8" priority="8" operator="greaterThan">
      <formula>$P$1</formula>
    </cfRule>
  </conditionalFormatting>
  <conditionalFormatting sqref="N187:N218">
    <cfRule type="cellIs" dxfId="7" priority="5" operator="greaterThan">
      <formula>$P$1</formula>
    </cfRule>
  </conditionalFormatting>
  <conditionalFormatting sqref="O3:O52 O55:O106 O129:O157">
    <cfRule type="notContainsBlanks" dxfId="6" priority="54">
      <formula>LEN(TRIM(O3))&gt;0</formula>
    </cfRule>
  </conditionalFormatting>
  <conditionalFormatting sqref="O109:O126">
    <cfRule type="notContainsBlanks" dxfId="5" priority="15">
      <formula>LEN(TRIM(O109))&gt;0</formula>
    </cfRule>
  </conditionalFormatting>
  <conditionalFormatting sqref="O160:O184">
    <cfRule type="notContainsBlanks" dxfId="4" priority="9">
      <formula>LEN(TRIM(O160))&gt;0</formula>
    </cfRule>
  </conditionalFormatting>
  <conditionalFormatting sqref="O187:O218">
    <cfRule type="notContainsBlanks" dxfId="3" priority="6">
      <formula>LEN(TRIM(O187))&gt;0</formula>
    </cfRule>
  </conditionalFormatting>
  <conditionalFormatting sqref="Q3:R52 Q55:R106 Q129:R157 Q187:R218">
    <cfRule type="expression" dxfId="2" priority="48">
      <formula>Q3&lt;&gt;J3</formula>
    </cfRule>
  </conditionalFormatting>
  <conditionalFormatting sqref="Q109:R126">
    <cfRule type="expression" dxfId="1" priority="17">
      <formula>Q109&lt;&gt;J109</formula>
    </cfRule>
  </conditionalFormatting>
  <conditionalFormatting sqref="Q160:R184">
    <cfRule type="expression" dxfId="0" priority="2">
      <formula>Q160&lt;&gt;J160</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95"/>
  <sheetViews>
    <sheetView topLeftCell="A66" workbookViewId="0">
      <selection activeCell="D6" sqref="D6"/>
    </sheetView>
  </sheetViews>
  <sheetFormatPr defaultRowHeight="15.75" x14ac:dyDescent="0.25"/>
  <cols>
    <col min="1" max="1" width="12.125" bestFit="1" customWidth="1"/>
    <col min="2" max="5" width="4.875" bestFit="1" customWidth="1"/>
    <col min="6" max="6" width="11.5" bestFit="1" customWidth="1"/>
    <col min="7" max="7" width="9.375" bestFit="1" customWidth="1"/>
    <col min="8" max="8" width="9.75" bestFit="1" customWidth="1"/>
    <col min="9" max="12" width="1.875" bestFit="1" customWidth="1"/>
  </cols>
  <sheetData>
    <row r="1" spans="1:12" x14ac:dyDescent="0.25">
      <c r="F1" s="105" t="s">
        <v>549</v>
      </c>
      <c r="G1" s="106">
        <v>45604</v>
      </c>
    </row>
    <row r="2" spans="1:12" ht="72.75" x14ac:dyDescent="0.25">
      <c r="A2" s="82" t="s">
        <v>685</v>
      </c>
      <c r="B2" s="168" t="s">
        <v>686</v>
      </c>
      <c r="C2" s="168" t="s">
        <v>687</v>
      </c>
      <c r="D2" s="168" t="s">
        <v>688</v>
      </c>
      <c r="E2" s="168" t="s">
        <v>689</v>
      </c>
    </row>
    <row r="3" spans="1:12" x14ac:dyDescent="0.25">
      <c r="A3" s="83" t="s">
        <v>206</v>
      </c>
      <c r="B3" s="169">
        <v>2</v>
      </c>
      <c r="C3" s="169">
        <v>2</v>
      </c>
      <c r="D3" s="169">
        <v>2</v>
      </c>
      <c r="E3" s="169">
        <v>2</v>
      </c>
      <c r="H3" t="s">
        <v>168</v>
      </c>
      <c r="J3">
        <v>1</v>
      </c>
    </row>
    <row r="4" spans="1:12" x14ac:dyDescent="0.25">
      <c r="A4" t="s">
        <v>168</v>
      </c>
      <c r="B4" s="5"/>
      <c r="C4" s="5">
        <v>1</v>
      </c>
      <c r="D4" s="5"/>
      <c r="E4" s="5"/>
      <c r="H4" t="s">
        <v>169</v>
      </c>
      <c r="L4">
        <v>1</v>
      </c>
    </row>
    <row r="5" spans="1:12" x14ac:dyDescent="0.25">
      <c r="A5" t="s">
        <v>169</v>
      </c>
      <c r="B5" s="5"/>
      <c r="C5" s="5"/>
      <c r="D5" s="5"/>
      <c r="E5" s="5">
        <v>1</v>
      </c>
      <c r="H5" t="s">
        <v>170</v>
      </c>
      <c r="I5">
        <v>1</v>
      </c>
    </row>
    <row r="6" spans="1:12" x14ac:dyDescent="0.25">
      <c r="A6" t="s">
        <v>170</v>
      </c>
      <c r="B6" s="5">
        <v>1</v>
      </c>
      <c r="C6" s="5"/>
      <c r="D6" s="5"/>
      <c r="E6" s="5"/>
      <c r="H6" t="s">
        <v>202</v>
      </c>
      <c r="I6">
        <v>1</v>
      </c>
      <c r="K6">
        <v>1</v>
      </c>
    </row>
    <row r="7" spans="1:12" x14ac:dyDescent="0.25">
      <c r="A7" t="s">
        <v>202</v>
      </c>
      <c r="B7" s="5">
        <v>1</v>
      </c>
      <c r="C7" s="5"/>
      <c r="D7" s="5">
        <v>1</v>
      </c>
      <c r="E7" s="5"/>
      <c r="H7" t="s">
        <v>288</v>
      </c>
      <c r="I7">
        <v>1</v>
      </c>
      <c r="K7">
        <v>1</v>
      </c>
    </row>
    <row r="8" spans="1:12" x14ac:dyDescent="0.25">
      <c r="A8" t="s">
        <v>213</v>
      </c>
      <c r="B8" s="5">
        <v>1</v>
      </c>
      <c r="C8" s="5"/>
      <c r="D8" s="5">
        <v>1</v>
      </c>
      <c r="E8" s="5"/>
      <c r="H8" t="s">
        <v>87</v>
      </c>
      <c r="J8">
        <v>1</v>
      </c>
      <c r="L8">
        <v>1</v>
      </c>
    </row>
    <row r="9" spans="1:12" x14ac:dyDescent="0.25">
      <c r="A9" t="s">
        <v>87</v>
      </c>
      <c r="B9" s="5"/>
      <c r="C9" s="5">
        <v>1</v>
      </c>
      <c r="D9" s="5"/>
      <c r="E9" s="5">
        <v>1</v>
      </c>
      <c r="H9" t="s">
        <v>103</v>
      </c>
      <c r="I9">
        <v>1</v>
      </c>
      <c r="K9">
        <v>1</v>
      </c>
    </row>
    <row r="10" spans="1:12" x14ac:dyDescent="0.25">
      <c r="A10" t="s">
        <v>103</v>
      </c>
      <c r="B10" s="5">
        <v>1</v>
      </c>
      <c r="C10" s="5"/>
      <c r="D10" s="5">
        <v>1</v>
      </c>
      <c r="E10" s="5"/>
      <c r="H10" t="s">
        <v>93</v>
      </c>
      <c r="J10">
        <v>1</v>
      </c>
      <c r="L10">
        <v>1</v>
      </c>
    </row>
    <row r="11" spans="1:12" x14ac:dyDescent="0.25">
      <c r="A11" t="s">
        <v>93</v>
      </c>
      <c r="B11" s="5"/>
      <c r="C11" s="5">
        <v>1</v>
      </c>
      <c r="D11" s="5"/>
      <c r="E11" s="5">
        <v>1</v>
      </c>
      <c r="H11" t="s">
        <v>105</v>
      </c>
      <c r="J11">
        <v>1</v>
      </c>
      <c r="L11">
        <v>1</v>
      </c>
    </row>
    <row r="12" spans="1:12" x14ac:dyDescent="0.25">
      <c r="A12" t="s">
        <v>105</v>
      </c>
      <c r="B12" s="5"/>
      <c r="C12" s="5">
        <v>1</v>
      </c>
      <c r="D12" s="5"/>
      <c r="E12" s="5">
        <v>1</v>
      </c>
      <c r="H12" t="s">
        <v>104</v>
      </c>
      <c r="I12">
        <v>1</v>
      </c>
      <c r="K12">
        <v>1</v>
      </c>
    </row>
    <row r="13" spans="1:12" x14ac:dyDescent="0.25">
      <c r="A13" t="s">
        <v>104</v>
      </c>
      <c r="B13" s="5">
        <v>1</v>
      </c>
      <c r="C13" s="5"/>
      <c r="D13" s="5">
        <v>1</v>
      </c>
      <c r="E13" s="5"/>
      <c r="H13" t="s">
        <v>107</v>
      </c>
      <c r="J13">
        <v>1</v>
      </c>
      <c r="L13">
        <v>1</v>
      </c>
    </row>
    <row r="14" spans="1:12" x14ac:dyDescent="0.25">
      <c r="A14" t="s">
        <v>107</v>
      </c>
      <c r="B14" s="5"/>
      <c r="C14" s="5">
        <v>1</v>
      </c>
      <c r="D14" s="5"/>
      <c r="E14" s="5">
        <v>1</v>
      </c>
      <c r="H14" t="s">
        <v>126</v>
      </c>
      <c r="J14">
        <v>1</v>
      </c>
      <c r="L14">
        <v>1</v>
      </c>
    </row>
    <row r="15" spans="1:12" x14ac:dyDescent="0.25">
      <c r="A15" t="s">
        <v>126</v>
      </c>
      <c r="B15" s="5"/>
      <c r="C15" s="5">
        <v>1</v>
      </c>
      <c r="D15" s="5"/>
      <c r="E15" s="5">
        <v>1</v>
      </c>
      <c r="H15" t="s">
        <v>120</v>
      </c>
      <c r="J15">
        <v>1</v>
      </c>
      <c r="L15">
        <v>1</v>
      </c>
    </row>
    <row r="16" spans="1:12" x14ac:dyDescent="0.25">
      <c r="A16" t="s">
        <v>120</v>
      </c>
      <c r="B16" s="5"/>
      <c r="C16" s="5">
        <v>1</v>
      </c>
      <c r="D16" s="5"/>
      <c r="E16" s="5">
        <v>1</v>
      </c>
      <c r="H16" t="s">
        <v>123</v>
      </c>
      <c r="I16">
        <v>1</v>
      </c>
      <c r="K16">
        <v>1</v>
      </c>
    </row>
    <row r="17" spans="1:12" x14ac:dyDescent="0.25">
      <c r="A17" t="s">
        <v>123</v>
      </c>
      <c r="B17" s="5">
        <v>1</v>
      </c>
      <c r="C17" s="5"/>
      <c r="D17" s="5">
        <v>1</v>
      </c>
      <c r="E17" s="5"/>
      <c r="H17" t="s">
        <v>125</v>
      </c>
      <c r="I17">
        <v>1</v>
      </c>
      <c r="K17">
        <v>1</v>
      </c>
    </row>
    <row r="18" spans="1:12" x14ac:dyDescent="0.25">
      <c r="A18" t="s">
        <v>125</v>
      </c>
      <c r="B18" s="5">
        <v>1</v>
      </c>
      <c r="C18" s="5"/>
      <c r="D18" s="5">
        <v>1</v>
      </c>
      <c r="E18" s="5"/>
      <c r="H18" t="s">
        <v>112</v>
      </c>
      <c r="I18">
        <v>1</v>
      </c>
      <c r="K18">
        <v>1</v>
      </c>
    </row>
    <row r="19" spans="1:12" x14ac:dyDescent="0.25">
      <c r="A19" t="s">
        <v>112</v>
      </c>
      <c r="B19" s="5">
        <v>1</v>
      </c>
      <c r="C19" s="5"/>
      <c r="D19" s="5">
        <v>1</v>
      </c>
      <c r="E19" s="5"/>
      <c r="H19" t="s">
        <v>114</v>
      </c>
      <c r="J19">
        <v>1</v>
      </c>
      <c r="L19">
        <v>1</v>
      </c>
    </row>
    <row r="20" spans="1:12" x14ac:dyDescent="0.25">
      <c r="A20" t="s">
        <v>114</v>
      </c>
      <c r="B20" s="5"/>
      <c r="C20" s="5">
        <v>1</v>
      </c>
      <c r="D20" s="5"/>
      <c r="E20" s="5">
        <v>1</v>
      </c>
      <c r="H20" t="s">
        <v>137</v>
      </c>
      <c r="J20">
        <v>1</v>
      </c>
      <c r="L20">
        <v>1</v>
      </c>
    </row>
    <row r="21" spans="1:12" x14ac:dyDescent="0.25">
      <c r="A21" t="s">
        <v>137</v>
      </c>
      <c r="B21" s="5"/>
      <c r="C21" s="5">
        <v>1</v>
      </c>
      <c r="D21" s="5"/>
      <c r="E21" s="5">
        <v>1</v>
      </c>
      <c r="H21" t="s">
        <v>130</v>
      </c>
      <c r="I21">
        <v>1</v>
      </c>
      <c r="K21">
        <v>1</v>
      </c>
    </row>
    <row r="22" spans="1:12" x14ac:dyDescent="0.25">
      <c r="A22" t="s">
        <v>130</v>
      </c>
      <c r="B22" s="5">
        <v>1</v>
      </c>
      <c r="C22" s="5"/>
      <c r="D22" s="5">
        <v>1</v>
      </c>
      <c r="E22" s="5"/>
      <c r="H22" t="s">
        <v>253</v>
      </c>
      <c r="J22">
        <v>1</v>
      </c>
    </row>
    <row r="23" spans="1:12" x14ac:dyDescent="0.25">
      <c r="A23" t="s">
        <v>94</v>
      </c>
      <c r="B23" s="5">
        <v>1</v>
      </c>
      <c r="C23" s="5"/>
      <c r="D23" s="5">
        <v>1</v>
      </c>
      <c r="E23" s="5"/>
      <c r="H23" t="s">
        <v>599</v>
      </c>
      <c r="K23">
        <v>1</v>
      </c>
    </row>
    <row r="24" spans="1:12" x14ac:dyDescent="0.25">
      <c r="A24" t="s">
        <v>92</v>
      </c>
      <c r="B24" s="5"/>
      <c r="C24" s="5">
        <v>1</v>
      </c>
      <c r="D24" s="5"/>
      <c r="E24" s="5">
        <v>1</v>
      </c>
      <c r="H24" t="s">
        <v>254</v>
      </c>
      <c r="K24">
        <v>1</v>
      </c>
    </row>
    <row r="25" spans="1:12" x14ac:dyDescent="0.25">
      <c r="A25" t="s">
        <v>91</v>
      </c>
      <c r="B25" s="5">
        <v>1</v>
      </c>
      <c r="C25" s="5">
        <v>1</v>
      </c>
      <c r="D25" s="5"/>
      <c r="E25" s="5"/>
      <c r="H25" t="s">
        <v>255</v>
      </c>
      <c r="I25">
        <v>1</v>
      </c>
    </row>
    <row r="26" spans="1:12" x14ac:dyDescent="0.25">
      <c r="A26" t="s">
        <v>97</v>
      </c>
      <c r="B26" s="5"/>
      <c r="C26" s="5">
        <v>1</v>
      </c>
      <c r="D26" s="5">
        <v>1</v>
      </c>
      <c r="E26" s="5"/>
      <c r="H26" t="s">
        <v>94</v>
      </c>
      <c r="I26">
        <v>1</v>
      </c>
      <c r="K26">
        <v>1</v>
      </c>
    </row>
    <row r="27" spans="1:12" x14ac:dyDescent="0.25">
      <c r="A27" t="s">
        <v>95</v>
      </c>
      <c r="B27" s="5"/>
      <c r="C27" s="5">
        <v>1</v>
      </c>
      <c r="D27" s="5"/>
      <c r="E27" s="5">
        <v>1</v>
      </c>
      <c r="H27" t="s">
        <v>92</v>
      </c>
      <c r="J27">
        <v>1</v>
      </c>
      <c r="L27">
        <v>1</v>
      </c>
    </row>
    <row r="28" spans="1:12" x14ac:dyDescent="0.25">
      <c r="A28" t="s">
        <v>124</v>
      </c>
      <c r="B28" s="5"/>
      <c r="C28" s="5">
        <v>1</v>
      </c>
      <c r="D28" s="5"/>
      <c r="E28" s="5">
        <v>1</v>
      </c>
      <c r="H28" t="s">
        <v>91</v>
      </c>
      <c r="I28">
        <v>1</v>
      </c>
      <c r="J28">
        <v>1</v>
      </c>
    </row>
    <row r="29" spans="1:12" x14ac:dyDescent="0.25">
      <c r="A29" t="s">
        <v>117</v>
      </c>
      <c r="B29" s="5">
        <v>1</v>
      </c>
      <c r="C29" s="5"/>
      <c r="D29" s="5">
        <v>1</v>
      </c>
      <c r="E29" s="5"/>
      <c r="H29" t="s">
        <v>97</v>
      </c>
      <c r="J29">
        <v>1</v>
      </c>
      <c r="K29">
        <v>1</v>
      </c>
    </row>
    <row r="30" spans="1:12" x14ac:dyDescent="0.25">
      <c r="A30" t="s">
        <v>121</v>
      </c>
      <c r="B30" s="5"/>
      <c r="C30" s="5">
        <v>1</v>
      </c>
      <c r="D30" s="5"/>
      <c r="E30" s="5">
        <v>1</v>
      </c>
      <c r="H30" t="s">
        <v>95</v>
      </c>
      <c r="J30">
        <v>1</v>
      </c>
      <c r="L30">
        <v>1</v>
      </c>
    </row>
    <row r="31" spans="1:12" x14ac:dyDescent="0.25">
      <c r="A31" t="s">
        <v>118</v>
      </c>
      <c r="B31" s="5"/>
      <c r="C31" s="5">
        <v>1</v>
      </c>
      <c r="D31" s="5"/>
      <c r="E31" s="5">
        <v>1</v>
      </c>
      <c r="H31" t="s">
        <v>124</v>
      </c>
      <c r="J31">
        <v>1</v>
      </c>
      <c r="L31">
        <v>1</v>
      </c>
    </row>
    <row r="32" spans="1:12" x14ac:dyDescent="0.25">
      <c r="A32" t="s">
        <v>127</v>
      </c>
      <c r="B32" s="5">
        <v>1</v>
      </c>
      <c r="C32" s="5"/>
      <c r="D32" s="5">
        <v>1</v>
      </c>
      <c r="E32" s="5"/>
      <c r="H32" t="s">
        <v>117</v>
      </c>
      <c r="I32">
        <v>1</v>
      </c>
      <c r="K32">
        <v>1</v>
      </c>
    </row>
    <row r="33" spans="1:12" x14ac:dyDescent="0.25">
      <c r="A33" t="s">
        <v>128</v>
      </c>
      <c r="B33" s="5"/>
      <c r="C33" s="5">
        <v>1</v>
      </c>
      <c r="D33" s="5"/>
      <c r="E33" s="5">
        <v>1</v>
      </c>
      <c r="H33" t="s">
        <v>121</v>
      </c>
      <c r="J33">
        <v>1</v>
      </c>
      <c r="L33">
        <v>1</v>
      </c>
    </row>
    <row r="34" spans="1:12" x14ac:dyDescent="0.25">
      <c r="A34" t="s">
        <v>138</v>
      </c>
      <c r="B34" s="5">
        <v>1</v>
      </c>
      <c r="C34" s="5"/>
      <c r="D34" s="5">
        <v>1</v>
      </c>
      <c r="E34" s="5"/>
      <c r="H34" t="s">
        <v>118</v>
      </c>
      <c r="J34">
        <v>1</v>
      </c>
      <c r="L34">
        <v>1</v>
      </c>
    </row>
    <row r="35" spans="1:12" x14ac:dyDescent="0.25">
      <c r="A35" t="s">
        <v>135</v>
      </c>
      <c r="B35" s="5">
        <v>1</v>
      </c>
      <c r="C35" s="5"/>
      <c r="D35" s="5">
        <v>1</v>
      </c>
      <c r="E35" s="5"/>
      <c r="H35" t="s">
        <v>127</v>
      </c>
      <c r="I35">
        <v>1</v>
      </c>
      <c r="K35">
        <v>1</v>
      </c>
    </row>
    <row r="36" spans="1:12" x14ac:dyDescent="0.25">
      <c r="A36" t="s">
        <v>210</v>
      </c>
      <c r="B36" s="5">
        <v>1</v>
      </c>
      <c r="C36" s="5"/>
      <c r="D36" s="5">
        <v>1</v>
      </c>
      <c r="E36" s="5"/>
      <c r="H36" t="s">
        <v>128</v>
      </c>
      <c r="J36">
        <v>1</v>
      </c>
      <c r="L36">
        <v>1</v>
      </c>
    </row>
    <row r="37" spans="1:12" x14ac:dyDescent="0.25">
      <c r="A37" t="s">
        <v>218</v>
      </c>
      <c r="B37" s="5"/>
      <c r="C37" s="5"/>
      <c r="D37" s="5">
        <v>1</v>
      </c>
      <c r="E37" s="5"/>
      <c r="H37" t="s">
        <v>138</v>
      </c>
      <c r="I37">
        <v>1</v>
      </c>
      <c r="K37">
        <v>1</v>
      </c>
    </row>
    <row r="38" spans="1:12" x14ac:dyDescent="0.25">
      <c r="A38" t="s">
        <v>230</v>
      </c>
      <c r="B38" s="5">
        <v>1</v>
      </c>
      <c r="C38" s="5"/>
      <c r="D38" s="5">
        <v>1</v>
      </c>
      <c r="E38" s="5"/>
      <c r="H38" t="s">
        <v>135</v>
      </c>
      <c r="I38">
        <v>1</v>
      </c>
      <c r="K38">
        <v>1</v>
      </c>
    </row>
    <row r="39" spans="1:12" x14ac:dyDescent="0.25">
      <c r="A39" t="s">
        <v>224</v>
      </c>
      <c r="B39" s="5"/>
      <c r="C39" s="5">
        <v>1</v>
      </c>
      <c r="D39" s="5"/>
      <c r="E39" s="5">
        <v>1</v>
      </c>
      <c r="H39" t="s">
        <v>631</v>
      </c>
      <c r="J39">
        <v>1</v>
      </c>
      <c r="L39">
        <v>1</v>
      </c>
    </row>
    <row r="40" spans="1:12" x14ac:dyDescent="0.25">
      <c r="A40" t="s">
        <v>209</v>
      </c>
      <c r="B40" s="5"/>
      <c r="C40" s="5">
        <v>1</v>
      </c>
      <c r="D40" s="5"/>
      <c r="E40" s="5">
        <v>1</v>
      </c>
      <c r="H40" t="s">
        <v>633</v>
      </c>
      <c r="J40">
        <v>1</v>
      </c>
      <c r="L40">
        <v>1</v>
      </c>
    </row>
    <row r="41" spans="1:12" x14ac:dyDescent="0.25">
      <c r="A41" t="s">
        <v>222</v>
      </c>
      <c r="B41" s="5"/>
      <c r="C41" s="5">
        <v>1</v>
      </c>
      <c r="D41" s="5"/>
      <c r="E41" s="5">
        <v>1</v>
      </c>
      <c r="H41" t="s">
        <v>639</v>
      </c>
      <c r="J41">
        <v>1</v>
      </c>
      <c r="L41">
        <v>1</v>
      </c>
    </row>
    <row r="42" spans="1:12" x14ac:dyDescent="0.25">
      <c r="A42" t="s">
        <v>223</v>
      </c>
      <c r="B42" s="5"/>
      <c r="C42" s="5">
        <v>1</v>
      </c>
      <c r="D42" s="5"/>
      <c r="E42" s="5">
        <v>1</v>
      </c>
      <c r="H42" t="s">
        <v>641</v>
      </c>
      <c r="I42">
        <v>1</v>
      </c>
      <c r="K42">
        <v>1</v>
      </c>
    </row>
    <row r="43" spans="1:12" x14ac:dyDescent="0.25">
      <c r="A43" t="s">
        <v>208</v>
      </c>
      <c r="B43" s="5"/>
      <c r="C43" s="5">
        <v>1</v>
      </c>
      <c r="D43" s="5"/>
      <c r="E43" s="5">
        <v>1</v>
      </c>
      <c r="H43" t="s">
        <v>644</v>
      </c>
      <c r="I43">
        <v>1</v>
      </c>
      <c r="K43">
        <v>1</v>
      </c>
    </row>
    <row r="44" spans="1:12" x14ac:dyDescent="0.25">
      <c r="A44" t="s">
        <v>207</v>
      </c>
      <c r="B44" s="5"/>
      <c r="C44" s="5">
        <v>1</v>
      </c>
      <c r="D44" s="5"/>
      <c r="E44" s="5">
        <v>1</v>
      </c>
      <c r="H44" t="s">
        <v>230</v>
      </c>
      <c r="I44">
        <v>1</v>
      </c>
      <c r="K44">
        <v>1</v>
      </c>
    </row>
    <row r="45" spans="1:12" x14ac:dyDescent="0.25">
      <c r="A45" t="s">
        <v>47</v>
      </c>
      <c r="B45" s="5">
        <v>1</v>
      </c>
      <c r="C45" s="5"/>
      <c r="D45" s="5">
        <v>1</v>
      </c>
      <c r="E45" s="5"/>
      <c r="H45" t="s">
        <v>690</v>
      </c>
      <c r="J45">
        <v>1</v>
      </c>
      <c r="L45">
        <v>1</v>
      </c>
    </row>
    <row r="46" spans="1:12" x14ac:dyDescent="0.25">
      <c r="A46" t="s">
        <v>52</v>
      </c>
      <c r="B46" s="5">
        <v>1</v>
      </c>
      <c r="C46" s="5"/>
      <c r="D46" s="5">
        <v>1</v>
      </c>
      <c r="E46" s="5"/>
      <c r="H46" t="s">
        <v>224</v>
      </c>
      <c r="J46">
        <v>1</v>
      </c>
      <c r="L46">
        <v>1</v>
      </c>
    </row>
    <row r="47" spans="1:12" x14ac:dyDescent="0.25">
      <c r="A47" t="s">
        <v>49</v>
      </c>
      <c r="B47" s="5"/>
      <c r="C47" s="5">
        <v>1</v>
      </c>
      <c r="D47" s="5"/>
      <c r="E47" s="5">
        <v>1</v>
      </c>
      <c r="H47" t="s">
        <v>209</v>
      </c>
      <c r="J47">
        <v>1</v>
      </c>
      <c r="L47">
        <v>1</v>
      </c>
    </row>
    <row r="48" spans="1:12" x14ac:dyDescent="0.25">
      <c r="A48" t="s">
        <v>54</v>
      </c>
      <c r="B48" s="5"/>
      <c r="C48" s="5">
        <v>1</v>
      </c>
      <c r="D48" s="5"/>
      <c r="E48" s="5">
        <v>1</v>
      </c>
      <c r="H48" t="s">
        <v>222</v>
      </c>
      <c r="J48">
        <v>1</v>
      </c>
      <c r="L48">
        <v>1</v>
      </c>
    </row>
    <row r="49" spans="1:12" x14ac:dyDescent="0.25">
      <c r="A49" t="s">
        <v>70</v>
      </c>
      <c r="B49" s="5">
        <v>1</v>
      </c>
      <c r="C49" s="5"/>
      <c r="D49" s="5">
        <v>1</v>
      </c>
      <c r="E49" s="5"/>
      <c r="H49" t="s">
        <v>223</v>
      </c>
      <c r="J49">
        <v>1</v>
      </c>
      <c r="L49">
        <v>1</v>
      </c>
    </row>
    <row r="50" spans="1:12" x14ac:dyDescent="0.25">
      <c r="A50" t="s">
        <v>73</v>
      </c>
      <c r="B50" s="5">
        <v>1</v>
      </c>
      <c r="C50" s="5"/>
      <c r="D50" s="5">
        <v>1</v>
      </c>
      <c r="E50" s="5"/>
      <c r="H50" t="s">
        <v>208</v>
      </c>
      <c r="J50">
        <v>1</v>
      </c>
      <c r="L50">
        <v>1</v>
      </c>
    </row>
    <row r="51" spans="1:12" x14ac:dyDescent="0.25">
      <c r="A51" t="s">
        <v>67</v>
      </c>
      <c r="B51" s="5"/>
      <c r="C51" s="5">
        <v>1</v>
      </c>
      <c r="D51" s="5"/>
      <c r="E51" s="5">
        <v>1</v>
      </c>
      <c r="H51" t="s">
        <v>207</v>
      </c>
      <c r="J51">
        <v>1</v>
      </c>
      <c r="L51">
        <v>1</v>
      </c>
    </row>
    <row r="52" spans="1:12" x14ac:dyDescent="0.25">
      <c r="A52" t="s">
        <v>198</v>
      </c>
      <c r="B52" s="5"/>
      <c r="C52" s="5"/>
      <c r="D52" s="5">
        <v>1</v>
      </c>
      <c r="E52" s="5"/>
      <c r="H52" t="s">
        <v>571</v>
      </c>
      <c r="I52">
        <v>1</v>
      </c>
      <c r="K52">
        <v>1</v>
      </c>
    </row>
    <row r="53" spans="1:12" x14ac:dyDescent="0.25">
      <c r="A53" t="s">
        <v>197</v>
      </c>
      <c r="B53" s="5"/>
      <c r="C53" s="5">
        <v>1</v>
      </c>
      <c r="D53" s="5"/>
      <c r="E53" s="5">
        <v>1</v>
      </c>
      <c r="H53" t="s">
        <v>47</v>
      </c>
      <c r="I53">
        <v>1</v>
      </c>
      <c r="K53">
        <v>1</v>
      </c>
    </row>
    <row r="54" spans="1:12" x14ac:dyDescent="0.25">
      <c r="A54" t="s">
        <v>74</v>
      </c>
      <c r="B54" s="5"/>
      <c r="C54" s="5">
        <v>1</v>
      </c>
      <c r="D54" s="5"/>
      <c r="E54" s="5">
        <v>1</v>
      </c>
      <c r="H54" t="s">
        <v>52</v>
      </c>
      <c r="I54">
        <v>1</v>
      </c>
      <c r="K54">
        <v>1</v>
      </c>
    </row>
    <row r="55" spans="1:12" x14ac:dyDescent="0.25">
      <c r="A55" t="s">
        <v>85</v>
      </c>
      <c r="B55" s="5">
        <v>1</v>
      </c>
      <c r="C55" s="5"/>
      <c r="D55" s="5">
        <v>1</v>
      </c>
      <c r="E55" s="5"/>
      <c r="H55" t="s">
        <v>49</v>
      </c>
      <c r="J55">
        <v>1</v>
      </c>
      <c r="L55">
        <v>1</v>
      </c>
    </row>
    <row r="56" spans="1:12" x14ac:dyDescent="0.25">
      <c r="A56" t="s">
        <v>90</v>
      </c>
      <c r="B56" s="5">
        <v>1</v>
      </c>
      <c r="C56" s="5"/>
      <c r="D56" s="5">
        <v>1</v>
      </c>
      <c r="E56" s="5"/>
      <c r="H56" t="s">
        <v>54</v>
      </c>
      <c r="J56">
        <v>1</v>
      </c>
      <c r="L56">
        <v>1</v>
      </c>
    </row>
    <row r="57" spans="1:12" x14ac:dyDescent="0.25">
      <c r="A57" t="s">
        <v>156</v>
      </c>
      <c r="B57" s="5"/>
      <c r="C57" s="5">
        <v>1</v>
      </c>
      <c r="D57" s="5"/>
      <c r="E57" s="5"/>
      <c r="H57" t="s">
        <v>70</v>
      </c>
      <c r="J57">
        <v>1</v>
      </c>
      <c r="L57">
        <v>1</v>
      </c>
    </row>
    <row r="58" spans="1:12" x14ac:dyDescent="0.25">
      <c r="A58" t="s">
        <v>157</v>
      </c>
      <c r="B58" s="5"/>
      <c r="C58" s="5"/>
      <c r="D58" s="5">
        <v>1</v>
      </c>
      <c r="E58" s="5"/>
      <c r="H58" t="s">
        <v>73</v>
      </c>
      <c r="I58">
        <v>1</v>
      </c>
      <c r="K58">
        <v>1</v>
      </c>
    </row>
    <row r="59" spans="1:12" x14ac:dyDescent="0.25">
      <c r="A59" t="s">
        <v>152</v>
      </c>
      <c r="B59" s="5"/>
      <c r="C59" s="5"/>
      <c r="D59" s="5">
        <v>1</v>
      </c>
      <c r="E59" s="5"/>
      <c r="H59" t="s">
        <v>67</v>
      </c>
      <c r="J59">
        <v>1</v>
      </c>
      <c r="L59">
        <v>1</v>
      </c>
    </row>
    <row r="60" spans="1:12" x14ac:dyDescent="0.25">
      <c r="A60" t="s">
        <v>160</v>
      </c>
      <c r="B60" s="5"/>
      <c r="C60" s="5"/>
      <c r="D60" s="5"/>
      <c r="E60" s="5">
        <v>1</v>
      </c>
      <c r="H60" t="s">
        <v>85</v>
      </c>
      <c r="I60">
        <v>1</v>
      </c>
      <c r="K60">
        <v>1</v>
      </c>
    </row>
    <row r="61" spans="1:12" x14ac:dyDescent="0.25">
      <c r="A61" t="s">
        <v>164</v>
      </c>
      <c r="B61" s="5"/>
      <c r="C61" s="5">
        <v>1</v>
      </c>
      <c r="D61" s="5"/>
      <c r="E61" s="5"/>
      <c r="H61" t="s">
        <v>90</v>
      </c>
      <c r="I61">
        <v>1</v>
      </c>
      <c r="K61">
        <v>1</v>
      </c>
    </row>
    <row r="62" spans="1:12" x14ac:dyDescent="0.25">
      <c r="A62" t="s">
        <v>153</v>
      </c>
      <c r="B62" s="5"/>
      <c r="C62" s="5">
        <v>1</v>
      </c>
      <c r="D62" s="5"/>
      <c r="E62" s="5"/>
      <c r="H62" t="s">
        <v>156</v>
      </c>
      <c r="J62">
        <v>1</v>
      </c>
    </row>
    <row r="63" spans="1:12" x14ac:dyDescent="0.25">
      <c r="A63" t="s">
        <v>154</v>
      </c>
      <c r="B63" s="5">
        <v>1</v>
      </c>
      <c r="C63" s="5"/>
      <c r="D63" s="5"/>
      <c r="E63" s="5"/>
      <c r="H63" t="s">
        <v>157</v>
      </c>
      <c r="K63">
        <v>1</v>
      </c>
    </row>
    <row r="64" spans="1:12" x14ac:dyDescent="0.25">
      <c r="A64" t="s">
        <v>158</v>
      </c>
      <c r="B64" s="5"/>
      <c r="C64" s="5"/>
      <c r="D64" s="5"/>
      <c r="E64" s="5">
        <v>1</v>
      </c>
      <c r="H64" t="s">
        <v>152</v>
      </c>
      <c r="K64">
        <v>1</v>
      </c>
    </row>
    <row r="65" spans="1:12" x14ac:dyDescent="0.25">
      <c r="A65" t="s">
        <v>165</v>
      </c>
      <c r="B65" s="5">
        <v>1</v>
      </c>
      <c r="C65" s="5"/>
      <c r="D65" s="5"/>
      <c r="E65" s="5"/>
      <c r="H65" t="s">
        <v>160</v>
      </c>
      <c r="L65">
        <v>1</v>
      </c>
    </row>
    <row r="66" spans="1:12" x14ac:dyDescent="0.25">
      <c r="A66" t="s">
        <v>142</v>
      </c>
      <c r="B66" s="5">
        <v>1</v>
      </c>
      <c r="C66" s="5">
        <v>1</v>
      </c>
      <c r="D66" s="5">
        <v>1</v>
      </c>
      <c r="E66" s="5">
        <v>1</v>
      </c>
      <c r="H66" t="s">
        <v>164</v>
      </c>
      <c r="J66">
        <v>1</v>
      </c>
    </row>
    <row r="67" spans="1:12" x14ac:dyDescent="0.25">
      <c r="A67" t="s">
        <v>161</v>
      </c>
      <c r="B67" s="5"/>
      <c r="C67" s="5">
        <v>1</v>
      </c>
      <c r="D67" s="5"/>
      <c r="E67" s="5"/>
      <c r="H67" t="s">
        <v>153</v>
      </c>
      <c r="J67">
        <v>1</v>
      </c>
    </row>
    <row r="68" spans="1:12" x14ac:dyDescent="0.25">
      <c r="A68" t="s">
        <v>162</v>
      </c>
      <c r="B68" s="5"/>
      <c r="C68" s="5"/>
      <c r="D68" s="5">
        <v>1</v>
      </c>
      <c r="E68" s="5"/>
      <c r="H68" t="s">
        <v>154</v>
      </c>
      <c r="I68">
        <v>1</v>
      </c>
    </row>
    <row r="69" spans="1:12" x14ac:dyDescent="0.25">
      <c r="A69" t="s">
        <v>166</v>
      </c>
      <c r="B69" s="5"/>
      <c r="C69" s="5"/>
      <c r="D69" s="5"/>
      <c r="E69" s="5">
        <v>1</v>
      </c>
      <c r="H69" t="s">
        <v>158</v>
      </c>
      <c r="L69">
        <v>1</v>
      </c>
    </row>
    <row r="70" spans="1:12" x14ac:dyDescent="0.25">
      <c r="A70" t="s">
        <v>132</v>
      </c>
      <c r="B70" s="5"/>
      <c r="C70" s="5">
        <v>1</v>
      </c>
      <c r="D70" s="5"/>
      <c r="E70" s="5">
        <v>1</v>
      </c>
      <c r="H70" t="s">
        <v>165</v>
      </c>
      <c r="I70">
        <v>1</v>
      </c>
    </row>
    <row r="71" spans="1:12" x14ac:dyDescent="0.25">
      <c r="A71" t="s">
        <v>203</v>
      </c>
      <c r="B71" s="5">
        <v>1</v>
      </c>
      <c r="C71" s="5"/>
      <c r="D71" s="5">
        <v>1</v>
      </c>
      <c r="E71" s="5"/>
      <c r="H71" t="s">
        <v>142</v>
      </c>
      <c r="I71">
        <v>1</v>
      </c>
      <c r="J71">
        <v>1</v>
      </c>
      <c r="K71">
        <v>1</v>
      </c>
      <c r="L71">
        <v>1</v>
      </c>
    </row>
    <row r="72" spans="1:12" x14ac:dyDescent="0.25">
      <c r="A72" t="s">
        <v>246</v>
      </c>
      <c r="B72" s="5"/>
      <c r="C72" s="5"/>
      <c r="D72" s="5"/>
      <c r="E72" s="5">
        <v>1</v>
      </c>
      <c r="H72" t="s">
        <v>161</v>
      </c>
      <c r="J72">
        <v>1</v>
      </c>
    </row>
    <row r="73" spans="1:12" x14ac:dyDescent="0.25">
      <c r="A73" t="s">
        <v>247</v>
      </c>
      <c r="B73" s="5"/>
      <c r="C73" s="5">
        <v>1</v>
      </c>
      <c r="D73" s="5"/>
      <c r="E73" s="5"/>
      <c r="H73" t="s">
        <v>162</v>
      </c>
      <c r="K73">
        <v>1</v>
      </c>
    </row>
    <row r="74" spans="1:12" x14ac:dyDescent="0.25">
      <c r="A74" t="s">
        <v>241</v>
      </c>
      <c r="B74" s="5">
        <v>1</v>
      </c>
      <c r="C74" s="5"/>
      <c r="D74" s="5"/>
      <c r="E74" s="5"/>
      <c r="H74" t="s">
        <v>166</v>
      </c>
      <c r="L74">
        <v>1</v>
      </c>
    </row>
    <row r="75" spans="1:12" x14ac:dyDescent="0.25">
      <c r="A75" t="s">
        <v>248</v>
      </c>
      <c r="B75" s="5">
        <v>1</v>
      </c>
      <c r="C75" s="5"/>
      <c r="D75" s="5"/>
      <c r="E75" s="5"/>
      <c r="H75" t="s">
        <v>132</v>
      </c>
      <c r="J75">
        <v>1</v>
      </c>
      <c r="L75">
        <v>1</v>
      </c>
    </row>
    <row r="76" spans="1:12" x14ac:dyDescent="0.25">
      <c r="A76" t="s">
        <v>232</v>
      </c>
      <c r="B76" s="5"/>
      <c r="C76" s="5">
        <v>1</v>
      </c>
      <c r="D76" s="5"/>
      <c r="E76" s="5"/>
      <c r="H76" t="s">
        <v>203</v>
      </c>
      <c r="I76">
        <v>1</v>
      </c>
      <c r="K76">
        <v>1</v>
      </c>
    </row>
    <row r="77" spans="1:12" x14ac:dyDescent="0.25">
      <c r="A77" t="s">
        <v>119</v>
      </c>
      <c r="B77" s="5">
        <v>1</v>
      </c>
      <c r="C77" s="5"/>
      <c r="D77" s="5">
        <v>1</v>
      </c>
      <c r="E77" s="5"/>
      <c r="H77" t="s">
        <v>247</v>
      </c>
      <c r="J77">
        <v>1</v>
      </c>
      <c r="L77">
        <v>1</v>
      </c>
    </row>
    <row r="78" spans="1:12" x14ac:dyDescent="0.25">
      <c r="A78" t="s">
        <v>205</v>
      </c>
      <c r="B78" s="5"/>
      <c r="C78" s="5">
        <v>1</v>
      </c>
      <c r="D78" s="5"/>
      <c r="E78" s="5">
        <v>1</v>
      </c>
      <c r="H78" t="s">
        <v>232</v>
      </c>
      <c r="J78">
        <v>1</v>
      </c>
      <c r="L78">
        <v>1</v>
      </c>
    </row>
    <row r="79" spans="1:12" x14ac:dyDescent="0.25">
      <c r="A79" t="s">
        <v>216</v>
      </c>
      <c r="B79" s="5"/>
      <c r="C79" s="5">
        <v>1</v>
      </c>
      <c r="D79" s="5"/>
      <c r="E79" s="5">
        <v>1</v>
      </c>
      <c r="H79" t="s">
        <v>494</v>
      </c>
      <c r="I79">
        <v>1</v>
      </c>
      <c r="K79">
        <v>1</v>
      </c>
    </row>
    <row r="80" spans="1:12" x14ac:dyDescent="0.25">
      <c r="A80" t="s">
        <v>219</v>
      </c>
      <c r="B80" s="5">
        <v>1</v>
      </c>
      <c r="C80" s="5"/>
      <c r="D80" s="5">
        <v>1</v>
      </c>
      <c r="E80" s="5"/>
      <c r="H80" t="s">
        <v>205</v>
      </c>
      <c r="J80">
        <v>1</v>
      </c>
      <c r="L80">
        <v>1</v>
      </c>
    </row>
    <row r="81" spans="1:12" x14ac:dyDescent="0.25">
      <c r="A81" t="s">
        <v>235</v>
      </c>
      <c r="B81" s="5">
        <v>1</v>
      </c>
      <c r="C81" s="5"/>
      <c r="D81" s="5">
        <v>1</v>
      </c>
      <c r="E81" s="5"/>
      <c r="H81" t="s">
        <v>216</v>
      </c>
      <c r="J81">
        <v>1</v>
      </c>
      <c r="L81">
        <v>1</v>
      </c>
    </row>
    <row r="82" spans="1:12" x14ac:dyDescent="0.25">
      <c r="A82" t="s">
        <v>238</v>
      </c>
      <c r="B82" s="5"/>
      <c r="C82" s="5">
        <v>1</v>
      </c>
      <c r="D82" s="5"/>
      <c r="E82" s="5">
        <v>1</v>
      </c>
      <c r="H82" t="s">
        <v>219</v>
      </c>
      <c r="I82">
        <v>1</v>
      </c>
      <c r="K82">
        <v>1</v>
      </c>
    </row>
    <row r="83" spans="1:12" x14ac:dyDescent="0.25">
      <c r="A83" t="s">
        <v>217</v>
      </c>
      <c r="B83" s="5"/>
      <c r="C83" s="5">
        <v>1</v>
      </c>
      <c r="D83" s="5"/>
      <c r="E83" s="5">
        <v>1</v>
      </c>
      <c r="H83" t="s">
        <v>235</v>
      </c>
      <c r="I83">
        <v>1</v>
      </c>
      <c r="K83">
        <v>1</v>
      </c>
    </row>
    <row r="84" spans="1:12" x14ac:dyDescent="0.25">
      <c r="A84" t="s">
        <v>243</v>
      </c>
      <c r="B84" s="5"/>
      <c r="C84" s="5"/>
      <c r="D84" s="5">
        <v>1</v>
      </c>
      <c r="E84" s="5"/>
      <c r="H84" t="s">
        <v>238</v>
      </c>
      <c r="J84">
        <v>1</v>
      </c>
      <c r="L84">
        <v>1</v>
      </c>
    </row>
    <row r="85" spans="1:12" x14ac:dyDescent="0.25">
      <c r="A85" t="s">
        <v>249</v>
      </c>
      <c r="B85" s="5"/>
      <c r="C85" s="5"/>
      <c r="D85" s="5">
        <v>1</v>
      </c>
      <c r="E85" s="5"/>
      <c r="H85" t="s">
        <v>217</v>
      </c>
      <c r="J85">
        <v>1</v>
      </c>
      <c r="L85">
        <v>1</v>
      </c>
    </row>
    <row r="86" spans="1:12" x14ac:dyDescent="0.25">
      <c r="A86" t="s">
        <v>212</v>
      </c>
      <c r="B86" s="5">
        <v>1</v>
      </c>
      <c r="C86" s="5"/>
      <c r="D86" s="5">
        <v>1</v>
      </c>
      <c r="E86" s="5"/>
      <c r="H86" t="s">
        <v>243</v>
      </c>
      <c r="I86">
        <v>1</v>
      </c>
      <c r="K86">
        <v>1</v>
      </c>
    </row>
    <row r="87" spans="1:12" x14ac:dyDescent="0.25">
      <c r="A87" t="s">
        <v>215</v>
      </c>
      <c r="B87" s="5">
        <v>1</v>
      </c>
      <c r="C87" s="5">
        <v>1</v>
      </c>
      <c r="D87" s="5">
        <v>1</v>
      </c>
      <c r="E87" s="5">
        <v>1</v>
      </c>
      <c r="H87" t="s">
        <v>249</v>
      </c>
      <c r="I87">
        <v>1</v>
      </c>
      <c r="K87">
        <v>1</v>
      </c>
    </row>
    <row r="88" spans="1:12" x14ac:dyDescent="0.25">
      <c r="A88" t="s">
        <v>204</v>
      </c>
      <c r="B88" s="5">
        <v>1</v>
      </c>
      <c r="C88" s="5">
        <v>1</v>
      </c>
      <c r="D88" s="5"/>
      <c r="E88" s="5">
        <v>1</v>
      </c>
      <c r="H88" t="s">
        <v>212</v>
      </c>
      <c r="I88">
        <v>1</v>
      </c>
      <c r="K88">
        <v>1</v>
      </c>
    </row>
    <row r="89" spans="1:12" x14ac:dyDescent="0.25">
      <c r="A89" t="s">
        <v>201</v>
      </c>
      <c r="B89" s="5">
        <v>1</v>
      </c>
      <c r="C89" s="5"/>
      <c r="D89" s="5">
        <v>1</v>
      </c>
      <c r="E89" s="5"/>
      <c r="H89" t="s">
        <v>215</v>
      </c>
      <c r="I89">
        <v>1</v>
      </c>
      <c r="J89">
        <v>1</v>
      </c>
      <c r="K89">
        <v>1</v>
      </c>
      <c r="L89">
        <v>1</v>
      </c>
    </row>
    <row r="90" spans="1:12" x14ac:dyDescent="0.25">
      <c r="A90" t="s">
        <v>240</v>
      </c>
      <c r="B90" s="5">
        <v>1</v>
      </c>
      <c r="C90" s="5"/>
      <c r="D90" s="5">
        <v>1</v>
      </c>
      <c r="E90" s="5"/>
      <c r="H90" t="s">
        <v>204</v>
      </c>
      <c r="I90">
        <v>1</v>
      </c>
      <c r="J90">
        <v>1</v>
      </c>
      <c r="L90">
        <v>1</v>
      </c>
    </row>
    <row r="91" spans="1:12" x14ac:dyDescent="0.25">
      <c r="A91" t="s">
        <v>242</v>
      </c>
      <c r="B91" s="5">
        <v>1</v>
      </c>
      <c r="C91" s="5"/>
      <c r="D91" s="5">
        <v>1</v>
      </c>
      <c r="E91" s="5"/>
      <c r="H91" t="s">
        <v>201</v>
      </c>
      <c r="I91">
        <v>1</v>
      </c>
      <c r="K91">
        <v>1</v>
      </c>
    </row>
    <row r="92" spans="1:12" x14ac:dyDescent="0.25">
      <c r="A92" t="s">
        <v>221</v>
      </c>
      <c r="B92" s="5"/>
      <c r="C92" s="5">
        <v>1</v>
      </c>
      <c r="D92" s="5"/>
      <c r="E92" s="5">
        <v>1</v>
      </c>
      <c r="H92" t="s">
        <v>221</v>
      </c>
      <c r="J92">
        <v>1</v>
      </c>
      <c r="L92">
        <v>1</v>
      </c>
    </row>
    <row r="93" spans="1:12" x14ac:dyDescent="0.25">
      <c r="A93" t="s">
        <v>225</v>
      </c>
      <c r="B93" s="5">
        <v>1</v>
      </c>
      <c r="C93" s="5"/>
      <c r="D93" s="5">
        <v>1</v>
      </c>
      <c r="E93" s="5"/>
      <c r="H93" t="s">
        <v>225</v>
      </c>
      <c r="I93">
        <v>1</v>
      </c>
      <c r="K93">
        <v>1</v>
      </c>
    </row>
    <row r="94" spans="1:12" x14ac:dyDescent="0.25">
      <c r="A94" t="s">
        <v>234</v>
      </c>
      <c r="B94" s="5">
        <v>1</v>
      </c>
      <c r="C94" s="5"/>
      <c r="D94" s="5">
        <v>1</v>
      </c>
      <c r="E94" s="5"/>
      <c r="H94" t="s">
        <v>234</v>
      </c>
      <c r="I94">
        <v>1</v>
      </c>
      <c r="K94">
        <v>1</v>
      </c>
    </row>
    <row r="95" spans="1:12" x14ac:dyDescent="0.25">
      <c r="A95" t="s">
        <v>237</v>
      </c>
      <c r="B95" s="5">
        <v>1</v>
      </c>
      <c r="C95" s="5"/>
      <c r="D95" s="5">
        <v>1</v>
      </c>
      <c r="E95" s="5"/>
      <c r="H95" t="s">
        <v>237</v>
      </c>
      <c r="I95">
        <v>1</v>
      </c>
      <c r="K95">
        <v>1</v>
      </c>
      <c r="L95">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cc9cb892-206f-4052-b06f-5783104e029f"/>
    <ds:schemaRef ds:uri="http://schemas.openxmlformats.org/package/2006/metadata/core-properties"/>
    <ds:schemaRef ds:uri="ba69df13-0c3c-4942-8695-6ca01564010c"/>
    <ds:schemaRef ds:uri="http://schemas.microsoft.com/office/2006/metadata/properties"/>
  </ds:schemaRefs>
</ds:datastoreItem>
</file>

<file path=customXml/itemProps2.xml><?xml version="1.0" encoding="utf-8"?>
<ds:datastoreItem xmlns:ds="http://schemas.openxmlformats.org/officeDocument/2006/customXml" ds:itemID="{5AB3A36F-7F4A-44CF-B6FE-57195AC7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BEd (ECE) OUA</vt:lpstr>
      <vt:lpstr>BEd (Primary) OUA</vt:lpstr>
      <vt:lpstr>Unitsets</vt:lpstr>
      <vt:lpstr>BEd (Secondary) OUA</vt:lpstr>
      <vt:lpstr>UnitsetsSecondary</vt:lpstr>
      <vt:lpstr>Handbook</vt:lpstr>
      <vt:lpstr>Structures</vt:lpstr>
      <vt:lpstr>Availabilities</vt:lpstr>
      <vt:lpstr>'BEd (ECE) OUA'!Print_Area</vt:lpstr>
      <vt:lpstr>'BEd (Primary) OUA'!Print_Area</vt:lpstr>
      <vt:lpstr>'BEd (Secondary) OUA'!Print_Area</vt:lpstr>
      <vt:lpstr>RangeMajorsOptions</vt:lpstr>
      <vt:lpstr>RangeOptions</vt:lpstr>
      <vt:lpstr>RangeUnitsets</vt:lpstr>
      <vt:lpstr>RangeUnitSetsSec</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2024-11-28T01:54:44Z</cp:lastPrinted>
  <dcterms:created xsi:type="dcterms:W3CDTF">2022-02-28T04:48:12Z</dcterms:created>
  <dcterms:modified xsi:type="dcterms:W3CDTF">2024-11-28T01:55:48Z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